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tables/table55.xml" ContentType="application/vnd.openxmlformats-officedocument.spreadsheetml.table+xml"/>
  <Override PartName="/xl/queryTables/queryTable55.xml" ContentType="application/vnd.openxmlformats-officedocument.spreadsheetml.queryTable+xml"/>
  <Override PartName="/xl/tables/table56.xml" ContentType="application/vnd.openxmlformats-officedocument.spreadsheetml.table+xml"/>
  <Override PartName="/xl/queryTables/queryTable56.xml" ContentType="application/vnd.openxmlformats-officedocument.spreadsheetml.queryTable+xml"/>
  <Override PartName="/xl/tables/table57.xml" ContentType="application/vnd.openxmlformats-officedocument.spreadsheetml.table+xml"/>
  <Override PartName="/xl/queryTables/queryTable57.xml" ContentType="application/vnd.openxmlformats-officedocument.spreadsheetml.queryTable+xml"/>
  <Override PartName="/xl/tables/table58.xml" ContentType="application/vnd.openxmlformats-officedocument.spreadsheetml.table+xml"/>
  <Override PartName="/xl/queryTables/queryTable58.xml" ContentType="application/vnd.openxmlformats-officedocument.spreadsheetml.queryTable+xml"/>
  <Override PartName="/xl/tables/table59.xml" ContentType="application/vnd.openxmlformats-officedocument.spreadsheetml.table+xml"/>
  <Override PartName="/xl/queryTables/queryTable59.xml" ContentType="application/vnd.openxmlformats-officedocument.spreadsheetml.queryTable+xml"/>
  <Override PartName="/xl/tables/table60.xml" ContentType="application/vnd.openxmlformats-officedocument.spreadsheetml.table+xml"/>
  <Override PartName="/xl/queryTables/queryTable60.xml" ContentType="application/vnd.openxmlformats-officedocument.spreadsheetml.queryTable+xml"/>
  <Override PartName="/xl/tables/table61.xml" ContentType="application/vnd.openxmlformats-officedocument.spreadsheetml.table+xml"/>
  <Override PartName="/xl/queryTables/queryTable61.xml" ContentType="application/vnd.openxmlformats-officedocument.spreadsheetml.queryTable+xml"/>
  <Override PartName="/xl/tables/table62.xml" ContentType="application/vnd.openxmlformats-officedocument.spreadsheetml.table+xml"/>
  <Override PartName="/xl/queryTables/queryTable62.xml" ContentType="application/vnd.openxmlformats-officedocument.spreadsheetml.queryTable+xml"/>
  <Override PartName="/xl/tables/table63.xml" ContentType="application/vnd.openxmlformats-officedocument.spreadsheetml.table+xml"/>
  <Override PartName="/xl/queryTables/queryTable63.xml" ContentType="application/vnd.openxmlformats-officedocument.spreadsheetml.queryTable+xml"/>
  <Override PartName="/xl/tables/table64.xml" ContentType="application/vnd.openxmlformats-officedocument.spreadsheetml.table+xml"/>
  <Override PartName="/xl/queryTables/queryTable64.xml" ContentType="application/vnd.openxmlformats-officedocument.spreadsheetml.queryTable+xml"/>
  <Override PartName="/xl/tables/table65.xml" ContentType="application/vnd.openxmlformats-officedocument.spreadsheetml.table+xml"/>
  <Override PartName="/xl/queryTables/queryTable65.xml" ContentType="application/vnd.openxmlformats-officedocument.spreadsheetml.queryTable+xml"/>
  <Override PartName="/xl/tables/table66.xml" ContentType="application/vnd.openxmlformats-officedocument.spreadsheetml.table+xml"/>
  <Override PartName="/xl/queryTables/queryTable66.xml" ContentType="application/vnd.openxmlformats-officedocument.spreadsheetml.queryTable+xml"/>
  <Override PartName="/xl/tables/table67.xml" ContentType="application/vnd.openxmlformats-officedocument.spreadsheetml.table+xml"/>
  <Override PartName="/xl/queryTables/queryTable67.xml" ContentType="application/vnd.openxmlformats-officedocument.spreadsheetml.queryTable+xml"/>
  <Override PartName="/xl/tables/table68.xml" ContentType="application/vnd.openxmlformats-officedocument.spreadsheetml.table+xml"/>
  <Override PartName="/xl/queryTables/queryTable68.xml" ContentType="application/vnd.openxmlformats-officedocument.spreadsheetml.queryTable+xml"/>
  <Override PartName="/xl/tables/table69.xml" ContentType="application/vnd.openxmlformats-officedocument.spreadsheetml.table+xml"/>
  <Override PartName="/xl/queryTables/queryTable69.xml" ContentType="application/vnd.openxmlformats-officedocument.spreadsheetml.queryTable+xml"/>
  <Override PartName="/xl/tables/table70.xml" ContentType="application/vnd.openxmlformats-officedocument.spreadsheetml.table+xml"/>
  <Override PartName="/xl/queryTables/queryTable70.xml" ContentType="application/vnd.openxmlformats-officedocument.spreadsheetml.queryTable+xml"/>
  <Override PartName="/xl/tables/table71.xml" ContentType="application/vnd.openxmlformats-officedocument.spreadsheetml.table+xml"/>
  <Override PartName="/xl/queryTables/queryTable71.xml" ContentType="application/vnd.openxmlformats-officedocument.spreadsheetml.queryTable+xml"/>
  <Override PartName="/xl/tables/table72.xml" ContentType="application/vnd.openxmlformats-officedocument.spreadsheetml.table+xml"/>
  <Override PartName="/xl/queryTables/queryTable72.xml" ContentType="application/vnd.openxmlformats-officedocument.spreadsheetml.queryTable+xml"/>
  <Override PartName="/xl/tables/table73.xml" ContentType="application/vnd.openxmlformats-officedocument.spreadsheetml.table+xml"/>
  <Override PartName="/xl/queryTables/queryTable73.xml" ContentType="application/vnd.openxmlformats-officedocument.spreadsheetml.queryTable+xml"/>
  <Override PartName="/xl/tables/table74.xml" ContentType="application/vnd.openxmlformats-officedocument.spreadsheetml.table+xml"/>
  <Override PartName="/xl/queryTables/queryTable74.xml" ContentType="application/vnd.openxmlformats-officedocument.spreadsheetml.queryTable+xml"/>
  <Override PartName="/xl/tables/table75.xml" ContentType="application/vnd.openxmlformats-officedocument.spreadsheetml.table+xml"/>
  <Override PartName="/xl/queryTables/queryTable75.xml" ContentType="application/vnd.openxmlformats-officedocument.spreadsheetml.queryTable+xml"/>
  <Override PartName="/xl/tables/table76.xml" ContentType="application/vnd.openxmlformats-officedocument.spreadsheetml.table+xml"/>
  <Override PartName="/xl/queryTables/queryTable76.xml" ContentType="application/vnd.openxmlformats-officedocument.spreadsheetml.queryTable+xml"/>
  <Override PartName="/xl/tables/table77.xml" ContentType="application/vnd.openxmlformats-officedocument.spreadsheetml.table+xml"/>
  <Override PartName="/xl/queryTables/queryTable77.xml" ContentType="application/vnd.openxmlformats-officedocument.spreadsheetml.queryTable+xml"/>
  <Override PartName="/xl/tables/table78.xml" ContentType="application/vnd.openxmlformats-officedocument.spreadsheetml.table+xml"/>
  <Override PartName="/xl/queryTables/queryTable78.xml" ContentType="application/vnd.openxmlformats-officedocument.spreadsheetml.queryTable+xml"/>
  <Override PartName="/xl/tables/table79.xml" ContentType="application/vnd.openxmlformats-officedocument.spreadsheetml.table+xml"/>
  <Override PartName="/xl/queryTables/queryTable79.xml" ContentType="application/vnd.openxmlformats-officedocument.spreadsheetml.queryTable+xml"/>
  <Override PartName="/xl/tables/table80.xml" ContentType="application/vnd.openxmlformats-officedocument.spreadsheetml.table+xml"/>
  <Override PartName="/xl/queryTables/queryTable80.xml" ContentType="application/vnd.openxmlformats-officedocument.spreadsheetml.queryTable+xml"/>
  <Override PartName="/xl/tables/table81.xml" ContentType="application/vnd.openxmlformats-officedocument.spreadsheetml.table+xml"/>
  <Override PartName="/xl/queryTables/queryTable81.xml" ContentType="application/vnd.openxmlformats-officedocument.spreadsheetml.queryTable+xml"/>
  <Override PartName="/xl/tables/table82.xml" ContentType="application/vnd.openxmlformats-officedocument.spreadsheetml.table+xml"/>
  <Override PartName="/xl/queryTables/queryTable82.xml" ContentType="application/vnd.openxmlformats-officedocument.spreadsheetml.queryTable+xml"/>
  <Override PartName="/xl/tables/table83.xml" ContentType="application/vnd.openxmlformats-officedocument.spreadsheetml.table+xml"/>
  <Override PartName="/xl/queryTables/queryTable83.xml" ContentType="application/vnd.openxmlformats-officedocument.spreadsheetml.queryTable+xml"/>
  <Override PartName="/xl/tables/table84.xml" ContentType="application/vnd.openxmlformats-officedocument.spreadsheetml.table+xml"/>
  <Override PartName="/xl/queryTables/queryTable84.xml" ContentType="application/vnd.openxmlformats-officedocument.spreadsheetml.queryTable+xml"/>
  <Override PartName="/xl/tables/table85.xml" ContentType="application/vnd.openxmlformats-officedocument.spreadsheetml.table+xml"/>
  <Override PartName="/xl/queryTables/queryTable85.xml" ContentType="application/vnd.openxmlformats-officedocument.spreadsheetml.queryTable+xml"/>
  <Override PartName="/xl/tables/table86.xml" ContentType="application/vnd.openxmlformats-officedocument.spreadsheetml.table+xml"/>
  <Override PartName="/xl/queryTables/queryTable86.xml" ContentType="application/vnd.openxmlformats-officedocument.spreadsheetml.queryTable+xml"/>
  <Override PartName="/xl/tables/table87.xml" ContentType="application/vnd.openxmlformats-officedocument.spreadsheetml.table+xml"/>
  <Override PartName="/xl/queryTables/queryTable87.xml" ContentType="application/vnd.openxmlformats-officedocument.spreadsheetml.queryTable+xml"/>
  <Override PartName="/xl/tables/table88.xml" ContentType="application/vnd.openxmlformats-officedocument.spreadsheetml.table+xml"/>
  <Override PartName="/xl/queryTables/queryTable88.xml" ContentType="application/vnd.openxmlformats-officedocument.spreadsheetml.queryTable+xml"/>
  <Override PartName="/xl/tables/table89.xml" ContentType="application/vnd.openxmlformats-officedocument.spreadsheetml.table+xml"/>
  <Override PartName="/xl/queryTables/queryTable89.xml" ContentType="application/vnd.openxmlformats-officedocument.spreadsheetml.queryTable+xml"/>
  <Override PartName="/xl/tables/table90.xml" ContentType="application/vnd.openxmlformats-officedocument.spreadsheetml.table+xml"/>
  <Override PartName="/xl/queryTables/queryTable90.xml" ContentType="application/vnd.openxmlformats-officedocument.spreadsheetml.queryTable+xml"/>
  <Override PartName="/xl/tables/table91.xml" ContentType="application/vnd.openxmlformats-officedocument.spreadsheetml.table+xml"/>
  <Override PartName="/xl/queryTables/queryTable91.xml" ContentType="application/vnd.openxmlformats-officedocument.spreadsheetml.queryTable+xml"/>
  <Override PartName="/xl/tables/table92.xml" ContentType="application/vnd.openxmlformats-officedocument.spreadsheetml.table+xml"/>
  <Override PartName="/xl/queryTables/queryTable92.xml" ContentType="application/vnd.openxmlformats-officedocument.spreadsheetml.queryTable+xml"/>
  <Override PartName="/xl/tables/table93.xml" ContentType="application/vnd.openxmlformats-officedocument.spreadsheetml.table+xml"/>
  <Override PartName="/xl/queryTables/queryTable93.xml" ContentType="application/vnd.openxmlformats-officedocument.spreadsheetml.queryTable+xml"/>
  <Override PartName="/xl/tables/table94.xml" ContentType="application/vnd.openxmlformats-officedocument.spreadsheetml.table+xml"/>
  <Override PartName="/xl/queryTables/queryTable94.xml" ContentType="application/vnd.openxmlformats-officedocument.spreadsheetml.queryTable+xml"/>
  <Override PartName="/xl/tables/table95.xml" ContentType="application/vnd.openxmlformats-officedocument.spreadsheetml.table+xml"/>
  <Override PartName="/xl/queryTables/queryTable95.xml" ContentType="application/vnd.openxmlformats-officedocument.spreadsheetml.queryTable+xml"/>
  <Override PartName="/xl/tables/table96.xml" ContentType="application/vnd.openxmlformats-officedocument.spreadsheetml.table+xml"/>
  <Override PartName="/xl/queryTables/queryTable96.xml" ContentType="application/vnd.openxmlformats-officedocument.spreadsheetml.queryTable+xml"/>
  <Override PartName="/xl/tables/table97.xml" ContentType="application/vnd.openxmlformats-officedocument.spreadsheetml.table+xml"/>
  <Override PartName="/xl/queryTables/queryTable97.xml" ContentType="application/vnd.openxmlformats-officedocument.spreadsheetml.queryTable+xml"/>
  <Override PartName="/xl/tables/table98.xml" ContentType="application/vnd.openxmlformats-officedocument.spreadsheetml.table+xml"/>
  <Override PartName="/xl/queryTables/queryTable98.xml" ContentType="application/vnd.openxmlformats-officedocument.spreadsheetml.queryTable+xml"/>
  <Override PartName="/xl/tables/table99.xml" ContentType="application/vnd.openxmlformats-officedocument.spreadsheetml.table+xml"/>
  <Override PartName="/xl/queryTables/queryTable99.xml" ContentType="application/vnd.openxmlformats-officedocument.spreadsheetml.queryTable+xml"/>
  <Override PartName="/xl/tables/table100.xml" ContentType="application/vnd.openxmlformats-officedocument.spreadsheetml.table+xml"/>
  <Override PartName="/xl/queryTables/queryTable100.xml" ContentType="application/vnd.openxmlformats-officedocument.spreadsheetml.queryTable+xml"/>
  <Override PartName="/xl/tables/table101.xml" ContentType="application/vnd.openxmlformats-officedocument.spreadsheetml.table+xml"/>
  <Override PartName="/xl/queryTables/queryTable101.xml" ContentType="application/vnd.openxmlformats-officedocument.spreadsheetml.queryTable+xml"/>
  <Override PartName="/xl/tables/table102.xml" ContentType="application/vnd.openxmlformats-officedocument.spreadsheetml.table+xml"/>
  <Override PartName="/xl/queryTables/queryTable102.xml" ContentType="application/vnd.openxmlformats-officedocument.spreadsheetml.queryTable+xml"/>
  <Override PartName="/xl/tables/table103.xml" ContentType="application/vnd.openxmlformats-officedocument.spreadsheetml.table+xml"/>
  <Override PartName="/xl/queryTables/queryTable103.xml" ContentType="application/vnd.openxmlformats-officedocument.spreadsheetml.queryTable+xml"/>
  <Override PartName="/xl/tables/table104.xml" ContentType="application/vnd.openxmlformats-officedocument.spreadsheetml.table+xml"/>
  <Override PartName="/xl/queryTables/queryTable104.xml" ContentType="application/vnd.openxmlformats-officedocument.spreadsheetml.queryTable+xml"/>
  <Override PartName="/xl/tables/table105.xml" ContentType="application/vnd.openxmlformats-officedocument.spreadsheetml.table+xml"/>
  <Override PartName="/xl/queryTables/queryTable105.xml" ContentType="application/vnd.openxmlformats-officedocument.spreadsheetml.queryTable+xml"/>
  <Override PartName="/xl/tables/table106.xml" ContentType="application/vnd.openxmlformats-officedocument.spreadsheetml.table+xml"/>
  <Override PartName="/xl/queryTables/queryTable106.xml" ContentType="application/vnd.openxmlformats-officedocument.spreadsheetml.queryTable+xml"/>
  <Override PartName="/xl/tables/table107.xml" ContentType="application/vnd.openxmlformats-officedocument.spreadsheetml.table+xml"/>
  <Override PartName="/xl/queryTables/queryTable107.xml" ContentType="application/vnd.openxmlformats-officedocument.spreadsheetml.queryTable+xml"/>
  <Override PartName="/xl/tables/table108.xml" ContentType="application/vnd.openxmlformats-officedocument.spreadsheetml.table+xml"/>
  <Override PartName="/xl/queryTables/queryTable10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proko\Desktop\UJEP\RerYield\Clanek\used_excel\"/>
    </mc:Choice>
  </mc:AlternateContent>
  <xr:revisionPtr revIDLastSave="0" documentId="13_ncr:1_{9AB945E3-B07A-4FE7-B02E-9964D0C3C42F}" xr6:coauthVersionLast="47" xr6:coauthVersionMax="47" xr10:uidLastSave="{00000000-0000-0000-0000-000000000000}"/>
  <bookViews>
    <workbookView xWindow="4395" yWindow="165" windowWidth="25020" windowHeight="15180" xr2:uid="{00000000-000D-0000-FFFF-FFFF00000000}"/>
  </bookViews>
  <sheets>
    <sheet name="Übersicht" sheetId="44" r:id="rId1"/>
    <sheet name="Übersicht_Größenklasse" sheetId="45" r:id="rId2"/>
    <sheet name="Übersicht_Bundesland" sheetId="46" r:id="rId3"/>
    <sheet name="Übersicht_Bietertyp" sheetId="47" r:id="rId4"/>
    <sheet name="01.11.2021" sheetId="48" r:id="rId5"/>
    <sheet name="01.05.2021" sheetId="42" r:id="rId6"/>
    <sheet name="01.02.2021" sheetId="40" r:id="rId7"/>
    <sheet name="01.12.2020" sheetId="38" r:id="rId8"/>
    <sheet name="01.10.2020" sheetId="36" r:id="rId9"/>
    <sheet name="01.09.2020" sheetId="35" r:id="rId10"/>
    <sheet name="01.07.2020" sheetId="34" r:id="rId11"/>
    <sheet name="01.06.2020" sheetId="31" r:id="rId12"/>
    <sheet name="01.03.2020" sheetId="29" r:id="rId13"/>
    <sheet name="01.02.2020" sheetId="27" r:id="rId14"/>
    <sheet name="01.12.2019" sheetId="26" r:id="rId15"/>
    <sheet name="01.10.2019" sheetId="24" r:id="rId16"/>
    <sheet name="01.09.2019" sheetId="23" r:id="rId17"/>
    <sheet name="01.08.2019" sheetId="20" r:id="rId18"/>
    <sheet name="01.05.2019" sheetId="19" r:id="rId19"/>
    <sheet name="01.02.2019" sheetId="16" r:id="rId20"/>
    <sheet name="01.10.2018" sheetId="14" r:id="rId21"/>
    <sheet name="01.08.2018" sheetId="13" r:id="rId22"/>
    <sheet name="01.05.2018" sheetId="9" r:id="rId23"/>
    <sheet name="01.02.2018" sheetId="5" r:id="rId24"/>
    <sheet name="01.11.2017" sheetId="4" r:id="rId25"/>
    <sheet name="01.08.2017" sheetId="3" r:id="rId26"/>
    <sheet name="01.05.2017" sheetId="1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_FilterDatabase" localSheetId="13" hidden="1">'01.02.2020'!$A$1:$B$4</definedName>
    <definedName name="_xlnm._FilterDatabase" localSheetId="6" hidden="1">'01.02.2021'!$A$1:$B$4</definedName>
    <definedName name="_xlnm._FilterDatabase" localSheetId="5" hidden="1">'01.05.2021'!$A$1:$B$4</definedName>
    <definedName name="_xlnm._FilterDatabase" localSheetId="11" hidden="1">'01.06.2020'!$A$1:$B$4</definedName>
    <definedName name="_xlnm._FilterDatabase" localSheetId="10" hidden="1">'01.07.2020'!$A$1:$B$4</definedName>
    <definedName name="_xlnm._FilterDatabase" localSheetId="17" hidden="1">'01.08.2019'!$A$1:$B$4</definedName>
    <definedName name="_xlnm._FilterDatabase" localSheetId="16" hidden="1">'01.09.2019'!$A$1:$B$4</definedName>
    <definedName name="_xlnm._FilterDatabase" localSheetId="9" hidden="1">'01.09.2020'!$A$1:$B$4</definedName>
    <definedName name="_xlnm._FilterDatabase" localSheetId="8" hidden="1">'01.10.2020'!$A$1:$B$4</definedName>
    <definedName name="_xlnm._FilterDatabase" localSheetId="14" hidden="1">'01.12.2019'!$A$1:$B$4</definedName>
    <definedName name="_xlnm._FilterDatabase" localSheetId="7" hidden="1">'01.12.2020'!$A$1:$B$4</definedName>
    <definedName name="Datum" localSheetId="13">'01.02.2020'!$H$1</definedName>
    <definedName name="Datum" localSheetId="6">'01.02.2021'!$H$1</definedName>
    <definedName name="Datum" localSheetId="5">'01.05.2021'!$H$1</definedName>
    <definedName name="Datum" localSheetId="11">'01.06.2020'!$H$1</definedName>
    <definedName name="Datum" localSheetId="10">'01.07.2020'!$H$1</definedName>
    <definedName name="Datum" localSheetId="16">'01.09.2019'!$H$1</definedName>
    <definedName name="Datum" localSheetId="9">'01.09.2020'!$H$1</definedName>
    <definedName name="Datum" localSheetId="8">'01.10.2020'!$H$1</definedName>
    <definedName name="Datum" localSheetId="14">'01.12.2019'!$H$1</definedName>
    <definedName name="Datum" localSheetId="7">'01.12.2020'!$H$1</definedName>
    <definedName name="Datum">'01.08.2019'!$H$1</definedName>
    <definedName name="Datum_AlleRunden" localSheetId="10">#REF!</definedName>
    <definedName name="Datum_AlleRunden" localSheetId="16">#REF!</definedName>
    <definedName name="Datum_AlleRunden">#REF!</definedName>
    <definedName name="Gebotstermin" localSheetId="13">'01.02.2020'!$B$3</definedName>
    <definedName name="Gebotstermin" localSheetId="6">'01.02.2021'!$B$3</definedName>
    <definedName name="Gebotstermin" localSheetId="5">'01.05.2021'!$B$3</definedName>
    <definedName name="Gebotstermin" localSheetId="11">'01.06.2020'!$B$3</definedName>
    <definedName name="Gebotstermin" localSheetId="10">'01.07.2020'!$B$3</definedName>
    <definedName name="Gebotstermin" localSheetId="17">'01.08.2019'!$B$3</definedName>
    <definedName name="Gebotstermin" localSheetId="16">'01.09.2019'!$B$3</definedName>
    <definedName name="Gebotstermin" localSheetId="9">'01.09.2020'!$B$3</definedName>
    <definedName name="Gebotstermin" localSheetId="8">'01.10.2020'!$B$3</definedName>
    <definedName name="Gebotstermin" localSheetId="14">'01.12.2019'!$B$3</definedName>
    <definedName name="Gebotstermin" localSheetId="7">'01.12.2020'!$B$3</definedName>
    <definedName name="Gebotstermin">#REF!</definedName>
    <definedName name="GebotsterminID" localSheetId="13">'01.02.2020'!$C$3</definedName>
    <definedName name="GebotsterminID" localSheetId="6">'01.02.2021'!$C$3</definedName>
    <definedName name="GebotsterminID" localSheetId="5">'01.05.2021'!$C$3</definedName>
    <definedName name="GebotsterminID" localSheetId="11">'01.06.2020'!$C$3</definedName>
    <definedName name="GebotsterminID" localSheetId="10">'01.07.2020'!$C$3</definedName>
    <definedName name="GebotsterminID" localSheetId="16">'01.09.2019'!$C$3</definedName>
    <definedName name="GebotsterminID" localSheetId="9">'01.09.2020'!$C$3</definedName>
    <definedName name="GebotsterminID" localSheetId="8">'01.10.2020'!$C$3</definedName>
    <definedName name="GebotsterminID" localSheetId="14">'01.12.2019'!$C$3</definedName>
    <definedName name="GebotsterminID" localSheetId="7">'01.12.2020'!$C$3</definedName>
    <definedName name="GebotsterminID">'01.08.2019'!$C$3</definedName>
    <definedName name="PV_FFA_Datenbank_FE.accdb" localSheetId="13" hidden="1">'01.02.2020'!#REF!</definedName>
    <definedName name="PV_FFA_Datenbank_FE.accdb" localSheetId="6" hidden="1">'01.02.2021'!#REF!</definedName>
    <definedName name="PV_FFA_Datenbank_FE.accdb" localSheetId="5" hidden="1">'01.05.2021'!#REF!</definedName>
    <definedName name="PV_FFA_Datenbank_FE.accdb" localSheetId="11" hidden="1">'01.06.2020'!#REF!</definedName>
    <definedName name="PV_FFA_Datenbank_FE.accdb" localSheetId="10" hidden="1">'01.07.2020'!#REF!</definedName>
    <definedName name="PV_FFA_Datenbank_FE.accdb" localSheetId="17" hidden="1">'01.08.2019'!#REF!</definedName>
    <definedName name="PV_FFA_Datenbank_FE.accdb" localSheetId="16" hidden="1">'01.09.2019'!#REF!</definedName>
    <definedName name="PV_FFA_Datenbank_FE.accdb" localSheetId="9" hidden="1">'01.09.2020'!#REF!</definedName>
    <definedName name="PV_FFA_Datenbank_FE.accdb" localSheetId="8" hidden="1">'01.10.2020'!#REF!</definedName>
    <definedName name="PV_FFA_Datenbank_FE.accdb" localSheetId="14" hidden="1">'01.12.2019'!#REF!</definedName>
    <definedName name="PV_FFA_Datenbank_FE.accdb" localSheetId="7" hidden="1">'01.12.2020'!#REF!</definedName>
    <definedName name="PV_FFA_Datenbank_FE.accdb_1" localSheetId="13" hidden="1">'01.02.2020'!#REF!</definedName>
    <definedName name="PV_FFA_Datenbank_FE.accdb_1" localSheetId="6" hidden="1">'01.02.2021'!#REF!</definedName>
    <definedName name="PV_FFA_Datenbank_FE.accdb_1" localSheetId="5" hidden="1">'01.05.2021'!#REF!</definedName>
    <definedName name="PV_FFA_Datenbank_FE.accdb_1" localSheetId="11" hidden="1">'01.06.2020'!#REF!</definedName>
    <definedName name="PV_FFA_Datenbank_FE.accdb_1" localSheetId="10" hidden="1">'01.07.2020'!#REF!</definedName>
    <definedName name="PV_FFA_Datenbank_FE.accdb_1" localSheetId="17" hidden="1">'01.08.2019'!#REF!</definedName>
    <definedName name="PV_FFA_Datenbank_FE.accdb_1" localSheetId="16" hidden="1">'01.09.2019'!#REF!</definedName>
    <definedName name="PV_FFA_Datenbank_FE.accdb_1" localSheetId="9" hidden="1">'01.09.2020'!#REF!</definedName>
    <definedName name="PV_FFA_Datenbank_FE.accdb_1" localSheetId="8" hidden="1">'01.10.2020'!#REF!</definedName>
    <definedName name="PV_FFA_Datenbank_FE.accdb_1" localSheetId="14" hidden="1">'01.12.2019'!#REF!</definedName>
    <definedName name="PV_FFA_Datenbank_FE.accdb_1" localSheetId="7" hidden="1">'01.12.2020'!#REF!</definedName>
    <definedName name="PV_FFA_Datenbank_FE.accdb_10" localSheetId="13" hidden="1">'01.02.2020'!#REF!</definedName>
    <definedName name="PV_FFA_Datenbank_FE.accdb_10" localSheetId="6" hidden="1">'01.02.2021'!#REF!</definedName>
    <definedName name="PV_FFA_Datenbank_FE.accdb_10" localSheetId="5" hidden="1">'01.05.2021'!#REF!</definedName>
    <definedName name="PV_FFA_Datenbank_FE.accdb_10" localSheetId="11" hidden="1">'01.06.2020'!#REF!</definedName>
    <definedName name="PV_FFA_Datenbank_FE.accdb_10" localSheetId="10" hidden="1">'01.07.2020'!#REF!</definedName>
    <definedName name="PV_FFA_Datenbank_FE.accdb_10" localSheetId="17" hidden="1">'01.08.2019'!#REF!</definedName>
    <definedName name="PV_FFA_Datenbank_FE.accdb_10" localSheetId="16" hidden="1">'01.09.2019'!#REF!</definedName>
    <definedName name="PV_FFA_Datenbank_FE.accdb_10" localSheetId="9" hidden="1">'01.09.2020'!#REF!</definedName>
    <definedName name="PV_FFA_Datenbank_FE.accdb_10" localSheetId="8" hidden="1">'01.10.2020'!#REF!</definedName>
    <definedName name="PV_FFA_Datenbank_FE.accdb_10" localSheetId="14" hidden="1">'01.12.2019'!#REF!</definedName>
    <definedName name="PV_FFA_Datenbank_FE.accdb_10" localSheetId="7" hidden="1">'01.12.2020'!#REF!</definedName>
    <definedName name="PV_FFA_Datenbank_FE.accdb_11" localSheetId="13" hidden="1">'01.02.2020'!#REF!</definedName>
    <definedName name="PV_FFA_Datenbank_FE.accdb_11" localSheetId="6" hidden="1">'01.02.2021'!#REF!</definedName>
    <definedName name="PV_FFA_Datenbank_FE.accdb_11" localSheetId="5" hidden="1">'01.05.2021'!#REF!</definedName>
    <definedName name="PV_FFA_Datenbank_FE.accdb_11" localSheetId="11" hidden="1">'01.06.2020'!#REF!</definedName>
    <definedName name="PV_FFA_Datenbank_FE.accdb_11" localSheetId="10" hidden="1">'01.07.2020'!#REF!</definedName>
    <definedName name="PV_FFA_Datenbank_FE.accdb_11" localSheetId="17" hidden="1">'01.08.2019'!#REF!</definedName>
    <definedName name="PV_FFA_Datenbank_FE.accdb_11" localSheetId="16" hidden="1">'01.09.2019'!#REF!</definedName>
    <definedName name="PV_FFA_Datenbank_FE.accdb_11" localSheetId="9" hidden="1">'01.09.2020'!#REF!</definedName>
    <definedName name="PV_FFA_Datenbank_FE.accdb_11" localSheetId="8" hidden="1">'01.10.2020'!#REF!</definedName>
    <definedName name="PV_FFA_Datenbank_FE.accdb_11" localSheetId="14" hidden="1">'01.12.2019'!#REF!</definedName>
    <definedName name="PV_FFA_Datenbank_FE.accdb_11" localSheetId="7" hidden="1">'01.12.2020'!#REF!</definedName>
    <definedName name="PV_FFA_Datenbank_FE.accdb_12" localSheetId="13" hidden="1">'01.02.2020'!#REF!</definedName>
    <definedName name="PV_FFA_Datenbank_FE.accdb_12" localSheetId="6" hidden="1">'01.02.2021'!#REF!</definedName>
    <definedName name="PV_FFA_Datenbank_FE.accdb_12" localSheetId="5" hidden="1">'01.05.2021'!#REF!</definedName>
    <definedName name="PV_FFA_Datenbank_FE.accdb_12" localSheetId="11" hidden="1">'01.06.2020'!#REF!</definedName>
    <definedName name="PV_FFA_Datenbank_FE.accdb_12" localSheetId="10" hidden="1">'01.07.2020'!#REF!</definedName>
    <definedName name="PV_FFA_Datenbank_FE.accdb_12" localSheetId="17" hidden="1">'01.08.2019'!#REF!</definedName>
    <definedName name="PV_FFA_Datenbank_FE.accdb_12" localSheetId="16" hidden="1">'01.09.2019'!#REF!</definedName>
    <definedName name="PV_FFA_Datenbank_FE.accdb_12" localSheetId="9" hidden="1">'01.09.2020'!#REF!</definedName>
    <definedName name="PV_FFA_Datenbank_FE.accdb_12" localSheetId="8" hidden="1">'01.10.2020'!#REF!</definedName>
    <definedName name="PV_FFA_Datenbank_FE.accdb_12" localSheetId="14" hidden="1">'01.12.2019'!#REF!</definedName>
    <definedName name="PV_FFA_Datenbank_FE.accdb_12" localSheetId="7" hidden="1">'01.12.2020'!#REF!</definedName>
    <definedName name="PV_FFA_Datenbank_FE.accdb_13" localSheetId="13" hidden="1">'01.02.2020'!#REF!</definedName>
    <definedName name="PV_FFA_Datenbank_FE.accdb_13" localSheetId="6" hidden="1">'01.02.2021'!#REF!</definedName>
    <definedName name="PV_FFA_Datenbank_FE.accdb_13" localSheetId="5" hidden="1">'01.05.2021'!#REF!</definedName>
    <definedName name="PV_FFA_Datenbank_FE.accdb_13" localSheetId="11" hidden="1">'01.06.2020'!#REF!</definedName>
    <definedName name="PV_FFA_Datenbank_FE.accdb_13" localSheetId="10" hidden="1">'01.07.2020'!#REF!</definedName>
    <definedName name="PV_FFA_Datenbank_FE.accdb_13" localSheetId="17" hidden="1">'01.08.2019'!#REF!</definedName>
    <definedName name="PV_FFA_Datenbank_FE.accdb_13" localSheetId="16" hidden="1">'01.09.2019'!#REF!</definedName>
    <definedName name="PV_FFA_Datenbank_FE.accdb_13" localSheetId="9" hidden="1">'01.09.2020'!#REF!</definedName>
    <definedName name="PV_FFA_Datenbank_FE.accdb_13" localSheetId="8" hidden="1">'01.10.2020'!#REF!</definedName>
    <definedName name="PV_FFA_Datenbank_FE.accdb_13" localSheetId="14" hidden="1">'01.12.2019'!#REF!</definedName>
    <definedName name="PV_FFA_Datenbank_FE.accdb_13" localSheetId="7" hidden="1">'01.12.2020'!#REF!</definedName>
    <definedName name="PV_FFA_Datenbank_FE.accdb_14" localSheetId="13" hidden="1">'01.02.2020'!#REF!</definedName>
    <definedName name="PV_FFA_Datenbank_FE.accdb_14" localSheetId="6" hidden="1">'01.02.2021'!#REF!</definedName>
    <definedName name="PV_FFA_Datenbank_FE.accdb_14" localSheetId="5" hidden="1">'01.05.2021'!#REF!</definedName>
    <definedName name="PV_FFA_Datenbank_FE.accdb_14" localSheetId="11" hidden="1">'01.06.2020'!#REF!</definedName>
    <definedName name="PV_FFA_Datenbank_FE.accdb_14" localSheetId="10" hidden="1">'01.07.2020'!#REF!</definedName>
    <definedName name="PV_FFA_Datenbank_FE.accdb_14" localSheetId="17" hidden="1">'01.08.2019'!#REF!</definedName>
    <definedName name="PV_FFA_Datenbank_FE.accdb_14" localSheetId="16" hidden="1">'01.09.2019'!#REF!</definedName>
    <definedName name="PV_FFA_Datenbank_FE.accdb_14" localSheetId="9" hidden="1">'01.09.2020'!#REF!</definedName>
    <definedName name="PV_FFA_Datenbank_FE.accdb_14" localSheetId="8" hidden="1">'01.10.2020'!#REF!</definedName>
    <definedName name="PV_FFA_Datenbank_FE.accdb_14" localSheetId="14" hidden="1">'01.12.2019'!#REF!</definedName>
    <definedName name="PV_FFA_Datenbank_FE.accdb_14" localSheetId="7" hidden="1">'01.12.2020'!#REF!</definedName>
    <definedName name="PV_FFA_Datenbank_FE.accdb_17" localSheetId="13" hidden="1">'01.02.2020'!#REF!</definedName>
    <definedName name="PV_FFA_Datenbank_FE.accdb_17" localSheetId="6" hidden="1">'01.02.2021'!#REF!</definedName>
    <definedName name="PV_FFA_Datenbank_FE.accdb_17" localSheetId="5" hidden="1">'01.05.2021'!#REF!</definedName>
    <definedName name="PV_FFA_Datenbank_FE.accdb_17" localSheetId="11" hidden="1">'01.06.2020'!#REF!</definedName>
    <definedName name="PV_FFA_Datenbank_FE.accdb_17" localSheetId="10" hidden="1">'01.07.2020'!#REF!</definedName>
    <definedName name="PV_FFA_Datenbank_FE.accdb_17" localSheetId="17" hidden="1">'01.08.2019'!#REF!</definedName>
    <definedName name="PV_FFA_Datenbank_FE.accdb_17" localSheetId="16" hidden="1">'01.09.2019'!#REF!</definedName>
    <definedName name="PV_FFA_Datenbank_FE.accdb_17" localSheetId="9" hidden="1">'01.09.2020'!#REF!</definedName>
    <definedName name="PV_FFA_Datenbank_FE.accdb_17" localSheetId="8" hidden="1">'01.10.2020'!#REF!</definedName>
    <definedName name="PV_FFA_Datenbank_FE.accdb_17" localSheetId="14" hidden="1">'01.12.2019'!#REF!</definedName>
    <definedName name="PV_FFA_Datenbank_FE.accdb_17" localSheetId="7" hidden="1">'01.12.2020'!#REF!</definedName>
    <definedName name="PV_FFA_Datenbank_FE.accdb_2" localSheetId="13" hidden="1">'01.02.2020'!#REF!</definedName>
    <definedName name="PV_FFA_Datenbank_FE.accdb_2" localSheetId="6" hidden="1">'01.02.2021'!#REF!</definedName>
    <definedName name="PV_FFA_Datenbank_FE.accdb_2" localSheetId="5" hidden="1">'01.05.2021'!#REF!</definedName>
    <definedName name="PV_FFA_Datenbank_FE.accdb_2" localSheetId="11" hidden="1">'01.06.2020'!#REF!</definedName>
    <definedName name="PV_FFA_Datenbank_FE.accdb_2" localSheetId="10" hidden="1">'01.07.2020'!#REF!</definedName>
    <definedName name="PV_FFA_Datenbank_FE.accdb_2" localSheetId="17" hidden="1">'01.08.2019'!#REF!</definedName>
    <definedName name="PV_FFA_Datenbank_FE.accdb_2" localSheetId="16" hidden="1">'01.09.2019'!#REF!</definedName>
    <definedName name="PV_FFA_Datenbank_FE.accdb_2" localSheetId="9" hidden="1">'01.09.2020'!#REF!</definedName>
    <definedName name="PV_FFA_Datenbank_FE.accdb_2" localSheetId="8" hidden="1">'01.10.2020'!#REF!</definedName>
    <definedName name="PV_FFA_Datenbank_FE.accdb_2" localSheetId="14" hidden="1">'01.12.2019'!#REF!</definedName>
    <definedName name="PV_FFA_Datenbank_FE.accdb_2" localSheetId="7" hidden="1">'01.12.2020'!#REF!</definedName>
    <definedName name="PV_FFA_Datenbank_FE.accdb_27" localSheetId="13" hidden="1">'01.02.2020'!#REF!</definedName>
    <definedName name="PV_FFA_Datenbank_FE.accdb_27" localSheetId="6" hidden="1">'01.02.2021'!#REF!</definedName>
    <definedName name="PV_FFA_Datenbank_FE.accdb_27" localSheetId="5" hidden="1">'01.05.2021'!#REF!</definedName>
    <definedName name="PV_FFA_Datenbank_FE.accdb_27" localSheetId="11" hidden="1">'01.06.2020'!#REF!</definedName>
    <definedName name="PV_FFA_Datenbank_FE.accdb_27" localSheetId="10" hidden="1">'01.07.2020'!#REF!</definedName>
    <definedName name="PV_FFA_Datenbank_FE.accdb_27" localSheetId="17" hidden="1">'01.08.2019'!#REF!</definedName>
    <definedName name="PV_FFA_Datenbank_FE.accdb_27" localSheetId="16" hidden="1">'01.09.2019'!#REF!</definedName>
    <definedName name="PV_FFA_Datenbank_FE.accdb_27" localSheetId="9" hidden="1">'01.09.2020'!#REF!</definedName>
    <definedName name="PV_FFA_Datenbank_FE.accdb_27" localSheetId="8" hidden="1">'01.10.2020'!#REF!</definedName>
    <definedName name="PV_FFA_Datenbank_FE.accdb_27" localSheetId="14" hidden="1">'01.12.2019'!#REF!</definedName>
    <definedName name="PV_FFA_Datenbank_FE.accdb_27" localSheetId="7" hidden="1">'01.12.2020'!#REF!</definedName>
    <definedName name="PV_FFA_Datenbank_FE.accdb_30" localSheetId="13" hidden="1">'01.02.2020'!#REF!</definedName>
    <definedName name="PV_FFA_Datenbank_FE.accdb_30" localSheetId="6" hidden="1">'01.02.2021'!#REF!</definedName>
    <definedName name="PV_FFA_Datenbank_FE.accdb_30" localSheetId="5" hidden="1">'01.05.2021'!#REF!</definedName>
    <definedName name="PV_FFA_Datenbank_FE.accdb_30" localSheetId="11" hidden="1">'01.06.2020'!#REF!</definedName>
    <definedName name="PV_FFA_Datenbank_FE.accdb_30" localSheetId="10" hidden="1">'01.07.2020'!#REF!</definedName>
    <definedName name="PV_FFA_Datenbank_FE.accdb_30" localSheetId="17" hidden="1">'01.08.2019'!#REF!</definedName>
    <definedName name="PV_FFA_Datenbank_FE.accdb_30" localSheetId="16" hidden="1">'01.09.2019'!#REF!</definedName>
    <definedName name="PV_FFA_Datenbank_FE.accdb_30" localSheetId="9" hidden="1">'01.09.2020'!#REF!</definedName>
    <definedName name="PV_FFA_Datenbank_FE.accdb_30" localSheetId="8" hidden="1">'01.10.2020'!#REF!</definedName>
    <definedName name="PV_FFA_Datenbank_FE.accdb_30" localSheetId="14" hidden="1">'01.12.2019'!#REF!</definedName>
    <definedName name="PV_FFA_Datenbank_FE.accdb_30" localSheetId="7" hidden="1">'01.12.2020'!#REF!</definedName>
    <definedName name="PV_FFA_Datenbank_FE.accdb_31" localSheetId="13" hidden="1">'01.02.2020'!#REF!</definedName>
    <definedName name="PV_FFA_Datenbank_FE.accdb_31" localSheetId="6" hidden="1">'01.02.2021'!#REF!</definedName>
    <definedName name="PV_FFA_Datenbank_FE.accdb_31" localSheetId="5" hidden="1">'01.05.2021'!#REF!</definedName>
    <definedName name="PV_FFA_Datenbank_FE.accdb_31" localSheetId="11" hidden="1">'01.06.2020'!#REF!</definedName>
    <definedName name="PV_FFA_Datenbank_FE.accdb_31" localSheetId="10" hidden="1">'01.07.2020'!#REF!</definedName>
    <definedName name="PV_FFA_Datenbank_FE.accdb_31" localSheetId="17" hidden="1">'01.08.2019'!#REF!</definedName>
    <definedName name="PV_FFA_Datenbank_FE.accdb_31" localSheetId="16" hidden="1">'01.09.2019'!#REF!</definedName>
    <definedName name="PV_FFA_Datenbank_FE.accdb_31" localSheetId="9" hidden="1">'01.09.2020'!#REF!</definedName>
    <definedName name="PV_FFA_Datenbank_FE.accdb_31" localSheetId="8" hidden="1">'01.10.2020'!#REF!</definedName>
    <definedName name="PV_FFA_Datenbank_FE.accdb_31" localSheetId="14" hidden="1">'01.12.2019'!#REF!</definedName>
    <definedName name="PV_FFA_Datenbank_FE.accdb_31" localSheetId="7" hidden="1">'01.12.2020'!#REF!</definedName>
    <definedName name="PV_FFA_Datenbank_FE.accdb_34" localSheetId="13" hidden="1">'01.02.2020'!#REF!</definedName>
    <definedName name="PV_FFA_Datenbank_FE.accdb_34" localSheetId="6" hidden="1">'01.02.2021'!#REF!</definedName>
    <definedName name="PV_FFA_Datenbank_FE.accdb_34" localSheetId="5" hidden="1">'01.05.2021'!#REF!</definedName>
    <definedName name="PV_FFA_Datenbank_FE.accdb_34" localSheetId="11" hidden="1">'01.06.2020'!#REF!</definedName>
    <definedName name="PV_FFA_Datenbank_FE.accdb_34" localSheetId="10" hidden="1">'01.07.2020'!#REF!</definedName>
    <definedName name="PV_FFA_Datenbank_FE.accdb_34" localSheetId="17" hidden="1">'01.08.2019'!#REF!</definedName>
    <definedName name="PV_FFA_Datenbank_FE.accdb_34" localSheetId="16" hidden="1">'01.09.2019'!#REF!</definedName>
    <definedName name="PV_FFA_Datenbank_FE.accdb_34" localSheetId="9" hidden="1">'01.09.2020'!#REF!</definedName>
    <definedName name="PV_FFA_Datenbank_FE.accdb_34" localSheetId="8" hidden="1">'01.10.2020'!#REF!</definedName>
    <definedName name="PV_FFA_Datenbank_FE.accdb_34" localSheetId="14" hidden="1">'01.12.2019'!#REF!</definedName>
    <definedName name="PV_FFA_Datenbank_FE.accdb_34" localSheetId="7" hidden="1">'01.12.2020'!#REF!</definedName>
    <definedName name="PV_FFA_Datenbank_FE.accdb_35" localSheetId="13" hidden="1">'01.02.2020'!#REF!</definedName>
    <definedName name="PV_FFA_Datenbank_FE.accdb_35" localSheetId="6" hidden="1">'01.02.2021'!#REF!</definedName>
    <definedName name="PV_FFA_Datenbank_FE.accdb_35" localSheetId="5" hidden="1">'01.05.2021'!#REF!</definedName>
    <definedName name="PV_FFA_Datenbank_FE.accdb_35" localSheetId="11" hidden="1">'01.06.2020'!#REF!</definedName>
    <definedName name="PV_FFA_Datenbank_FE.accdb_35" localSheetId="10" hidden="1">'01.07.2020'!#REF!</definedName>
    <definedName name="PV_FFA_Datenbank_FE.accdb_35" localSheetId="17" hidden="1">'01.08.2019'!#REF!</definedName>
    <definedName name="PV_FFA_Datenbank_FE.accdb_35" localSheetId="16" hidden="1">'01.09.2019'!#REF!</definedName>
    <definedName name="PV_FFA_Datenbank_FE.accdb_35" localSheetId="9" hidden="1">'01.09.2020'!#REF!</definedName>
    <definedName name="PV_FFA_Datenbank_FE.accdb_35" localSheetId="8" hidden="1">'01.10.2020'!#REF!</definedName>
    <definedName name="PV_FFA_Datenbank_FE.accdb_35" localSheetId="14" hidden="1">'01.12.2019'!#REF!</definedName>
    <definedName name="PV_FFA_Datenbank_FE.accdb_35" localSheetId="7" hidden="1">'01.12.2020'!#REF!</definedName>
    <definedName name="PV_FFA_Datenbank_FE.accdb_39" localSheetId="13">'01.02.2020'!$A$8:$B$8</definedName>
    <definedName name="PV_FFA_Datenbank_FE.accdb_39" localSheetId="6">'01.02.2021'!$A$8:$B$8</definedName>
    <definedName name="PV_FFA_Datenbank_FE.accdb_39" localSheetId="5">'01.05.2021'!$A$8:$B$8</definedName>
    <definedName name="PV_FFA_Datenbank_FE.accdb_39" localSheetId="11">'01.06.2020'!$A$8:$B$8</definedName>
    <definedName name="PV_FFA_Datenbank_FE.accdb_39" localSheetId="10">'01.07.2020'!$A$8:$B$8</definedName>
    <definedName name="PV_FFA_Datenbank_FE.accdb_39" localSheetId="17">'01.08.2019'!$A$8:$B$8</definedName>
    <definedName name="PV_FFA_Datenbank_FE.accdb_39" localSheetId="16">'01.09.2019'!$A$8:$B$8</definedName>
    <definedName name="PV_FFA_Datenbank_FE.accdb_39" localSheetId="9">'01.09.2020'!$A$8:$B$8</definedName>
    <definedName name="PV_FFA_Datenbank_FE.accdb_39" localSheetId="8">'01.10.2020'!$A$8:$B$8</definedName>
    <definedName name="PV_FFA_Datenbank_FE.accdb_39" localSheetId="14" hidden="1">'01.12.2019'!$A$8:$B$8</definedName>
    <definedName name="PV_FFA_Datenbank_FE.accdb_39" localSheetId="7">'01.12.2020'!$A$8:$B$8</definedName>
    <definedName name="PV_FFA_Datenbank_FE.accdb_40" localSheetId="13">'01.02.2020'!$A$14:$H$14</definedName>
    <definedName name="PV_FFA_Datenbank_FE.accdb_40" localSheetId="6">'01.02.2021'!$A$13:$H$13</definedName>
    <definedName name="PV_FFA_Datenbank_FE.accdb_40" localSheetId="5">'01.05.2021'!$A$13:$H$13</definedName>
    <definedName name="PV_FFA_Datenbank_FE.accdb_40" localSheetId="11">'01.06.2020'!$A$13:$H$13</definedName>
    <definedName name="PV_FFA_Datenbank_FE.accdb_40" localSheetId="10">'01.07.2020'!$A$13:$H$13</definedName>
    <definedName name="PV_FFA_Datenbank_FE.accdb_40" localSheetId="17">'01.08.2019'!$A$13:$H$13</definedName>
    <definedName name="PV_FFA_Datenbank_FE.accdb_40" localSheetId="16">'01.09.2019'!$A$13:$H$13</definedName>
    <definedName name="PV_FFA_Datenbank_FE.accdb_40" localSheetId="9">'01.09.2020'!$A$13:$H$13</definedName>
    <definedName name="PV_FFA_Datenbank_FE.accdb_40" localSheetId="8">'01.10.2020'!$A$13:$H$13</definedName>
    <definedName name="PV_FFA_Datenbank_FE.accdb_40" localSheetId="14" hidden="1">'01.12.2019'!$A$13:$H$13</definedName>
    <definedName name="PV_FFA_Datenbank_FE.accdb_40" localSheetId="7">'01.12.2020'!$A$13:$H$13</definedName>
    <definedName name="PV_FFA_Datenbank_FE.accdb_41" localSheetId="13">'01.02.2020'!$A$23:$B$23</definedName>
    <definedName name="PV_FFA_Datenbank_FE.accdb_41" localSheetId="6">'01.02.2021'!$A$22:$B$22</definedName>
    <definedName name="PV_FFA_Datenbank_FE.accdb_41" localSheetId="5">'01.05.2021'!$A$22:$B$22</definedName>
    <definedName name="PV_FFA_Datenbank_FE.accdb_41" localSheetId="11">'01.06.2020'!$A$22:$B$22</definedName>
    <definedName name="PV_FFA_Datenbank_FE.accdb_41" localSheetId="10">'01.07.2020'!$A$22:$B$22</definedName>
    <definedName name="PV_FFA_Datenbank_FE.accdb_41" localSheetId="17">'01.08.2019'!$A$22:$B$22</definedName>
    <definedName name="PV_FFA_Datenbank_FE.accdb_41" localSheetId="16">'01.09.2019'!$A$22:$B$22</definedName>
    <definedName name="PV_FFA_Datenbank_FE.accdb_41" localSheetId="9">'01.09.2020'!$A$22:$B$22</definedName>
    <definedName name="PV_FFA_Datenbank_FE.accdb_41" localSheetId="8">'01.10.2020'!$A$22:$B$22</definedName>
    <definedName name="PV_FFA_Datenbank_FE.accdb_41" localSheetId="14" hidden="1">'01.12.2019'!$A$22:$B$22</definedName>
    <definedName name="PV_FFA_Datenbank_FE.accdb_41" localSheetId="7">'01.12.2020'!$A$22:$B$22</definedName>
    <definedName name="PV_FFA_Datenbank_FE.accdb_42" localSheetId="13">'01.02.2020'!$A$28:$B$28</definedName>
    <definedName name="PV_FFA_Datenbank_FE.accdb_42" localSheetId="6">'01.02.2021'!$A$27:$B$27</definedName>
    <definedName name="PV_FFA_Datenbank_FE.accdb_42" localSheetId="5">'01.05.2021'!$A$27:$B$27</definedName>
    <definedName name="PV_FFA_Datenbank_FE.accdb_42" localSheetId="11">'01.06.2020'!$A$27:$B$27</definedName>
    <definedName name="PV_FFA_Datenbank_FE.accdb_42" localSheetId="10">'01.07.2020'!$A$27:$B$27</definedName>
    <definedName name="PV_FFA_Datenbank_FE.accdb_42" localSheetId="17">'01.08.2019'!$A$27:$B$27</definedName>
    <definedName name="PV_FFA_Datenbank_FE.accdb_42" localSheetId="16">'01.09.2019'!$A$27:$B$27</definedName>
    <definedName name="PV_FFA_Datenbank_FE.accdb_42" localSheetId="9">'01.09.2020'!$A$27:$B$27</definedName>
    <definedName name="PV_FFA_Datenbank_FE.accdb_42" localSheetId="8">'01.10.2020'!$A$27:$B$27</definedName>
    <definedName name="PV_FFA_Datenbank_FE.accdb_42" localSheetId="14" hidden="1">'01.12.2019'!$A$27:$B$27</definedName>
    <definedName name="PV_FFA_Datenbank_FE.accdb_42" localSheetId="7">'01.12.2020'!$A$27:$B$27</definedName>
    <definedName name="PV_FFA_Datenbank_FE.accdb_43" localSheetId="13">'01.02.2020'!$A$69:$G$75</definedName>
    <definedName name="PV_FFA_Datenbank_FE.accdb_43" localSheetId="6">'01.02.2021'!$A$69:$G$74</definedName>
    <definedName name="PV_FFA_Datenbank_FE.accdb_43" localSheetId="5">'01.05.2021'!$A$72:$G$80</definedName>
    <definedName name="PV_FFA_Datenbank_FE.accdb_43" localSheetId="11">'01.06.2020'!$A$69:$G$73</definedName>
    <definedName name="PV_FFA_Datenbank_FE.accdb_43" localSheetId="10">'01.07.2020'!$A$64:$G$69</definedName>
    <definedName name="PV_FFA_Datenbank_FE.accdb_43" localSheetId="17">'01.08.2019'!$A$65:$G$68</definedName>
    <definedName name="PV_FFA_Datenbank_FE.accdb_43" localSheetId="16">'01.09.2019'!$A$66:$G$69</definedName>
    <definedName name="PV_FFA_Datenbank_FE.accdb_43" localSheetId="9">'01.09.2020'!$A$66:$G$71</definedName>
    <definedName name="PV_FFA_Datenbank_FE.accdb_43" localSheetId="8">'01.10.2020'!$A$68:$G$74</definedName>
    <definedName name="PV_FFA_Datenbank_FE.accdb_43" localSheetId="14" hidden="1">'01.12.2019'!$A$70:$G$77</definedName>
    <definedName name="PV_FFA_Datenbank_FE.accdb_43" localSheetId="7">'01.12.2020'!$A$68:$G$73</definedName>
    <definedName name="PV_FFA_Datenbank_FE.accdb_44" localSheetId="13">'01.02.2020'!$A$35:$G$38</definedName>
    <definedName name="PV_FFA_Datenbank_FE.accdb_44" localSheetId="6">'01.02.2021'!$A$34:$G$38</definedName>
    <definedName name="PV_FFA_Datenbank_FE.accdb_44" localSheetId="5">'01.05.2021'!$A$34:$G$38</definedName>
    <definedName name="PV_FFA_Datenbank_FE.accdb_44" localSheetId="11">'01.06.2020'!$A$34:$G$37</definedName>
    <definedName name="PV_FFA_Datenbank_FE.accdb_44" localSheetId="10">'01.07.2020'!$A$34:$G$37</definedName>
    <definedName name="PV_FFA_Datenbank_FE.accdb_44" localSheetId="17">'01.08.2019'!$A$35:$G$38</definedName>
    <definedName name="PV_FFA_Datenbank_FE.accdb_44" localSheetId="16">'01.09.2019'!$A$33:$G$36</definedName>
    <definedName name="PV_FFA_Datenbank_FE.accdb_44" localSheetId="9">'01.09.2020'!$A$34:$G$36</definedName>
    <definedName name="PV_FFA_Datenbank_FE.accdb_44" localSheetId="8">'01.10.2020'!$A$34:$G$37</definedName>
    <definedName name="PV_FFA_Datenbank_FE.accdb_44" localSheetId="14" hidden="1">'01.12.2019'!$A$34:$G$37</definedName>
    <definedName name="PV_FFA_Datenbank_FE.accdb_44" localSheetId="7">'01.12.2020'!$A$33:$G$36</definedName>
    <definedName name="PV_FFA_Datenbank_FE.accdb_46" localSheetId="13">'01.02.2020'!$A$45:$G$54</definedName>
    <definedName name="PV_FFA_Datenbank_FE.accdb_46" localSheetId="6">'01.02.2021'!$A$45:$G$55</definedName>
    <definedName name="PV_FFA_Datenbank_FE.accdb_46" localSheetId="5">'01.05.2021'!$A$45:$G$57</definedName>
    <definedName name="PV_FFA_Datenbank_FE.accdb_46" localSheetId="11">'01.06.2020'!$A$44:$G$54</definedName>
    <definedName name="PV_FFA_Datenbank_FE.accdb_46" localSheetId="10">'01.07.2020'!$A$44:$G$49</definedName>
    <definedName name="PV_FFA_Datenbank_FE.accdb_46" localSheetId="17">'01.08.2019'!$A$45:$G$51</definedName>
    <definedName name="PV_FFA_Datenbank_FE.accdb_46" localSheetId="16">'01.09.2019'!$A$43:$G$51</definedName>
    <definedName name="PV_FFA_Datenbank_FE.accdb_46" localSheetId="9">'01.09.2020'!$A$43:$G$51</definedName>
    <definedName name="PV_FFA_Datenbank_FE.accdb_46" localSheetId="8">'01.10.2020'!$A$44:$G$53</definedName>
    <definedName name="PV_FFA_Datenbank_FE.accdb_46" localSheetId="14" hidden="1">'01.12.2019'!$A$44:$G$55</definedName>
    <definedName name="PV_FFA_Datenbank_FE.accdb_46" localSheetId="7">'01.12.2020'!$A$43:$G$53</definedName>
    <definedName name="PV_FFA_Datenbank_FE.accdb_47" localSheetId="13">'01.02.2020'!$A$82:$G$84</definedName>
    <definedName name="PV_FFA_Datenbank_FE.accdb_47" localSheetId="6">'01.02.2021'!#REF!</definedName>
    <definedName name="PV_FFA_Datenbank_FE.accdb_47" localSheetId="5" hidden="1">'01.05.2021'!#REF!</definedName>
    <definedName name="PV_FFA_Datenbank_FE.accdb_47" localSheetId="11">'01.06.2020'!$A$80:$G$82</definedName>
    <definedName name="PV_FFA_Datenbank_FE.accdb_47" localSheetId="10">'01.07.2020'!$A$76:$G$77</definedName>
    <definedName name="PV_FFA_Datenbank_FE.accdb_47" localSheetId="17">'01.08.2019'!$A$75:$G$76</definedName>
    <definedName name="PV_FFA_Datenbank_FE.accdb_47" localSheetId="16">'01.09.2019'!$A$76:$G$77</definedName>
    <definedName name="PV_FFA_Datenbank_FE.accdb_47" localSheetId="9">'01.09.2020'!$A$78:$G$79</definedName>
    <definedName name="PV_FFA_Datenbank_FE.accdb_47" localSheetId="8">'01.10.2020'!$A$81:$G$83</definedName>
    <definedName name="PV_FFA_Datenbank_FE.accdb_47" localSheetId="14" hidden="1">'01.12.2019'!$A$84:$G$86</definedName>
    <definedName name="PV_FFA_Datenbank_FE.accdb_47" localSheetId="7">'01.12.2020'!$A$80:$G$82</definedName>
    <definedName name="PV_FFA_Datenbank_FE.accdb_48" localSheetId="13">'01.02.2020'!$A$61:$G$62</definedName>
    <definedName name="PV_FFA_Datenbank_FE.accdb_48" localSheetId="6">'01.02.2021'!$A$62:$G$62</definedName>
    <definedName name="PV_FFA_Datenbank_FE.accdb_48" localSheetId="5">'01.05.2021'!$A$64:$G$65</definedName>
    <definedName name="PV_FFA_Datenbank_FE.accdb_48" localSheetId="11">'01.06.2020'!$A$61:$G$62</definedName>
    <definedName name="PV_FFA_Datenbank_FE.accdb_48" localSheetId="10">'01.07.2020'!$A$56:$G$57</definedName>
    <definedName name="PV_FFA_Datenbank_FE.accdb_48" localSheetId="17">'01.08.2019'!$A$58:$G$58</definedName>
    <definedName name="PV_FFA_Datenbank_FE.accdb_48" localSheetId="16">'01.09.2019'!$A$58:$G$59</definedName>
    <definedName name="PV_FFA_Datenbank_FE.accdb_48" localSheetId="9">'01.09.2020'!$A$58:$G$59</definedName>
    <definedName name="PV_FFA_Datenbank_FE.accdb_48" localSheetId="8">'01.10.2020'!$A$60:$G$61</definedName>
    <definedName name="PV_FFA_Datenbank_FE.accdb_48" localSheetId="14" hidden="1">'01.12.2019'!$A$62:$G$63</definedName>
    <definedName name="PV_FFA_Datenbank_FE.accdb_48" localSheetId="7">'01.12.2020'!$A$60:$G$61</definedName>
    <definedName name="PV_FFA_Datenbank_FE.accdb_57" localSheetId="13">'01.02.2020'!$A$19:$H$19</definedName>
    <definedName name="PV_FFA_Datenbank_FE.accdb_57" localSheetId="6">'01.02.2021'!$A$18:$H$18</definedName>
    <definedName name="PV_FFA_Datenbank_FE.accdb_57" localSheetId="5">'01.05.2021'!$A$18:$H$18</definedName>
    <definedName name="PV_FFA_Datenbank_FE.accdb_57" localSheetId="11">'01.06.2020'!$A$18:$H$18</definedName>
    <definedName name="PV_FFA_Datenbank_FE.accdb_57" localSheetId="10">'01.07.2020'!$A$18:$H$18</definedName>
    <definedName name="PV_FFA_Datenbank_FE.accdb_57" localSheetId="17">'01.08.2019'!$A$18:$H$18</definedName>
    <definedName name="PV_FFA_Datenbank_FE.accdb_57" localSheetId="16">'01.09.2019'!$A$18:$H$18</definedName>
    <definedName name="PV_FFA_Datenbank_FE.accdb_57" localSheetId="9">'01.09.2020'!$A$18:$H$18</definedName>
    <definedName name="PV_FFA_Datenbank_FE.accdb_57" localSheetId="8">'01.10.2020'!$A$18:$H$18</definedName>
    <definedName name="PV_FFA_Datenbank_FE.accdb_57" localSheetId="14" hidden="1">'01.12.2019'!$A$18:$H$18</definedName>
    <definedName name="PV_FFA_Datenbank_FE.accdb_57" localSheetId="7">'01.12.2020'!$A$18:$H$18</definedName>
    <definedName name="PV_FFA_Datenbank_FE.accdb_58" localSheetId="13" hidden="1">'01.02.2020'!#REF!</definedName>
    <definedName name="PV_FFA_Datenbank_FE.accdb_58" localSheetId="6" hidden="1">'01.02.2021'!#REF!</definedName>
    <definedName name="PV_FFA_Datenbank_FE.accdb_58" localSheetId="5" hidden="1">'01.05.2021'!#REF!</definedName>
    <definedName name="PV_FFA_Datenbank_FE.accdb_58" localSheetId="11" hidden="1">'01.06.2020'!#REF!</definedName>
    <definedName name="PV_FFA_Datenbank_FE.accdb_58" localSheetId="10" hidden="1">'01.07.2020'!#REF!</definedName>
    <definedName name="PV_FFA_Datenbank_FE.accdb_58" localSheetId="17" hidden="1">'01.08.2019'!#REF!</definedName>
    <definedName name="PV_FFA_Datenbank_FE.accdb_58" localSheetId="16" hidden="1">'01.09.2019'!#REF!</definedName>
    <definedName name="PV_FFA_Datenbank_FE.accdb_58" localSheetId="9" hidden="1">'01.09.2020'!#REF!</definedName>
    <definedName name="PV_FFA_Datenbank_FE.accdb_58" localSheetId="8" hidden="1">'01.10.2020'!#REF!</definedName>
    <definedName name="PV_FFA_Datenbank_FE.accdb_58" localSheetId="14" hidden="1">'01.12.2019'!#REF!</definedName>
    <definedName name="PV_FFA_Datenbank_FE.accdb_58" localSheetId="7" hidden="1">'01.12.2020'!#REF!</definedName>
    <definedName name="PV_FFA_Datenbank_FE.accdb_59" localSheetId="13" hidden="1">'01.02.2020'!#REF!</definedName>
    <definedName name="PV_FFA_Datenbank_FE.accdb_59" localSheetId="6" hidden="1">'01.02.2021'!#REF!</definedName>
    <definedName name="PV_FFA_Datenbank_FE.accdb_59" localSheetId="5" hidden="1">'01.05.2021'!#REF!</definedName>
    <definedName name="PV_FFA_Datenbank_FE.accdb_59" localSheetId="11" hidden="1">'01.06.2020'!#REF!</definedName>
    <definedName name="PV_FFA_Datenbank_FE.accdb_59" localSheetId="10" hidden="1">'01.07.2020'!#REF!</definedName>
    <definedName name="PV_FFA_Datenbank_FE.accdb_59" localSheetId="17" hidden="1">'01.08.2019'!#REF!</definedName>
    <definedName name="PV_FFA_Datenbank_FE.accdb_59" localSheetId="16" hidden="1">'01.09.2019'!#REF!</definedName>
    <definedName name="PV_FFA_Datenbank_FE.accdb_59" localSheetId="9" hidden="1">'01.09.2020'!#REF!</definedName>
    <definedName name="PV_FFA_Datenbank_FE.accdb_59" localSheetId="8" hidden="1">'01.10.2020'!#REF!</definedName>
    <definedName name="PV_FFA_Datenbank_FE.accdb_59" localSheetId="14" hidden="1">'01.12.2019'!#REF!</definedName>
    <definedName name="PV_FFA_Datenbank_FE.accdb_59" localSheetId="7" hidden="1">'01.12.2020'!#REF!</definedName>
    <definedName name="PV_FFA_Datenbank_FE.accdb_8" localSheetId="13" hidden="1">'01.02.2020'!#REF!</definedName>
    <definedName name="PV_FFA_Datenbank_FE.accdb_8" localSheetId="6" hidden="1">'01.02.2021'!#REF!</definedName>
    <definedName name="PV_FFA_Datenbank_FE.accdb_8" localSheetId="5" hidden="1">'01.05.2021'!#REF!</definedName>
    <definedName name="PV_FFA_Datenbank_FE.accdb_8" localSheetId="11" hidden="1">'01.06.2020'!#REF!</definedName>
    <definedName name="PV_FFA_Datenbank_FE.accdb_8" localSheetId="10" hidden="1">'01.07.2020'!#REF!</definedName>
    <definedName name="PV_FFA_Datenbank_FE.accdb_8" localSheetId="17" hidden="1">'01.08.2019'!#REF!</definedName>
    <definedName name="PV_FFA_Datenbank_FE.accdb_8" localSheetId="16" hidden="1">'01.09.2019'!#REF!</definedName>
    <definedName name="PV_FFA_Datenbank_FE.accdb_8" localSheetId="9" hidden="1">'01.09.2020'!#REF!</definedName>
    <definedName name="PV_FFA_Datenbank_FE.accdb_8" localSheetId="8" hidden="1">'01.10.2020'!#REF!</definedName>
    <definedName name="PV_FFA_Datenbank_FE.accdb_8" localSheetId="14" hidden="1">'01.12.2019'!#REF!</definedName>
    <definedName name="PV_FFA_Datenbank_FE.accdb_8" localSheetId="7" hidden="1">'01.12.2020'!#REF!</definedName>
    <definedName name="PV_FFA_Datenbank_FE.accdb_9" localSheetId="13" hidden="1">'01.02.2020'!#REF!</definedName>
    <definedName name="PV_FFA_Datenbank_FE.accdb_9" localSheetId="6" hidden="1">'01.02.2021'!#REF!</definedName>
    <definedName name="PV_FFA_Datenbank_FE.accdb_9" localSheetId="5" hidden="1">'01.05.2021'!#REF!</definedName>
    <definedName name="PV_FFA_Datenbank_FE.accdb_9" localSheetId="11" hidden="1">'01.06.2020'!#REF!</definedName>
    <definedName name="PV_FFA_Datenbank_FE.accdb_9" localSheetId="10" hidden="1">'01.07.2020'!#REF!</definedName>
    <definedName name="PV_FFA_Datenbank_FE.accdb_9" localSheetId="17" hidden="1">'01.08.2019'!#REF!</definedName>
    <definedName name="PV_FFA_Datenbank_FE.accdb_9" localSheetId="16" hidden="1">'01.09.2019'!#REF!</definedName>
    <definedName name="PV_FFA_Datenbank_FE.accdb_9" localSheetId="9" hidden="1">'01.09.2020'!#REF!</definedName>
    <definedName name="PV_FFA_Datenbank_FE.accdb_9" localSheetId="8" hidden="1">'01.10.2020'!#REF!</definedName>
    <definedName name="PV_FFA_Datenbank_FE.accdb_9" localSheetId="14" hidden="1">'01.12.2019'!#REF!</definedName>
    <definedName name="PV_FFA_Datenbank_FE.accdb_9" localSheetId="7" hidden="1">'01.12.2020'!#REF!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9" i="44" l="1"/>
  <c r="AD27" i="44"/>
  <c r="AD28" i="44"/>
  <c r="AD11" i="44"/>
  <c r="AF10" i="44"/>
  <c r="AD10" i="44" s="1"/>
  <c r="AF11" i="44"/>
  <c r="AF12" i="44"/>
  <c r="AF13" i="44"/>
  <c r="AD13" i="44" s="1"/>
  <c r="AF14" i="44"/>
  <c r="AD14" i="44" s="1"/>
  <c r="AF15" i="44"/>
  <c r="AD15" i="44" s="1"/>
  <c r="AF16" i="44"/>
  <c r="AD16" i="44" s="1"/>
  <c r="AF17" i="44"/>
  <c r="AD17" i="44" s="1"/>
  <c r="AF18" i="44"/>
  <c r="AD18" i="44" s="1"/>
  <c r="AF19" i="44"/>
  <c r="AF20" i="44"/>
  <c r="AF21" i="44"/>
  <c r="AF22" i="44"/>
  <c r="AD22" i="44" s="1"/>
  <c r="AF23" i="44"/>
  <c r="AD23" i="44" s="1"/>
  <c r="AF24" i="44"/>
  <c r="AD24" i="44" s="1"/>
  <c r="AF25" i="44"/>
  <c r="AD25" i="44" s="1"/>
  <c r="AF26" i="44"/>
  <c r="AD26" i="44" s="1"/>
  <c r="AF27" i="44"/>
  <c r="AF28" i="44"/>
  <c r="AF29" i="44"/>
  <c r="AF30" i="44"/>
  <c r="AD30" i="44" s="1"/>
  <c r="AF31" i="44"/>
  <c r="AD31" i="44" s="1"/>
  <c r="AF9" i="44"/>
  <c r="AD9" i="44" s="1"/>
  <c r="AJ9" i="44"/>
  <c r="AE10" i="44"/>
  <c r="AG10" i="44"/>
  <c r="AI10" i="44" s="1"/>
  <c r="AH10" i="44"/>
  <c r="AE11" i="44"/>
  <c r="AG11" i="44"/>
  <c r="AH11" i="44"/>
  <c r="AI11" i="44"/>
  <c r="AE12" i="44"/>
  <c r="AD12" i="44" s="1"/>
  <c r="AG12" i="44"/>
  <c r="AI12" i="44" s="1"/>
  <c r="AH12" i="44"/>
  <c r="AE13" i="44"/>
  <c r="AG13" i="44"/>
  <c r="AH13" i="44"/>
  <c r="AI13" i="44"/>
  <c r="AE14" i="44"/>
  <c r="AG14" i="44"/>
  <c r="AI14" i="44" s="1"/>
  <c r="AH14" i="44"/>
  <c r="AE15" i="44"/>
  <c r="AG15" i="44"/>
  <c r="AH15" i="44"/>
  <c r="AI15" i="44"/>
  <c r="AE16" i="44"/>
  <c r="AG16" i="44"/>
  <c r="AI16" i="44" s="1"/>
  <c r="AH16" i="44"/>
  <c r="AE17" i="44"/>
  <c r="AG17" i="44"/>
  <c r="AH17" i="44"/>
  <c r="AI17" i="44"/>
  <c r="AE18" i="44"/>
  <c r="AG18" i="44"/>
  <c r="AI18" i="44" s="1"/>
  <c r="AH18" i="44"/>
  <c r="AE19" i="44"/>
  <c r="AG19" i="44"/>
  <c r="AH19" i="44"/>
  <c r="AI19" i="44"/>
  <c r="AE20" i="44"/>
  <c r="AD20" i="44" s="1"/>
  <c r="AG20" i="44"/>
  <c r="AI20" i="44" s="1"/>
  <c r="AH20" i="44"/>
  <c r="AE21" i="44"/>
  <c r="AD21" i="44" s="1"/>
  <c r="AG21" i="44"/>
  <c r="AH21" i="44"/>
  <c r="AI21" i="44"/>
  <c r="AE22" i="44"/>
  <c r="AG22" i="44"/>
  <c r="AI22" i="44" s="1"/>
  <c r="AH22" i="44"/>
  <c r="AE23" i="44"/>
  <c r="AG23" i="44"/>
  <c r="AH23" i="44"/>
  <c r="AI23" i="44"/>
  <c r="AE24" i="44"/>
  <c r="AG24" i="44"/>
  <c r="AI24" i="44" s="1"/>
  <c r="AH24" i="44"/>
  <c r="AE25" i="44"/>
  <c r="AG25" i="44"/>
  <c r="AH25" i="44"/>
  <c r="AE26" i="44"/>
  <c r="AG26" i="44"/>
  <c r="AH26" i="44"/>
  <c r="AE27" i="44"/>
  <c r="AG27" i="44"/>
  <c r="AH27" i="44"/>
  <c r="AI27" i="44"/>
  <c r="AE28" i="44"/>
  <c r="AG28" i="44"/>
  <c r="AH28" i="44"/>
  <c r="AE29" i="44"/>
  <c r="AD29" i="44" s="1"/>
  <c r="AG29" i="44"/>
  <c r="AH29" i="44"/>
  <c r="AI29" i="44"/>
  <c r="AE30" i="44"/>
  <c r="AG30" i="44"/>
  <c r="AH30" i="44"/>
  <c r="AE31" i="44"/>
  <c r="AG31" i="44"/>
  <c r="AI31" i="44" s="1"/>
  <c r="AH31" i="44"/>
  <c r="AE9" i="44"/>
  <c r="AG9" i="44"/>
  <c r="AJ10" i="44"/>
  <c r="AJ11" i="44"/>
  <c r="AJ12" i="44"/>
  <c r="AJ13" i="44"/>
  <c r="AJ14" i="44"/>
  <c r="AJ15" i="44"/>
  <c r="AJ16" i="44"/>
  <c r="AJ17" i="44"/>
  <c r="AJ18" i="44"/>
  <c r="AJ19" i="44"/>
  <c r="AJ20" i="44"/>
  <c r="AJ21" i="44"/>
  <c r="AJ22" i="44"/>
  <c r="AJ23" i="44"/>
  <c r="AJ24" i="44"/>
  <c r="AJ25" i="44"/>
  <c r="AJ26" i="44"/>
  <c r="AJ27" i="44"/>
  <c r="AJ28" i="44"/>
  <c r="AJ29" i="44"/>
  <c r="AJ30" i="44"/>
  <c r="AJ31" i="44"/>
  <c r="AI28" i="44" l="1"/>
  <c r="AI30" i="44"/>
  <c r="AK30" i="44" s="1"/>
  <c r="AI26" i="44"/>
  <c r="AI25" i="44"/>
  <c r="AH9" i="44"/>
  <c r="AI9" i="44" s="1"/>
  <c r="AK9" i="44" s="1"/>
  <c r="AK10" i="44"/>
  <c r="AK22" i="44"/>
  <c r="AK26" i="44"/>
  <c r="F82" i="48"/>
  <c r="E82" i="48"/>
  <c r="C82" i="48"/>
  <c r="B82" i="48"/>
  <c r="F75" i="48"/>
  <c r="E75" i="48"/>
  <c r="C75" i="48"/>
  <c r="B75" i="48"/>
  <c r="F61" i="48"/>
  <c r="E61" i="48"/>
  <c r="C61" i="48"/>
  <c r="B61" i="48"/>
  <c r="F53" i="48"/>
  <c r="E53" i="48"/>
  <c r="C53" i="48"/>
  <c r="B53" i="48"/>
  <c r="F34" i="48"/>
  <c r="E34" i="48"/>
  <c r="C34" i="48"/>
  <c r="B34" i="48"/>
  <c r="E31" i="47"/>
  <c r="D31" i="47"/>
  <c r="C31" i="47"/>
  <c r="B31" i="47"/>
  <c r="AI31" i="46"/>
  <c r="AH31" i="46"/>
  <c r="AG31" i="46"/>
  <c r="AF31" i="46"/>
  <c r="AE31" i="46"/>
  <c r="AD31" i="46"/>
  <c r="AC31" i="46"/>
  <c r="AB31" i="46"/>
  <c r="AA31" i="46"/>
  <c r="Z31" i="46"/>
  <c r="Y31" i="46"/>
  <c r="X31" i="46"/>
  <c r="W31" i="46"/>
  <c r="V31" i="46"/>
  <c r="U31" i="46"/>
  <c r="T31" i="46"/>
  <c r="S31" i="46"/>
  <c r="R31" i="46"/>
  <c r="Q31" i="46"/>
  <c r="P31" i="46"/>
  <c r="O31" i="46"/>
  <c r="N31" i="46"/>
  <c r="M31" i="46"/>
  <c r="L31" i="46"/>
  <c r="K31" i="46"/>
  <c r="J31" i="46"/>
  <c r="I31" i="46"/>
  <c r="H31" i="46"/>
  <c r="G31" i="46"/>
  <c r="F31" i="46"/>
  <c r="E31" i="46"/>
  <c r="D31" i="46"/>
  <c r="C31" i="46"/>
  <c r="B31" i="46"/>
  <c r="K31" i="45"/>
  <c r="J31" i="45"/>
  <c r="I31" i="45"/>
  <c r="H31" i="45"/>
  <c r="G31" i="45"/>
  <c r="F31" i="45"/>
  <c r="E31" i="45"/>
  <c r="D31" i="45"/>
  <c r="C31" i="45"/>
  <c r="B31" i="45"/>
  <c r="Y32" i="44"/>
  <c r="X32" i="44"/>
  <c r="W32" i="44"/>
  <c r="V32" i="44"/>
  <c r="O32" i="44"/>
  <c r="N32" i="44"/>
  <c r="G32" i="44"/>
  <c r="F32" i="44"/>
  <c r="D32" i="44"/>
  <c r="AK11" i="44" l="1"/>
  <c r="AK18" i="44"/>
  <c r="AK31" i="44"/>
  <c r="AK28" i="44"/>
  <c r="AK27" i="44"/>
  <c r="AK23" i="44"/>
  <c r="AK19" i="44"/>
  <c r="AK14" i="44"/>
  <c r="AK15" i="44"/>
  <c r="AK20" i="44"/>
  <c r="AK13" i="44"/>
  <c r="AK24" i="44"/>
  <c r="AK21" i="44"/>
  <c r="AK16" i="44"/>
  <c r="AK12" i="44"/>
  <c r="AK25" i="44"/>
  <c r="AK17" i="44"/>
  <c r="AK29" i="44"/>
  <c r="C3" i="42"/>
  <c r="B39" i="42"/>
  <c r="C39" i="42"/>
  <c r="E39" i="42"/>
  <c r="F39" i="42"/>
  <c r="B58" i="42"/>
  <c r="C58" i="42"/>
  <c r="E58" i="42"/>
  <c r="F58" i="42"/>
  <c r="B66" i="42"/>
  <c r="C66" i="42"/>
  <c r="E66" i="42"/>
  <c r="F66" i="42"/>
  <c r="B81" i="42"/>
  <c r="C81" i="42"/>
  <c r="E81" i="42"/>
  <c r="F81" i="42"/>
  <c r="C3" i="40" l="1"/>
  <c r="B39" i="40"/>
  <c r="C39" i="40"/>
  <c r="E39" i="40"/>
  <c r="F39" i="40"/>
  <c r="B56" i="40"/>
  <c r="C56" i="40"/>
  <c r="E56" i="40"/>
  <c r="F56" i="40"/>
  <c r="B63" i="40"/>
  <c r="C63" i="40"/>
  <c r="E63" i="40"/>
  <c r="F63" i="40"/>
  <c r="B75" i="40"/>
  <c r="C75" i="40"/>
  <c r="E75" i="40"/>
  <c r="F75" i="40"/>
  <c r="C3" i="38" l="1"/>
  <c r="B37" i="38"/>
  <c r="C37" i="38"/>
  <c r="E37" i="38"/>
  <c r="F37" i="38"/>
  <c r="B54" i="38"/>
  <c r="C54" i="38"/>
  <c r="E54" i="38"/>
  <c r="F54" i="38"/>
  <c r="B62" i="38"/>
  <c r="C62" i="38"/>
  <c r="E62" i="38"/>
  <c r="F62" i="38"/>
  <c r="B74" i="38"/>
  <c r="C74" i="38"/>
  <c r="E74" i="38"/>
  <c r="F74" i="38"/>
  <c r="B83" i="38"/>
  <c r="C83" i="38"/>
  <c r="E83" i="38"/>
  <c r="F83" i="38"/>
  <c r="F38" i="36" l="1"/>
  <c r="C3" i="36"/>
  <c r="B38" i="36"/>
  <c r="C38" i="36"/>
  <c r="E38" i="36"/>
  <c r="B54" i="36"/>
  <c r="C54" i="36"/>
  <c r="E54" i="36"/>
  <c r="F54" i="36"/>
  <c r="B62" i="36"/>
  <c r="C62" i="36"/>
  <c r="E62" i="36"/>
  <c r="F62" i="36"/>
  <c r="B75" i="36"/>
  <c r="C75" i="36"/>
  <c r="E75" i="36"/>
  <c r="F75" i="36"/>
  <c r="B84" i="36"/>
  <c r="C84" i="36"/>
  <c r="E84" i="36"/>
  <c r="F84" i="36"/>
  <c r="B37" i="35" l="1"/>
  <c r="C3" i="35"/>
  <c r="C37" i="35"/>
  <c r="E37" i="35"/>
  <c r="F37" i="35"/>
  <c r="B52" i="35"/>
  <c r="C52" i="35"/>
  <c r="E52" i="35"/>
  <c r="F52" i="35"/>
  <c r="B60" i="35"/>
  <c r="C60" i="35"/>
  <c r="E60" i="35"/>
  <c r="F60" i="35"/>
  <c r="B72" i="35"/>
  <c r="C72" i="35"/>
  <c r="E72" i="35"/>
  <c r="F72" i="35"/>
  <c r="B80" i="35"/>
  <c r="C80" i="35"/>
  <c r="E80" i="35"/>
  <c r="F80" i="35"/>
  <c r="C3" i="34" l="1"/>
  <c r="B38" i="34"/>
  <c r="C38" i="34"/>
  <c r="E38" i="34"/>
  <c r="F38" i="34"/>
  <c r="B50" i="34"/>
  <c r="C50" i="34"/>
  <c r="E50" i="34"/>
  <c r="F50" i="34"/>
  <c r="B58" i="34"/>
  <c r="C58" i="34"/>
  <c r="E58" i="34"/>
  <c r="F58" i="34"/>
  <c r="B70" i="34"/>
  <c r="C70" i="34"/>
  <c r="E70" i="34"/>
  <c r="F70" i="34"/>
  <c r="B78" i="34"/>
  <c r="C78" i="34"/>
  <c r="E78" i="34"/>
  <c r="F78" i="34"/>
  <c r="C3" i="31" l="1"/>
  <c r="B38" i="31"/>
  <c r="C38" i="31"/>
  <c r="E38" i="31"/>
  <c r="F38" i="31"/>
  <c r="B55" i="31"/>
  <c r="C55" i="31"/>
  <c r="E55" i="31"/>
  <c r="F55" i="31"/>
  <c r="B63" i="31"/>
  <c r="C63" i="31"/>
  <c r="E63" i="31"/>
  <c r="F63" i="31"/>
  <c r="B74" i="31"/>
  <c r="C74" i="31"/>
  <c r="E74" i="31"/>
  <c r="F74" i="31"/>
  <c r="B83" i="31"/>
  <c r="C83" i="31"/>
  <c r="E83" i="31"/>
  <c r="F83" i="31"/>
  <c r="C3" i="27" l="1"/>
  <c r="B39" i="27"/>
  <c r="C39" i="27"/>
  <c r="E39" i="27"/>
  <c r="F39" i="27"/>
  <c r="B55" i="27"/>
  <c r="C55" i="27"/>
  <c r="E55" i="27"/>
  <c r="F55" i="27"/>
  <c r="B63" i="27"/>
  <c r="C63" i="27"/>
  <c r="E63" i="27"/>
  <c r="F63" i="27"/>
  <c r="B76" i="27"/>
  <c r="C76" i="27"/>
  <c r="E76" i="27"/>
  <c r="F76" i="27"/>
  <c r="B85" i="27"/>
  <c r="C85" i="27"/>
  <c r="E85" i="27"/>
  <c r="F85" i="27"/>
  <c r="F87" i="26" l="1"/>
  <c r="E87" i="26"/>
  <c r="C87" i="26"/>
  <c r="B87" i="26"/>
  <c r="F78" i="26"/>
  <c r="E78" i="26"/>
  <c r="C78" i="26"/>
  <c r="B78" i="26"/>
  <c r="F64" i="26"/>
  <c r="E64" i="26"/>
  <c r="C64" i="26"/>
  <c r="B64" i="26"/>
  <c r="F56" i="26"/>
  <c r="E56" i="26"/>
  <c r="C56" i="26"/>
  <c r="B56" i="26"/>
  <c r="F38" i="26"/>
  <c r="E38" i="26"/>
  <c r="C38" i="26"/>
  <c r="B38" i="26"/>
  <c r="C3" i="26"/>
  <c r="C3" i="23" l="1"/>
  <c r="B37" i="23"/>
  <c r="C37" i="23"/>
  <c r="E37" i="23"/>
  <c r="F37" i="23"/>
  <c r="B52" i="23"/>
  <c r="C52" i="23"/>
  <c r="E52" i="23"/>
  <c r="F52" i="23"/>
  <c r="B60" i="23"/>
  <c r="C60" i="23"/>
  <c r="E60" i="23"/>
  <c r="F60" i="23"/>
  <c r="B70" i="23"/>
  <c r="C70" i="23"/>
  <c r="E70" i="23"/>
  <c r="F70" i="23"/>
  <c r="B78" i="23"/>
  <c r="C78" i="23"/>
  <c r="E78" i="23"/>
  <c r="F78" i="23"/>
  <c r="C3" i="20" l="1"/>
  <c r="B39" i="20"/>
  <c r="C39" i="20"/>
  <c r="E39" i="20"/>
  <c r="F39" i="20"/>
  <c r="B52" i="20"/>
  <c r="C52" i="20"/>
  <c r="E52" i="20"/>
  <c r="F52" i="20"/>
  <c r="B59" i="20"/>
  <c r="C59" i="20"/>
  <c r="E59" i="20"/>
  <c r="F59" i="20"/>
  <c r="B69" i="20"/>
  <c r="C69" i="20"/>
  <c r="E69" i="20"/>
  <c r="F69" i="20"/>
  <c r="B77" i="20"/>
  <c r="C77" i="20"/>
  <c r="E77" i="20"/>
  <c r="F77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J:\Referatslaufwerk\EEG\8175 Ausschreibungen\8175-00 Allgemein\Datenbank\PV_FFA_Datenbank_FE.accdb" keepAlive="1" name="PV_FFA_Datenbank_FE111111" type="5" refreshedVersion="4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ELECT [Bundesland], [Gebotsmenge], [Anzahl Gebote], [Mittlere Gebotsmenge], [Zuschlagsmenge], [Anzahl Zuschläge], [Mittlere Zuschlagsmenge] FROM [qryVStat_Wind_NAG2_Gebote+Zuschläge] WHERE GebotsterminID=32;" commandType="3"/>
  </connection>
  <connection id="2" xr16:uid="{00000000-0015-0000-FFFF-FFFF01000000}" sourceFile="J:\Referatslaufwerk\EEG\8175 Ausschreibungen\8175-00 Allgemein\Datenbank\PV_FFA_Datenbank_FE.accdb" keepAlive="1" name="PV_FFA_Datenbank_FE1111111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Wind_NAG2_Gebote+Zuschläge] WHERE GebotsterminID=33;" commandType="3"/>
  </connection>
  <connection id="3" xr16:uid="{00000000-0015-0000-FFFF-FFFF02000000}" sourceFile="J:\Referatslaufwerk\EEG\8175 Ausschreibungen\8175-00 Allgemein\Datenbank\PV_FFA_Datenbank_FE.accdb" keepAlive="1" name="PV_FFA_Datenbank_FE1111112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Wind_NAG2_Gebote+Zuschläge] WHERE GebotsterminID=39;" commandType="3"/>
  </connection>
  <connection id="4" xr16:uid="{00000000-0015-0000-FFFF-FFFF03000000}" sourceFile="J:\Referatslaufwerk\EEG\8175 Ausschreibungen\8175-00 Allgemein\Datenbank\PV_FFA_Datenbank_FE.accdb" keepAlive="1" name="PV_FFA_Datenbank_FE1111113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Wind_NAG2_Gebote+Zuschläge] WHERE GebotsterminID=41;" commandType="3"/>
  </connection>
  <connection id="5" xr16:uid="{00000000-0015-0000-FFFF-FFFF04000000}" sourceFile="J:\Referatslaufwerk\EEG\8175 Ausschreibungen\8175-00 Allgemein\Datenbank\PV_FFA_Datenbank_FE.accdb" keepAlive="1" name="PV_FFA_Datenbank_FE1111114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Wind_NAG2_Gebote+Zuschläge] WHERE GebotsterminID=47;" commandType="3"/>
  </connection>
  <connection id="6" xr16:uid="{00000000-0015-0000-FFFF-FFFF05000000}" sourceFile="J:\Referatslaufwerk\EEG\8175 Ausschreibungen\8175-00 Allgemein\Datenbank\PV_FFA_Datenbank_FE.accdb" keepAlive="1" name="PV_FFA_Datenbank_FE1111115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Wind_NAG2_Gebote+Zuschläge] WHERE GebotsterminID=49;" commandType="3"/>
  </connection>
  <connection id="7" xr16:uid="{00000000-0015-0000-FFFF-FFFF06000000}" sourceFile="J:\Referatslaufwerk\EEG\8175 Ausschreibungen\8175-00 Allgemein\Datenbank\PV_FFA_Datenbank_FE.accdb" keepAlive="1" name="PV_FFA_Datenbank_FE1111116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Wind_NAG2_Gebote+Zuschläge] WHERE GebotsterminID=52;" commandType="3"/>
  </connection>
  <connection id="8" xr16:uid="{00000000-0015-0000-FFFF-FFFF07000000}" sourceFile="J:\Referatslaufwerk\EEG\8175 Ausschreibungen\8175-00 Allgemein\Datenbank\PV_FFA_Datenbank_FE.accdb" keepAlive="1" name="PV_FFA_Datenbank_FE1111117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Wind_NAG2_Gebote+Zuschläge] WHERE GebotsterminID=54;" commandType="3"/>
  </connection>
  <connection id="9" xr16:uid="{00000000-0015-0000-FFFF-FFFF08000000}" sourceFile="J:\Referatslaufwerk\EEG\8175 Ausschreibungen\8175-00 Allgemein\Datenbank\PV_FFA_Datenbank_FE.accdb" keepAlive="1" name="PV_FFA_Datenbank_FE1111118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Wind_NAG2_Gebote+Zuschläge] WHERE GebotsterminID=58;" commandType="3"/>
  </connection>
  <connection id="10" xr16:uid="{00000000-0015-0000-FFFF-FFFF09000000}" sourceFile="J:\Referatslaufwerk\EEG\8175 Ausschreibungen\8175-00 Allgemein\Datenbank\PV_FFA_Datenbank_FE.accdb" keepAlive="1" name="PV_FFA_Datenbank_FE11112" type="5" refreshedVersion="4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ELECT [Bundesland], [Gebotsmenge], [Anzahl Gebote], [Mittlere Gebotsmenge], [Zuschlagsmenge], [Anzahl Zuschläge], [Mittlere Zuschlagsmenge] FROM [qryVStat_AlleET_Bundesland2_Gebote+Zuschläge] WHERE GebotsterminID=32 AND TechnologieID=2;" commandType="3"/>
  </connection>
  <connection id="11" xr16:uid="{00000000-0015-0000-FFFF-FFFF0A000000}" sourceFile="J:\Referatslaufwerk\EEG\8175 Ausschreibungen\8175-00 Allgemein\Datenbank\PV_FFA_Datenbank_FE.accdb" keepAlive="1" name="PV_FFA_Datenbank_FE111121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AlleET_Bundesland2_Gebote+Zuschläge] WHERE GebotsterminID=33 AND TechnologieID=2;" commandType="3"/>
  </connection>
  <connection id="12" xr16:uid="{00000000-0015-0000-FFFF-FFFF0B000000}" sourceFile="J:\Referatslaufwerk\EEG\8175 Ausschreibungen\8175-00 Allgemein\Datenbank\PV_FFA_Datenbank_FE.accdb" keepAlive="1" name="PV_FFA_Datenbank_FE1111210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AlleET_Bundesland2_Gebote+Zuschläge] WHERE GebotsterminID=63 AND TechnologieID=2;" commandType="3"/>
  </connection>
  <connection id="13" xr16:uid="{00000000-0015-0000-FFFF-FFFF0C000000}" sourceFile="J:\Referatslaufwerk\EEG\8175 Ausschreibungen\8175-00 Allgemein\Datenbank\PV_FFA_Datenbank_FE.accdb" keepAlive="1" name="PV_FFA_Datenbank_FE111122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AlleET_Bundesland2_Gebote+Zuschläge] WHERE GebotsterminID=39 AND TechnologieID=2;" commandType="3"/>
  </connection>
  <connection id="14" xr16:uid="{00000000-0015-0000-FFFF-FFFF0D000000}" sourceFile="J:\Referatslaufwerk\EEG\8175 Ausschreibungen\8175-00 Allgemein\Datenbank\PV_FFA_Datenbank_FE.accdb" keepAlive="1" name="PV_FFA_Datenbank_FE111123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AlleET_Bundesland2_Gebote+Zuschläge] WHERE GebotsterminID=41 AND TechnologieID=2;" commandType="3"/>
  </connection>
  <connection id="15" xr16:uid="{00000000-0015-0000-FFFF-FFFF0E000000}" sourceFile="J:\Referatslaufwerk\EEG\8175 Ausschreibungen\8175-00 Allgemein\Datenbank\PV_FFA_Datenbank_FE.accdb" keepAlive="1" name="PV_FFA_Datenbank_FE111124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AlleET_Bundesland2_Gebote+Zuschläge] WHERE GebotsterminID=47 AND TechnologieID=2;" commandType="3"/>
  </connection>
  <connection id="16" xr16:uid="{00000000-0015-0000-FFFF-FFFF0F000000}" sourceFile="J:\Referatslaufwerk\EEG\8175 Ausschreibungen\8175-00 Allgemein\Datenbank\PV_FFA_Datenbank_FE.accdb" keepAlive="1" name="PV_FFA_Datenbank_FE111125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AlleET_Bundesland2_Gebote+Zuschläge] WHERE GebotsterminID=49 AND TechnologieID=2;" commandType="3"/>
  </connection>
  <connection id="17" xr16:uid="{00000000-0015-0000-FFFF-FFFF10000000}" sourceFile="J:\Referatslaufwerk\EEG\8175 Ausschreibungen\8175-00 Allgemein\Datenbank\PV_FFA_Datenbank_FE.accdb" keepAlive="1" name="PV_FFA_Datenbank_FE111126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AlleET_Bundesland2_Gebote+Zuschläge] WHERE GebotsterminID=52 AND TechnologieID=2;" commandType="3"/>
  </connection>
  <connection id="18" xr16:uid="{00000000-0015-0000-FFFF-FFFF11000000}" sourceFile="J:\Referatslaufwerk\EEG\8175 Ausschreibungen\8175-00 Allgemein\Datenbank\PV_FFA_Datenbank_FE.accdb" keepAlive="1" name="PV_FFA_Datenbank_FE111127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AlleET_Bundesland2_Gebote+Zuschläge] WHERE GebotsterminID=54 AND TechnologieID=2;" commandType="3"/>
  </connection>
  <connection id="19" xr16:uid="{00000000-0015-0000-FFFF-FFFF12000000}" sourceFile="J:\Referatslaufwerk\EEG\8175 Ausschreibungen\8175-00 Allgemein\Datenbank\PV_FFA_Datenbank_FE.accdb" keepAlive="1" name="PV_FFA_Datenbank_FE111128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AlleET_Bundesland2_Gebote+Zuschläge] WHERE GebotsterminID=58 AND TechnologieID=2;" commandType="3"/>
  </connection>
  <connection id="20" xr16:uid="{00000000-0015-0000-FFFF-FFFF13000000}" sourceFile="J:\Referatslaufwerk\EEG\8175 Ausschreibungen\8175-00 Allgemein\Datenbank\PV_FFA_Datenbank_FE.accdb" keepAlive="1" name="PV_FFA_Datenbank_FE111129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undesland], [Gebotsmenge], [Anzahl Gebote], [Mittlere Gebotsmenge], [Zuschlagsmenge], [Anzahl Zuschläge], [Mittlere Zuschlagsmenge] FROM [qryVStat_AlleET_Bundesland2_Gebote+Zuschläge] WHERE GebotsterminID=59 AND TechnologieID=2;" commandType="3"/>
  </connection>
  <connection id="21" xr16:uid="{00000000-0015-0000-FFFF-FFFF14000000}" sourceFile="J:\Referatslaufwerk\EEG\8175 Ausschreibungen\8175-00 Allgemein\Datenbank\PV_FFA_Datenbank_FE.accdb" keepAlive="1" name="PV_FFA_Datenbank_FE1112" type="5" refreshedVersion="4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ELECT [BEG], [Gebotsmenge], [Anzahl Gebote], [Mittlere Gebotsmenge], [Zuschlagsmenge], [Anzahl Zuschläge], [Mittlere Zuschlagsmenge] FROM [qryVStat_Wind_Bietertyp2_Gebote+Zuschläge] WHERE GebotsterminID=32 AND TechnologieID=2;" commandType="3"/>
  </connection>
  <connection id="22" xr16:uid="{00000000-0015-0000-FFFF-FFFF15000000}" sourceFile="J:\Referatslaufwerk\EEG\8175 Ausschreibungen\8175-00 Allgemein\Datenbank\PV_FFA_Datenbank_FE.accdb" keepAlive="1" name="PV_FFA_Datenbank_FE11121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EG], [Gebotsmenge], [Anzahl Gebote], [Mittlere Gebotsmenge], [Zuschlagsmenge], [Anzahl Zuschläge], [Mittlere Zuschlagsmenge] FROM [qryVStat_Wind_Bietertyp2_Gebote+Zuschläge] WHERE GebotsterminID=33 AND TechnologieID=2;" commandType="3"/>
  </connection>
  <connection id="23" xr16:uid="{00000000-0015-0000-FFFF-FFFF16000000}" sourceFile="J:\Referatslaufwerk\EEG\8175 Ausschreibungen\8175-00 Allgemein\Datenbank\PV_FFA_Datenbank_FE.accdb" keepAlive="1" name="PV_FFA_Datenbank_FE111210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EG], [Gebotsmenge], [Anzahl Gebote], [Mittlere Gebotsmenge], [Zuschlagsmenge], [Anzahl Zuschläge], [Mittlere Zuschlagsmenge] FROM [qryVStat_Wind_Bietertyp2_Gebote+Zuschläge] WHERE GebotsterminID=63 AND TechnologieID=2;" commandType="3"/>
  </connection>
  <connection id="24" xr16:uid="{00000000-0015-0000-FFFF-FFFF17000000}" sourceFile="J:\Referatslaufwerk\EEG\8175 Ausschreibungen\8175-00 Allgemein\Datenbank\PV_FFA_Datenbank_FE.accdb" keepAlive="1" name="PV_FFA_Datenbank_FE11122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EG], [Gebotsmenge], [Anzahl Gebote], [Mittlere Gebotsmenge], [Zuschlagsmenge], [Anzahl Zuschläge], [Mittlere Zuschlagsmenge] FROM [qryVStat_Wind_Bietertyp2_Gebote+Zuschläge] WHERE GebotsterminID=39 AND TechnologieID=2;" commandType="3"/>
  </connection>
  <connection id="25" xr16:uid="{00000000-0015-0000-FFFF-FFFF18000000}" sourceFile="J:\Referatslaufwerk\EEG\8175 Ausschreibungen\8175-00 Allgemein\Datenbank\PV_FFA_Datenbank_FE.accdb" keepAlive="1" name="PV_FFA_Datenbank_FE11123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EG], [Gebotsmenge], [Anzahl Gebote], [Mittlere Gebotsmenge], [Zuschlagsmenge], [Anzahl Zuschläge], [Mittlere Zuschlagsmenge] FROM [qryVStat_Wind_Bietertyp2_Gebote+Zuschläge] WHERE GebotsterminID=41 AND TechnologieID=2;" commandType="3"/>
  </connection>
  <connection id="26" xr16:uid="{00000000-0015-0000-FFFF-FFFF19000000}" sourceFile="J:\Referatslaufwerk\EEG\8175 Ausschreibungen\8175-00 Allgemein\Datenbank\PV_FFA_Datenbank_FE.accdb" keepAlive="1" name="PV_FFA_Datenbank_FE11124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EG], [Gebotsmenge], [Anzahl Gebote], [Mittlere Gebotsmenge], [Zuschlagsmenge], [Anzahl Zuschläge], [Mittlere Zuschlagsmenge] FROM [qryVStat_Wind_Bietertyp2_Gebote+Zuschläge] WHERE GebotsterminID=47 AND TechnologieID=2;" commandType="3"/>
  </connection>
  <connection id="27" xr16:uid="{00000000-0015-0000-FFFF-FFFF1A000000}" sourceFile="J:\Referatslaufwerk\EEG\8175 Ausschreibungen\8175-00 Allgemein\Datenbank\PV_FFA_Datenbank_FE.accdb" keepAlive="1" name="PV_FFA_Datenbank_FE11125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EG], [Gebotsmenge], [Anzahl Gebote], [Mittlere Gebotsmenge], [Zuschlagsmenge], [Anzahl Zuschläge], [Mittlere Zuschlagsmenge] FROM [qryVStat_Wind_Bietertyp2_Gebote+Zuschläge] WHERE GebotsterminID=49 AND TechnologieID=2;" commandType="3"/>
  </connection>
  <connection id="28" xr16:uid="{00000000-0015-0000-FFFF-FFFF1B000000}" sourceFile="J:\Referatslaufwerk\EEG\8175 Ausschreibungen\8175-00 Allgemein\Datenbank\PV_FFA_Datenbank_FE.accdb" keepAlive="1" name="PV_FFA_Datenbank_FE11126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EG], [Gebotsmenge], [Anzahl Gebote], [Mittlere Gebotsmenge], [Zuschlagsmenge], [Anzahl Zuschläge], [Mittlere Zuschlagsmenge] FROM [qryVStat_Wind_Bietertyp2_Gebote+Zuschläge] WHERE GebotsterminID=52 AND TechnologieID=2;" commandType="3"/>
  </connection>
  <connection id="29" xr16:uid="{00000000-0015-0000-FFFF-FFFF1C000000}" sourceFile="J:\Referatslaufwerk\EEG\8175 Ausschreibungen\8175-00 Allgemein\Datenbank\PV_FFA_Datenbank_FE.accdb" keepAlive="1" name="PV_FFA_Datenbank_FE11127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EG], [Gebotsmenge], [Anzahl Gebote], [Mittlere Gebotsmenge], [Zuschlagsmenge], [Anzahl Zuschläge], [Mittlere Zuschlagsmenge] FROM [qryVStat_Wind_Bietertyp2_Gebote+Zuschläge] WHERE GebotsterminID=54 AND TechnologieID=2;" commandType="3"/>
  </connection>
  <connection id="30" xr16:uid="{00000000-0015-0000-FFFF-FFFF1D000000}" sourceFile="J:\Referatslaufwerk\EEG\8175 Ausschreibungen\8175-00 Allgemein\Datenbank\PV_FFA_Datenbank_FE.accdb" keepAlive="1" name="PV_FFA_Datenbank_FE11128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EG], [Gebotsmenge], [Anzahl Gebote], [Mittlere Gebotsmenge], [Zuschlagsmenge], [Anzahl Zuschläge], [Mittlere Zuschlagsmenge] FROM [qryVStat_Wind_Bietertyp2_Gebote+Zuschläge] WHERE GebotsterminID=58 AND TechnologieID=2;" commandType="3"/>
  </connection>
  <connection id="31" xr16:uid="{00000000-0015-0000-FFFF-FFFF1E000000}" sourceFile="J:\Referatslaufwerk\EEG\8175 Ausschreibungen\8175-00 Allgemein\Datenbank\PV_FFA_Datenbank_FE.accdb" keepAlive="1" name="PV_FFA_Datenbank_FE11129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BEG], [Gebotsmenge], [Anzahl Gebote], [Mittlere Gebotsmenge], [Zuschlagsmenge], [Anzahl Zuschläge], [Mittlere Zuschlagsmenge] FROM [qryVStat_Wind_Bietertyp2_Gebote+Zuschläge] WHERE GebotsterminID=59 AND TechnologieID=2;" commandType="3"/>
  </connection>
  <connection id="32" xr16:uid="{00000000-0015-0000-FFFF-FFFF1F000000}" sourceFile="J:\Referatslaufwerk\EEG\8175 Ausschreibungen\8175-00 Allgemein\Datenbank\PV_FFA_Datenbank_FE.accdb" keepAlive="1" name="PV_FFA_Datenbank_FE12" type="5" refreshedVersion="4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ELECT [Rechtsform], [Gebotsmenge], [Anzahl Gebote], [Mittlere Gebotsmenge], [Zuschlagsmenge], [Anzahl Zuschläge], [Mittlere Zuschlagsmenge] FROM [qryVStat_AlleET_Rechtsform2_Gebote+Zuschläge] WHERE GebotsterminID=32 AND TechnologieID=2;" commandType="3"/>
  </connection>
  <connection id="33" xr16:uid="{00000000-0015-0000-FFFF-FFFF20000000}" sourceFile="J:\Referatslaufwerk\EEG\8175 Ausschreibungen\8175-00 Allgemein\Datenbank\PV_FFA_Datenbank_FE.accdb" keepAlive="1" name="PV_FFA_Datenbank_FE121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Rechtsform], [Gebotsmenge], [Anzahl Gebote], [Mittlere Gebotsmenge], [Zuschlagsmenge], [Anzahl Zuschläge], [Mittlere Zuschlagsmenge] FROM [qryVStat_AlleET_Rechtsform2_Gebote+Zuschläge] WHERE GebotsterminID=33 AND TechnologieID=2;" commandType="3"/>
  </connection>
  <connection id="34" xr16:uid="{00000000-0015-0000-FFFF-FFFF21000000}" sourceFile="J:\Referatslaufwerk\EEG\8175 Ausschreibungen\8175-00 Allgemein\Datenbank\PV_FFA_Datenbank_FE.accdb" keepAlive="1" name="PV_FFA_Datenbank_FE1210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Rechtsform], [Gebotsmenge], [Anzahl Gebote], [Mittlere Gebotsmenge], [Zuschlagsmenge], [Anzahl Zuschläge], [Mittlere Zuschlagsmenge] FROM [qryVStat_AlleET_Rechtsform2_Gebote+Zuschläge] WHERE GebotsterminID=63 AND TechnologieID=2;" commandType="3"/>
  </connection>
  <connection id="35" xr16:uid="{00000000-0015-0000-FFFF-FFFF22000000}" sourceFile="J:\Referatslaufwerk\EEG\8175 Ausschreibungen\8175-00 Allgemein\Datenbank\PV_FFA_Datenbank_FE.accdb" keepAlive="1" name="PV_FFA_Datenbank_FE122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Rechtsform], [Gebotsmenge], [Anzahl Gebote], [Mittlere Gebotsmenge], [Zuschlagsmenge], [Anzahl Zuschläge], [Mittlere Zuschlagsmenge] FROM [qryVStat_AlleET_Rechtsform2_Gebote+Zuschläge] WHERE GebotsterminID=39 AND TechnologieID=2;" commandType="3"/>
  </connection>
  <connection id="36" xr16:uid="{00000000-0015-0000-FFFF-FFFF23000000}" sourceFile="J:\Referatslaufwerk\EEG\8175 Ausschreibungen\8175-00 Allgemein\Datenbank\PV_FFA_Datenbank_FE.accdb" keepAlive="1" name="PV_FFA_Datenbank_FE123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Rechtsform], [Gebotsmenge], [Anzahl Gebote], [Mittlere Gebotsmenge], [Zuschlagsmenge], [Anzahl Zuschläge], [Mittlere Zuschlagsmenge] FROM [qryVStat_AlleET_Rechtsform2_Gebote+Zuschläge] WHERE GebotsterminID=41 AND TechnologieID=2;" commandType="3"/>
  </connection>
  <connection id="37" xr16:uid="{00000000-0015-0000-FFFF-FFFF24000000}" sourceFile="J:\Referatslaufwerk\EEG\8175 Ausschreibungen\8175-00 Allgemein\Datenbank\PV_FFA_Datenbank_FE.accdb" keepAlive="1" name="PV_FFA_Datenbank_FE124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Rechtsform], [Gebotsmenge], [Anzahl Gebote], [Mittlere Gebotsmenge], [Zuschlagsmenge], [Anzahl Zuschläge], [Mittlere Zuschlagsmenge] FROM [qryVStat_AlleET_Rechtsform2_Gebote+Zuschläge] WHERE GebotsterminID=47 AND TechnologieID=2;" commandType="3"/>
  </connection>
  <connection id="38" xr16:uid="{00000000-0015-0000-FFFF-FFFF25000000}" sourceFile="J:\Referatslaufwerk\EEG\8175 Ausschreibungen\8175-00 Allgemein\Datenbank\PV_FFA_Datenbank_FE.accdb" keepAlive="1" name="PV_FFA_Datenbank_FE125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Rechtsform], [Gebotsmenge], [Anzahl Gebote], [Mittlere Gebotsmenge], [Zuschlagsmenge], [Anzahl Zuschläge], [Mittlere Zuschlagsmenge] FROM [qryVStat_AlleET_Rechtsform2_Gebote+Zuschläge] WHERE GebotsterminID=49 AND TechnologieID=2;" commandType="3"/>
  </connection>
  <connection id="39" xr16:uid="{00000000-0015-0000-FFFF-FFFF26000000}" sourceFile="J:\Referatslaufwerk\EEG\8175 Ausschreibungen\8175-00 Allgemein\Datenbank\PV_FFA_Datenbank_FE.accdb" keepAlive="1" name="PV_FFA_Datenbank_FE126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Rechtsform], [Gebotsmenge], [Anzahl Gebote], [Mittlere Gebotsmenge], [Zuschlagsmenge], [Anzahl Zuschläge], [Mittlere Zuschlagsmenge] FROM [qryVStat_AlleET_Rechtsform2_Gebote+Zuschläge] WHERE GebotsterminID=52 AND TechnologieID=2;" commandType="3"/>
  </connection>
  <connection id="40" xr16:uid="{00000000-0015-0000-FFFF-FFFF27000000}" sourceFile="J:\Referatslaufwerk\EEG\8175 Ausschreibungen\8175-00 Allgemein\Datenbank\PV_FFA_Datenbank_FE.accdb" keepAlive="1" name="PV_FFA_Datenbank_FE127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Rechtsform], [Gebotsmenge], [Anzahl Gebote], [Mittlere Gebotsmenge], [Zuschlagsmenge], [Anzahl Zuschläge], [Mittlere Zuschlagsmenge] FROM [qryVStat_AlleET_Rechtsform2_Gebote+Zuschläge] WHERE GebotsterminID=54 AND TechnologieID=2;" commandType="3"/>
  </connection>
  <connection id="41" xr16:uid="{00000000-0015-0000-FFFF-FFFF28000000}" sourceFile="J:\Referatslaufwerk\EEG\8175 Ausschreibungen\8175-00 Allgemein\Datenbank\PV_FFA_Datenbank_FE.accdb" keepAlive="1" name="PV_FFA_Datenbank_FE128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Rechtsform], [Gebotsmenge], [Anzahl Gebote], [Mittlere Gebotsmenge], [Zuschlagsmenge], [Anzahl Zuschläge], [Mittlere Zuschlagsmenge] FROM [qryVStat_AlleET_Rechtsform2_Gebote+Zuschläge] WHERE GebotsterminID=58 AND TechnologieID=2;" commandType="3"/>
  </connection>
  <connection id="42" xr16:uid="{00000000-0015-0000-FFFF-FFFF29000000}" sourceFile="J:\Referatslaufwerk\EEG\8175 Ausschreibungen\8175-00 Allgemein\Datenbank\PV_FFA_Datenbank_FE.accdb" keepAlive="1" name="PV_FFA_Datenbank_FE129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Rechtsform], [Gebotsmenge], [Anzahl Gebote], [Mittlere Gebotsmenge], [Zuschlagsmenge], [Anzahl Zuschläge], [Mittlere Zuschlagsmenge] FROM [qryVStat_AlleET_Rechtsform2_Gebote+Zuschläge] WHERE GebotsterminID=59 AND TechnologieID=2;" commandType="3"/>
  </connection>
  <connection id="43" xr16:uid="{00000000-0015-0000-FFFF-FFFF2A000000}" sourceFile="J:\Referatslaufwerk\EEG\8175 Ausschreibungen\8175-00 Allgemein\Datenbank\PV_FFA_Datenbank_FE.accdb" keepAlive="1" name="PV_FFA_Datenbank_FE3" type="5" refreshedVersion="4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ELECT [Größenklasse], [Gebotsmenge], [Anzahl Gebote], [Mittlere Gebotsmenge], [Zuschlagsmenge], [Anzahl Zuschläge], [Mittlere Zuschlagsmenge] FROM [qryVStat_Wind_Größenklasse2_Gebote+Zuschläge] WHERE GebotsterminID=32 AND TechnologieID=2;" commandType="3"/>
  </connection>
  <connection id="44" xr16:uid="{00000000-0015-0000-FFFF-FFFF2B000000}" sourceFile="J:\Referatslaufwerk\EEG\8175 Ausschreibungen\8175-00 Allgemein\Datenbank\PV_FFA_Datenbank_FE.accdb" keepAlive="1" name="PV_FFA_Datenbank_FE31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rößenklasse], [Gebotsmenge], [Anzahl Gebote], [Mittlere Gebotsmenge], [Zuschlagsmenge], [Anzahl Zuschläge], [Mittlere Zuschlagsmenge] FROM [qryVStat_Wind_Größenklasse2_Gebote+Zuschläge] WHERE GebotsterminID=33 AND TechnologieID=2;" commandType="3"/>
  </connection>
  <connection id="45" xr16:uid="{00000000-0015-0000-FFFF-FFFF2C000000}" sourceFile="J:\Referatslaufwerk\EEG\8175 Ausschreibungen\8175-00 Allgemein\Datenbank\PV_FFA_Datenbank_FE.accdb" keepAlive="1" name="PV_FFA_Datenbank_FE310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rößenklasse], [Gebotsmenge], [Anzahl Gebote], [Mittlere Gebotsmenge], [Zuschlagsmenge], [Anzahl Zuschläge], [Mittlere Zuschlagsmenge] FROM [qryVStat_Wind_Größenklasse2_Gebote+Zuschläge] WHERE GebotsterminID=63 AND TechnologieID=2;" commandType="3"/>
  </connection>
  <connection id="46" xr16:uid="{00000000-0015-0000-FFFF-FFFF2D000000}" sourceFile="J:\Referatslaufwerk\EEG\8175 Ausschreibungen\8175-00 Allgemein\Datenbank\PV_FFA_Datenbank_FE.accdb" keepAlive="1" name="PV_FFA_Datenbank_FE32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rößenklasse], [Gebotsmenge], [Anzahl Gebote], [Mittlere Gebotsmenge], [Zuschlagsmenge], [Anzahl Zuschläge], [Mittlere Zuschlagsmenge] FROM [qryVStat_Wind_Größenklasse2_Gebote+Zuschläge] WHERE GebotsterminID=39 AND TechnologieID=2;" commandType="3"/>
  </connection>
  <connection id="47" xr16:uid="{00000000-0015-0000-FFFF-FFFF2E000000}" sourceFile="J:\Referatslaufwerk\EEG\8175 Ausschreibungen\8175-00 Allgemein\Datenbank\PV_FFA_Datenbank_FE.accdb" keepAlive="1" name="PV_FFA_Datenbank_FE33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rößenklasse], [Gebotsmenge], [Anzahl Gebote], [Mittlere Gebotsmenge], [Zuschlagsmenge], [Anzahl Zuschläge], [Mittlere Zuschlagsmenge] FROM [qryVStat_Wind_Größenklasse2_Gebote+Zuschläge] WHERE GebotsterminID=41 AND TechnologieID=2;" commandType="3"/>
  </connection>
  <connection id="48" xr16:uid="{00000000-0015-0000-FFFF-FFFF2F000000}" sourceFile="J:\Referatslaufwerk\EEG\8175 Ausschreibungen\8175-00 Allgemein\Datenbank\PV_FFA_Datenbank_FE.accdb" keepAlive="1" name="PV_FFA_Datenbank_FE34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rößenklasse], [Gebotsmenge], [Anzahl Gebote], [Mittlere Gebotsmenge], [Zuschlagsmenge], [Anzahl Zuschläge], [Mittlere Zuschlagsmenge] FROM [qryVStat_Wind_Größenklasse2_Gebote+Zuschläge] WHERE GebotsterminID=47 AND TechnologieID=2;" commandType="3"/>
  </connection>
  <connection id="49" xr16:uid="{00000000-0015-0000-FFFF-FFFF30000000}" sourceFile="J:\Referatslaufwerk\EEG\8175 Ausschreibungen\8175-00 Allgemein\Datenbank\PV_FFA_Datenbank_FE.accdb" keepAlive="1" name="PV_FFA_Datenbank_FE35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rößenklasse], [Gebotsmenge], [Anzahl Gebote], [Mittlere Gebotsmenge], [Zuschlagsmenge], [Anzahl Zuschläge], [Mittlere Zuschlagsmenge] FROM [qryVStat_Wind_Größenklasse2_Gebote+Zuschläge] WHERE GebotsterminID=49 AND TechnologieID=2;" commandType="3"/>
  </connection>
  <connection id="50" xr16:uid="{00000000-0015-0000-FFFF-FFFF31000000}" sourceFile="J:\Referatslaufwerk\EEG\8175 Ausschreibungen\8175-00 Allgemein\Datenbank\PV_FFA_Datenbank_FE.accdb" keepAlive="1" name="PV_FFA_Datenbank_FE36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rößenklasse], [Gebotsmenge], [Anzahl Gebote], [Mittlere Gebotsmenge], [Zuschlagsmenge], [Anzahl Zuschläge], [Mittlere Zuschlagsmenge] FROM [qryVStat_Wind_Größenklasse2_Gebote+Zuschläge] WHERE GebotsterminID=52 AND TechnologieID=2;" commandType="3"/>
  </connection>
  <connection id="51" xr16:uid="{00000000-0015-0000-FFFF-FFFF32000000}" sourceFile="J:\Referatslaufwerk\EEG\8175 Ausschreibungen\8175-00 Allgemein\Datenbank\PV_FFA_Datenbank_FE.accdb" keepAlive="1" name="PV_FFA_Datenbank_FE37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rößenklasse], [Gebotsmenge], [Anzahl Gebote], [Mittlere Gebotsmenge], [Zuschlagsmenge], [Anzahl Zuschläge], [Mittlere Zuschlagsmenge] FROM [qryVStat_Wind_Größenklasse2_Gebote+Zuschläge] WHERE GebotsterminID=54 AND TechnologieID=2;" commandType="3"/>
  </connection>
  <connection id="52" xr16:uid="{00000000-0015-0000-FFFF-FFFF33000000}" sourceFile="J:\Referatslaufwerk\EEG\8175 Ausschreibungen\8175-00 Allgemein\Datenbank\PV_FFA_Datenbank_FE.accdb" keepAlive="1" name="PV_FFA_Datenbank_FE38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rößenklasse], [Gebotsmenge], [Anzahl Gebote], [Mittlere Gebotsmenge], [Zuschlagsmenge], [Anzahl Zuschläge], [Mittlere Zuschlagsmenge] FROM [qryVStat_Wind_Größenklasse2_Gebote+Zuschläge] WHERE GebotsterminID=58 AND TechnologieID=2;" commandType="3"/>
  </connection>
  <connection id="53" xr16:uid="{00000000-0015-0000-FFFF-FFFF34000000}" sourceFile="J:\Referatslaufwerk\EEG\8175 Ausschreibungen\8175-00 Allgemein\Datenbank\PV_FFA_Datenbank_FE.accdb" keepAlive="1" name="PV_FFA_Datenbank_FE39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rößenklasse], [Gebotsmenge], [Anzahl Gebote], [Mittlere Gebotsmenge], [Zuschlagsmenge], [Anzahl Zuschläge], [Mittlere Zuschlagsmenge] FROM [qryVStat_Wind_Größenklasse2_Gebote+Zuschläge] WHERE GebotsterminID=59 AND TechnologieID=2;" commandType="3"/>
  </connection>
  <connection id="54" xr16:uid="{00000000-0015-0000-FFFF-FFFF35000000}" sourceFile="J:\Referatslaufwerk\EEG\8175 Ausschreibungen\8175-00 Allgemein\Datenbank\PV_FFA_Datenbank_FE.accdb" keepAlive="1" name="qryVStat_Allgemein2_AlleRunden_Ausschlüsse" type="5" refreshedVersion="4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ELECT [AusschlussM], [Anzahl Ausschlüsse] FROM [qryVStat_Allgemein2_AlleRunden] WHERE GebotsterminID=32;" commandType="3"/>
  </connection>
  <connection id="55" xr16:uid="{00000000-0015-0000-FFFF-FFFF36000000}" sourceFile="J:\Referatslaufwerk\EEG\8175 Ausschreibungen\8175-00 Allgemein\Datenbank\PV_FFA_Datenbank_FE.accdb" keepAlive="1" name="qryVStat_Allgemein2_AlleRunden_Ausschlüsse1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lussM], [Anzahl Ausschlüsse] FROM [qryVStat_Allgemein2_AlleRunden] WHERE GebotsterminID=33;" commandType="3"/>
  </connection>
  <connection id="56" xr16:uid="{00000000-0015-0000-FFFF-FFFF37000000}" sourceFile="J:\Referatslaufwerk\EEG\8175 Ausschreibungen\8175-00 Allgemein\Datenbank\PV_FFA_Datenbank_FE.accdb" keepAlive="1" name="qryVStat_Allgemein2_AlleRunden_Ausschlüsse10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lussM], [Anzahl Ausschlüsse] FROM [qryVStat_Allgemein2_AlleRunden] WHERE GebotsterminID=63;" commandType="3"/>
  </connection>
  <connection id="57" xr16:uid="{00000000-0015-0000-FFFF-FFFF38000000}" sourceFile="J:\Referatslaufwerk\EEG\8175 Ausschreibungen\8175-00 Allgemein\Datenbank\PV_FFA_Datenbank_FE.accdb" keepAlive="1" name="qryVStat_Allgemein2_AlleRunden_Ausschlüsse2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lussM], [Anzahl Ausschlüsse] FROM [qryVStat_Allgemein2_AlleRunden] WHERE GebotsterminID=39;" commandType="3"/>
  </connection>
  <connection id="58" xr16:uid="{00000000-0015-0000-FFFF-FFFF39000000}" sourceFile="J:\Referatslaufwerk\EEG\8175 Ausschreibungen\8175-00 Allgemein\Datenbank\PV_FFA_Datenbank_FE.accdb" keepAlive="1" name="qryVStat_Allgemein2_AlleRunden_Ausschlüsse3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lussM], [Anzahl Ausschlüsse] FROM [qryVStat_Allgemein2_AlleRunden] WHERE GebotsterminID=41;" commandType="3"/>
  </connection>
  <connection id="59" xr16:uid="{00000000-0015-0000-FFFF-FFFF3A000000}" sourceFile="J:\Referatslaufwerk\EEG\8175 Ausschreibungen\8175-00 Allgemein\Datenbank\PV_FFA_Datenbank_FE.accdb" keepAlive="1" name="qryVStat_Allgemein2_AlleRunden_Ausschlüsse4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lussM], [Anzahl Ausschlüsse] FROM [qryVStat_Allgemein2_AlleRunden] WHERE GebotsterminID=47;" commandType="3"/>
  </connection>
  <connection id="60" xr16:uid="{00000000-0015-0000-FFFF-FFFF3B000000}" sourceFile="J:\Referatslaufwerk\EEG\8175 Ausschreibungen\8175-00 Allgemein\Datenbank\PV_FFA_Datenbank_FE.accdb" keepAlive="1" name="qryVStat_Allgemein2_AlleRunden_Ausschlüsse5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lussM], [Anzahl Ausschlüsse] FROM [qryVStat_Allgemein2_AlleRunden] WHERE GebotsterminID=49;" commandType="3"/>
  </connection>
  <connection id="61" xr16:uid="{00000000-0015-0000-FFFF-FFFF3C000000}" sourceFile="J:\Referatslaufwerk\EEG\8175 Ausschreibungen\8175-00 Allgemein\Datenbank\PV_FFA_Datenbank_FE.accdb" keepAlive="1" name="qryVStat_Allgemein2_AlleRunden_Ausschlüsse6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lussM], [Anzahl Ausschlüsse] FROM [qryVStat_Allgemein2_AlleRunden] WHERE GebotsterminID=52;" commandType="3"/>
  </connection>
  <connection id="62" xr16:uid="{00000000-0015-0000-FFFF-FFFF3D000000}" sourceFile="J:\Referatslaufwerk\EEG\8175 Ausschreibungen\8175-00 Allgemein\Datenbank\PV_FFA_Datenbank_FE.accdb" keepAlive="1" name="qryVStat_Allgemein2_AlleRunden_Ausschlüsse7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lussM], [Anzahl Ausschlüsse] FROM [qryVStat_Allgemein2_AlleRunden] WHERE GebotsterminID=54;" commandType="3"/>
  </connection>
  <connection id="63" xr16:uid="{00000000-0015-0000-FFFF-FFFF3E000000}" sourceFile="J:\Referatslaufwerk\EEG\8175 Ausschreibungen\8175-00 Allgemein\Datenbank\PV_FFA_Datenbank_FE.accdb" keepAlive="1" name="qryVStat_Allgemein2_AlleRunden_Ausschlüsse8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lussM], [Anzahl Ausschlüsse] FROM [qryVStat_Allgemein2_AlleRunden] WHERE GebotsterminID=58;" commandType="3"/>
  </connection>
  <connection id="64" xr16:uid="{00000000-0015-0000-FFFF-FFFF3F000000}" sourceFile="J:\Referatslaufwerk\EEG\8175 Ausschreibungen\8175-00 Allgemein\Datenbank\PV_FFA_Datenbank_FE.accdb" keepAlive="1" name="qryVStat_Allgemein2_AlleRunden_Ausschlüsse9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lussM], [Anzahl Ausschlüsse] FROM [qryVStat_Allgemein2_AlleRunden] WHERE GebotsterminID=59;" commandType="3"/>
  </connection>
  <connection id="65" xr16:uid="{00000000-0015-0000-FFFF-FFFF40000000}" sourceFile="J:\Referatslaufwerk\EEG\8175 Ausschreibungen\8175-00 Allgemein\Datenbank\PV_FFA_Datenbank_FE.accdb" keepAlive="1" name="qryVStat_Allgemein2_AlleRunden_AusschreibungsV" type="5" refreshedVersion="4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ELECT [Ausschreibungsvolumen], [Höchstwert] FROM [qryVStat_Allgemein2_AlleRunden] WHERE GebotsterminID=32;" commandType="3"/>
  </connection>
  <connection id="66" xr16:uid="{00000000-0015-0000-FFFF-FFFF41000000}" sourceFile="J:\Referatslaufwerk\EEG\8175 Ausschreibungen\8175-00 Allgemein\Datenbank\PV_FFA_Datenbank_FE.accdb" keepAlive="1" name="qryVStat_Allgemein2_AlleRunden_AusschreibungsV1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reibungsvolumen], [Höchstwert] FROM [qryVStat_Allgemein2_AlleRunden] WHERE GebotsterminID=33;" commandType="3"/>
  </connection>
  <connection id="67" xr16:uid="{00000000-0015-0000-FFFF-FFFF42000000}" sourceFile="J:\Referatslaufwerk\EEG\8175 Ausschreibungen\8175-00 Allgemein\Datenbank\PV_FFA_Datenbank_FE.accdb" keepAlive="1" name="qryVStat_Allgemein2_AlleRunden_AusschreibungsV10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reibungsvolumen], [Höchstwert] FROM [qryVStat_Allgemein2_AlleRunden] WHERE GebotsterminID=63;" commandType="3"/>
  </connection>
  <connection id="68" xr16:uid="{00000000-0015-0000-FFFF-FFFF43000000}" sourceFile="J:\Referatslaufwerk\EEG\8175 Ausschreibungen\8175-00 Allgemein\Datenbank\PV_FFA_Datenbank_FE.accdb" keepAlive="1" name="qryVStat_Allgemein2_AlleRunden_AusschreibungsV2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reibungsvolumen], [Höchstwert] FROM [qryVStat_Allgemein2_AlleRunden] WHERE GebotsterminID=39;" commandType="3"/>
  </connection>
  <connection id="69" xr16:uid="{00000000-0015-0000-FFFF-FFFF44000000}" sourceFile="J:\Referatslaufwerk\EEG\8175 Ausschreibungen\8175-00 Allgemein\Datenbank\PV_FFA_Datenbank_FE.accdb" keepAlive="1" name="qryVStat_Allgemein2_AlleRunden_AusschreibungsV3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reibungsvolumen], [Höchstwert] FROM [qryVStat_Allgemein2_AlleRunden] WHERE GebotsterminID=41;" commandType="3"/>
  </connection>
  <connection id="70" xr16:uid="{00000000-0015-0000-FFFF-FFFF45000000}" sourceFile="J:\Referatslaufwerk\EEG\8175 Ausschreibungen\8175-00 Allgemein\Datenbank\PV_FFA_Datenbank_FE.accdb" keepAlive="1" name="qryVStat_Allgemein2_AlleRunden_AusschreibungsV4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reibungsvolumen], [Höchstwert] FROM [qryVStat_Allgemein2_AlleRunden] WHERE GebotsterminID=47;" commandType="3"/>
  </connection>
  <connection id="71" xr16:uid="{00000000-0015-0000-FFFF-FFFF46000000}" sourceFile="J:\Referatslaufwerk\EEG\8175 Ausschreibungen\8175-00 Allgemein\Datenbank\PV_FFA_Datenbank_FE.accdb" keepAlive="1" name="qryVStat_Allgemein2_AlleRunden_AusschreibungsV5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reibungsvolumen], [Höchstwert] FROM [qryVStat_Allgemein2_AlleRunden] WHERE GebotsterminID=49;" commandType="3"/>
  </connection>
  <connection id="72" xr16:uid="{00000000-0015-0000-FFFF-FFFF47000000}" sourceFile="J:\Referatslaufwerk\EEG\8175 Ausschreibungen\8175-00 Allgemein\Datenbank\PV_FFA_Datenbank_FE.accdb" keepAlive="1" name="qryVStat_Allgemein2_AlleRunden_AusschreibungsV6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reibungsvolumen], [Höchstwert] FROM [qryVStat_Allgemein2_AlleRunden] WHERE GebotsterminID=52;" commandType="3"/>
  </connection>
  <connection id="73" xr16:uid="{00000000-0015-0000-FFFF-FFFF48000000}" sourceFile="J:\Referatslaufwerk\EEG\8175 Ausschreibungen\8175-00 Allgemein\Datenbank\PV_FFA_Datenbank_FE.accdb" keepAlive="1" name="qryVStat_Allgemein2_AlleRunden_AusschreibungsV7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reibungsvolumen], [Höchstwert] FROM [qryVStat_Allgemein2_AlleRunden] WHERE GebotsterminID=54;" commandType="3"/>
  </connection>
  <connection id="74" xr16:uid="{00000000-0015-0000-FFFF-FFFF49000000}" sourceFile="J:\Referatslaufwerk\EEG\8175 Ausschreibungen\8175-00 Allgemein\Datenbank\PV_FFA_Datenbank_FE.accdb" keepAlive="1" name="qryVStat_Allgemein2_AlleRunden_AusschreibungsV8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reibungsvolumen], [Höchstwert] FROM [qryVStat_Allgemein2_AlleRunden] WHERE GebotsterminID=58;" commandType="3"/>
  </connection>
  <connection id="75" xr16:uid="{00000000-0015-0000-FFFF-FFFF4A000000}" sourceFile="J:\Referatslaufwerk\EEG\8175 Ausschreibungen\8175-00 Allgemein\Datenbank\PV_FFA_Datenbank_FE.accdb" keepAlive="1" name="qryVStat_Allgemein2_AlleRunden_AusschreibungsV9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Ausschreibungsvolumen], [Höchstwert] FROM [qryVStat_Allgemein2_AlleRunden] WHERE GebotsterminID=59;" commandType="3"/>
  </connection>
  <connection id="76" xr16:uid="{00000000-0015-0000-FFFF-FFFF4B000000}" sourceFile="J:\Referatslaufwerk\EEG\8175 Ausschreibungen\8175-00 Allgemein\Datenbank\PV_FFA_Datenbank_FE.accdb" keepAlive="1" name="qryVStat_Allgemein2_AlleRunden_Gebote" type="5" refreshedVersion="4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ELECT [GebotsM], [Anzahl Gebote], [Min GebotsM], [Max GebotsM], [Mittel GebotsM], [Min GebotsW], [Max GebotsW], [Gew Mittel GebotsW] FROM [qryVStat_Allgemein2_AlleRunden] WHERE GebotsterminID=32;" commandType="3"/>
  </connection>
  <connection id="77" xr16:uid="{00000000-0015-0000-FFFF-FFFF4C000000}" sourceFile="J:\Referatslaufwerk\EEG\8175 Ausschreibungen\8175-00 Allgemein\Datenbank\PV_FFA_Datenbank_FE.accdb" keepAlive="1" name="qryVStat_Allgemein2_AlleRunden_Gebote1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ebotsM], [Anzahl Gebote], [Min GebotsM], [Max GebotsM], [Mittel GebotsM], [Min GebotsW], [Max GebotsW], [Gew Mittel GebotsW] FROM [qryVStat_Allgemein2_AlleRunden] WHERE GebotsterminID=33;" commandType="3"/>
  </connection>
  <connection id="78" xr16:uid="{00000000-0015-0000-FFFF-FFFF4D000000}" sourceFile="J:\Referatslaufwerk\EEG\8175 Ausschreibungen\8175-00 Allgemein\Datenbank\PV_FFA_Datenbank_FE.accdb" keepAlive="1" name="qryVStat_Allgemein2_AlleRunden_Gebote10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ebotsM], [Anzahl Gebote], [Min GebotsM], [Max GebotsM], [Mittel GebotsM], [Min GebotsW], [Max GebotsW], [Gew Mittel GebotsW] FROM [qryVStat_Allgemein2_AlleRunden] WHERE GebotsterminID=63;" commandType="3"/>
  </connection>
  <connection id="79" xr16:uid="{00000000-0015-0000-FFFF-FFFF4E000000}" sourceFile="J:\Referatslaufwerk\EEG\8175 Ausschreibungen\8175-00 Allgemein\Datenbank\PV_FFA_Datenbank_FE.accdb" keepAlive="1" name="qryVStat_Allgemein2_AlleRunden_Gebote2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ebotsM], [Anzahl Gebote], [Min GebotsM], [Max GebotsM], [Mittel GebotsM], [Min GebotsW], [Max GebotsW], [Gew Mittel GebotsW] FROM [qryVStat_Allgemein2_AlleRunden] WHERE GebotsterminID=39;" commandType="3"/>
  </connection>
  <connection id="80" xr16:uid="{00000000-0015-0000-FFFF-FFFF4F000000}" sourceFile="J:\Referatslaufwerk\EEG\8175 Ausschreibungen\8175-00 Allgemein\Datenbank\PV_FFA_Datenbank_FE.accdb" keepAlive="1" name="qryVStat_Allgemein2_AlleRunden_Gebote3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ebotsM], [Anzahl Gebote], [Min GebotsM], [Max GebotsM], [Mittel GebotsM], [Min GebotsW], [Max GebotsW], [Gew Mittel GebotsW] FROM [qryVStat_Allgemein2_AlleRunden] WHERE GebotsterminID=41;" commandType="3"/>
  </connection>
  <connection id="81" xr16:uid="{00000000-0015-0000-FFFF-FFFF50000000}" sourceFile="J:\Referatslaufwerk\EEG\8175 Ausschreibungen\8175-00 Allgemein\Datenbank\PV_FFA_Datenbank_FE.accdb" keepAlive="1" name="qryVStat_Allgemein2_AlleRunden_Gebote4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ebotsM], [Anzahl Gebote], [Min GebotsM], [Max GebotsM], [Mittel GebotsM], [Min GebotsW], [Max GebotsW], [Gew Mittel GebotsW] FROM [qryVStat_Allgemein2_AlleRunden] WHERE GebotsterminID=47;" commandType="3"/>
  </connection>
  <connection id="82" xr16:uid="{00000000-0015-0000-FFFF-FFFF51000000}" sourceFile="J:\Referatslaufwerk\EEG\8175 Ausschreibungen\8175-00 Allgemein\Datenbank\PV_FFA_Datenbank_FE.accdb" keepAlive="1" name="qryVStat_Allgemein2_AlleRunden_Gebote5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ebotsM], [Anzahl Gebote], [Min GebotsM], [Max GebotsM], [Mittel GebotsM], [Min GebotsW], [Max GebotsW], [Gew Mittel GebotsW] FROM [qryVStat_Allgemein2_AlleRunden] WHERE GebotsterminID=49;" commandType="3"/>
  </connection>
  <connection id="83" xr16:uid="{00000000-0015-0000-FFFF-FFFF52000000}" sourceFile="J:\Referatslaufwerk\EEG\8175 Ausschreibungen\8175-00 Allgemein\Datenbank\PV_FFA_Datenbank_FE.accdb" keepAlive="1" name="qryVStat_Allgemein2_AlleRunden_Gebote6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ebotsM], [Anzahl Gebote], [Min GebotsM], [Max GebotsM], [Mittel GebotsM], [Min GebotsW], [Max GebotsW], [Gew Mittel GebotsW] FROM [qryVStat_Allgemein2_AlleRunden] WHERE GebotsterminID=52;" commandType="3"/>
  </connection>
  <connection id="84" xr16:uid="{00000000-0015-0000-FFFF-FFFF53000000}" sourceFile="J:\Referatslaufwerk\EEG\8175 Ausschreibungen\8175-00 Allgemein\Datenbank\PV_FFA_Datenbank_FE.accdb" keepAlive="1" name="qryVStat_Allgemein2_AlleRunden_Gebote7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ebotsM], [Anzahl Gebote], [Min GebotsM], [Max GebotsM], [Mittel GebotsM], [Min GebotsW], [Max GebotsW], [Gew Mittel GebotsW] FROM [qryVStat_Allgemein2_AlleRunden] WHERE GebotsterminID=54;" commandType="3"/>
  </connection>
  <connection id="85" xr16:uid="{00000000-0015-0000-FFFF-FFFF54000000}" sourceFile="J:\Referatslaufwerk\EEG\8175 Ausschreibungen\8175-00 Allgemein\Datenbank\PV_FFA_Datenbank_FE.accdb" keepAlive="1" name="qryVStat_Allgemein2_AlleRunden_Gebote8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ebotsM], [Anzahl Gebote], [Min GebotsM], [Max GebotsM], [Mittel GebotsM], [Min GebotsW], [Max GebotsW], [Gew Mittel GebotsW] FROM [qryVStat_Allgemein2_AlleRunden] WHERE GebotsterminID=58;" commandType="3"/>
  </connection>
  <connection id="86" xr16:uid="{00000000-0015-0000-FFFF-FFFF55000000}" sourceFile="J:\Referatslaufwerk\EEG\8175 Ausschreibungen\8175-00 Allgemein\Datenbank\PV_FFA_Datenbank_FE.accdb" keepAlive="1" name="qryVStat_Allgemein2_AlleRunden_Gebote9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GebotsM], [Anzahl Gebote], [Min GebotsM], [Max GebotsM], [Mittel GebotsM], [Min GebotsW], [Max GebotsW], [Gew Mittel GebotsW] FROM [qryVStat_Allgemein2_AlleRunden] WHERE GebotsterminID=59;" commandType="3"/>
  </connection>
  <connection id="87" xr16:uid="{00000000-0015-0000-FFFF-FFFF56000000}" sourceFile="J:\Referatslaufwerk\EEG\8175 Ausschreibungen\8175-00 Allgemein\Datenbank\PV_FFA_Datenbank_FE.accdb" keepAlive="1" name="qryVStat_Allgemein2_AlleRunden_Zuschläge_NachZS" type="5" refreshedVersion="4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ELECT [ZuschlagsM_NachZS], [Anzahl Zuschläge_NachZS]  FROM [qryVStat_Allgemein2_AlleRunden] WHERE GebotsterminID=32;" commandType="3"/>
  </connection>
  <connection id="88" xr16:uid="{00000000-0015-0000-FFFF-FFFF57000000}" sourceFile="J:\Referatslaufwerk\EEG\8175 Ausschreibungen\8175-00 Allgemein\Datenbank\PV_FFA_Datenbank_FE.accdb" keepAlive="1" name="qryVStat_Allgemein2_AlleRunden_Zuschläge_NachZS1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NachZS], [Anzahl Zuschläge_NachZS]  FROM [qryVStat_Allgemein2_AlleRunden] WHERE GebotsterminID=33;" commandType="3"/>
  </connection>
  <connection id="89" xr16:uid="{00000000-0015-0000-FFFF-FFFF58000000}" sourceFile="J:\Referatslaufwerk\EEG\8175 Ausschreibungen\8175-00 Allgemein\Datenbank\PV_FFA_Datenbank_FE.accdb" keepAlive="1" name="qryVStat_Allgemein2_AlleRunden_Zuschläge_NachZS10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NachZS], [Anzahl Zuschläge_NachZS]  FROM [qryVStat_Allgemein2_AlleRunden] WHERE GebotsterminID=63;" commandType="3"/>
  </connection>
  <connection id="90" xr16:uid="{00000000-0015-0000-FFFF-FFFF59000000}" sourceFile="J:\Referatslaufwerk\EEG\8175 Ausschreibungen\8175-00 Allgemein\Datenbank\PV_FFA_Datenbank_FE.accdb" keepAlive="1" name="qryVStat_Allgemein2_AlleRunden_Zuschläge_NachZS2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NachZS], [Anzahl Zuschläge_NachZS]  FROM [qryVStat_Allgemein2_AlleRunden] WHERE GebotsterminID=39;" commandType="3"/>
  </connection>
  <connection id="91" xr16:uid="{00000000-0015-0000-FFFF-FFFF5A000000}" sourceFile="J:\Referatslaufwerk\EEG\8175 Ausschreibungen\8175-00 Allgemein\Datenbank\PV_FFA_Datenbank_FE.accdb" keepAlive="1" name="qryVStat_Allgemein2_AlleRunden_Zuschläge_NachZS3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NachZS], [Anzahl Zuschläge_NachZS]  FROM [qryVStat_Allgemein2_AlleRunden] WHERE GebotsterminID=41;" commandType="3"/>
  </connection>
  <connection id="92" xr16:uid="{00000000-0015-0000-FFFF-FFFF5B000000}" sourceFile="J:\Referatslaufwerk\EEG\8175 Ausschreibungen\8175-00 Allgemein\Datenbank\PV_FFA_Datenbank_FE.accdb" keepAlive="1" name="qryVStat_Allgemein2_AlleRunden_Zuschläge_NachZS4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NachZS], [Anzahl Zuschläge_NachZS]  FROM [qryVStat_Allgemein2_AlleRunden] WHERE GebotsterminID=47;" commandType="3"/>
  </connection>
  <connection id="93" xr16:uid="{00000000-0015-0000-FFFF-FFFF5C000000}" sourceFile="J:\Referatslaufwerk\EEG\8175 Ausschreibungen\8175-00 Allgemein\Datenbank\PV_FFA_Datenbank_FE.accdb" keepAlive="1" name="qryVStat_Allgemein2_AlleRunden_Zuschläge_NachZS5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NachZS], [Anzahl Zuschläge_NachZS]  FROM [qryVStat_Allgemein2_AlleRunden] WHERE GebotsterminID=49;" commandType="3"/>
  </connection>
  <connection id="94" xr16:uid="{00000000-0015-0000-FFFF-FFFF5D000000}" sourceFile="J:\Referatslaufwerk\EEG\8175 Ausschreibungen\8175-00 Allgemein\Datenbank\PV_FFA_Datenbank_FE.accdb" keepAlive="1" name="qryVStat_Allgemein2_AlleRunden_Zuschläge_NachZS6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NachZS], [Anzahl Zuschläge_NachZS]  FROM [qryVStat_Allgemein2_AlleRunden] WHERE GebotsterminID=52;" commandType="3"/>
  </connection>
  <connection id="95" xr16:uid="{00000000-0015-0000-FFFF-FFFF5E000000}" sourceFile="J:\Referatslaufwerk\EEG\8175 Ausschreibungen\8175-00 Allgemein\Datenbank\PV_FFA_Datenbank_FE.accdb" keepAlive="1" name="qryVStat_Allgemein2_AlleRunden_Zuschläge_NachZS7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NachZS], [Anzahl Zuschläge_NachZS]  FROM [qryVStat_Allgemein2_AlleRunden] WHERE GebotsterminID=54;" commandType="3"/>
  </connection>
  <connection id="96" xr16:uid="{00000000-0015-0000-FFFF-FFFF5F000000}" sourceFile="J:\Referatslaufwerk\EEG\8175 Ausschreibungen\8175-00 Allgemein\Datenbank\PV_FFA_Datenbank_FE.accdb" keepAlive="1" name="qryVStat_Allgemein2_AlleRunden_Zuschläge_NachZS8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NachZS], [Anzahl Zuschläge_NachZS]  FROM [qryVStat_Allgemein2_AlleRunden] WHERE GebotsterminID=58;" commandType="3"/>
  </connection>
  <connection id="97" xr16:uid="{00000000-0015-0000-FFFF-FFFF60000000}" sourceFile="J:\Referatslaufwerk\EEG\8175 Ausschreibungen\8175-00 Allgemein\Datenbank\PV_FFA_Datenbank_FE.accdb" keepAlive="1" name="qryVStat_Allgemein2_AlleRunden_Zuschläge_NachZS9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NachZS], [Anzahl Zuschläge_NachZS]  FROM [qryVStat_Allgemein2_AlleRunden] WHERE GebotsterminID=59;" commandType="3"/>
  </connection>
  <connection id="98" xr16:uid="{00000000-0015-0000-FFFF-FFFF61000000}" sourceFile="J:\Referatslaufwerk\EEG\8175 Ausschreibungen\8175-00 Allgemein\Datenbank\PV_FFA_Datenbank_FE.accdb" keepAlive="1" name="qryVStat_Allgemein2_AlleRunden_Zuschläge_VorZS" type="5" refreshedVersion="4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ELECT [ZuschlagsM_VorZS], [Anzahl Zuschläge_VorZS], [Min ZuschlagsM], [Max ZuschlagsM], [Mittel ZuschlagsM], [Min ZuschlagsW], [Max ZuschlagsW], [Gew Mittel ZuschlagsW] FROM [qryVStat_Allgemein2_AlleRunden] WHERE GebotsterminID=32;" commandType="3"/>
  </connection>
  <connection id="99" xr16:uid="{00000000-0015-0000-FFFF-FFFF62000000}" sourceFile="J:\Referatslaufwerk\EEG\8175 Ausschreibungen\8175-00 Allgemein\Datenbank\PV_FFA_Datenbank_FE.accdb" keepAlive="1" name="qryVStat_Allgemein2_AlleRunden_Zuschläge_VorZS1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VorZS], [Anzahl Zuschläge_VorZS], [Min ZuschlagsM], [Max ZuschlagsM], [Mittel ZuschlagsM], [Min ZuschlagsW], [Max ZuschlagsW], [Gew Mittel ZuschlagsW] FROM [qryVStat_Allgemein2_AlleRunden] WHERE GebotsterminID=33;" commandType="3"/>
  </connection>
  <connection id="100" xr16:uid="{00000000-0015-0000-FFFF-FFFF63000000}" sourceFile="J:\Referatslaufwerk\EEG\8175 Ausschreibungen\8175-00 Allgemein\Datenbank\PV_FFA_Datenbank_FE.accdb" keepAlive="1" name="qryVStat_Allgemein2_AlleRunden_Zuschläge_VorZS10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VorZS], [Anzahl Zuschläge_VorZS], [Min ZuschlagsM], [Max ZuschlagsM], [Mittel ZuschlagsM], [Min ZuschlagsW], [Max ZuschlagsW], [Gew Mittel ZuschlagsW] FROM [qryVStat_Allgemein2_AlleRunden] WHERE GebotsterminID=63;" commandType="3"/>
  </connection>
  <connection id="101" xr16:uid="{00000000-0015-0000-FFFF-FFFF64000000}" sourceFile="J:\Referatslaufwerk\EEG\8175 Ausschreibungen\8175-00 Allgemein\Datenbank\PV_FFA_Datenbank_FE.accdb" keepAlive="1" name="qryVStat_Allgemein2_AlleRunden_Zuschläge_VorZS2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VorZS], [Anzahl Zuschläge_VorZS], [Min ZuschlagsM], [Max ZuschlagsM], [Mittel ZuschlagsM], [Min ZuschlagsW], [Max ZuschlagsW], [Gew Mittel ZuschlagsW] FROM [qryVStat_Allgemein2_AlleRunden] WHERE GebotsterminID=39;" commandType="3"/>
  </connection>
  <connection id="102" xr16:uid="{00000000-0015-0000-FFFF-FFFF65000000}" sourceFile="J:\Referatslaufwerk\EEG\8175 Ausschreibungen\8175-00 Allgemein\Datenbank\PV_FFA_Datenbank_FE.accdb" keepAlive="1" name="qryVStat_Allgemein2_AlleRunden_Zuschläge_VorZS3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VorZS], [Anzahl Zuschläge_VorZS], [Min ZuschlagsM], [Max ZuschlagsM], [Mittel ZuschlagsM], [Min ZuschlagsW], [Max ZuschlagsW], [Gew Mittel ZuschlagsW] FROM [qryVStat_Allgemein2_AlleRunden] WHERE GebotsterminID=41;" commandType="3"/>
  </connection>
  <connection id="103" xr16:uid="{00000000-0015-0000-FFFF-FFFF66000000}" sourceFile="J:\Referatslaufwerk\EEG\8175 Ausschreibungen\8175-00 Allgemein\Datenbank\PV_FFA_Datenbank_FE.accdb" keepAlive="1" name="qryVStat_Allgemein2_AlleRunden_Zuschläge_VorZS4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VorZS], [Anzahl Zuschläge_VorZS], [Min ZuschlagsM], [Max ZuschlagsM], [Mittel ZuschlagsM], [Min ZuschlagsW], [Max ZuschlagsW], [Gew Mittel ZuschlagsW] FROM [qryVStat_Allgemein2_AlleRunden] WHERE GebotsterminID=47;" commandType="3"/>
  </connection>
  <connection id="104" xr16:uid="{00000000-0015-0000-FFFF-FFFF67000000}" sourceFile="J:\Referatslaufwerk\EEG\8175 Ausschreibungen\8175-00 Allgemein\Datenbank\PV_FFA_Datenbank_FE.accdb" keepAlive="1" name="qryVStat_Allgemein2_AlleRunden_Zuschläge_VorZS5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VorZS], [Anzahl Zuschläge_VorZS], [Min ZuschlagsM], [Max ZuschlagsM], [Mittel ZuschlagsM], [Min ZuschlagsW], [Max ZuschlagsW], [Gew Mittel ZuschlagsW] FROM [qryVStat_Allgemein2_AlleRunden] WHERE GebotsterminID=49;" commandType="3"/>
  </connection>
  <connection id="105" xr16:uid="{00000000-0015-0000-FFFF-FFFF68000000}" sourceFile="J:\Referatslaufwerk\EEG\8175 Ausschreibungen\8175-00 Allgemein\Datenbank\PV_FFA_Datenbank_FE.accdb" keepAlive="1" name="qryVStat_Allgemein2_AlleRunden_Zuschläge_VorZS6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VorZS], [Anzahl Zuschläge_VorZS], [Min ZuschlagsM], [Max ZuschlagsM], [Mittel ZuschlagsM], [Min ZuschlagsW], [Max ZuschlagsW], [Gew Mittel ZuschlagsW] FROM [qryVStat_Allgemein2_AlleRunden] WHERE GebotsterminID=52;" commandType="3"/>
  </connection>
  <connection id="106" xr16:uid="{00000000-0015-0000-FFFF-FFFF69000000}" sourceFile="J:\Referatslaufwerk\EEG\8175 Ausschreibungen\8175-00 Allgemein\Datenbank\PV_FFA_Datenbank_FE.accdb" keepAlive="1" name="qryVStat_Allgemein2_AlleRunden_Zuschläge_VorZS7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VorZS], [Anzahl Zuschläge_VorZS], [Min ZuschlagsM], [Max ZuschlagsM], [Mittel ZuschlagsM], [Min ZuschlagsW], [Max ZuschlagsW], [Gew Mittel ZuschlagsW] FROM [qryVStat_Allgemein2_AlleRunden] WHERE GebotsterminID=54;" commandType="3"/>
  </connection>
  <connection id="107" xr16:uid="{00000000-0015-0000-FFFF-FFFF6A000000}" sourceFile="J:\Referatslaufwerk\EEG\8175 Ausschreibungen\8175-00 Allgemein\Datenbank\PV_FFA_Datenbank_FE.accdb" keepAlive="1" name="qryVStat_Allgemein2_AlleRunden_Zuschläge_VorZS8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VorZS], [Anzahl Zuschläge_VorZS], [Min ZuschlagsM], [Max ZuschlagsM], [Mittel ZuschlagsM], [Min ZuschlagsW], [Max ZuschlagsW], [Gew Mittel ZuschlagsW] FROM [qryVStat_Allgemein2_AlleRunden] WHERE GebotsterminID=58;" commandType="3"/>
  </connection>
  <connection id="108" xr16:uid="{00000000-0015-0000-FFFF-FFFF6B000000}" sourceFile="J:\Referatslaufwerk\EEG\8175 Ausschreibungen\8175-00 Allgemein\Datenbank\PV_FFA_Datenbank_FE.accdb" keepAlive="1" name="qryVStat_Allgemein2_AlleRunden_Zuschläge_VorZS9" type="5" refreshedVersion="6" saveData="1">
    <dbPr connection="Provider=Microsoft.ACE.OLEDB.12.0;User ID=Admin;Data Source=J:\Referatslaufwerk\EEG\8175 Ausschreibungen\8175-00 Allgemein\Datenbank\PV_FFA_Datenbank_FE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[ZuschlagsM_VorZS], [Anzahl Zuschläge_VorZS], [Min ZuschlagsM], [Max ZuschlagsM], [Mittel ZuschlagsM], [Min ZuschlagsW], [Max ZuschlagsW], [Gew Mittel ZuschlagsW] FROM [qryVStat_Allgemein2_AlleRunden] WHERE GebotsterminID=59;" commandType="3"/>
  </connection>
</connections>
</file>

<file path=xl/sharedStrings.xml><?xml version="1.0" encoding="utf-8"?>
<sst xmlns="http://schemas.openxmlformats.org/spreadsheetml/2006/main" count="2872" uniqueCount="198">
  <si>
    <t>Statistiken zum Ausschreibungsverfahren für Windenergieanlagen an Land</t>
  </si>
  <si>
    <t>Gebotstermin:</t>
  </si>
  <si>
    <t>1. Allgemeine Angaben</t>
  </si>
  <si>
    <t>Ausschreibungsvolumen 
(kW)</t>
  </si>
  <si>
    <t>Zulässiger Höchstwert (ct/kWh)</t>
  </si>
  <si>
    <t>Gebotsmenge 
(kW)</t>
  </si>
  <si>
    <t>Anzahl
 Gebote</t>
  </si>
  <si>
    <t>Gebotsmenge (kW)</t>
  </si>
  <si>
    <t>Gebotswerte (ct/kWh)</t>
  </si>
  <si>
    <t>Min</t>
  </si>
  <si>
    <t>Max</t>
  </si>
  <si>
    <t>Mittel</t>
  </si>
  <si>
    <t>Gew. Mittel</t>
  </si>
  <si>
    <t>Zuschlagsmenge
(kW)</t>
  </si>
  <si>
    <t>Anzahl 
Zuschläge</t>
  </si>
  <si>
    <t>Zuschlagsmenge (kW)</t>
  </si>
  <si>
    <t>Zuschlagswerte (ct/kWh)</t>
  </si>
  <si>
    <t>2. Größenklasse und Bietertyp</t>
  </si>
  <si>
    <t>Gebote</t>
  </si>
  <si>
    <t/>
  </si>
  <si>
    <t>Anzahl Gebote</t>
  </si>
  <si>
    <t>Gesamt: Gebotsmenge (kW)</t>
  </si>
  <si>
    <t>Gesamt: Anzahl Gebote</t>
  </si>
  <si>
    <t>Größenklasse</t>
  </si>
  <si>
    <t>BEG</t>
  </si>
  <si>
    <t>Nicht-BEG</t>
  </si>
  <si>
    <t>750 - 6.000 kW</t>
  </si>
  <si>
    <t>6.001 - 12.000 kW</t>
  </si>
  <si>
    <t>12.001 - 18.000 kW</t>
  </si>
  <si>
    <t>&gt;18.000 kW</t>
  </si>
  <si>
    <t>Gesamt</t>
  </si>
  <si>
    <t>Zuschläge</t>
  </si>
  <si>
    <t>Anzahl Zuschläge</t>
  </si>
  <si>
    <t>Gesamt: Zuschlagsmenge (kW)</t>
  </si>
  <si>
    <t>Gesamt: Anzahl Zuschläge</t>
  </si>
  <si>
    <t>3. Verteilung auf die Bundesländer</t>
  </si>
  <si>
    <t>Mittlere Gebotsmenge (kW)</t>
  </si>
  <si>
    <t>Gesamt: Mittlere Gebotsmenge (kW)</t>
  </si>
  <si>
    <t>Bundesländer</t>
  </si>
  <si>
    <t>Baden-Württemberg</t>
  </si>
  <si>
    <t>Bayern</t>
  </si>
  <si>
    <t>Brandenburg</t>
  </si>
  <si>
    <t>Hessen</t>
  </si>
  <si>
    <t>Mecklenburg-Vorpommern</t>
  </si>
  <si>
    <t>Niedersachsen</t>
  </si>
  <si>
    <t>Nordrhein-Westfalen</t>
  </si>
  <si>
    <t>Rheinland-Pfalz</t>
  </si>
  <si>
    <t>Sachsen</t>
  </si>
  <si>
    <t>Sachsen-Anhalt</t>
  </si>
  <si>
    <t>Schleswig-Holstein</t>
  </si>
  <si>
    <t>Thüringen</t>
  </si>
  <si>
    <t>Keine Angabe</t>
  </si>
  <si>
    <t>Mittlere Zuschlagsmenge (kW)</t>
  </si>
  <si>
    <t>Gesamt: Mittlere Zuschlagsmenge (kW)</t>
  </si>
  <si>
    <t>4. Netzausbaugebiet</t>
  </si>
  <si>
    <t>Obergrenze  NAG (kW)</t>
  </si>
  <si>
    <t>Netzausbaugebiet</t>
  </si>
  <si>
    <t>Anzahl 
Gebote</t>
  </si>
  <si>
    <t>Mittlere Gebotsmenge 
(kW)</t>
  </si>
  <si>
    <t>Netzausbau-gebiet</t>
  </si>
  <si>
    <t>Mittlere Zuschlagsmenge
(kW)</t>
  </si>
  <si>
    <t>Kein NAG</t>
  </si>
  <si>
    <t>NAG</t>
  </si>
  <si>
    <t>Gebotsmenge</t>
  </si>
  <si>
    <r>
      <t xml:space="preserve">Statistiken zum Ausschreibungsverfahren zur Ermittlung der finanziellen Förderung von </t>
    </r>
    <r>
      <rPr>
        <b/>
        <u/>
        <sz val="18"/>
        <color theme="1"/>
        <rFont val="Calibri"/>
        <family val="2"/>
        <scheme val="minor"/>
      </rPr>
      <t>Windenergieanlagen an Land</t>
    </r>
    <r>
      <rPr>
        <b/>
        <sz val="18"/>
        <color theme="1"/>
        <rFont val="Calibri"/>
        <family val="2"/>
        <scheme val="minor"/>
      </rPr>
      <t xml:space="preserve"> nach dem Erneuerbaren-Energien-Gesetz (EEG)</t>
    </r>
  </si>
  <si>
    <t>Zuschläge nach Zuschlagserteilung</t>
  </si>
  <si>
    <r>
      <t>Zuschlagsmenge</t>
    </r>
    <r>
      <rPr>
        <b/>
        <sz val="11"/>
        <color theme="0"/>
        <rFont val="Calibri"/>
        <family val="2"/>
        <scheme val="minor"/>
      </rPr>
      <t xml:space="preserve">
(kW)</t>
    </r>
  </si>
  <si>
    <t>Anzahl
Zuschläge</t>
  </si>
  <si>
    <r>
      <t>Zuschläge, die die erforderlichen Sicherheiten geleistet haben</t>
    </r>
    <r>
      <rPr>
        <i/>
        <vertAlign val="superscript"/>
        <sz val="10"/>
        <color theme="1"/>
        <rFont val="Calibri"/>
        <family val="2"/>
        <scheme val="minor"/>
      </rPr>
      <t>1</t>
    </r>
  </si>
  <si>
    <t>Ausschlüsse</t>
  </si>
  <si>
    <t>Ausschlussmenge 
(kW)</t>
  </si>
  <si>
    <t>Anzahl 
Ausschlüsse</t>
  </si>
  <si>
    <r>
      <rPr>
        <i/>
        <vertAlign val="superscript"/>
        <sz val="10"/>
        <color theme="1"/>
        <rFont val="Calibri"/>
        <family val="2"/>
        <scheme val="minor"/>
      </rPr>
      <t xml:space="preserve">1 </t>
    </r>
    <r>
      <rPr>
        <i/>
        <sz val="10"/>
        <color theme="1"/>
        <rFont val="Calibri"/>
        <family val="2"/>
        <scheme val="minor"/>
      </rPr>
      <t>Bürgerenergiegesellschaften haben ab dem Gebotstermin 01.02.2018 im Fall eines Zuschlags innerhalb von zwei Monaten nach der öffentlichen Bekanntgabe der Zuschläge eine Zweitsicherheit zu entrichten.</t>
    </r>
  </si>
  <si>
    <t>2. Aufteilung nach Größenklassen</t>
  </si>
  <si>
    <t>Mittlere Gebotsmenge</t>
  </si>
  <si>
    <t>Zuschlagsmenge</t>
  </si>
  <si>
    <t>Mittlere Zuschlagsmenge</t>
  </si>
  <si>
    <t>&gt;18.001 kW</t>
  </si>
  <si>
    <t>Summe</t>
  </si>
  <si>
    <t>3. Aufteilung nach Bundesländer</t>
  </si>
  <si>
    <t>Bundesland</t>
  </si>
  <si>
    <t>Bremen</t>
  </si>
  <si>
    <t>4. Aufteilung nach Bietertyp</t>
  </si>
  <si>
    <t>Bietertyp</t>
  </si>
  <si>
    <t>Keine BEG</t>
  </si>
  <si>
    <t>5. Aufteilung nach Rechtsform</t>
  </si>
  <si>
    <t>Rechtsform</t>
  </si>
  <si>
    <t>AG bzw. SE</t>
  </si>
  <si>
    <t>Aps &amp; Co. KG</t>
  </si>
  <si>
    <t>eingetragene Genossenschaft</t>
  </si>
  <si>
    <t>GbR</t>
  </si>
  <si>
    <t>GmbH</t>
  </si>
  <si>
    <t>GmbH &amp; Co. KG</t>
  </si>
  <si>
    <t>natürliche Person</t>
  </si>
  <si>
    <t>UG (haftungsbeschränkt) &amp; Co. KG</t>
  </si>
  <si>
    <t>6. Gebote / Zuschläge im Netzausbaugebiet</t>
  </si>
  <si>
    <t>Stand: 04.09.2018</t>
  </si>
  <si>
    <t>AG &amp; Co. KG</t>
  </si>
  <si>
    <t>Saarland</t>
  </si>
  <si>
    <t>Sonstige</t>
  </si>
  <si>
    <r>
      <rPr>
        <i/>
        <vertAlign val="superscript"/>
        <sz val="10"/>
        <color theme="1"/>
        <rFont val="Calibri"/>
        <family val="2"/>
        <scheme val="minor"/>
      </rPr>
      <t>1</t>
    </r>
    <r>
      <rPr>
        <i/>
        <sz val="10"/>
        <color theme="1"/>
        <rFont val="Calibri"/>
        <family val="2"/>
        <scheme val="minor"/>
      </rPr>
      <t>Bürgerenergiegesellschaften haben ab dem Gebotstermin 01.02.2018 im Fall eines Zuschlags innerhalb von zwei Monaten nach der öffentlichen Bekanntgabe der Zuschläge eine Zweitsicherheit zu entrichten.</t>
    </r>
  </si>
  <si>
    <t>Frist läuft noch.</t>
  </si>
  <si>
    <t>Stand: 30.10.2018</t>
  </si>
  <si>
    <t>OHG</t>
  </si>
  <si>
    <t>Stand: 15.02.2019</t>
  </si>
  <si>
    <t>Stand: 16.05.2019</t>
  </si>
  <si>
    <t>Stand: 27.08.2019</t>
  </si>
  <si>
    <t>Stand: 10.09.2019</t>
  </si>
  <si>
    <t>Stand: 25.10.2019</t>
  </si>
  <si>
    <t>Stand: 20.12.2019</t>
  </si>
  <si>
    <t>UG</t>
  </si>
  <si>
    <t>Stand: 06.03.2020</t>
  </si>
  <si>
    <t>Stand: 26.03.2020</t>
  </si>
  <si>
    <t>Stand: 25.06.2020</t>
  </si>
  <si>
    <t>Stand: 03.08.2020</t>
  </si>
  <si>
    <t>andere juristische Person</t>
  </si>
  <si>
    <t>Berlin</t>
  </si>
  <si>
    <t>Stand: 04.11.2020</t>
  </si>
  <si>
    <t>KG</t>
  </si>
  <si>
    <t>Anzahl Ausschlüsse</t>
  </si>
  <si>
    <t>Ausschlussmenge (kW)</t>
  </si>
  <si>
    <t>Gebotstermin</t>
  </si>
  <si>
    <t>nach Zuschlagserteilung</t>
  </si>
  <si>
    <t>Gebotsausschlüsse</t>
  </si>
  <si>
    <t>Stand: 04.01.2021</t>
  </si>
  <si>
    <t>Fristen</t>
  </si>
  <si>
    <t>Stand: 01.05.2021</t>
  </si>
  <si>
    <t>Ausschreibungsvolumen (kW)</t>
  </si>
  <si>
    <t>Stand: 15.06.2021</t>
  </si>
  <si>
    <r>
      <rPr>
        <b/>
        <u/>
        <sz val="18"/>
        <color theme="1"/>
        <rFont val="Calibri"/>
        <family val="2"/>
        <scheme val="minor"/>
      </rPr>
      <t xml:space="preserve">Rundenübersicht </t>
    </r>
    <r>
      <rPr>
        <b/>
        <sz val="18"/>
        <color theme="1"/>
        <rFont val="Calibri"/>
        <family val="2"/>
        <scheme val="minor"/>
      </rPr>
      <t xml:space="preserve">
zur Ausschreibung von Windenergieanlagen an Land nach dem Erneuerbaren-Energien-Gesetz (EEG)</t>
    </r>
  </si>
  <si>
    <t>Stand: 26.11.2021</t>
  </si>
  <si>
    <t>Die hier publizierten Veröffentlichung erfolgen ausschließlich zu Zwecken der Statistik. Ein Rechtsanspruch kann aus ihnen nicht abgeleitet werden.</t>
  </si>
  <si>
    <t>Allgemein</t>
  </si>
  <si>
    <r>
      <t>Zuschläge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</si>
  <si>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mit geleisteter Sicherheit</t>
  </si>
  <si>
    <t>Verfahren</t>
  </si>
  <si>
    <t>Preisregel</t>
  </si>
  <si>
    <t>Höchstwert (ct/kWh)</t>
  </si>
  <si>
    <t>Gebotswerte mit Zuschlag (ct/kWh)</t>
  </si>
  <si>
    <t>Zuschlagswert (ct/kWh)</t>
  </si>
  <si>
    <r>
      <t>Bekanntgabe der Ergebnisse</t>
    </r>
    <r>
      <rPr>
        <b/>
        <vertAlign val="superscript"/>
        <sz val="10"/>
        <color theme="0"/>
        <rFont val="Calibri"/>
        <family val="2"/>
        <scheme val="minor"/>
      </rPr>
      <t>2</t>
    </r>
  </si>
  <si>
    <r>
      <t>Frist Inbetriebnahme ohne Pönale</t>
    </r>
    <r>
      <rPr>
        <b/>
        <vertAlign val="superscript"/>
        <sz val="10"/>
        <color theme="0"/>
        <rFont val="Calibri"/>
        <family val="2"/>
        <scheme val="minor"/>
      </rPr>
      <t>2</t>
    </r>
  </si>
  <si>
    <r>
      <t>Frist  Inbetriebnahme</t>
    </r>
    <r>
      <rPr>
        <b/>
        <vertAlign val="superscript"/>
        <sz val="10"/>
        <color theme="0"/>
        <rFont val="Calibri"/>
        <family val="2"/>
        <scheme val="minor"/>
      </rPr>
      <t>2</t>
    </r>
  </si>
  <si>
    <t>EEG Wind</t>
  </si>
  <si>
    <t>pay-as-bid</t>
  </si>
  <si>
    <r>
      <rPr>
        <vertAlign val="superscript"/>
        <sz val="10"/>
        <color theme="1"/>
        <rFont val="Calibri"/>
        <family val="2"/>
        <scheme val="minor"/>
      </rPr>
      <t xml:space="preserve">1 </t>
    </r>
    <r>
      <rPr>
        <sz val="10"/>
        <color theme="1"/>
        <rFont val="Calibri"/>
        <family val="2"/>
        <scheme val="minor"/>
      </rPr>
      <t>Zuschläge nach Zuschlagserteilung, also ohne Berücksichtigung von Entwertungen aufgrund nicht geleisteter Zweitsicherheit oder nachträglich bezuschlagten Geboten</t>
    </r>
  </si>
  <si>
    <r>
      <rPr>
        <vertAlign val="superscript"/>
        <sz val="10"/>
        <rFont val="Calibri"/>
        <family val="2"/>
        <scheme val="minor"/>
      </rPr>
      <t xml:space="preserve">2 </t>
    </r>
    <r>
      <rPr>
        <sz val="10"/>
        <rFont val="Calibri"/>
        <family val="2"/>
        <scheme val="minor"/>
      </rPr>
      <t>Fristen für Gebote, die zum Zuschlagstermin bezuschlagt wurden; für nachträglich bezsuchlagte Gebote oder bei Fristverlängerungen können abweichende Fristen gelten</t>
    </r>
  </si>
  <si>
    <r>
      <rPr>
        <b/>
        <u/>
        <sz val="18"/>
        <color theme="1"/>
        <rFont val="Calibri"/>
        <family val="2"/>
        <scheme val="minor"/>
      </rPr>
      <t>Rundenübersicht nach Größenklassen</t>
    </r>
    <r>
      <rPr>
        <b/>
        <sz val="18"/>
        <color theme="1"/>
        <rFont val="Calibri"/>
        <family val="2"/>
        <scheme val="minor"/>
      </rPr>
      <t xml:space="preserve"> 
zur Ausschreibung von Windenergieanlagen an Land nach dem Erneuerbaren-Energien-Gesetz (EEG)</t>
    </r>
  </si>
  <si>
    <r>
      <t>Zuschläge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</si>
  <si>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0 - 750 kW</t>
  </si>
  <si>
    <t>751 - 6.000 kW</t>
  </si>
  <si>
    <r>
      <rPr>
        <b/>
        <u/>
        <sz val="18"/>
        <color theme="1"/>
        <rFont val="Calibri"/>
        <family val="2"/>
        <scheme val="minor"/>
      </rPr>
      <t xml:space="preserve">Rundenübersicht nach Bundesländern </t>
    </r>
    <r>
      <rPr>
        <b/>
        <sz val="18"/>
        <color theme="1"/>
        <rFont val="Calibri"/>
        <family val="2"/>
        <scheme val="minor"/>
      </rPr>
      <t xml:space="preserve">
zur Ausschreibung von Windenergieanlagen an Land nach dem Erneuerbaren-Energien-Gesetz (EEG)</t>
    </r>
  </si>
  <si>
    <t>Hamburg</t>
  </si>
  <si>
    <r>
      <rPr>
        <b/>
        <u/>
        <sz val="18"/>
        <color theme="1"/>
        <rFont val="Calibri"/>
        <family val="2"/>
        <scheme val="minor"/>
      </rPr>
      <t xml:space="preserve">Rundenübersicht nach Bietertypen </t>
    </r>
    <r>
      <rPr>
        <b/>
        <sz val="18"/>
        <color theme="1"/>
        <rFont val="Calibri"/>
        <family val="2"/>
        <scheme val="minor"/>
      </rPr>
      <t xml:space="preserve">
zu Ausschreibungen von Windenergieanlagen an Land nach dem Erneuerbaren-Energien-Gesetz (EEG)</t>
    </r>
  </si>
  <si>
    <r>
      <t xml:space="preserve">Runden-Statistik zur Ausschreibung von </t>
    </r>
    <r>
      <rPr>
        <b/>
        <u/>
        <sz val="18"/>
        <color theme="1"/>
        <rFont val="Calibri"/>
        <family val="2"/>
        <scheme val="minor"/>
      </rPr>
      <t>Windenergieanlagen an Land</t>
    </r>
    <r>
      <rPr>
        <b/>
        <sz val="18"/>
        <color theme="1"/>
        <rFont val="Calibri"/>
        <family val="2"/>
        <scheme val="minor"/>
      </rPr>
      <t xml:space="preserve">
nach dem Erneuerbaren-Energien-Gesetz (EEG)</t>
    </r>
  </si>
  <si>
    <t>Stand: 29.10.2021</t>
  </si>
  <si>
    <t>01.11.2021</t>
  </si>
  <si>
    <r>
      <t>Zuschläge</t>
    </r>
    <r>
      <rPr>
        <vertAlign val="superscript"/>
        <sz val="11"/>
        <color theme="1"/>
        <rFont val="Calibri"/>
        <family val="2"/>
        <scheme val="minor"/>
      </rPr>
      <t>1</t>
    </r>
  </si>
  <si>
    <t>Zuschlagswert</t>
  </si>
  <si>
    <t>2. Größenklasse</t>
  </si>
  <si>
    <t>3. Bundesland</t>
  </si>
  <si>
    <t>4. Bietertyp</t>
  </si>
  <si>
    <t>5. Rechtsform</t>
  </si>
  <si>
    <t>6. Zusatzgebot</t>
  </si>
  <si>
    <t>Zusatzgebot</t>
  </si>
  <si>
    <t>Kein Zusatzgebot</t>
  </si>
  <si>
    <t>picked projects</t>
  </si>
  <si>
    <t>Wanted projects</t>
  </si>
  <si>
    <t>average project size</t>
  </si>
  <si>
    <t>selected MW</t>
  </si>
  <si>
    <t>Submitted projects</t>
  </si>
  <si>
    <t>Demand/supply</t>
  </si>
  <si>
    <t>Supply MW</t>
  </si>
  <si>
    <t>Demand MW</t>
  </si>
  <si>
    <t>Date</t>
  </si>
  <si>
    <t>2017_05</t>
  </si>
  <si>
    <t>2017_08</t>
  </si>
  <si>
    <t>2017_11</t>
  </si>
  <si>
    <t>2018_02</t>
  </si>
  <si>
    <t>2018_05</t>
  </si>
  <si>
    <t>2018_08</t>
  </si>
  <si>
    <t>2018_10</t>
  </si>
  <si>
    <t>2019_02</t>
  </si>
  <si>
    <t>2019_05</t>
  </si>
  <si>
    <t>2019_08</t>
  </si>
  <si>
    <t>2019_09</t>
  </si>
  <si>
    <t>2019_10</t>
  </si>
  <si>
    <t>2019_12</t>
  </si>
  <si>
    <t>2020_02</t>
  </si>
  <si>
    <t>2020_03</t>
  </si>
  <si>
    <t>2020_06</t>
  </si>
  <si>
    <t>2020_07</t>
  </si>
  <si>
    <t>2020_09</t>
  </si>
  <si>
    <t>2020_10</t>
  </si>
  <si>
    <t>2020_12</t>
  </si>
  <si>
    <t>2021_02</t>
  </si>
  <si>
    <t>2021_05</t>
  </si>
  <si>
    <t>2021_09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</si>
</sst>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\ &quot;€&quot;"/>
    <numFmt numFmtId="166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B78A4"/>
        <bgColor theme="4"/>
      </patternFill>
    </fill>
    <fill>
      <patternFill patternType="solid">
        <fgColor rgb="FF3B78A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medium">
        <color indexed="64"/>
      </top>
      <bottom/>
      <diagonal/>
    </border>
    <border>
      <left/>
      <right style="thin">
        <color theme="4" tint="0.39994506668294322"/>
      </right>
      <top style="medium">
        <color indexed="64"/>
      </top>
      <bottom/>
      <diagonal/>
    </border>
    <border>
      <left/>
      <right style="thin">
        <color theme="4" tint="0.39994506668294322"/>
      </right>
      <top style="thin">
        <color theme="4"/>
      </top>
      <bottom/>
      <diagonal/>
    </border>
    <border>
      <left style="thin">
        <color theme="4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346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1" xfId="0" applyFont="1" applyFill="1" applyBorder="1" applyAlignment="1">
      <alignment horizontal="center"/>
    </xf>
    <xf numFmtId="14" fontId="3" fillId="2" borderId="1" xfId="0" applyNumberFormat="1" applyFont="1" applyFill="1" applyBorder="1"/>
    <xf numFmtId="0" fontId="4" fillId="0" borderId="0" xfId="0" applyFont="1"/>
    <xf numFmtId="0" fontId="6" fillId="0" borderId="0" xfId="0" applyFont="1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0" fontId="7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Continuous" vertical="top"/>
    </xf>
    <xf numFmtId="0" fontId="2" fillId="4" borderId="5" xfId="0" applyFont="1" applyFill="1" applyBorder="1" applyAlignment="1">
      <alignment horizontal="centerContinuous" vertical="top"/>
    </xf>
    <xf numFmtId="0" fontId="2" fillId="4" borderId="6" xfId="0" applyFont="1" applyFill="1" applyBorder="1" applyAlignment="1">
      <alignment horizontal="centerContinuous" vertical="top"/>
    </xf>
    <xf numFmtId="0" fontId="2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8" fillId="0" borderId="0" xfId="0" applyFont="1"/>
    <xf numFmtId="0" fontId="9" fillId="0" borderId="0" xfId="0" applyFont="1"/>
    <xf numFmtId="0" fontId="6" fillId="2" borderId="10" xfId="0" applyFont="1" applyFill="1" applyBorder="1" applyAlignment="1">
      <alignment horizontal="left"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centerContinuous" vertical="top"/>
    </xf>
    <xf numFmtId="0" fontId="0" fillId="2" borderId="0" xfId="0" applyFill="1"/>
    <xf numFmtId="0" fontId="6" fillId="4" borderId="0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horizontal="centerContinuous" vertical="center" wrapText="1"/>
    </xf>
    <xf numFmtId="0" fontId="2" fillId="4" borderId="12" xfId="0" applyFont="1" applyFill="1" applyBorder="1" applyAlignment="1">
      <alignment horizontal="centerContinuous" vertical="center" wrapText="1"/>
    </xf>
    <xf numFmtId="0" fontId="2" fillId="4" borderId="4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vertical="top" wrapText="1"/>
    </xf>
    <xf numFmtId="0" fontId="2" fillId="4" borderId="2" xfId="0" applyFont="1" applyFill="1" applyBorder="1" applyAlignment="1">
      <alignment horizontal="centerContinuous" vertical="center"/>
    </xf>
    <xf numFmtId="0" fontId="2" fillId="4" borderId="3" xfId="0" applyFont="1" applyFill="1" applyBorder="1" applyAlignment="1">
      <alignment horizontal="centerContinuous" vertical="center"/>
    </xf>
    <xf numFmtId="0" fontId="2" fillId="4" borderId="8" xfId="0" applyFont="1" applyFill="1" applyBorder="1" applyAlignment="1">
      <alignment horizontal="center" vertical="top" wrapText="1"/>
    </xf>
    <xf numFmtId="0" fontId="0" fillId="0" borderId="13" xfId="0" applyBorder="1" applyAlignment="1">
      <alignment horizontal="left"/>
    </xf>
    <xf numFmtId="3" fontId="0" fillId="0" borderId="14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3" fillId="0" borderId="3" xfId="0" applyFont="1" applyBorder="1" applyAlignment="1">
      <alignment horizontal="left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3" fontId="3" fillId="0" borderId="0" xfId="0" applyNumberFormat="1" applyFont="1" applyBorder="1" applyAlignment="1">
      <alignment horizontal="center"/>
    </xf>
    <xf numFmtId="2" fontId="0" fillId="2" borderId="0" xfId="1" applyNumberFormat="1" applyFont="1" applyFill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vertical="top" wrapText="1"/>
    </xf>
    <xf numFmtId="0" fontId="2" fillId="4" borderId="2" xfId="0" applyFont="1" applyFill="1" applyBorder="1" applyAlignment="1">
      <alignment horizontal="centerContinuous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2" fillId="4" borderId="15" xfId="0" applyFont="1" applyFill="1" applyBorder="1" applyAlignment="1">
      <alignment vertical="top" wrapText="1"/>
    </xf>
    <xf numFmtId="0" fontId="2" fillId="4" borderId="2" xfId="0" applyFont="1" applyFill="1" applyBorder="1" applyAlignment="1">
      <alignment horizontal="center"/>
    </xf>
    <xf numFmtId="0" fontId="7" fillId="2" borderId="0" xfId="0" applyFont="1" applyFill="1"/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3" fontId="0" fillId="2" borderId="16" xfId="0" applyNumberFormat="1" applyFont="1" applyFill="1" applyBorder="1" applyAlignment="1">
      <alignment horizontal="center"/>
    </xf>
    <xf numFmtId="3" fontId="0" fillId="2" borderId="17" xfId="1" applyNumberFormat="1" applyFont="1" applyFill="1" applyBorder="1" applyAlignment="1">
      <alignment horizontal="center"/>
    </xf>
    <xf numFmtId="3" fontId="0" fillId="2" borderId="19" xfId="1" applyNumberFormat="1" applyFont="1" applyFill="1" applyBorder="1" applyAlignment="1">
      <alignment horizontal="center"/>
    </xf>
    <xf numFmtId="3" fontId="0" fillId="5" borderId="18" xfId="1" applyNumberFormat="1" applyFont="1" applyFill="1" applyBorder="1" applyAlignment="1">
      <alignment horizontal="center"/>
    </xf>
    <xf numFmtId="4" fontId="0" fillId="2" borderId="16" xfId="0" applyNumberFormat="1" applyFont="1" applyFill="1" applyBorder="1" applyAlignment="1">
      <alignment horizontal="center"/>
    </xf>
    <xf numFmtId="4" fontId="0" fillId="2" borderId="19" xfId="1" applyNumberFormat="1" applyFont="1" applyFill="1" applyBorder="1" applyAlignment="1">
      <alignment horizontal="center"/>
    </xf>
    <xf numFmtId="4" fontId="0" fillId="5" borderId="18" xfId="1" applyNumberFormat="1" applyFont="1" applyFill="1" applyBorder="1" applyAlignment="1">
      <alignment horizontal="center"/>
    </xf>
    <xf numFmtId="4" fontId="0" fillId="2" borderId="17" xfId="1" applyNumberFormat="1" applyFont="1" applyFill="1" applyBorder="1" applyAlignment="1">
      <alignment horizontal="center"/>
    </xf>
    <xf numFmtId="3" fontId="0" fillId="2" borderId="2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1" fillId="0" borderId="0" xfId="0" applyFont="1" applyFill="1" applyAlignment="1">
      <alignment vertical="top" wrapText="1"/>
    </xf>
    <xf numFmtId="3" fontId="0" fillId="0" borderId="0" xfId="0" applyNumberFormat="1" applyBorder="1"/>
    <xf numFmtId="3" fontId="0" fillId="0" borderId="3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left" wrapText="1"/>
    </xf>
    <xf numFmtId="0" fontId="2" fillId="3" borderId="4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4" fontId="0" fillId="0" borderId="5" xfId="0" applyNumberFormat="1" applyFont="1" applyBorder="1" applyAlignment="1">
      <alignment horizontal="center"/>
    </xf>
    <xf numFmtId="4" fontId="0" fillId="0" borderId="6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left"/>
    </xf>
    <xf numFmtId="3" fontId="0" fillId="0" borderId="2" xfId="0" applyNumberFormat="1" applyFont="1" applyBorder="1" applyAlignment="1">
      <alignment horizontal="center"/>
    </xf>
    <xf numFmtId="0" fontId="14" fillId="0" borderId="0" xfId="0" applyFont="1"/>
    <xf numFmtId="0" fontId="7" fillId="0" borderId="0" xfId="0" applyFont="1" applyAlignment="1">
      <alignment wrapText="1"/>
    </xf>
    <xf numFmtId="0" fontId="2" fillId="4" borderId="3" xfId="0" applyFont="1" applyFill="1" applyBorder="1" applyAlignment="1">
      <alignment horizontal="centerContinuous" vertical="top" wrapText="1"/>
    </xf>
    <xf numFmtId="0" fontId="2" fillId="4" borderId="5" xfId="0" applyFont="1" applyFill="1" applyBorder="1" applyAlignment="1">
      <alignment horizontal="centerContinuous" vertical="top" wrapText="1"/>
    </xf>
    <xf numFmtId="0" fontId="2" fillId="4" borderId="6" xfId="0" applyFont="1" applyFill="1" applyBorder="1" applyAlignment="1">
      <alignment horizontal="centerContinuous" vertical="top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wrapText="1"/>
    </xf>
    <xf numFmtId="3" fontId="0" fillId="0" borderId="23" xfId="0" applyNumberFormat="1" applyFont="1" applyBorder="1"/>
    <xf numFmtId="3" fontId="0" fillId="0" borderId="24" xfId="0" applyNumberFormat="1" applyFont="1" applyBorder="1"/>
    <xf numFmtId="0" fontId="3" fillId="0" borderId="25" xfId="0" applyFont="1" applyBorder="1" applyAlignment="1">
      <alignment wrapText="1"/>
    </xf>
    <xf numFmtId="3" fontId="3" fillId="0" borderId="26" xfId="0" applyNumberFormat="1" applyFont="1" applyBorder="1"/>
    <xf numFmtId="0" fontId="3" fillId="0" borderId="26" xfId="0" applyFont="1" applyBorder="1"/>
    <xf numFmtId="3" fontId="3" fillId="0" borderId="27" xfId="0" applyNumberFormat="1" applyFont="1" applyBorder="1"/>
    <xf numFmtId="3" fontId="0" fillId="0" borderId="0" xfId="0" applyNumberFormat="1"/>
    <xf numFmtId="0" fontId="7" fillId="0" borderId="0" xfId="0" applyFont="1" applyAlignment="1"/>
    <xf numFmtId="0" fontId="0" fillId="0" borderId="22" xfId="0" applyFont="1" applyBorder="1"/>
    <xf numFmtId="0" fontId="3" fillId="0" borderId="25" xfId="0" applyFont="1" applyBorder="1"/>
    <xf numFmtId="0" fontId="0" fillId="0" borderId="23" xfId="0" applyFont="1" applyBorder="1"/>
    <xf numFmtId="0" fontId="0" fillId="0" borderId="24" xfId="0" applyFont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3" borderId="4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3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 wrapText="1"/>
    </xf>
    <xf numFmtId="3" fontId="0" fillId="0" borderId="28" xfId="0" applyNumberFormat="1" applyBorder="1" applyAlignment="1">
      <alignment horizontal="center"/>
    </xf>
    <xf numFmtId="3" fontId="0" fillId="0" borderId="28" xfId="0" applyNumberFormat="1" applyBorder="1" applyAlignment="1">
      <alignment horizontal="center" wrapText="1"/>
    </xf>
    <xf numFmtId="4" fontId="0" fillId="0" borderId="12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4" fontId="0" fillId="0" borderId="29" xfId="0" applyNumberFormat="1" applyBorder="1" applyAlignment="1">
      <alignment horizontal="center"/>
    </xf>
    <xf numFmtId="4" fontId="0" fillId="0" borderId="30" xfId="0" applyNumberFormat="1" applyBorder="1" applyAlignment="1">
      <alignment horizontal="center"/>
    </xf>
    <xf numFmtId="4" fontId="0" fillId="0" borderId="31" xfId="0" applyNumberFormat="1" applyBorder="1" applyAlignment="1">
      <alignment horizontal="center"/>
    </xf>
    <xf numFmtId="3" fontId="0" fillId="0" borderId="32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3" fontId="0" fillId="0" borderId="34" xfId="0" applyNumberFormat="1" applyBorder="1" applyAlignment="1">
      <alignment horizontal="center" wrapText="1"/>
    </xf>
    <xf numFmtId="3" fontId="0" fillId="0" borderId="9" xfId="0" applyNumberFormat="1" applyBorder="1" applyAlignment="1">
      <alignment horizontal="center" wrapText="1"/>
    </xf>
    <xf numFmtId="0" fontId="0" fillId="0" borderId="0" xfId="0"/>
    <xf numFmtId="0" fontId="0" fillId="0" borderId="0" xfId="0" applyAlignment="1">
      <alignment vertical="center"/>
    </xf>
    <xf numFmtId="0" fontId="11" fillId="0" borderId="0" xfId="0" applyFont="1" applyFill="1" applyAlignment="1">
      <alignment vertical="top" wrapText="1"/>
    </xf>
    <xf numFmtId="0" fontId="6" fillId="0" borderId="1" xfId="0" applyFont="1" applyFill="1" applyBorder="1" applyAlignment="1">
      <alignment horizontal="center"/>
    </xf>
    <xf numFmtId="14" fontId="3" fillId="2" borderId="1" xfId="0" applyNumberFormat="1" applyFont="1" applyFill="1" applyBorder="1"/>
    <xf numFmtId="0" fontId="4" fillId="0" borderId="0" xfId="0" applyFont="1"/>
    <xf numFmtId="0" fontId="6" fillId="0" borderId="0" xfId="0" applyFont="1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0" fontId="7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3" fontId="0" fillId="0" borderId="0" xfId="0" applyNumberFormat="1" applyBorder="1"/>
    <xf numFmtId="4" fontId="0" fillId="0" borderId="0" xfId="0" applyNumberFormat="1" applyBorder="1" applyAlignment="1">
      <alignment horizontal="center"/>
    </xf>
    <xf numFmtId="3" fontId="12" fillId="0" borderId="0" xfId="0" applyNumberFormat="1" applyFont="1" applyBorder="1" applyAlignment="1">
      <alignment horizontal="left" wrapText="1"/>
    </xf>
    <xf numFmtId="0" fontId="2" fillId="3" borderId="2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3" fontId="12" fillId="0" borderId="0" xfId="0" applyNumberFormat="1" applyFont="1" applyBorder="1" applyAlignment="1">
      <alignment horizontal="left"/>
    </xf>
    <xf numFmtId="0" fontId="14" fillId="0" borderId="0" xfId="0" applyFont="1"/>
    <xf numFmtId="0" fontId="2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0" xfId="0" applyNumberFormat="1"/>
    <xf numFmtId="0" fontId="7" fillId="0" borderId="0" xfId="0" applyFont="1" applyAlignment="1"/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4" fontId="0" fillId="0" borderId="5" xfId="0" applyNumberFormat="1" applyFont="1" applyBorder="1" applyAlignment="1">
      <alignment horizontal="center"/>
    </xf>
    <xf numFmtId="4" fontId="0" fillId="0" borderId="6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0" fontId="0" fillId="0" borderId="22" xfId="0" applyFont="1" applyBorder="1" applyAlignment="1">
      <alignment wrapText="1"/>
    </xf>
    <xf numFmtId="3" fontId="0" fillId="0" borderId="23" xfId="0" applyNumberFormat="1" applyFont="1" applyBorder="1"/>
    <xf numFmtId="3" fontId="0" fillId="0" borderId="24" xfId="0" applyNumberFormat="1" applyFont="1" applyBorder="1"/>
    <xf numFmtId="0" fontId="3" fillId="0" borderId="25" xfId="0" applyFont="1" applyBorder="1" applyAlignment="1">
      <alignment wrapText="1"/>
    </xf>
    <xf numFmtId="3" fontId="3" fillId="0" borderId="26" xfId="0" applyNumberFormat="1" applyFont="1" applyBorder="1"/>
    <xf numFmtId="0" fontId="3" fillId="0" borderId="26" xfId="0" applyFont="1" applyBorder="1"/>
    <xf numFmtId="3" fontId="3" fillId="0" borderId="27" xfId="0" applyNumberFormat="1" applyFont="1" applyBorder="1"/>
    <xf numFmtId="0" fontId="0" fillId="0" borderId="22" xfId="0" applyFont="1" applyBorder="1"/>
    <xf numFmtId="0" fontId="0" fillId="0" borderId="23" xfId="0" applyFont="1" applyBorder="1"/>
    <xf numFmtId="0" fontId="3" fillId="0" borderId="25" xfId="0" applyFont="1" applyBorder="1"/>
    <xf numFmtId="0" fontId="2" fillId="4" borderId="3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0" fillId="0" borderId="0" xfId="0"/>
    <xf numFmtId="0" fontId="5" fillId="0" borderId="0" xfId="0" applyFont="1" applyAlignment="1">
      <alignment vertical="center"/>
    </xf>
    <xf numFmtId="3" fontId="0" fillId="0" borderId="0" xfId="0" applyNumberFormat="1" applyAlignment="1">
      <alignment horizontal="center"/>
    </xf>
    <xf numFmtId="0" fontId="3" fillId="0" borderId="0" xfId="0" applyFont="1" applyBorder="1" applyAlignment="1">
      <alignment wrapText="1"/>
    </xf>
    <xf numFmtId="3" fontId="3" fillId="0" borderId="0" xfId="0" applyNumberFormat="1" applyFont="1" applyBorder="1"/>
    <xf numFmtId="0" fontId="3" fillId="0" borderId="0" xfId="0" applyFont="1" applyBorder="1"/>
    <xf numFmtId="0" fontId="0" fillId="0" borderId="0" xfId="0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3" borderId="4" xfId="0" applyFont="1" applyFill="1" applyBorder="1" applyAlignment="1">
      <alignment horizontal="center" wrapText="1"/>
    </xf>
    <xf numFmtId="3" fontId="0" fillId="0" borderId="0" xfId="0" applyNumberFormat="1" applyBorder="1" applyAlignment="1">
      <alignment horizontal="center" wrapText="1"/>
    </xf>
    <xf numFmtId="0" fontId="0" fillId="0" borderId="0" xfId="0" applyAlignment="1">
      <alignment vertical="center"/>
    </xf>
    <xf numFmtId="0" fontId="2" fillId="3" borderId="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3" borderId="4" xfId="0" applyFont="1" applyFill="1" applyBorder="1" applyAlignment="1">
      <alignment horizont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0" borderId="0" xfId="0" applyFont="1"/>
    <xf numFmtId="0" fontId="2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7" fillId="0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Fill="1" applyAlignment="1">
      <alignment horizontal="center" vertical="center" wrapText="1"/>
    </xf>
    <xf numFmtId="0" fontId="18" fillId="0" borderId="0" xfId="3" applyAlignment="1">
      <alignment vertical="center"/>
    </xf>
    <xf numFmtId="0" fontId="1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5" fillId="0" borderId="0" xfId="0" applyFont="1"/>
    <xf numFmtId="0" fontId="15" fillId="0" borderId="0" xfId="0" applyFont="1" applyAlignment="1">
      <alignment vertical="top"/>
    </xf>
    <xf numFmtId="0" fontId="21" fillId="4" borderId="3" xfId="0" applyFont="1" applyFill="1" applyBorder="1" applyAlignment="1">
      <alignment horizontal="centerContinuous" vertical="center"/>
    </xf>
    <xf numFmtId="0" fontId="21" fillId="4" borderId="5" xfId="0" applyFont="1" applyFill="1" applyBorder="1" applyAlignment="1">
      <alignment horizontal="centerContinuous" vertical="center"/>
    </xf>
    <xf numFmtId="0" fontId="21" fillId="4" borderId="6" xfId="0" applyFont="1" applyFill="1" applyBorder="1" applyAlignment="1">
      <alignment horizontal="centerContinuous" vertical="center"/>
    </xf>
    <xf numFmtId="0" fontId="21" fillId="3" borderId="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0" fillId="0" borderId="36" xfId="0" applyNumberFormat="1" applyFont="1" applyBorder="1" applyAlignment="1">
      <alignment horizontal="center" wrapText="1"/>
    </xf>
    <xf numFmtId="14" fontId="0" fillId="0" borderId="37" xfId="0" applyNumberFormat="1" applyFont="1" applyBorder="1" applyAlignment="1">
      <alignment horizontal="center"/>
    </xf>
    <xf numFmtId="0" fontId="0" fillId="0" borderId="37" xfId="0" applyNumberFormat="1" applyFont="1" applyBorder="1" applyAlignment="1">
      <alignment horizontal="center"/>
    </xf>
    <xf numFmtId="3" fontId="0" fillId="0" borderId="37" xfId="0" applyNumberFormat="1" applyFont="1" applyBorder="1" applyAlignment="1">
      <alignment horizontal="center"/>
    </xf>
    <xf numFmtId="2" fontId="0" fillId="0" borderId="37" xfId="0" applyNumberFormat="1" applyFont="1" applyBorder="1" applyAlignment="1">
      <alignment horizontal="center"/>
    </xf>
    <xf numFmtId="4" fontId="0" fillId="0" borderId="37" xfId="0" applyNumberFormat="1" applyFont="1" applyBorder="1" applyAlignment="1">
      <alignment horizontal="center"/>
    </xf>
    <xf numFmtId="14" fontId="0" fillId="0" borderId="38" xfId="0" applyNumberFormat="1" applyFont="1" applyBorder="1" applyAlignment="1">
      <alignment horizontal="center"/>
    </xf>
    <xf numFmtId="0" fontId="0" fillId="0" borderId="36" xfId="0" applyNumberFormat="1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3" fontId="3" fillId="0" borderId="40" xfId="0" applyNumberFormat="1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24" fillId="0" borderId="0" xfId="0" applyFont="1"/>
    <xf numFmtId="3" fontId="2" fillId="3" borderId="2" xfId="0" applyNumberFormat="1" applyFont="1" applyFill="1" applyBorder="1" applyAlignment="1">
      <alignment horizontal="center" vertical="center" wrapText="1"/>
    </xf>
    <xf numFmtId="14" fontId="0" fillId="0" borderId="36" xfId="0" applyNumberFormat="1" applyFont="1" applyBorder="1" applyAlignment="1">
      <alignment horizontal="center"/>
    </xf>
    <xf numFmtId="3" fontId="0" fillId="0" borderId="38" xfId="0" applyNumberFormat="1" applyFont="1" applyBorder="1" applyAlignment="1">
      <alignment horizontal="center"/>
    </xf>
    <xf numFmtId="3" fontId="3" fillId="0" borderId="41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/>
    </xf>
    <xf numFmtId="0" fontId="27" fillId="0" borderId="1" xfId="0" applyFont="1" applyFill="1" applyBorder="1" applyAlignment="1">
      <alignment horizontal="center" wrapText="1"/>
    </xf>
    <xf numFmtId="14" fontId="28" fillId="2" borderId="1" xfId="0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0" xfId="0" applyFont="1" applyFill="1" applyBorder="1" applyAlignment="1">
      <alignment horizontal="center" wrapText="1"/>
    </xf>
    <xf numFmtId="0" fontId="7" fillId="0" borderId="0" xfId="0" applyFont="1" applyAlignment="1">
      <alignment vertical="top" wrapText="1"/>
    </xf>
    <xf numFmtId="0" fontId="29" fillId="0" borderId="0" xfId="0" applyFont="1"/>
    <xf numFmtId="3" fontId="0" fillId="0" borderId="28" xfId="1" applyNumberFormat="1" applyFont="1" applyBorder="1" applyAlignment="1">
      <alignment horizontal="center" wrapText="1"/>
    </xf>
    <xf numFmtId="4" fontId="0" fillId="0" borderId="9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3" fontId="9" fillId="0" borderId="0" xfId="0" applyNumberFormat="1" applyFont="1" applyBorder="1" applyAlignment="1">
      <alignment horizontal="left" wrapText="1"/>
    </xf>
    <xf numFmtId="3" fontId="0" fillId="0" borderId="13" xfId="1" applyNumberFormat="1" applyFont="1" applyFill="1" applyBorder="1" applyAlignment="1">
      <alignment horizontal="center" wrapText="1"/>
    </xf>
    <xf numFmtId="3" fontId="0" fillId="0" borderId="28" xfId="1" applyNumberFormat="1" applyFont="1" applyFill="1" applyBorder="1" applyAlignment="1">
      <alignment horizontal="center"/>
    </xf>
    <xf numFmtId="3" fontId="0" fillId="0" borderId="13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0" fontId="0" fillId="0" borderId="13" xfId="1" applyNumberFormat="1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3" fontId="0" fillId="0" borderId="14" xfId="1" applyNumberFormat="1" applyFont="1" applyBorder="1" applyAlignment="1">
      <alignment horizontal="center"/>
    </xf>
    <xf numFmtId="0" fontId="2" fillId="4" borderId="11" xfId="0" applyFont="1" applyFill="1" applyBorder="1" applyAlignment="1">
      <alignment horizontal="centerContinuous" vertical="center"/>
    </xf>
    <xf numFmtId="0" fontId="2" fillId="3" borderId="4" xfId="0" applyFont="1" applyFill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wrapText="1"/>
    </xf>
    <xf numFmtId="3" fontId="0" fillId="0" borderId="8" xfId="1" applyNumberFormat="1" applyFont="1" applyBorder="1" applyAlignment="1">
      <alignment horizontal="center"/>
    </xf>
    <xf numFmtId="3" fontId="0" fillId="0" borderId="7" xfId="1" applyNumberFormat="1" applyFont="1" applyBorder="1" applyAlignment="1">
      <alignment horizontal="center"/>
    </xf>
    <xf numFmtId="3" fontId="0" fillId="0" borderId="10" xfId="1" applyNumberFormat="1" applyFont="1" applyBorder="1" applyAlignment="1">
      <alignment horizontal="center"/>
    </xf>
    <xf numFmtId="3" fontId="0" fillId="0" borderId="15" xfId="1" applyNumberFormat="1" applyFont="1" applyBorder="1" applyAlignment="1">
      <alignment horizontal="center"/>
    </xf>
    <xf numFmtId="4" fontId="0" fillId="0" borderId="7" xfId="1" applyNumberFormat="1" applyFont="1" applyBorder="1" applyAlignment="1">
      <alignment horizontal="center"/>
    </xf>
    <xf numFmtId="4" fontId="0" fillId="0" borderId="10" xfId="1" applyNumberFormat="1" applyFont="1" applyBorder="1" applyAlignment="1">
      <alignment horizontal="center"/>
    </xf>
    <xf numFmtId="4" fontId="0" fillId="0" borderId="15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 wrapText="1"/>
    </xf>
    <xf numFmtId="3" fontId="0" fillId="0" borderId="4" xfId="1" applyNumberFormat="1" applyFont="1" applyBorder="1" applyAlignment="1">
      <alignment horizontal="center"/>
    </xf>
    <xf numFmtId="3" fontId="0" fillId="0" borderId="14" xfId="0" applyNumberFormat="1" applyBorder="1"/>
    <xf numFmtId="0" fontId="2" fillId="3" borderId="12" xfId="0" applyFont="1" applyFill="1" applyBorder="1" applyAlignment="1">
      <alignment horizontal="center" vertical="center" wrapText="1"/>
    </xf>
    <xf numFmtId="0" fontId="0" fillId="0" borderId="42" xfId="0" applyFont="1" applyBorder="1" applyAlignment="1">
      <alignment wrapText="1"/>
    </xf>
    <xf numFmtId="3" fontId="0" fillId="0" borderId="14" xfId="0" applyNumberFormat="1" applyFont="1" applyBorder="1"/>
    <xf numFmtId="3" fontId="0" fillId="0" borderId="43" xfId="0" applyNumberFormat="1" applyFont="1" applyBorder="1"/>
    <xf numFmtId="0" fontId="0" fillId="0" borderId="36" xfId="0" applyFont="1" applyBorder="1"/>
    <xf numFmtId="3" fontId="0" fillId="0" borderId="37" xfId="0" applyNumberFormat="1" applyFont="1" applyBorder="1"/>
    <xf numFmtId="3" fontId="0" fillId="0" borderId="44" xfId="0" applyNumberFormat="1" applyFont="1" applyBorder="1"/>
    <xf numFmtId="0" fontId="3" fillId="0" borderId="45" xfId="0" applyFont="1" applyBorder="1"/>
    <xf numFmtId="3" fontId="3" fillId="0" borderId="46" xfId="0" applyNumberFormat="1" applyFont="1" applyBorder="1"/>
    <xf numFmtId="0" fontId="3" fillId="0" borderId="46" xfId="0" applyFont="1" applyBorder="1"/>
    <xf numFmtId="3" fontId="3" fillId="0" borderId="47" xfId="0" applyNumberFormat="1" applyFont="1" applyBorder="1"/>
    <xf numFmtId="0" fontId="0" fillId="0" borderId="0" xfId="0" applyNumberFormat="1"/>
    <xf numFmtId="0" fontId="0" fillId="0" borderId="0" xfId="0" applyAlignment="1"/>
    <xf numFmtId="0" fontId="0" fillId="0" borderId="0" xfId="0" applyBorder="1" applyAlignment="1"/>
    <xf numFmtId="0" fontId="3" fillId="0" borderId="45" xfId="0" applyFont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6" borderId="0" xfId="0" applyFill="1"/>
    <xf numFmtId="0" fontId="3" fillId="0" borderId="0" xfId="0" applyFont="1" applyBorder="1" applyAlignment="1">
      <alignment horizontal="center"/>
    </xf>
    <xf numFmtId="0" fontId="21" fillId="4" borderId="0" xfId="0" applyFont="1" applyFill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/>
    </xf>
    <xf numFmtId="9" fontId="0" fillId="0" borderId="0" xfId="0" applyNumberFormat="1"/>
    <xf numFmtId="0" fontId="21" fillId="4" borderId="4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4" borderId="4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0" fillId="0" borderId="28" xfId="0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</cellXfs>
  <cellStyles count="4">
    <cellStyle name="Comma" xfId="1" builtinId="3"/>
    <cellStyle name="Hyperlink" xfId="3" builtinId="8"/>
    <cellStyle name="Komma 2" xfId="2" xr:uid="{00000000-0005-0000-0000-000001000000}"/>
    <cellStyle name="Normal" xfId="0" builtinId="0"/>
  </cellStyles>
  <dxfs count="87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4" formatCode="#,##0.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4" formatCode="#,##0.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4" formatCode="#,##0.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4" formatCode="#,##0.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4" formatCode="#,##0.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4" formatCode="#,##0.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4" formatCode="#,##0.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4" formatCode="#,##0.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4" formatCode="#,##0.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4" formatCode="#,##0.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4" formatCode="#,##0.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7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externalLink" Target="externalLinks/externalLink10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externalLink" Target="externalLinks/externalLink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German auctions - supply/demand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Übersicht!$AE$8</c:f>
              <c:strCache>
                <c:ptCount val="1"/>
                <c:pt idx="0">
                  <c:v>Supply MW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Übersicht!$AC$9:$AC$31</c:f>
              <c:strCache>
                <c:ptCount val="23"/>
                <c:pt idx="0">
                  <c:v>2017_05</c:v>
                </c:pt>
                <c:pt idx="1">
                  <c:v>2017_08</c:v>
                </c:pt>
                <c:pt idx="2">
                  <c:v>2017_11</c:v>
                </c:pt>
                <c:pt idx="3">
                  <c:v>2018_02</c:v>
                </c:pt>
                <c:pt idx="4">
                  <c:v>2018_05</c:v>
                </c:pt>
                <c:pt idx="5">
                  <c:v>2018_08</c:v>
                </c:pt>
                <c:pt idx="6">
                  <c:v>2018_10</c:v>
                </c:pt>
                <c:pt idx="7">
                  <c:v>2019_02</c:v>
                </c:pt>
                <c:pt idx="8">
                  <c:v>2019_05</c:v>
                </c:pt>
                <c:pt idx="9">
                  <c:v>2019_08</c:v>
                </c:pt>
                <c:pt idx="10">
                  <c:v>2019_09</c:v>
                </c:pt>
                <c:pt idx="11">
                  <c:v>2019_10</c:v>
                </c:pt>
                <c:pt idx="12">
                  <c:v>2019_12</c:v>
                </c:pt>
                <c:pt idx="13">
                  <c:v>2020_02</c:v>
                </c:pt>
                <c:pt idx="14">
                  <c:v>2020_03</c:v>
                </c:pt>
                <c:pt idx="15">
                  <c:v>2020_06</c:v>
                </c:pt>
                <c:pt idx="16">
                  <c:v>2020_07</c:v>
                </c:pt>
                <c:pt idx="17">
                  <c:v>2020_09</c:v>
                </c:pt>
                <c:pt idx="18">
                  <c:v>2020_10</c:v>
                </c:pt>
                <c:pt idx="19">
                  <c:v>2020_12</c:v>
                </c:pt>
                <c:pt idx="20">
                  <c:v>2021_02</c:v>
                </c:pt>
                <c:pt idx="21">
                  <c:v>2021_05</c:v>
                </c:pt>
                <c:pt idx="22">
                  <c:v>2021_09</c:v>
                </c:pt>
              </c:strCache>
            </c:strRef>
          </c:cat>
          <c:val>
            <c:numRef>
              <c:f>Übersicht!$AE$9:$AE$31</c:f>
              <c:numCache>
                <c:formatCode>#,##0</c:formatCode>
                <c:ptCount val="23"/>
                <c:pt idx="0">
                  <c:v>2136.73</c:v>
                </c:pt>
                <c:pt idx="1">
                  <c:v>2926.94</c:v>
                </c:pt>
                <c:pt idx="2">
                  <c:v>2590.8449999999998</c:v>
                </c:pt>
                <c:pt idx="3">
                  <c:v>989.30600000000004</c:v>
                </c:pt>
                <c:pt idx="4">
                  <c:v>604.14</c:v>
                </c:pt>
                <c:pt idx="5">
                  <c:v>708.6</c:v>
                </c:pt>
                <c:pt idx="6">
                  <c:v>388.35</c:v>
                </c:pt>
                <c:pt idx="7">
                  <c:v>499.39</c:v>
                </c:pt>
                <c:pt idx="8">
                  <c:v>294.95999999999998</c:v>
                </c:pt>
                <c:pt idx="9">
                  <c:v>239.25</c:v>
                </c:pt>
                <c:pt idx="10">
                  <c:v>187.81</c:v>
                </c:pt>
                <c:pt idx="11">
                  <c:v>204.07</c:v>
                </c:pt>
                <c:pt idx="12">
                  <c:v>685.84</c:v>
                </c:pt>
                <c:pt idx="13">
                  <c:v>526.54999999999995</c:v>
                </c:pt>
                <c:pt idx="14">
                  <c:v>193.8</c:v>
                </c:pt>
                <c:pt idx="15">
                  <c:v>467.59</c:v>
                </c:pt>
                <c:pt idx="16">
                  <c:v>191.05</c:v>
                </c:pt>
                <c:pt idx="17">
                  <c:v>310.45</c:v>
                </c:pt>
                <c:pt idx="18">
                  <c:v>768.95</c:v>
                </c:pt>
                <c:pt idx="19">
                  <c:v>657.1</c:v>
                </c:pt>
                <c:pt idx="20">
                  <c:v>718.8</c:v>
                </c:pt>
                <c:pt idx="21">
                  <c:v>1161.3900000000001</c:v>
                </c:pt>
                <c:pt idx="22">
                  <c:v>1823.84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7-4252-A405-C3496CAB8328}"/>
            </c:ext>
          </c:extLst>
        </c:ser>
        <c:ser>
          <c:idx val="2"/>
          <c:order val="2"/>
          <c:tx>
            <c:strRef>
              <c:f>Übersicht!$AF$8</c:f>
              <c:strCache>
                <c:ptCount val="1"/>
                <c:pt idx="0">
                  <c:v>Demand MW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Übersicht!$AC$9:$AC$31</c:f>
              <c:strCache>
                <c:ptCount val="23"/>
                <c:pt idx="0">
                  <c:v>2017_05</c:v>
                </c:pt>
                <c:pt idx="1">
                  <c:v>2017_08</c:v>
                </c:pt>
                <c:pt idx="2">
                  <c:v>2017_11</c:v>
                </c:pt>
                <c:pt idx="3">
                  <c:v>2018_02</c:v>
                </c:pt>
                <c:pt idx="4">
                  <c:v>2018_05</c:v>
                </c:pt>
                <c:pt idx="5">
                  <c:v>2018_08</c:v>
                </c:pt>
                <c:pt idx="6">
                  <c:v>2018_10</c:v>
                </c:pt>
                <c:pt idx="7">
                  <c:v>2019_02</c:v>
                </c:pt>
                <c:pt idx="8">
                  <c:v>2019_05</c:v>
                </c:pt>
                <c:pt idx="9">
                  <c:v>2019_08</c:v>
                </c:pt>
                <c:pt idx="10">
                  <c:v>2019_09</c:v>
                </c:pt>
                <c:pt idx="11">
                  <c:v>2019_10</c:v>
                </c:pt>
                <c:pt idx="12">
                  <c:v>2019_12</c:v>
                </c:pt>
                <c:pt idx="13">
                  <c:v>2020_02</c:v>
                </c:pt>
                <c:pt idx="14">
                  <c:v>2020_03</c:v>
                </c:pt>
                <c:pt idx="15">
                  <c:v>2020_06</c:v>
                </c:pt>
                <c:pt idx="16">
                  <c:v>2020_07</c:v>
                </c:pt>
                <c:pt idx="17">
                  <c:v>2020_09</c:v>
                </c:pt>
                <c:pt idx="18">
                  <c:v>2020_10</c:v>
                </c:pt>
                <c:pt idx="19">
                  <c:v>2020_12</c:v>
                </c:pt>
                <c:pt idx="20">
                  <c:v>2021_02</c:v>
                </c:pt>
                <c:pt idx="21">
                  <c:v>2021_05</c:v>
                </c:pt>
                <c:pt idx="22">
                  <c:v>2021_09</c:v>
                </c:pt>
              </c:strCache>
            </c:strRef>
          </c:cat>
          <c:val>
            <c:numRef>
              <c:f>Übersicht!$AF$9:$AF$31</c:f>
              <c:numCache>
                <c:formatCode>#,##0</c:formatCode>
                <c:ptCount val="23"/>
                <c:pt idx="0">
                  <c:v>800</c:v>
                </c:pt>
                <c:pt idx="1">
                  <c:v>1000</c:v>
                </c:pt>
                <c:pt idx="2">
                  <c:v>1000</c:v>
                </c:pt>
                <c:pt idx="3">
                  <c:v>700</c:v>
                </c:pt>
                <c:pt idx="4">
                  <c:v>670.16099999999994</c:v>
                </c:pt>
                <c:pt idx="5">
                  <c:v>670.16099999999994</c:v>
                </c:pt>
                <c:pt idx="6">
                  <c:v>670.16099999999994</c:v>
                </c:pt>
                <c:pt idx="7">
                  <c:v>700</c:v>
                </c:pt>
                <c:pt idx="8">
                  <c:v>650</c:v>
                </c:pt>
                <c:pt idx="9">
                  <c:v>650</c:v>
                </c:pt>
                <c:pt idx="10">
                  <c:v>500</c:v>
                </c:pt>
                <c:pt idx="11">
                  <c:v>675</c:v>
                </c:pt>
                <c:pt idx="12">
                  <c:v>500</c:v>
                </c:pt>
                <c:pt idx="13">
                  <c:v>900</c:v>
                </c:pt>
                <c:pt idx="14">
                  <c:v>300</c:v>
                </c:pt>
                <c:pt idx="15">
                  <c:v>825.52700000000004</c:v>
                </c:pt>
                <c:pt idx="16">
                  <c:v>275.17599999999999</c:v>
                </c:pt>
                <c:pt idx="17">
                  <c:v>366.90100000000001</c:v>
                </c:pt>
                <c:pt idx="18">
                  <c:v>825.52700000000004</c:v>
                </c:pt>
                <c:pt idx="19">
                  <c:v>366.90100000000001</c:v>
                </c:pt>
                <c:pt idx="20">
                  <c:v>1500</c:v>
                </c:pt>
                <c:pt idx="21">
                  <c:v>1243.23</c:v>
                </c:pt>
                <c:pt idx="22">
                  <c:v>1492.019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F7-4252-A405-C3496CAB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383263"/>
        <c:axId val="615391999"/>
      </c:barChart>
      <c:lineChart>
        <c:grouping val="standard"/>
        <c:varyColors val="0"/>
        <c:ser>
          <c:idx val="0"/>
          <c:order val="0"/>
          <c:tx>
            <c:strRef>
              <c:f>Übersicht!$AD$8</c:f>
              <c:strCache>
                <c:ptCount val="1"/>
                <c:pt idx="0">
                  <c:v>Demand/supply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Übersicht!$AC$9:$AC$31</c:f>
              <c:strCache>
                <c:ptCount val="23"/>
                <c:pt idx="0">
                  <c:v>2017_05</c:v>
                </c:pt>
                <c:pt idx="1">
                  <c:v>2017_08</c:v>
                </c:pt>
                <c:pt idx="2">
                  <c:v>2017_11</c:v>
                </c:pt>
                <c:pt idx="3">
                  <c:v>2018_02</c:v>
                </c:pt>
                <c:pt idx="4">
                  <c:v>2018_05</c:v>
                </c:pt>
                <c:pt idx="5">
                  <c:v>2018_08</c:v>
                </c:pt>
                <c:pt idx="6">
                  <c:v>2018_10</c:v>
                </c:pt>
                <c:pt idx="7">
                  <c:v>2019_02</c:v>
                </c:pt>
                <c:pt idx="8">
                  <c:v>2019_05</c:v>
                </c:pt>
                <c:pt idx="9">
                  <c:v>2019_08</c:v>
                </c:pt>
                <c:pt idx="10">
                  <c:v>2019_09</c:v>
                </c:pt>
                <c:pt idx="11">
                  <c:v>2019_10</c:v>
                </c:pt>
                <c:pt idx="12">
                  <c:v>2019_12</c:v>
                </c:pt>
                <c:pt idx="13">
                  <c:v>2020_02</c:v>
                </c:pt>
                <c:pt idx="14">
                  <c:v>2020_03</c:v>
                </c:pt>
                <c:pt idx="15">
                  <c:v>2020_06</c:v>
                </c:pt>
                <c:pt idx="16">
                  <c:v>2020_07</c:v>
                </c:pt>
                <c:pt idx="17">
                  <c:v>2020_09</c:v>
                </c:pt>
                <c:pt idx="18">
                  <c:v>2020_10</c:v>
                </c:pt>
                <c:pt idx="19">
                  <c:v>2020_12</c:v>
                </c:pt>
                <c:pt idx="20">
                  <c:v>2021_02</c:v>
                </c:pt>
                <c:pt idx="21">
                  <c:v>2021_05</c:v>
                </c:pt>
                <c:pt idx="22">
                  <c:v>2021_09</c:v>
                </c:pt>
              </c:strCache>
            </c:strRef>
          </c:cat>
          <c:val>
            <c:numRef>
              <c:f>Übersicht!$AD$9:$AD$31</c:f>
              <c:numCache>
                <c:formatCode>0%</c:formatCode>
                <c:ptCount val="23"/>
                <c:pt idx="0">
                  <c:v>0.37440387882418463</c:v>
                </c:pt>
                <c:pt idx="1">
                  <c:v>0.34165374076680766</c:v>
                </c:pt>
                <c:pt idx="2">
                  <c:v>0.38597446006997721</c:v>
                </c:pt>
                <c:pt idx="3">
                  <c:v>0.70756671848750541</c:v>
                </c:pt>
                <c:pt idx="4">
                  <c:v>1.1092809613665706</c:v>
                </c:pt>
                <c:pt idx="5">
                  <c:v>0.9457535986452158</c:v>
                </c:pt>
                <c:pt idx="6">
                  <c:v>1.7256624179219773</c:v>
                </c:pt>
                <c:pt idx="7">
                  <c:v>1.4017100863052925</c:v>
                </c:pt>
                <c:pt idx="8">
                  <c:v>2.2036886357472203</c:v>
                </c:pt>
                <c:pt idx="9">
                  <c:v>2.716823406478579</c:v>
                </c:pt>
                <c:pt idx="10">
                  <c:v>2.6622650551088864</c:v>
                </c:pt>
                <c:pt idx="11">
                  <c:v>3.3076885382466803</c:v>
                </c:pt>
                <c:pt idx="12">
                  <c:v>0.72903301061472059</c:v>
                </c:pt>
                <c:pt idx="13">
                  <c:v>1.70923938847213</c:v>
                </c:pt>
                <c:pt idx="14">
                  <c:v>1.5479876160990711</c:v>
                </c:pt>
                <c:pt idx="15">
                  <c:v>1.7654932740221136</c:v>
                </c:pt>
                <c:pt idx="16">
                  <c:v>1.440334990840094</c:v>
                </c:pt>
                <c:pt idx="17">
                  <c:v>1.1818360444516025</c:v>
                </c:pt>
                <c:pt idx="18">
                  <c:v>1.07357695558879</c:v>
                </c:pt>
                <c:pt idx="19">
                  <c:v>0.55836402374067873</c:v>
                </c:pt>
                <c:pt idx="20">
                  <c:v>2.0868113522537564</c:v>
                </c:pt>
                <c:pt idx="21">
                  <c:v>1.0704672848913801</c:v>
                </c:pt>
                <c:pt idx="22">
                  <c:v>0.81806463286253184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7-4252-A405-C3496CAB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55391"/>
        <c:axId val="421961631"/>
      </c:lineChart>
      <c:catAx>
        <c:axId val="61538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91999"/>
        <c:crosses val="autoZero"/>
        <c:auto val="1"/>
        <c:lblAlgn val="ctr"/>
        <c:lblOffset val="100"/>
        <c:noMultiLvlLbl val="0"/>
      </c:catAx>
      <c:valAx>
        <c:axId val="6153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83263"/>
        <c:crosses val="autoZero"/>
        <c:crossBetween val="between"/>
      </c:valAx>
      <c:valAx>
        <c:axId val="4219616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5391"/>
        <c:crosses val="max"/>
        <c:crossBetween val="between"/>
      </c:valAx>
      <c:catAx>
        <c:axId val="421955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6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166687</xdr:colOff>
      <xdr:row>33</xdr:row>
      <xdr:rowOff>14287</xdr:rowOff>
    </xdr:from>
    <xdr:to>
      <xdr:col>32</xdr:col>
      <xdr:colOff>14287</xdr:colOff>
      <xdr:row>47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C169D-AE74-44E7-BED6-2D435B1A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25f/Desktop/210615_Statistik_Ver&#246;ffentlichung_Wind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eferatslaufwerk/EEG/8175%20Ausschreibungen/8175-00%20Allgemein/Statistik_Ver&#246;ffentlichung/Statistik_Ver&#246;ffentlichung_Win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Referatslaufwerk\EEG\8175%20Ausschreibungen\8175-00%20Allgemein\Statistik_Ver&#246;ffentlichung\Statistik_Ver&#246;ffentlichung_Wind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WIBN6005\Ref_625$\Referatslaufwerk\EEG\8175%20Ausschreibungen\8175-00%20Allgemein\Statistik_Ver&#246;ffentlichung\Statistik_Ver&#246;ffentlichung_Wind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eferatslaufwerk\EEG\8175%20Ausschreibungen\8175-00%20Allgemein\Statistik_Ver&#246;ffentlichung\Statistik_Ver&#246;ffentlichung_Win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05f/Desktop/Statistik_Ver&#246;ffentlichung_Wind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WIBN6001\Ref_605$\Referatslaufwerk\EEG\8175%20Ausschreibungen\8175-00%20Allgemein\Statistik_Ver&#246;ffentlichung\Statistik_Ver&#246;ffentlichung_Wind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BONN01F035\Ref_605$\Referatslaufwerk\EEG\8175%20Ausschreibungen\8175-00%20Allgemein\Statistik_Ver&#246;ffentlichung\Statistik_Ver&#246;ffentlichung_Wind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WIBN6005\Ref_625$\Referatslaufwerk\EEG\8175%20Ausschreibungen\8175-00%20Allgemein\Statistik_Ver&#246;ffentlichung\191220_Statistik_Ver&#246;ffentlichung_Wind_Deztermin19xlsm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eferatslaufwerk\EEG\8175%20Ausschreibungen\8175-00%20Allgemein\Statistik_Ver&#246;ffentlichung\191220_Statistik_Ver&#246;ffentlichung_Wind_Deztermin19xls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Gebotstermine"/>
      <sheetName val="210615_Statistik_Veröffentlichu"/>
    </sheetNames>
    <sheetDataSet>
      <sheetData sheetId="0" refreshError="1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botstermin"/>
      <sheetName val="Alle Runden"/>
      <sheetName val="Gebotstermine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Gebotstermine"/>
      <sheetName val="Statistik_Veröffentlichung_Wind"/>
    </sheetNames>
    <sheetDataSet>
      <sheetData sheetId="0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Gebotstermine"/>
      <sheetName val="Statistik_Veröffentlichung_Wind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botstermin"/>
      <sheetName val="Alle Runden"/>
      <sheetName val="Gebotstermine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Gebotstermine"/>
      <sheetName val="Statistik_Veröffentlichung_Wind"/>
    </sheetNames>
    <sheetDataSet>
      <sheetData sheetId="0" refreshError="1"/>
      <sheetData sheetId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botstermin"/>
      <sheetName val="Alle Runden"/>
      <sheetName val="Gebotstermine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botstermin"/>
      <sheetName val="Alle Runden"/>
      <sheetName val="Gebotstermine"/>
      <sheetName val="Tabelle1"/>
      <sheetName val="Statistik_Veröffentlichung_Wind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botstermin"/>
      <sheetName val="Alle Runden"/>
      <sheetName val="Gebotstermine"/>
      <sheetName val="191220_Statistik_Veröffentlichu"/>
    </sheetNames>
    <sheetDataSet>
      <sheetData sheetId="0">
        <row r="3">
          <cell r="B3">
            <v>43800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botstermin"/>
      <sheetName val="Alle Runden"/>
      <sheetName val="Gebotstermine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0" headers="0" backgroundRefresh="0" growShrinkType="insertClear" adjustColumnWidth="0" connectionId="78" xr16:uid="{00000000-0016-0000-0500-000000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GebotsM" tableColumnId="9"/>
      <queryTableField id="2" name="Anzahl Gebote" tableColumnId="10"/>
      <queryTableField id="3" name="Min GebotsM" tableColumnId="11"/>
      <queryTableField id="4" name="Max GebotsM" tableColumnId="12"/>
      <queryTableField id="5" name="Mittel GebotsM" tableColumnId="13"/>
      <queryTableField id="6" name="Min GebotsW" tableColumnId="14"/>
      <queryTableField id="7" name="Max GebotsW" tableColumnId="15"/>
      <queryTableField id="8" name="Gew Mittel GebotsW" tableColumnId="1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0" headers="0" backgroundRefresh="0" growShrinkType="insertClear" adjustColumnWidth="0" connectionId="86" xr16:uid="{00000000-0016-0000-0600-000009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GebotsM" tableColumnId="9"/>
      <queryTableField id="2" name="Anzahl Gebote" tableColumnId="10"/>
      <queryTableField id="3" name="Min GebotsM" tableColumnId="11"/>
      <queryTableField id="4" name="Max GebotsM" tableColumnId="12"/>
      <queryTableField id="5" name="Mittel GebotsM" tableColumnId="13"/>
      <queryTableField id="6" name="Min GebotsW" tableColumnId="14"/>
      <queryTableField id="7" name="Max GebotsW" tableColumnId="15"/>
      <queryTableField id="8" name="Gew Mittel GebotsW" tableColumnId="16"/>
    </queryTableFields>
  </queryTableRefresh>
</queryTable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1" headers="0" backgroundRefresh="0" growShrinkType="insertClear" adjustColumnWidth="0" connectionId="87" xr16:uid="{00000000-0016-0000-1100-000063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ZuschlagsM_NachZS" tableColumnId="3"/>
      <queryTableField id="2" name="Anzahl Zuschläge_NachZS" tableColumnId="4"/>
    </queryTableFields>
  </queryTableRefresh>
</queryTable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2" headers="0" backgroundRefresh="0" growShrinkType="insertClear" adjustColumnWidth="0" connectionId="54" xr16:uid="{00000000-0016-0000-1100-000064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lussM" tableColumnId="3"/>
      <queryTableField id="2" name="Anzahl Ausschlüsse" tableColumnId="4"/>
    </queryTableFields>
  </queryTableRefresh>
</queryTable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57" headers="0" backgroundRefresh="0" growShrinkType="insertClear" adjustColumnWidth="0" connectionId="98" xr16:uid="{00000000-0016-0000-1100-000065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ZuschlagsM_VorZS" tableColumnId="9"/>
      <queryTableField id="2" name="Anzahl Zuschläge_VorZS" tableColumnId="10"/>
      <queryTableField id="3" name="Min ZuschlagsM" tableColumnId="11"/>
      <queryTableField id="4" name="Max ZuschlagsM" tableColumnId="12"/>
      <queryTableField id="5" name="Mittel ZuschlagsM" tableColumnId="13"/>
      <queryTableField id="6" name="Min ZuschlagsW" tableColumnId="14"/>
      <queryTableField id="7" name="Max ZuschlagsW" tableColumnId="15"/>
      <queryTableField id="8" name="Gew Mittel ZuschlagsW" tableColumnId="16"/>
    </queryTableFields>
  </queryTableRefresh>
</queryTable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39" headers="0" backgroundRefresh="0" growShrinkType="insertClear" adjustColumnWidth="0" connectionId="65" xr16:uid="{00000000-0016-0000-1100-000066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reibungsvolumen" tableColumnId="3"/>
      <queryTableField id="2" name="Höchstwert" tableColumnId="4"/>
    </queryTableFields>
  </queryTableRefresh>
</queryTable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4" headers="0" backgroundRefresh="0" growShrinkType="insertClear" adjustColumnWidth="0" connectionId="43" xr16:uid="{00000000-0016-0000-1100-000067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Größenklasse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3" headers="0" backgroundRefresh="0" growShrinkType="insertClear" adjustColumnWidth="0" connectionId="32" xr16:uid="{00000000-0016-0000-1100-000068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Rechtsform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6" headers="0" backgroundRefresh="0" growShrinkType="insertClear" adjustColumnWidth="0" connectionId="10" xr16:uid="{00000000-0016-0000-1100-000069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7" headers="0" backgroundRefresh="0" growShrinkType="insertClear" adjustColumnWidth="0" connectionId="1" xr16:uid="{00000000-0016-0000-1100-00006A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8" headers="0" backgroundRefresh="0" growShrinkType="insertClear" adjustColumnWidth="0" connectionId="21" xr16:uid="{00000000-0016-0000-1100-00006B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EG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1" headers="0" backgroundRefresh="0" growShrinkType="insertClear" adjustColumnWidth="0" connectionId="97" xr16:uid="{00000000-0016-0000-0600-00000A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ZuschlagsM_NachZS" tableColumnId="3"/>
      <queryTableField id="2" name="Anzahl Zuschläge_NachZS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2" headers="0" backgroundRefresh="0" growShrinkType="insertClear" adjustColumnWidth="0" connectionId="64" xr16:uid="{00000000-0016-0000-0600-00000B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lussM" tableColumnId="3"/>
      <queryTableField id="2" name="Anzahl Ausschlüsse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57" headers="0" backgroundRefresh="0" growShrinkType="insertClear" adjustColumnWidth="0" connectionId="108" xr16:uid="{00000000-0016-0000-0600-00000C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ZuschlagsM_VorZS" tableColumnId="9"/>
      <queryTableField id="2" name="Anzahl Zuschläge_VorZS" tableColumnId="10"/>
      <queryTableField id="3" name="Min ZuschlagsM" tableColumnId="11"/>
      <queryTableField id="4" name="Max ZuschlagsM" tableColumnId="12"/>
      <queryTableField id="5" name="Mittel ZuschlagsM" tableColumnId="13"/>
      <queryTableField id="6" name="Min ZuschlagsW" tableColumnId="14"/>
      <queryTableField id="7" name="Max ZuschlagsW" tableColumnId="15"/>
      <queryTableField id="8" name="Gew Mittel ZuschlagsW" tableColumnId="1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39" headers="0" backgroundRefresh="0" growShrinkType="insertClear" adjustColumnWidth="0" connectionId="75" xr16:uid="{00000000-0016-0000-0600-00000D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reibungsvolumen" tableColumnId="3"/>
      <queryTableField id="2" name="Höchstwert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4" headers="0" backgroundRefresh="0" growShrinkType="insertClear" adjustColumnWidth="0" connectionId="53" xr16:uid="{00000000-0016-0000-0600-00000E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Größenklasse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3" headers="0" backgroundRefresh="0" growShrinkType="insertClear" adjustColumnWidth="0" connectionId="42" xr16:uid="{00000000-0016-0000-0600-00000F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Rechtsform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6" headers="0" backgroundRefresh="0" growShrinkType="insertClear" adjustColumnWidth="0" connectionId="20" xr16:uid="{00000000-0016-0000-0600-000010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8" headers="0" backgroundRefresh="0" growShrinkType="insertClear" adjustColumnWidth="0" connectionId="31" xr16:uid="{00000000-0016-0000-0600-000011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EG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0" headers="0" backgroundRefresh="0" growShrinkType="insertClear" adjustColumnWidth="0" connectionId="85" xr16:uid="{00000000-0016-0000-0700-000012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GebotsM" tableColumnId="9"/>
      <queryTableField id="2" name="Anzahl Gebote" tableColumnId="10"/>
      <queryTableField id="3" name="Min GebotsM" tableColumnId="11"/>
      <queryTableField id="4" name="Max GebotsM" tableColumnId="12"/>
      <queryTableField id="5" name="Mittel GebotsM" tableColumnId="13"/>
      <queryTableField id="6" name="Min GebotsW" tableColumnId="14"/>
      <queryTableField id="7" name="Max GebotsW" tableColumnId="15"/>
      <queryTableField id="8" name="Gew Mittel GebotsW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1" headers="0" backgroundRefresh="0" growShrinkType="insertClear" adjustColumnWidth="0" connectionId="89" xr16:uid="{00000000-0016-0000-0500-000001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ZuschlagsM_NachZS" tableColumnId="3"/>
      <queryTableField id="2" name="Anzahl Zuschläge_NachZS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1" headers="0" backgroundRefresh="0" growShrinkType="insertClear" adjustColumnWidth="0" connectionId="96" xr16:uid="{00000000-0016-0000-0700-000013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ZuschlagsM_NachZS" tableColumnId="3"/>
      <queryTableField id="2" name="Anzahl Zuschläge_NachZS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2" headers="0" backgroundRefresh="0" growShrinkType="insertClear" adjustColumnWidth="0" connectionId="63" xr16:uid="{00000000-0016-0000-0700-000014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lussM" tableColumnId="3"/>
      <queryTableField id="2" name="Anzahl Ausschlüsse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57" headers="0" backgroundRefresh="0" growShrinkType="insertClear" adjustColumnWidth="0" connectionId="107" xr16:uid="{00000000-0016-0000-0700-000015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ZuschlagsM_VorZS" tableColumnId="9"/>
      <queryTableField id="2" name="Anzahl Zuschläge_VorZS" tableColumnId="10"/>
      <queryTableField id="3" name="Min ZuschlagsM" tableColumnId="11"/>
      <queryTableField id="4" name="Max ZuschlagsM" tableColumnId="12"/>
      <queryTableField id="5" name="Mittel ZuschlagsM" tableColumnId="13"/>
      <queryTableField id="6" name="Min ZuschlagsW" tableColumnId="14"/>
      <queryTableField id="7" name="Max ZuschlagsW" tableColumnId="15"/>
      <queryTableField id="8" name="Gew Mittel ZuschlagsW" tableColumnId="16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39" headers="0" backgroundRefresh="0" growShrinkType="insertClear" adjustColumnWidth="0" connectionId="74" xr16:uid="{00000000-0016-0000-0700-000016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reibungsvolumen" tableColumnId="3"/>
      <queryTableField id="2" name="Höchstwert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4" headers="0" backgroundRefresh="0" growShrinkType="insertClear" adjustColumnWidth="0" connectionId="52" xr16:uid="{00000000-0016-0000-0700-000017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Größenklasse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3" headers="0" backgroundRefresh="0" growShrinkType="insertClear" adjustColumnWidth="0" connectionId="41" xr16:uid="{00000000-0016-0000-0700-000018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Rechtsform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6" headers="0" backgroundRefresh="0" growShrinkType="insertClear" adjustColumnWidth="0" connectionId="19" xr16:uid="{00000000-0016-0000-0700-000019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7" headers="0" backgroundRefresh="0" growShrinkType="insertClear" adjustColumnWidth="0" connectionId="9" xr16:uid="{00000000-0016-0000-0700-00001A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8" headers="0" backgroundRefresh="0" growShrinkType="insertClear" adjustColumnWidth="0" connectionId="30" xr16:uid="{00000000-0016-0000-0700-00001B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EG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0" headers="0" backgroundRefresh="0" growShrinkType="insertClear" adjustColumnWidth="0" connectionId="84" xr16:uid="{00000000-0016-0000-0800-00001C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GebotsM" tableColumnId="9"/>
      <queryTableField id="2" name="Anzahl Gebote" tableColumnId="10"/>
      <queryTableField id="3" name="Min GebotsM" tableColumnId="11"/>
      <queryTableField id="4" name="Max GebotsM" tableColumnId="12"/>
      <queryTableField id="5" name="Mittel GebotsM" tableColumnId="13"/>
      <queryTableField id="6" name="Min GebotsW" tableColumnId="14"/>
      <queryTableField id="7" name="Max GebotsW" tableColumnId="15"/>
      <queryTableField id="8" name="Gew Mittel GebotsW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2" headers="0" backgroundRefresh="0" growShrinkType="insertClear" adjustColumnWidth="0" connectionId="56" xr16:uid="{00000000-0016-0000-0500-000002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lussM" tableColumnId="3"/>
      <queryTableField id="2" name="Anzahl Ausschlüsse" tableColumnId="4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1" headers="0" backgroundRefresh="0" growShrinkType="insertClear" adjustColumnWidth="0" connectionId="95" xr16:uid="{00000000-0016-0000-0800-00001D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ZuschlagsM_NachZS" tableColumnId="3"/>
      <queryTableField id="2" name="Anzahl Zuschläge_NachZS" tableColumnId="4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2" headers="0" backgroundRefresh="0" growShrinkType="insertClear" adjustColumnWidth="0" connectionId="62" xr16:uid="{00000000-0016-0000-0800-00001E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lussM" tableColumnId="3"/>
      <queryTableField id="2" name="Anzahl Ausschlüsse" tableColumnId="4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57" headers="0" backgroundRefresh="0" growShrinkType="insertClear" adjustColumnWidth="0" connectionId="106" xr16:uid="{00000000-0016-0000-0800-00001F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ZuschlagsM_VorZS" tableColumnId="9"/>
      <queryTableField id="2" name="Anzahl Zuschläge_VorZS" tableColumnId="10"/>
      <queryTableField id="3" name="Min ZuschlagsM" tableColumnId="11"/>
      <queryTableField id="4" name="Max ZuschlagsM" tableColumnId="12"/>
      <queryTableField id="5" name="Mittel ZuschlagsM" tableColumnId="13"/>
      <queryTableField id="6" name="Min ZuschlagsW" tableColumnId="14"/>
      <queryTableField id="7" name="Max ZuschlagsW" tableColumnId="15"/>
      <queryTableField id="8" name="Gew Mittel ZuschlagsW" tableColumnId="16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39" headers="0" backgroundRefresh="0" growShrinkType="insertClear" adjustColumnWidth="0" connectionId="73" xr16:uid="{00000000-0016-0000-0800-000020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reibungsvolumen" tableColumnId="3"/>
      <queryTableField id="2" name="Höchstwert" tableColumnId="4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4" headers="0" backgroundRefresh="0" growShrinkType="insertClear" adjustColumnWidth="0" connectionId="51" xr16:uid="{00000000-0016-0000-0800-000021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Größenklasse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3" headers="0" backgroundRefresh="0" growShrinkType="insertClear" adjustColumnWidth="0" connectionId="40" xr16:uid="{00000000-0016-0000-0800-000022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Rechtsform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6" headers="0" backgroundRefresh="0" growShrinkType="insertClear" adjustColumnWidth="0" connectionId="18" xr16:uid="{00000000-0016-0000-0800-000023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7" headers="0" backgroundRefresh="0" growShrinkType="insertClear" adjustColumnWidth="0" connectionId="8" xr16:uid="{00000000-0016-0000-0800-000024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8" headers="0" backgroundRefresh="0" growShrinkType="insertClear" adjustColumnWidth="0" connectionId="29" xr16:uid="{00000000-0016-0000-0800-000025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EG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0" headers="0" backgroundRefresh="0" growShrinkType="insertClear" adjustColumnWidth="0" connectionId="83" xr16:uid="{00000000-0016-0000-0900-000026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GebotsM" tableColumnId="9"/>
      <queryTableField id="2" name="Anzahl Gebote" tableColumnId="10"/>
      <queryTableField id="3" name="Min GebotsM" tableColumnId="11"/>
      <queryTableField id="4" name="Max GebotsM" tableColumnId="12"/>
      <queryTableField id="5" name="Mittel GebotsM" tableColumnId="13"/>
      <queryTableField id="6" name="Min GebotsW" tableColumnId="14"/>
      <queryTableField id="7" name="Max GebotsW" tableColumnId="15"/>
      <queryTableField id="8" name="Gew Mittel GebotsW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57" headers="0" backgroundRefresh="0" growShrinkType="insertClear" adjustColumnWidth="0" connectionId="100" xr16:uid="{00000000-0016-0000-0500-000003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ZuschlagsM_VorZS" tableColumnId="9"/>
      <queryTableField id="2" name="Anzahl Zuschläge_VorZS" tableColumnId="10"/>
      <queryTableField id="3" name="Min ZuschlagsM" tableColumnId="11"/>
      <queryTableField id="4" name="Max ZuschlagsM" tableColumnId="12"/>
      <queryTableField id="5" name="Mittel ZuschlagsM" tableColumnId="13"/>
      <queryTableField id="6" name="Min ZuschlagsW" tableColumnId="14"/>
      <queryTableField id="7" name="Max ZuschlagsW" tableColumnId="15"/>
      <queryTableField id="8" name="Gew Mittel ZuschlagsW" tableColumnId="16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1" headers="0" backgroundRefresh="0" growShrinkType="insertClear" adjustColumnWidth="0" connectionId="94" xr16:uid="{00000000-0016-0000-0900-000027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ZuschlagsM_NachZS" tableColumnId="3"/>
      <queryTableField id="2" name="Anzahl Zuschläge_NachZS" tableColumnId="4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2" headers="0" backgroundRefresh="0" growShrinkType="insertClear" adjustColumnWidth="0" connectionId="61" xr16:uid="{00000000-0016-0000-0900-000028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lussM" tableColumnId="3"/>
      <queryTableField id="2" name="Anzahl Ausschlüsse" tableColumnId="4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57" headers="0" backgroundRefresh="0" growShrinkType="insertClear" adjustColumnWidth="0" connectionId="105" xr16:uid="{00000000-0016-0000-0900-000029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ZuschlagsM_VorZS" tableColumnId="9"/>
      <queryTableField id="2" name="Anzahl Zuschläge_VorZS" tableColumnId="10"/>
      <queryTableField id="3" name="Min ZuschlagsM" tableColumnId="11"/>
      <queryTableField id="4" name="Max ZuschlagsM" tableColumnId="12"/>
      <queryTableField id="5" name="Mittel ZuschlagsM" tableColumnId="13"/>
      <queryTableField id="6" name="Min ZuschlagsW" tableColumnId="14"/>
      <queryTableField id="7" name="Max ZuschlagsW" tableColumnId="15"/>
      <queryTableField id="8" name="Gew Mittel ZuschlagsW" tableColumnId="16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39" headers="0" backgroundRefresh="0" growShrinkType="insertClear" adjustColumnWidth="0" connectionId="72" xr16:uid="{00000000-0016-0000-0900-00002A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reibungsvolumen" tableColumnId="3"/>
      <queryTableField id="2" name="Höchstwert" tableColumnId="4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4" headers="0" backgroundRefresh="0" growShrinkType="insertClear" adjustColumnWidth="0" connectionId="50" xr16:uid="{00000000-0016-0000-0900-00002B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Größenklasse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3" headers="0" backgroundRefresh="0" growShrinkType="insertClear" adjustColumnWidth="0" connectionId="39" xr16:uid="{00000000-0016-0000-0900-00002C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Rechtsform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6" headers="0" backgroundRefresh="0" growShrinkType="insertClear" adjustColumnWidth="0" connectionId="17" xr16:uid="{00000000-0016-0000-0900-00002D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7" headers="0" backgroundRefresh="0" growShrinkType="insertClear" adjustColumnWidth="0" connectionId="7" xr16:uid="{00000000-0016-0000-0900-00002E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8" headers="0" backgroundRefresh="0" growShrinkType="insertClear" adjustColumnWidth="0" connectionId="28" xr16:uid="{00000000-0016-0000-0900-00002F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EG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0" headers="0" backgroundRefresh="0" growShrinkType="insertClear" adjustColumnWidth="0" connectionId="82" xr16:uid="{00000000-0016-0000-0A00-000030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GebotsM" tableColumnId="9"/>
      <queryTableField id="2" name="Anzahl Gebote" tableColumnId="10"/>
      <queryTableField id="3" name="Min GebotsM" tableColumnId="11"/>
      <queryTableField id="4" name="Max GebotsM" tableColumnId="12"/>
      <queryTableField id="5" name="Mittel GebotsM" tableColumnId="13"/>
      <queryTableField id="6" name="Min GebotsW" tableColumnId="14"/>
      <queryTableField id="7" name="Max GebotsW" tableColumnId="15"/>
      <queryTableField id="8" name="Gew Mittel GebotsW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39" headers="0" backgroundRefresh="0" growShrinkType="insertClear" adjustColumnWidth="0" connectionId="67" xr16:uid="{00000000-0016-0000-0500-000004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reibungsvolumen" tableColumnId="3"/>
      <queryTableField id="2" name="Höchstwert" tableColumnId="4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1" headers="0" backgroundRefresh="0" growShrinkType="insertClear" adjustColumnWidth="0" connectionId="93" xr16:uid="{00000000-0016-0000-0A00-000031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ZuschlagsM_NachZS" tableColumnId="3"/>
      <queryTableField id="2" name="Anzahl Zuschläge_NachZS" tableColumnId="4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2" headers="0" backgroundRefresh="0" growShrinkType="insertClear" adjustColumnWidth="0" connectionId="60" xr16:uid="{00000000-0016-0000-0A00-000032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lussM" tableColumnId="3"/>
      <queryTableField id="2" name="Anzahl Ausschlüsse" tableColumnId="4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57" headers="0" backgroundRefresh="0" growShrinkType="insertClear" adjustColumnWidth="0" connectionId="104" xr16:uid="{00000000-0016-0000-0A00-000033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ZuschlagsM_VorZS" tableColumnId="9"/>
      <queryTableField id="2" name="Anzahl Zuschläge_VorZS" tableColumnId="10"/>
      <queryTableField id="3" name="Min ZuschlagsM" tableColumnId="11"/>
      <queryTableField id="4" name="Max ZuschlagsM" tableColumnId="12"/>
      <queryTableField id="5" name="Mittel ZuschlagsM" tableColumnId="13"/>
      <queryTableField id="6" name="Min ZuschlagsW" tableColumnId="14"/>
      <queryTableField id="7" name="Max ZuschlagsW" tableColumnId="15"/>
      <queryTableField id="8" name="Gew Mittel ZuschlagsW" tableColumnId="16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39" headers="0" backgroundRefresh="0" growShrinkType="insertClear" adjustColumnWidth="0" connectionId="71" xr16:uid="{00000000-0016-0000-0A00-000034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reibungsvolumen" tableColumnId="3"/>
      <queryTableField id="2" name="Höchstwert" tableColumnId="4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4" headers="0" backgroundRefresh="0" growShrinkType="insertClear" adjustColumnWidth="0" connectionId="49" xr16:uid="{00000000-0016-0000-0A00-000035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Größenklasse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3" headers="0" backgroundRefresh="0" growShrinkType="insertClear" adjustColumnWidth="0" connectionId="38" xr16:uid="{00000000-0016-0000-0A00-000036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Rechtsform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6" headers="0" backgroundRefresh="0" growShrinkType="insertClear" adjustColumnWidth="0" connectionId="16" xr16:uid="{00000000-0016-0000-0A00-000037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7" headers="0" backgroundRefresh="0" growShrinkType="insertClear" adjustColumnWidth="0" connectionId="6" xr16:uid="{00000000-0016-0000-0A00-000038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8" headers="0" backgroundRefresh="0" growShrinkType="insertClear" adjustColumnWidth="0" connectionId="27" xr16:uid="{00000000-0016-0000-0A00-000039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EG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0" headers="0" backgroundRefresh="0" growShrinkType="insertClear" adjustColumnWidth="0" connectionId="81" xr16:uid="{00000000-0016-0000-0B00-00003A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GebotsM" tableColumnId="9"/>
      <queryTableField id="2" name="Anzahl Gebote" tableColumnId="10"/>
      <queryTableField id="3" name="Min GebotsM" tableColumnId="11"/>
      <queryTableField id="4" name="Max GebotsM" tableColumnId="12"/>
      <queryTableField id="5" name="Mittel GebotsM" tableColumnId="13"/>
      <queryTableField id="6" name="Min GebotsW" tableColumnId="14"/>
      <queryTableField id="7" name="Max GebotsW" tableColumnId="15"/>
      <queryTableField id="8" name="Gew Mittel GebotsW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4" headers="0" backgroundRefresh="0" growShrinkType="insertClear" adjustColumnWidth="0" connectionId="45" xr16:uid="{00000000-0016-0000-0500-000005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Größenklasse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1" headers="0" backgroundRefresh="0" growShrinkType="insertClear" adjustColumnWidth="0" connectionId="92" xr16:uid="{00000000-0016-0000-0B00-00003B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ZuschlagsM_NachZS" tableColumnId="3"/>
      <queryTableField id="2" name="Anzahl Zuschläge_NachZS" tableColumnId="4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2" headers="0" backgroundRefresh="0" growShrinkType="insertClear" adjustColumnWidth="0" connectionId="59" xr16:uid="{00000000-0016-0000-0B00-00003C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lussM" tableColumnId="3"/>
      <queryTableField id="2" name="Anzahl Ausschlüsse" tableColumnId="4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57" headers="0" backgroundRefresh="0" growShrinkType="insertClear" adjustColumnWidth="0" connectionId="103" xr16:uid="{00000000-0016-0000-0B00-00003D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ZuschlagsM_VorZS" tableColumnId="9"/>
      <queryTableField id="2" name="Anzahl Zuschläge_VorZS" tableColumnId="10"/>
      <queryTableField id="3" name="Min ZuschlagsM" tableColumnId="11"/>
      <queryTableField id="4" name="Max ZuschlagsM" tableColumnId="12"/>
      <queryTableField id="5" name="Mittel ZuschlagsM" tableColumnId="13"/>
      <queryTableField id="6" name="Min ZuschlagsW" tableColumnId="14"/>
      <queryTableField id="7" name="Max ZuschlagsW" tableColumnId="15"/>
      <queryTableField id="8" name="Gew Mittel ZuschlagsW" tableColumnId="16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39" headers="0" backgroundRefresh="0" growShrinkType="insertClear" adjustColumnWidth="0" connectionId="70" xr16:uid="{00000000-0016-0000-0B00-00003E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reibungsvolumen" tableColumnId="3"/>
      <queryTableField id="2" name="Höchstwert" tableColumnId="4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4" headers="0" backgroundRefresh="0" growShrinkType="insertClear" adjustColumnWidth="0" connectionId="48" xr16:uid="{00000000-0016-0000-0B00-00003F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Größenklasse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3" headers="0" backgroundRefresh="0" growShrinkType="insertClear" adjustColumnWidth="0" connectionId="37" xr16:uid="{00000000-0016-0000-0B00-000040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Rechtsform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6" headers="0" backgroundRefresh="0" growShrinkType="insertClear" adjustColumnWidth="0" connectionId="15" xr16:uid="{00000000-0016-0000-0B00-000041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7" headers="0" backgroundRefresh="0" growShrinkType="insertClear" adjustColumnWidth="0" connectionId="5" xr16:uid="{00000000-0016-0000-0B00-000042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8" headers="0" backgroundRefresh="0" growShrinkType="insertClear" adjustColumnWidth="0" connectionId="26" xr16:uid="{00000000-0016-0000-0B00-000043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EG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0" headers="0" backgroundRefresh="0" growShrinkType="insertClear" adjustColumnWidth="0" connectionId="80" xr16:uid="{00000000-0016-0000-0D00-000044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GebotsM" tableColumnId="9"/>
      <queryTableField id="2" name="Anzahl Gebote" tableColumnId="10"/>
      <queryTableField id="3" name="Min GebotsM" tableColumnId="11"/>
      <queryTableField id="4" name="Max GebotsM" tableColumnId="12"/>
      <queryTableField id="5" name="Mittel GebotsM" tableColumnId="13"/>
      <queryTableField id="6" name="Min GebotsW" tableColumnId="14"/>
      <queryTableField id="7" name="Max GebotsW" tableColumnId="15"/>
      <queryTableField id="8" name="Gew Mittel GebotsW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3" headers="0" backgroundRefresh="0" growShrinkType="insertClear" adjustColumnWidth="0" connectionId="34" xr16:uid="{00000000-0016-0000-0500-000006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Rechtsform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1" headers="0" backgroundRefresh="0" growShrinkType="insertClear" adjustColumnWidth="0" connectionId="91" xr16:uid="{00000000-0016-0000-0D00-000045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ZuschlagsM_NachZS" tableColumnId="3"/>
      <queryTableField id="2" name="Anzahl Zuschläge_NachZS" tableColumnId="4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2" headers="0" backgroundRefresh="0" growShrinkType="insertClear" adjustColumnWidth="0" connectionId="58" xr16:uid="{00000000-0016-0000-0D00-000046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lussM" tableColumnId="3"/>
      <queryTableField id="2" name="Anzahl Ausschlüsse" tableColumnId="4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57" headers="0" backgroundRefresh="0" growShrinkType="insertClear" adjustColumnWidth="0" connectionId="102" xr16:uid="{00000000-0016-0000-0D00-000047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ZuschlagsM_VorZS" tableColumnId="9"/>
      <queryTableField id="2" name="Anzahl Zuschläge_VorZS" tableColumnId="10"/>
      <queryTableField id="3" name="Min ZuschlagsM" tableColumnId="11"/>
      <queryTableField id="4" name="Max ZuschlagsM" tableColumnId="12"/>
      <queryTableField id="5" name="Mittel ZuschlagsM" tableColumnId="13"/>
      <queryTableField id="6" name="Min ZuschlagsW" tableColumnId="14"/>
      <queryTableField id="7" name="Max ZuschlagsW" tableColumnId="15"/>
      <queryTableField id="8" name="Gew Mittel ZuschlagsW" tableColumnId="16"/>
    </queryTableFields>
  </queryTableRefresh>
</queryTable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39" headers="0" backgroundRefresh="0" growShrinkType="insertClear" adjustColumnWidth="0" connectionId="69" xr16:uid="{00000000-0016-0000-0D00-000048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reibungsvolumen" tableColumnId="3"/>
      <queryTableField id="2" name="Höchstwert" tableColumnId="4"/>
    </queryTableFields>
  </queryTableRefresh>
</queryTable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4" headers="0" backgroundRefresh="0" growShrinkType="insertClear" adjustColumnWidth="0" connectionId="47" xr16:uid="{00000000-0016-0000-0D00-000049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Größenklasse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3" headers="0" backgroundRefresh="0" growShrinkType="insertClear" adjustColumnWidth="0" connectionId="36" xr16:uid="{00000000-0016-0000-0D00-00004A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Rechtsform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6" headers="0" backgroundRefresh="0" growShrinkType="insertClear" adjustColumnWidth="0" connectionId="14" xr16:uid="{00000000-0016-0000-0D00-00004B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7" headers="0" backgroundRefresh="0" growShrinkType="insertClear" adjustColumnWidth="0" connectionId="4" xr16:uid="{00000000-0016-0000-0D00-00004C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8" headers="0" backgroundRefresh="0" growShrinkType="insertClear" adjustColumnWidth="0" connectionId="25" xr16:uid="{00000000-0016-0000-0D00-00004D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EG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0" headers="0" backgroundRefresh="0" growShrinkType="insertClear" adjustColumnWidth="0" connectionId="79" xr16:uid="{00000000-0016-0000-0E00-00004E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GebotsM" tableColumnId="9"/>
      <queryTableField id="2" name="Anzahl Gebote" tableColumnId="10"/>
      <queryTableField id="3" name="Min GebotsM" tableColumnId="11"/>
      <queryTableField id="4" name="Max GebotsM" tableColumnId="12"/>
      <queryTableField id="5" name="Mittel GebotsM" tableColumnId="13"/>
      <queryTableField id="6" name="Min GebotsW" tableColumnId="14"/>
      <queryTableField id="7" name="Max GebotsW" tableColumnId="15"/>
      <queryTableField id="8" name="Gew Mittel GebotsW" tableColumnId="1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6" headers="0" backgroundRefresh="0" growShrinkType="insertClear" adjustColumnWidth="0" connectionId="12" xr16:uid="{00000000-0016-0000-0500-000007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1" headers="0" backgroundRefresh="0" growShrinkType="insertClear" adjustColumnWidth="0" connectionId="90" xr16:uid="{00000000-0016-0000-0E00-00004F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ZuschlagsM_NachZS" tableColumnId="3"/>
      <queryTableField id="2" name="Anzahl Zuschläge_NachZS" tableColumnId="4"/>
    </queryTableFields>
  </queryTableRefresh>
</queryTable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2" headers="0" backgroundRefresh="0" growShrinkType="insertClear" adjustColumnWidth="0" connectionId="57" xr16:uid="{00000000-0016-0000-0E00-000050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lussM" tableColumnId="3"/>
      <queryTableField id="2" name="Anzahl Ausschlüsse" tableColumnId="4"/>
    </queryTableFields>
  </queryTableRefresh>
</queryTable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57" headers="0" backgroundRefresh="0" growShrinkType="insertClear" adjustColumnWidth="0" connectionId="101" xr16:uid="{00000000-0016-0000-0E00-000051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ZuschlagsM_VorZS" tableColumnId="9"/>
      <queryTableField id="2" name="Anzahl Zuschläge_VorZS" tableColumnId="10"/>
      <queryTableField id="3" name="Min ZuschlagsM" tableColumnId="11"/>
      <queryTableField id="4" name="Max ZuschlagsM" tableColumnId="12"/>
      <queryTableField id="5" name="Mittel ZuschlagsM" tableColumnId="13"/>
      <queryTableField id="6" name="Min ZuschlagsW" tableColumnId="14"/>
      <queryTableField id="7" name="Max ZuschlagsW" tableColumnId="15"/>
      <queryTableField id="8" name="Gew Mittel ZuschlagsW" tableColumnId="16"/>
    </queryTableFields>
  </queryTableRefresh>
</queryTable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39" headers="0" backgroundRefresh="0" growShrinkType="insertClear" adjustColumnWidth="0" connectionId="68" xr16:uid="{00000000-0016-0000-0E00-000052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reibungsvolumen" tableColumnId="3"/>
      <queryTableField id="2" name="Höchstwert" tableColumnId="4"/>
    </queryTableFields>
  </queryTableRefresh>
</queryTable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4" headers="0" backgroundRefresh="0" growShrinkType="insertClear" adjustColumnWidth="0" connectionId="46" xr16:uid="{00000000-0016-0000-0E00-000053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Größenklasse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3" headers="0" backgroundRefresh="0" growShrinkType="insertClear" adjustColumnWidth="0" connectionId="35" xr16:uid="{00000000-0016-0000-0E00-000054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Rechtsform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6" headers="0" backgroundRefresh="0" growShrinkType="insertClear" adjustColumnWidth="0" connectionId="13" xr16:uid="{00000000-0016-0000-0E00-000055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7" headers="0" backgroundRefresh="0" growShrinkType="insertClear" adjustColumnWidth="0" connectionId="3" xr16:uid="{00000000-0016-0000-0E00-000056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8" headers="0" backgroundRefresh="0" growShrinkType="insertClear" adjustColumnWidth="0" connectionId="24" xr16:uid="{00000000-0016-0000-0E00-000057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EG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0" headers="0" backgroundRefresh="0" growShrinkType="insertClear" adjustColumnWidth="0" connectionId="77" xr16:uid="{00000000-0016-0000-1000-000058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GebotsM" tableColumnId="9"/>
      <queryTableField id="2" name="Anzahl Gebote" tableColumnId="10"/>
      <queryTableField id="3" name="Min GebotsM" tableColumnId="11"/>
      <queryTableField id="4" name="Max GebotsM" tableColumnId="12"/>
      <queryTableField id="5" name="Mittel GebotsM" tableColumnId="13"/>
      <queryTableField id="6" name="Min GebotsW" tableColumnId="14"/>
      <queryTableField id="7" name="Max GebotsW" tableColumnId="15"/>
      <queryTableField id="8" name="Gew Mittel GebotsW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8" headers="0" backgroundRefresh="0" growShrinkType="insertClear" adjustColumnWidth="0" connectionId="23" xr16:uid="{00000000-0016-0000-0500-000008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EG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1" headers="0" backgroundRefresh="0" growShrinkType="insertClear" adjustColumnWidth="0" connectionId="88" xr16:uid="{00000000-0016-0000-1000-000059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ZuschlagsM_NachZS" tableColumnId="3"/>
      <queryTableField id="2" name="Anzahl Zuschläge_NachZS" tableColumnId="4"/>
    </queryTableFields>
  </queryTableRefresh>
</queryTable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2" headers="0" backgroundRefresh="0" growShrinkType="insertClear" adjustColumnWidth="0" connectionId="55" xr16:uid="{00000000-0016-0000-1000-00005A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lussM" tableColumnId="3"/>
      <queryTableField id="2" name="Anzahl Ausschlüsse" tableColumnId="4"/>
    </queryTableFields>
  </queryTableRefresh>
</queryTable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57" headers="0" backgroundRefresh="0" growShrinkType="insertClear" adjustColumnWidth="0" connectionId="99" xr16:uid="{00000000-0016-0000-1000-00005B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ZuschlagsM_VorZS" tableColumnId="9"/>
      <queryTableField id="2" name="Anzahl Zuschläge_VorZS" tableColumnId="10"/>
      <queryTableField id="3" name="Min ZuschlagsM" tableColumnId="11"/>
      <queryTableField id="4" name="Max ZuschlagsM" tableColumnId="12"/>
      <queryTableField id="5" name="Mittel ZuschlagsM" tableColumnId="13"/>
      <queryTableField id="6" name="Min ZuschlagsW" tableColumnId="14"/>
      <queryTableField id="7" name="Max ZuschlagsW" tableColumnId="15"/>
      <queryTableField id="8" name="Gew Mittel ZuschlagsW" tableColumnId="16"/>
    </queryTableFields>
  </queryTableRefresh>
</queryTable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39" headers="0" backgroundRefresh="0" growShrinkType="insertClear" adjustColumnWidth="0" connectionId="66" xr16:uid="{00000000-0016-0000-1000-00005C000000}" autoFormatId="16" applyNumberFormats="0" applyBorderFormats="0" applyFontFormats="0" applyPatternFormats="0" applyAlignmentFormats="0" applyWidthHeightFormats="0">
  <queryTableRefresh preserveSortFilterLayout="0" headersInLastRefresh="0" nextId="3">
    <queryTableFields count="2">
      <queryTableField id="1" name="Ausschreibungsvolumen" tableColumnId="3"/>
      <queryTableField id="2" name="Höchstwert" tableColumnId="4"/>
    </queryTableFields>
  </queryTableRefresh>
</queryTable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4" headers="0" backgroundRefresh="0" growShrinkType="insertClear" adjustColumnWidth="0" connectionId="44" xr16:uid="{00000000-0016-0000-1000-00005D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Größenklasse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3" headers="0" backgroundRefresh="0" growShrinkType="insertClear" adjustColumnWidth="0" connectionId="33" xr16:uid="{00000000-0016-0000-1000-00005E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Rechtsform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6" headers="0" backgroundRefresh="0" growShrinkType="insertClear" adjustColumnWidth="0" connectionId="11" xr16:uid="{00000000-0016-0000-1000-00005F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7" headers="0" backgroundRefresh="0" growShrinkType="insertClear" adjustColumnWidth="0" connectionId="2" xr16:uid="{00000000-0016-0000-1000-000060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undesland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8" headers="0" backgroundRefresh="0" growShrinkType="insertClear" adjustColumnWidth="0" connectionId="22" xr16:uid="{00000000-0016-0000-1000-000061000000}" autoFormatId="16" applyNumberFormats="0" applyBorderFormats="0" applyFontFormats="0" applyPatternFormats="0" applyAlignmentFormats="0" applyWidthHeightFormats="0">
  <queryTableRefresh preserveSortFilterLayout="0" headersInLastRefresh="0" nextId="8">
    <queryTableFields count="7">
      <queryTableField id="1" name="BEG" tableColumnId="8"/>
      <queryTableField id="2" name="Gebotsmenge" tableColumnId="9"/>
      <queryTableField id="3" name="Anzahl Gebote" tableColumnId="10"/>
      <queryTableField id="4" name="Mittlere Gebotsmenge" tableColumnId="11"/>
      <queryTableField id="5" name="Zuschlagsmenge" tableColumnId="12"/>
      <queryTableField id="6" name="Anzahl Zuschläge" tableColumnId="13"/>
      <queryTableField id="7" name="Mittlere Zuschlagsmenge" tableColumnId="14"/>
    </queryTableFields>
  </queryTableRefresh>
</queryTable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_FFA_Datenbank_FE.accdb_40" headers="0" backgroundRefresh="0" growShrinkType="insertClear" adjustColumnWidth="0" connectionId="76" xr16:uid="{00000000-0016-0000-1100-000062000000}" autoFormatId="16" applyNumberFormats="0" applyBorderFormats="0" applyFontFormats="0" applyPatternFormats="0" applyAlignmentFormats="0" applyWidthHeightFormats="0">
  <queryTableRefresh preserveSortFilterLayout="0" headersInLastRefresh="0" nextId="9">
    <queryTableFields count="8">
      <queryTableField id="1" name="GebotsM" tableColumnId="9"/>
      <queryTableField id="2" name="Anzahl Gebote" tableColumnId="10"/>
      <queryTableField id="3" name="Min GebotsM" tableColumnId="11"/>
      <queryTableField id="4" name="Max GebotsM" tableColumnId="12"/>
      <queryTableField id="5" name="Mittel GebotsM" tableColumnId="13"/>
      <queryTableField id="6" name="Min GebotsW" tableColumnId="14"/>
      <queryTableField id="7" name="Max GebotsW" tableColumnId="15"/>
      <queryTableField id="8" name="Gew Mittel GebotsW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0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0.xml"/></Relationships>
</file>

<file path=xl/tables/_rels/table10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1.xml"/></Relationships>
</file>

<file path=xl/tables/_rels/table10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2.xml"/></Relationships>
</file>

<file path=xl/tables/_rels/table10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3.xml"/></Relationships>
</file>

<file path=xl/tables/_rels/table10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4.xml"/></Relationships>
</file>

<file path=xl/tables/_rels/table10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5.xml"/></Relationships>
</file>

<file path=xl/tables/_rels/table10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6.xml"/></Relationships>
</file>

<file path=xl/tables/_rels/table10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7.xml"/></Relationships>
</file>

<file path=xl/tables/_rels/table10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tables/_rels/table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tables/_rels/table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/Relationships>
</file>

<file path=xl/tables/_rels/table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tables/_rels/table7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/Relationships>
</file>

<file path=xl/tables/_rels/table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8.xml"/></Relationships>
</file>

<file path=xl/tables/_rels/table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8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0.xml"/></Relationships>
</file>

<file path=xl/tables/_rels/table8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/Relationships>
</file>

<file path=xl/tables/_rels/table8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2.xml"/></Relationships>
</file>

<file path=xl/tables/_rels/table8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/Relationships>
</file>

<file path=xl/tables/_rels/table8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4.xml"/></Relationships>
</file>

<file path=xl/tables/_rels/table8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5.xml"/></Relationships>
</file>

<file path=xl/tables/_rels/table8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6.xml"/></Relationships>
</file>

<file path=xl/tables/_rels/table8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7.xml"/></Relationships>
</file>

<file path=xl/tables/_rels/table8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8.xml"/></Relationships>
</file>

<file path=xl/tables/_rels/table8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9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9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0.xml"/></Relationships>
</file>

<file path=xl/tables/_rels/table9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1.xml"/></Relationships>
</file>

<file path=xl/tables/_rels/table9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2.xml"/></Relationships>
</file>

<file path=xl/tables/_rels/table9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3.xml"/></Relationships>
</file>

<file path=xl/tables/_rels/table9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4.xml"/></Relationships>
</file>

<file path=xl/tables/_rels/table9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5.xml"/></Relationships>
</file>

<file path=xl/tables/_rels/table9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6.xml"/></Relationships>
</file>

<file path=xl/tables/_rels/table9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7.xml"/></Relationships>
</file>

<file path=xl/tables/_rels/table9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8.xml"/></Relationships>
</file>

<file path=xl/tables/_rels/table9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00000000}" name="qryVStat_GemA2_AlleRunden_Gebote93" displayName="qryVStat_GemA2_AlleRunden_Gebote93" ref="A13:H13" tableType="queryTable" headerRowCount="0" totalsRowShown="0" headerRowDxfId="870" dataDxfId="869" tableBorderDxfId="868">
  <tableColumns count="8">
    <tableColumn id="9" xr3:uid="{00000000-0010-0000-0000-000009000000}" uniqueName="9" name="GebotsM" queryTableFieldId="1" dataDxfId="867"/>
    <tableColumn id="10" xr3:uid="{00000000-0010-0000-0000-00000A000000}" uniqueName="10" name="Anzahl Gebote" queryTableFieldId="2" dataDxfId="866"/>
    <tableColumn id="11" xr3:uid="{00000000-0010-0000-0000-00000B000000}" uniqueName="11" name="Min GebotsM" queryTableFieldId="3" dataDxfId="865"/>
    <tableColumn id="12" xr3:uid="{00000000-0010-0000-0000-00000C000000}" uniqueName="12" name="Max GebotsM" queryTableFieldId="4" dataDxfId="864"/>
    <tableColumn id="13" xr3:uid="{00000000-0010-0000-0000-00000D000000}" uniqueName="13" name="Mittel GebotsM" queryTableFieldId="5" dataDxfId="863"/>
    <tableColumn id="14" xr3:uid="{00000000-0010-0000-0000-00000E000000}" uniqueName="14" name="Min GebotsW" queryTableFieldId="6" dataDxfId="862"/>
    <tableColumn id="15" xr3:uid="{00000000-0010-0000-0000-00000F000000}" uniqueName="15" name="Max GebotsW" queryTableFieldId="7" dataDxfId="861"/>
    <tableColumn id="16" xr3:uid="{00000000-0010-0000-0000-000010000000}" uniqueName="16" name="Gew Mittel GebotsW" queryTableFieldId="8" dataDxfId="860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09000000}" name="qryVStat_GemA2_AlleRunden_Gebote82" displayName="qryVStat_GemA2_AlleRunden_Gebote82" ref="A13:H13" tableType="queryTable" headerRowCount="0" totalsRowShown="0" headerRowDxfId="799" dataDxfId="798" tableBorderDxfId="797">
  <tableColumns count="8">
    <tableColumn id="9" xr3:uid="{00000000-0010-0000-0900-000009000000}" uniqueName="9" name="GebotsM" queryTableFieldId="1" dataDxfId="796"/>
    <tableColumn id="10" xr3:uid="{00000000-0010-0000-0900-00000A000000}" uniqueName="10" name="Anzahl Gebote" queryTableFieldId="2" dataDxfId="795"/>
    <tableColumn id="11" xr3:uid="{00000000-0010-0000-0900-00000B000000}" uniqueName="11" name="Min GebotsM" queryTableFieldId="3" dataDxfId="794"/>
    <tableColumn id="12" xr3:uid="{00000000-0010-0000-0900-00000C000000}" uniqueName="12" name="Max GebotsM" queryTableFieldId="4" dataDxfId="793"/>
    <tableColumn id="13" xr3:uid="{00000000-0010-0000-0900-00000D000000}" uniqueName="13" name="Mittel GebotsM" queryTableFieldId="5" dataDxfId="792"/>
    <tableColumn id="14" xr3:uid="{00000000-0010-0000-0900-00000E000000}" uniqueName="14" name="Min GebotsW" queryTableFieldId="6" dataDxfId="791"/>
    <tableColumn id="15" xr3:uid="{00000000-0010-0000-0900-00000F000000}" uniqueName="15" name="Max GebotsW" queryTableFieldId="7" dataDxfId="790"/>
    <tableColumn id="16" xr3:uid="{00000000-0010-0000-0900-000010000000}" uniqueName="16" name="Gew Mittel GebotsW" queryTableFieldId="8" dataDxfId="789"/>
  </tableColumns>
  <tableStyleInfo name="TableStyleMedium2" showFirstColumn="0" showLastColumn="0" showRowStripes="0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63000000}" name="qryVStat_GemA2_AlleRunden_Zuschläge" displayName="qryVStat_GemA2_AlleRunden_Zuschläge" ref="A22:B22" tableType="queryTable" headerRowCount="0" totalsRowShown="0" headerRowDxfId="71" dataDxfId="70" tableBorderDxfId="69">
  <tableColumns count="2">
    <tableColumn id="3" xr3:uid="{00000000-0010-0000-6300-000003000000}" uniqueName="3" name="ZuschlagsM_NachZS" queryTableFieldId="1" dataDxfId="68"/>
    <tableColumn id="4" xr3:uid="{00000000-0010-0000-6300-000004000000}" uniqueName="4" name="Anzahl Zuschläge_NachZS" queryTableFieldId="2" dataDxfId="67"/>
  </tableColumns>
  <tableStyleInfo name="TableStyleMedium2" showFirstColumn="0" showLastColumn="0" showRowStripes="0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64000000}" name="qryVStat_GemA2_AlleRunden_Ausschlüsse" displayName="qryVStat_GemA2_AlleRunden_Ausschlüsse" ref="A27:B27" tableType="queryTable" headerRowCount="0" totalsRowShown="0" headerRowDxfId="66" dataDxfId="65" tableBorderDxfId="64">
  <tableColumns count="2">
    <tableColumn id="3" xr3:uid="{00000000-0010-0000-6400-000003000000}" uniqueName="3" name="AusschlussM" queryTableFieldId="1" dataDxfId="63"/>
    <tableColumn id="4" xr3:uid="{00000000-0010-0000-6400-000004000000}" uniqueName="4" name="Anzahl Ausschlüsse" queryTableFieldId="2" dataDxfId="62"/>
  </tableColumns>
  <tableStyleInfo name="TableStyleMedium2" showFirstColumn="0" showLastColumn="0" showRowStripes="0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65000000}" name="qryVStat_GemA2_AlleRunden_Zuschläge21" displayName="qryVStat_GemA2_AlleRunden_Zuschläge21" ref="A18:H18" tableType="queryTable" headerRowCount="0" totalsRowShown="0" headerRowDxfId="61" dataDxfId="60" tableBorderDxfId="59">
  <tableColumns count="8">
    <tableColumn id="9" xr3:uid="{00000000-0010-0000-6500-000009000000}" uniqueName="9" name="ZuschlagsM_VorZS" queryTableFieldId="1" dataDxfId="58"/>
    <tableColumn id="10" xr3:uid="{00000000-0010-0000-6500-00000A000000}" uniqueName="10" name="Anzahl Zuschläge_VorZS" queryTableFieldId="2" dataDxfId="57"/>
    <tableColumn id="11" xr3:uid="{00000000-0010-0000-6500-00000B000000}" uniqueName="11" name="Min ZuschlagsM" queryTableFieldId="3" dataDxfId="56"/>
    <tableColumn id="12" xr3:uid="{00000000-0010-0000-6500-00000C000000}" uniqueName="12" name="Max ZuschlagsM" queryTableFieldId="4" dataDxfId="55"/>
    <tableColumn id="13" xr3:uid="{00000000-0010-0000-6500-00000D000000}" uniqueName="13" name="Mittel ZuschlagsM" queryTableFieldId="5" dataDxfId="54"/>
    <tableColumn id="14" xr3:uid="{00000000-0010-0000-6500-00000E000000}" uniqueName="14" name="Min ZuschlagsW" queryTableFieldId="6" dataDxfId="53"/>
    <tableColumn id="15" xr3:uid="{00000000-0010-0000-6500-00000F000000}" uniqueName="15" name="Max ZuschlagsW" queryTableFieldId="7" dataDxfId="52"/>
    <tableColumn id="16" xr3:uid="{00000000-0010-0000-6500-000010000000}" uniqueName="16" name="Gew Mittel ZuschlagsW" queryTableFieldId="8" dataDxfId="51"/>
  </tableColumns>
  <tableStyleInfo name="TableStyleMedium2" showFirstColumn="0" showLastColumn="0" showRowStripes="0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66000000}" name="qryVStat_GemA2_AlleRunden_AusschreibungsV" displayName="qryVStat_GemA2_AlleRunden_AusschreibungsV" ref="A8:B8" tableType="queryTable" headerRowCount="0" totalsRowShown="0" headerRowDxfId="50" dataDxfId="49" tableBorderDxfId="48">
  <tableColumns count="2">
    <tableColumn id="3" xr3:uid="{00000000-0010-0000-6600-000003000000}" uniqueName="3" name="Ausschreibungsvolumen" queryTableFieldId="1" dataDxfId="47"/>
    <tableColumn id="4" xr3:uid="{00000000-0010-0000-6600-000004000000}" uniqueName="4" name="Höchstwert" queryTableFieldId="2" dataDxfId="46"/>
  </tableColumns>
  <tableStyleInfo name="TableStyleMedium2" showFirstColumn="0" showLastColumn="0" showRowStripes="0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67000000}" name="Tabelle_PV_FFA_Datenbank_FE.accdb213" displayName="Tabelle_PV_FFA_Datenbank_FE.accdb213" ref="A35:G39" tableType="queryTable" headerRowCount="0" totalsRowCount="1" headerRowDxfId="45">
  <tableColumns count="7">
    <tableColumn id="8" xr3:uid="{00000000-0010-0000-6700-000008000000}" uniqueName="8" name="Größenklasse" totalsRowLabel="Summe" queryTableFieldId="1" dataDxfId="44" totalsRowDxfId="43"/>
    <tableColumn id="9" xr3:uid="{00000000-0010-0000-6700-000009000000}" uniqueName="9" name="Gebotsmenge" totalsRowFunction="sum" queryTableFieldId="2" dataDxfId="42"/>
    <tableColumn id="10" xr3:uid="{00000000-0010-0000-6700-00000A000000}" uniqueName="10" name="Anzahl Gebote" totalsRowFunction="sum" queryTableFieldId="3" dataDxfId="41"/>
    <tableColumn id="11" xr3:uid="{00000000-0010-0000-6700-00000B000000}" uniqueName="11" name="Mittlere Gebotsmenge" queryTableFieldId="4" dataDxfId="40"/>
    <tableColumn id="12" xr3:uid="{00000000-0010-0000-6700-00000C000000}" uniqueName="12" name="Zuschlagsmenge" totalsRowFunction="sum" queryTableFieldId="5" dataDxfId="39"/>
    <tableColumn id="13" xr3:uid="{00000000-0010-0000-6700-00000D000000}" uniqueName="13" name="Anzahl Zuschläge" totalsRowFunction="sum" queryTableFieldId="6" dataDxfId="38"/>
    <tableColumn id="14" xr3:uid="{00000000-0010-0000-6700-00000E000000}" uniqueName="14" name="Mittlere Zuschlagsmenge" queryTableFieldId="7" dataDxfId="37" totalsRowDxfId="36"/>
  </tableColumns>
  <tableStyleInfo name="TableStyleMedium2" showFirstColumn="0" showLastColumn="0" showRowStripes="0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68000000}" name="Tabelle_PV_FFA_Datenbank_FE.accdb2412" displayName="Tabelle_PV_FFA_Datenbank_FE.accdb2412" ref="A65:G69" tableType="queryTable" headerRowCount="0" totalsRowCount="1" headerRowDxfId="35">
  <tableColumns count="7">
    <tableColumn id="8" xr3:uid="{00000000-0010-0000-6800-000008000000}" uniqueName="8" name="Rechtsform" totalsRowLabel="Summe" queryTableFieldId="1"/>
    <tableColumn id="9" xr3:uid="{00000000-0010-0000-6800-000009000000}" uniqueName="9" name="Gebotsmenge" totalsRowFunction="sum" queryTableFieldId="2" dataDxfId="34"/>
    <tableColumn id="10" xr3:uid="{00000000-0010-0000-6800-00000A000000}" uniqueName="10" name="Anzahl Gebote" totalsRowFunction="sum" queryTableFieldId="3" dataDxfId="33"/>
    <tableColumn id="11" xr3:uid="{00000000-0010-0000-6800-00000B000000}" uniqueName="11" name="Mittlere Gebotsmenge" queryTableFieldId="4" dataDxfId="32"/>
    <tableColumn id="12" xr3:uid="{00000000-0010-0000-6800-00000C000000}" uniqueName="12" name="Zuschlagsmenge" totalsRowFunction="sum" queryTableFieldId="5" dataDxfId="31"/>
    <tableColumn id="13" xr3:uid="{00000000-0010-0000-6800-00000D000000}" uniqueName="13" name="Anzahl Zuschläge" totalsRowFunction="sum" queryTableFieldId="6" dataDxfId="30"/>
    <tableColumn id="14" xr3:uid="{00000000-0010-0000-6800-00000E000000}" uniqueName="14" name="Mittlere Zuschlagsmenge" queryTableFieldId="7" dataDxfId="29" totalsRowDxfId="28"/>
  </tableColumns>
  <tableStyleInfo name="TableStyleMedium2" showFirstColumn="0" showLastColumn="0" showRowStripes="0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69000000}" name="Tabelle_PV_FFA_Datenbank_FE.accdb2456718" displayName="Tabelle_PV_FFA_Datenbank_FE.accdb2456718" ref="A45:G52" tableType="queryTable" headerRowCount="0" totalsRowCount="1" headerRowDxfId="27">
  <tableColumns count="7">
    <tableColumn id="8" xr3:uid="{00000000-0010-0000-6900-000008000000}" uniqueName="8" name="Bundesland" totalsRowLabel="Summe" queryTableFieldId="1" dataDxfId="26" totalsRowDxfId="25"/>
    <tableColumn id="9" xr3:uid="{00000000-0010-0000-6900-000009000000}" uniqueName="9" name="Gebotsmenge" totalsRowFunction="sum" queryTableFieldId="2" dataDxfId="24"/>
    <tableColumn id="10" xr3:uid="{00000000-0010-0000-6900-00000A000000}" uniqueName="10" name="Anzahl Gebote" totalsRowFunction="sum" queryTableFieldId="3" dataDxfId="23"/>
    <tableColumn id="11" xr3:uid="{00000000-0010-0000-6900-00000B000000}" uniqueName="11" name="Mittlere Gebotsmenge" queryTableFieldId="4" dataDxfId="22"/>
    <tableColumn id="12" xr3:uid="{00000000-0010-0000-6900-00000C000000}" uniqueName="12" name="Zuschlagsmenge" totalsRowFunction="sum" queryTableFieldId="5" dataDxfId="21"/>
    <tableColumn id="13" xr3:uid="{00000000-0010-0000-6900-00000D000000}" uniqueName="13" name="Anzahl Zuschläge" totalsRowFunction="sum" queryTableFieldId="6" dataDxfId="20"/>
    <tableColumn id="14" xr3:uid="{00000000-0010-0000-6900-00000E000000}" uniqueName="14" name="Mittlere Zuschlagsmenge" queryTableFieldId="7" dataDxfId="19" totalsRowDxfId="18"/>
  </tableColumns>
  <tableStyleInfo name="TableStyleMedium2" showFirstColumn="0" showLastColumn="0" showRowStripes="0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6A000000}" name="Tabelle_PV_FFA_Datenbank_FE.accdb24567920" displayName="Tabelle_PV_FFA_Datenbank_FE.accdb24567920" ref="A75:G77" tableType="queryTable" headerRowCount="0" totalsRowCount="1" headerRowDxfId="17">
  <tableColumns count="7">
    <tableColumn id="8" xr3:uid="{00000000-0010-0000-6A00-000008000000}" uniqueName="8" name="Bundesland" totalsRowLabel="Summe" queryTableFieldId="1"/>
    <tableColumn id="9" xr3:uid="{00000000-0010-0000-6A00-000009000000}" uniqueName="9" name="Gebotsmenge" totalsRowFunction="sum" queryTableFieldId="2" dataDxfId="16"/>
    <tableColumn id="10" xr3:uid="{00000000-0010-0000-6A00-00000A000000}" uniqueName="10" name="Anzahl Gebote" totalsRowFunction="sum" queryTableFieldId="3" dataDxfId="15"/>
    <tableColumn id="11" xr3:uid="{00000000-0010-0000-6A00-00000B000000}" uniqueName="11" name="Mittlere Gebotsmenge" queryTableFieldId="4" dataDxfId="14"/>
    <tableColumn id="12" xr3:uid="{00000000-0010-0000-6A00-00000C000000}" uniqueName="12" name="Zuschlagsmenge" totalsRowFunction="sum" queryTableFieldId="5" dataDxfId="13"/>
    <tableColumn id="13" xr3:uid="{00000000-0010-0000-6A00-00000D000000}" uniqueName="13" name="Anzahl Zuschläge" totalsRowFunction="sum" queryTableFieldId="6" dataDxfId="12"/>
    <tableColumn id="14" xr3:uid="{00000000-0010-0000-6A00-00000E000000}" uniqueName="14" name="Mittlere Zuschlagsmenge" queryTableFieldId="7" dataDxfId="11" totalsRowDxfId="10"/>
  </tableColumns>
  <tableStyleInfo name="TableStyleMedium2" showFirstColumn="0" showLastColumn="0" showRowStripes="0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6B000000}" name="Tabelle_PV_FFA_Datenbank_FE.accdb245616" displayName="Tabelle_PV_FFA_Datenbank_FE.accdb245616" ref="A58:G59" tableType="queryTable" headerRowCount="0" totalsRowCount="1" headerRowDxfId="9">
  <tableColumns count="7">
    <tableColumn id="8" xr3:uid="{00000000-0010-0000-6B00-000008000000}" uniqueName="8" name="BEG" totalsRowLabel="Summe" queryTableFieldId="1" dataDxfId="8" totalsRowDxfId="7"/>
    <tableColumn id="9" xr3:uid="{00000000-0010-0000-6B00-000009000000}" uniqueName="9" name="Gebotsmenge" totalsRowFunction="sum" queryTableFieldId="2" dataDxfId="6"/>
    <tableColumn id="10" xr3:uid="{00000000-0010-0000-6B00-00000A000000}" uniqueName="10" name="Anzahl Gebote" totalsRowFunction="sum" queryTableFieldId="3" dataDxfId="5"/>
    <tableColumn id="11" xr3:uid="{00000000-0010-0000-6B00-00000B000000}" uniqueName="11" name="Mittlere Gebotsmenge" queryTableFieldId="4" dataDxfId="4"/>
    <tableColumn id="12" xr3:uid="{00000000-0010-0000-6B00-00000C000000}" uniqueName="12" name="Zuschlagsmenge" totalsRowFunction="sum" queryTableFieldId="5" dataDxfId="3"/>
    <tableColumn id="13" xr3:uid="{00000000-0010-0000-6B00-00000D000000}" uniqueName="13" name="Anzahl Zuschläge" totalsRowFunction="sum" queryTableFieldId="6" dataDxfId="2"/>
    <tableColumn id="14" xr3:uid="{00000000-0010-0000-6B00-00000E000000}" uniqueName="14" name="Mittlere Zuschlagsmenge" queryTableFieldId="7" dataDxfId="1" totalsRowDxfId="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0A000000}" name="qryVStat_GemA2_AlleRunden_Zuschläge94" displayName="qryVStat_GemA2_AlleRunden_Zuschläge94" ref="A22:B22" tableType="queryTable" headerRowCount="0" totalsRowShown="0" headerRowDxfId="788" dataDxfId="787" tableBorderDxfId="786">
  <tableColumns count="2">
    <tableColumn id="3" xr3:uid="{00000000-0010-0000-0A00-000003000000}" uniqueName="3" name="ZuschlagsM_NachZS" queryTableFieldId="1" dataDxfId="785"/>
    <tableColumn id="4" xr3:uid="{00000000-0010-0000-0A00-000004000000}" uniqueName="4" name="Anzahl Zuschläge_NachZS" queryTableFieldId="2" dataDxfId="78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0B000000}" name="qryVStat_GemA2_AlleRunden_Ausschlüsse95" displayName="qryVStat_GemA2_AlleRunden_Ausschlüsse95" ref="A27:B27" tableType="queryTable" headerRowCount="0" totalsRowShown="0" headerRowDxfId="783" dataDxfId="782" tableBorderDxfId="781">
  <tableColumns count="2">
    <tableColumn id="3" xr3:uid="{00000000-0010-0000-0B00-000003000000}" uniqueName="3" name="AusschlussM" queryTableFieldId="1" dataDxfId="780"/>
    <tableColumn id="4" xr3:uid="{00000000-0010-0000-0B00-000004000000}" uniqueName="4" name="Anzahl Ausschlüsse" queryTableFieldId="2" dataDxfId="779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0C000000}" name="qryVStat_GemA2_AlleRunden_Zuschläge2196" displayName="qryVStat_GemA2_AlleRunden_Zuschläge2196" ref="A18:H18" tableType="queryTable" headerRowCount="0" totalsRowShown="0" headerRowDxfId="778" dataDxfId="777" tableBorderDxfId="776">
  <tableColumns count="8">
    <tableColumn id="9" xr3:uid="{00000000-0010-0000-0C00-000009000000}" uniqueName="9" name="ZuschlagsM_VorZS" queryTableFieldId="1" dataDxfId="775"/>
    <tableColumn id="10" xr3:uid="{00000000-0010-0000-0C00-00000A000000}" uniqueName="10" name="Anzahl Zuschläge_VorZS" queryTableFieldId="2" dataDxfId="774"/>
    <tableColumn id="11" xr3:uid="{00000000-0010-0000-0C00-00000B000000}" uniqueName="11" name="Min ZuschlagsM" queryTableFieldId="3" dataDxfId="773"/>
    <tableColumn id="12" xr3:uid="{00000000-0010-0000-0C00-00000C000000}" uniqueName="12" name="Max ZuschlagsM" queryTableFieldId="4" dataDxfId="772"/>
    <tableColumn id="13" xr3:uid="{00000000-0010-0000-0C00-00000D000000}" uniqueName="13" name="Mittel ZuschlagsM" queryTableFieldId="5" dataDxfId="771"/>
    <tableColumn id="14" xr3:uid="{00000000-0010-0000-0C00-00000E000000}" uniqueName="14" name="Min ZuschlagsW" queryTableFieldId="6" dataDxfId="770"/>
    <tableColumn id="15" xr3:uid="{00000000-0010-0000-0C00-00000F000000}" uniqueName="15" name="Max ZuschlagsW" queryTableFieldId="7" dataDxfId="769"/>
    <tableColumn id="16" xr3:uid="{00000000-0010-0000-0C00-000010000000}" uniqueName="16" name="Gew Mittel ZuschlagsW" queryTableFieldId="8" dataDxfId="768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0D000000}" name="qryVStat_GemA2_AlleRunden_AusschreibungsV97" displayName="qryVStat_GemA2_AlleRunden_AusschreibungsV97" ref="A8:B8" tableType="queryTable" headerRowCount="0" totalsRowShown="0" headerRowDxfId="767" dataDxfId="766" tableBorderDxfId="765">
  <tableColumns count="2">
    <tableColumn id="3" xr3:uid="{00000000-0010-0000-0D00-000003000000}" uniqueName="3" name="Ausschreibungsvolumen" queryTableFieldId="1" dataDxfId="764"/>
    <tableColumn id="4" xr3:uid="{00000000-0010-0000-0D00-000004000000}" uniqueName="4" name="Höchstwert" queryTableFieldId="2" dataDxfId="763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0E000000}" name="Tabelle_PV_FFA_Datenbank_FE.accdb21398" displayName="Tabelle_PV_FFA_Datenbank_FE.accdb21398" ref="A34:G39" tableType="queryTable" headerRowCount="0" totalsRowCount="1" headerRowDxfId="762">
  <tableColumns count="7">
    <tableColumn id="8" xr3:uid="{00000000-0010-0000-0E00-000008000000}" uniqueName="8" name="Größenklasse" totalsRowLabel="Summe" queryTableFieldId="1" dataDxfId="761" totalsRowDxfId="760"/>
    <tableColumn id="9" xr3:uid="{00000000-0010-0000-0E00-000009000000}" uniqueName="9" name="Gebotsmenge" totalsRowFunction="sum" queryTableFieldId="2" dataDxfId="759"/>
    <tableColumn id="10" xr3:uid="{00000000-0010-0000-0E00-00000A000000}" uniqueName="10" name="Anzahl Gebote" totalsRowFunction="sum" queryTableFieldId="3" dataDxfId="758"/>
    <tableColumn id="11" xr3:uid="{00000000-0010-0000-0E00-00000B000000}" uniqueName="11" name="Mittlere Gebotsmenge" queryTableFieldId="4" dataDxfId="757"/>
    <tableColumn id="12" xr3:uid="{00000000-0010-0000-0E00-00000C000000}" uniqueName="12" name="Zuschlagsmenge" totalsRowFunction="sum" queryTableFieldId="5" dataDxfId="756"/>
    <tableColumn id="13" xr3:uid="{00000000-0010-0000-0E00-00000D000000}" uniqueName="13" name="Anzahl Zuschläge" totalsRowFunction="sum" queryTableFieldId="6" dataDxfId="755"/>
    <tableColumn id="14" xr3:uid="{00000000-0010-0000-0E00-00000E000000}" uniqueName="14" name="Mittlere Zuschlagsmenge" queryTableFieldId="7" dataDxfId="754" totalsRowDxfId="75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0F000000}" name="Tabelle_PV_FFA_Datenbank_FE.accdb241299" displayName="Tabelle_PV_FFA_Datenbank_FE.accdb241299" ref="A69:G75" tableType="queryTable" headerRowCount="0" totalsRowCount="1" headerRowDxfId="752">
  <tableColumns count="7">
    <tableColumn id="8" xr3:uid="{00000000-0010-0000-0F00-000008000000}" uniqueName="8" name="Rechtsform" totalsRowLabel="Summe" queryTableFieldId="1"/>
    <tableColumn id="9" xr3:uid="{00000000-0010-0000-0F00-000009000000}" uniqueName="9" name="Gebotsmenge" totalsRowFunction="sum" queryTableFieldId="2" dataDxfId="751"/>
    <tableColumn id="10" xr3:uid="{00000000-0010-0000-0F00-00000A000000}" uniqueName="10" name="Anzahl Gebote" totalsRowFunction="sum" queryTableFieldId="3" dataDxfId="750"/>
    <tableColumn id="11" xr3:uid="{00000000-0010-0000-0F00-00000B000000}" uniqueName="11" name="Mittlere Gebotsmenge" queryTableFieldId="4" dataDxfId="749"/>
    <tableColumn id="12" xr3:uid="{00000000-0010-0000-0F00-00000C000000}" uniqueName="12" name="Zuschlagsmenge" totalsRowFunction="sum" queryTableFieldId="5" dataDxfId="748"/>
    <tableColumn id="13" xr3:uid="{00000000-0010-0000-0F00-00000D000000}" uniqueName="13" name="Anzahl Zuschläge" totalsRowFunction="sum" queryTableFieldId="6" dataDxfId="747"/>
    <tableColumn id="14" xr3:uid="{00000000-0010-0000-0F00-00000E000000}" uniqueName="14" name="Mittlere Zuschlagsmenge" queryTableFieldId="7" dataDxfId="746" totalsRowDxfId="745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10000000}" name="Tabelle_PV_FFA_Datenbank_FE.accdb2456718100" displayName="Tabelle_PV_FFA_Datenbank_FE.accdb2456718100" ref="A45:G56" tableType="queryTable" headerRowCount="0" totalsRowCount="1" headerRowDxfId="744">
  <tableColumns count="7">
    <tableColumn id="8" xr3:uid="{00000000-0010-0000-1000-000008000000}" uniqueName="8" name="Bundesland" totalsRowLabel="Summe" queryTableFieldId="1"/>
    <tableColumn id="9" xr3:uid="{00000000-0010-0000-1000-000009000000}" uniqueName="9" name="Gebotsmenge" totalsRowFunction="sum" queryTableFieldId="2" dataDxfId="743"/>
    <tableColumn id="10" xr3:uid="{00000000-0010-0000-1000-00000A000000}" uniqueName="10" name="Anzahl Gebote" totalsRowFunction="sum" queryTableFieldId="3" dataDxfId="742"/>
    <tableColumn id="11" xr3:uid="{00000000-0010-0000-1000-00000B000000}" uniqueName="11" name="Mittlere Gebotsmenge" queryTableFieldId="4" dataDxfId="741"/>
    <tableColumn id="12" xr3:uid="{00000000-0010-0000-1000-00000C000000}" uniqueName="12" name="Zuschlagsmenge" totalsRowFunction="sum" queryTableFieldId="5" dataDxfId="740"/>
    <tableColumn id="13" xr3:uid="{00000000-0010-0000-1000-00000D000000}" uniqueName="13" name="Anzahl Zuschläge" totalsRowFunction="sum" queryTableFieldId="6" dataDxfId="739"/>
    <tableColumn id="14" xr3:uid="{00000000-0010-0000-1000-00000E000000}" uniqueName="14" name="Mittlere Zuschlagsmenge" queryTableFieldId="7" dataDxfId="738" totalsRowDxfId="73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11000000}" name="Tabelle_PV_FFA_Datenbank_FE.accdb245616102" displayName="Tabelle_PV_FFA_Datenbank_FE.accdb245616102" ref="A62:G63" tableType="queryTable" headerRowCount="0" totalsRowCount="1" headerRowDxfId="736">
  <tableColumns count="7">
    <tableColumn id="8" xr3:uid="{00000000-0010-0000-1100-000008000000}" uniqueName="8" name="BEG" totalsRowLabel="Summe" queryTableFieldId="1" dataDxfId="735" totalsRowDxfId="734"/>
    <tableColumn id="9" xr3:uid="{00000000-0010-0000-1100-000009000000}" uniqueName="9" name="Gebotsmenge" totalsRowFunction="sum" queryTableFieldId="2" dataDxfId="733"/>
    <tableColumn id="10" xr3:uid="{00000000-0010-0000-1100-00000A000000}" uniqueName="10" name="Anzahl Gebote" totalsRowFunction="sum" queryTableFieldId="3" dataDxfId="732"/>
    <tableColumn id="11" xr3:uid="{00000000-0010-0000-1100-00000B000000}" uniqueName="11" name="Mittlere Gebotsmenge" queryTableFieldId="4" dataDxfId="731"/>
    <tableColumn id="12" xr3:uid="{00000000-0010-0000-1100-00000C000000}" uniqueName="12" name="Zuschlagsmenge" totalsRowFunction="sum" queryTableFieldId="5" dataDxfId="730"/>
    <tableColumn id="13" xr3:uid="{00000000-0010-0000-1100-00000D000000}" uniqueName="13" name="Anzahl Zuschläge" totalsRowFunction="sum" queryTableFieldId="6" dataDxfId="729"/>
    <tableColumn id="14" xr3:uid="{00000000-0010-0000-1100-00000E000000}" uniqueName="14" name="Mittlere Zuschlagsmenge" queryTableFieldId="7" dataDxfId="728" totalsRowDxfId="72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12000000}" name="qryVStat_GemA2_AlleRunden_Gebote83" displayName="qryVStat_GemA2_AlleRunden_Gebote83" ref="A13:H13" tableType="queryTable" headerRowCount="0" totalsRowShown="0" headerRowDxfId="726" dataDxfId="725" tableBorderDxfId="724">
  <tableColumns count="8">
    <tableColumn id="9" xr3:uid="{00000000-0010-0000-1200-000009000000}" uniqueName="9" name="GebotsM" queryTableFieldId="1" dataDxfId="723"/>
    <tableColumn id="10" xr3:uid="{00000000-0010-0000-1200-00000A000000}" uniqueName="10" name="Anzahl Gebote" queryTableFieldId="2" dataDxfId="722"/>
    <tableColumn id="11" xr3:uid="{00000000-0010-0000-1200-00000B000000}" uniqueName="11" name="Min GebotsM" queryTableFieldId="3" dataDxfId="721"/>
    <tableColumn id="12" xr3:uid="{00000000-0010-0000-1200-00000C000000}" uniqueName="12" name="Max GebotsM" queryTableFieldId="4" dataDxfId="720"/>
    <tableColumn id="13" xr3:uid="{00000000-0010-0000-1200-00000D000000}" uniqueName="13" name="Mittel GebotsM" queryTableFieldId="5" dataDxfId="719"/>
    <tableColumn id="14" xr3:uid="{00000000-0010-0000-1200-00000E000000}" uniqueName="14" name="Min GebotsW" queryTableFieldId="6" dataDxfId="718"/>
    <tableColumn id="15" xr3:uid="{00000000-0010-0000-1200-00000F000000}" uniqueName="15" name="Max GebotsW" queryTableFieldId="7" dataDxfId="717"/>
    <tableColumn id="16" xr3:uid="{00000000-0010-0000-1200-000010000000}" uniqueName="16" name="Gew Mittel GebotsW" queryTableFieldId="8" dataDxfId="71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01000000}" name="qryVStat_GemA2_AlleRunden_Zuschläge101" displayName="qryVStat_GemA2_AlleRunden_Zuschläge101" ref="A22:B22" tableType="queryTable" headerRowCount="0" totalsRowShown="0" headerRowDxfId="859" dataDxfId="858" tableBorderDxfId="857">
  <tableColumns count="2">
    <tableColumn id="3" xr3:uid="{00000000-0010-0000-0100-000003000000}" uniqueName="3" name="ZuschlagsM_NachZS" queryTableFieldId="1" dataDxfId="856"/>
    <tableColumn id="4" xr3:uid="{00000000-0010-0000-0100-000004000000}" uniqueName="4" name="Anzahl Zuschläge_NachZS" queryTableFieldId="2" dataDxfId="855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13000000}" name="qryVStat_GemA2_AlleRunden_Zuschläge84" displayName="qryVStat_GemA2_AlleRunden_Zuschläge84" ref="A22:B22" tableType="queryTable" headerRowCount="0" totalsRowShown="0" headerRowDxfId="715" dataDxfId="714" tableBorderDxfId="713">
  <tableColumns count="2">
    <tableColumn id="3" xr3:uid="{00000000-0010-0000-1300-000003000000}" uniqueName="3" name="ZuschlagsM_NachZS" queryTableFieldId="1" dataDxfId="712"/>
    <tableColumn id="4" xr3:uid="{00000000-0010-0000-1300-000004000000}" uniqueName="4" name="Anzahl Zuschläge_NachZS" queryTableFieldId="2" dataDxfId="711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14000000}" name="qryVStat_GemA2_AlleRunden_Ausschlüsse85" displayName="qryVStat_GemA2_AlleRunden_Ausschlüsse85" ref="A27:B27" tableType="queryTable" headerRowCount="0" totalsRowShown="0" headerRowDxfId="710" dataDxfId="709" tableBorderDxfId="708">
  <tableColumns count="2">
    <tableColumn id="3" xr3:uid="{00000000-0010-0000-1400-000003000000}" uniqueName="3" name="AusschlussM" queryTableFieldId="1" dataDxfId="707"/>
    <tableColumn id="4" xr3:uid="{00000000-0010-0000-1400-000004000000}" uniqueName="4" name="Anzahl Ausschlüsse" queryTableFieldId="2" dataDxfId="70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15000000}" name="qryVStat_GemA2_AlleRunden_Zuschläge2186" displayName="qryVStat_GemA2_AlleRunden_Zuschläge2186" ref="A18:H18" tableType="queryTable" headerRowCount="0" totalsRowShown="0" headerRowDxfId="705" dataDxfId="704" tableBorderDxfId="703">
  <tableColumns count="8">
    <tableColumn id="9" xr3:uid="{00000000-0010-0000-1500-000009000000}" uniqueName="9" name="ZuschlagsM_VorZS" queryTableFieldId="1" dataDxfId="702"/>
    <tableColumn id="10" xr3:uid="{00000000-0010-0000-1500-00000A000000}" uniqueName="10" name="Anzahl Zuschläge_VorZS" queryTableFieldId="2" dataDxfId="701"/>
    <tableColumn id="11" xr3:uid="{00000000-0010-0000-1500-00000B000000}" uniqueName="11" name="Min ZuschlagsM" queryTableFieldId="3" dataDxfId="700"/>
    <tableColumn id="12" xr3:uid="{00000000-0010-0000-1500-00000C000000}" uniqueName="12" name="Max ZuschlagsM" queryTableFieldId="4" dataDxfId="699"/>
    <tableColumn id="13" xr3:uid="{00000000-0010-0000-1500-00000D000000}" uniqueName="13" name="Mittel ZuschlagsM" queryTableFieldId="5" dataDxfId="698"/>
    <tableColumn id="14" xr3:uid="{00000000-0010-0000-1500-00000E000000}" uniqueName="14" name="Min ZuschlagsW" queryTableFieldId="6" dataDxfId="697"/>
    <tableColumn id="15" xr3:uid="{00000000-0010-0000-1500-00000F000000}" uniqueName="15" name="Max ZuschlagsW" queryTableFieldId="7" dataDxfId="696"/>
    <tableColumn id="16" xr3:uid="{00000000-0010-0000-1500-000010000000}" uniqueName="16" name="Gew Mittel ZuschlagsW" queryTableFieldId="8" dataDxfId="695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16000000}" name="qryVStat_GemA2_AlleRunden_AusschreibungsV87" displayName="qryVStat_GemA2_AlleRunden_AusschreibungsV87" ref="A8:B8" tableType="queryTable" headerRowCount="0" totalsRowShown="0" headerRowDxfId="694" dataDxfId="693" tableBorderDxfId="692">
  <tableColumns count="2">
    <tableColumn id="3" xr3:uid="{00000000-0010-0000-1600-000003000000}" uniqueName="3" name="Ausschreibungsvolumen" queryTableFieldId="1" dataDxfId="691"/>
    <tableColumn id="4" xr3:uid="{00000000-0010-0000-1600-000004000000}" uniqueName="4" name="Höchstwert" queryTableFieldId="2" dataDxfId="690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17000000}" name="Tabelle_PV_FFA_Datenbank_FE.accdb21388" displayName="Tabelle_PV_FFA_Datenbank_FE.accdb21388" ref="A33:G37" tableType="queryTable" headerRowCount="0" totalsRowCount="1" headerRowDxfId="689">
  <tableColumns count="7">
    <tableColumn id="8" xr3:uid="{00000000-0010-0000-1700-000008000000}" uniqueName="8" name="Größenklasse" totalsRowLabel="Summe" queryTableFieldId="1" dataDxfId="688" totalsRowDxfId="687"/>
    <tableColumn id="9" xr3:uid="{00000000-0010-0000-1700-000009000000}" uniqueName="9" name="Gebotsmenge" totalsRowFunction="sum" queryTableFieldId="2" dataDxfId="686"/>
    <tableColumn id="10" xr3:uid="{00000000-0010-0000-1700-00000A000000}" uniqueName="10" name="Anzahl Gebote" totalsRowFunction="sum" queryTableFieldId="3" dataDxfId="685"/>
    <tableColumn id="11" xr3:uid="{00000000-0010-0000-1700-00000B000000}" uniqueName="11" name="Mittlere Gebotsmenge" queryTableFieldId="4" dataDxfId="684"/>
    <tableColumn id="12" xr3:uid="{00000000-0010-0000-1700-00000C000000}" uniqueName="12" name="Zuschlagsmenge" totalsRowFunction="sum" queryTableFieldId="5" dataDxfId="683"/>
    <tableColumn id="13" xr3:uid="{00000000-0010-0000-1700-00000D000000}" uniqueName="13" name="Anzahl Zuschläge" totalsRowFunction="sum" queryTableFieldId="6" dataDxfId="682"/>
    <tableColumn id="14" xr3:uid="{00000000-0010-0000-1700-00000E000000}" uniqueName="14" name="Mittlere Zuschlagsmenge" queryTableFieldId="7" dataDxfId="681" totalsRowDxfId="680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18000000}" name="Tabelle_PV_FFA_Datenbank_FE.accdb241289" displayName="Tabelle_PV_FFA_Datenbank_FE.accdb241289" ref="A68:G74" tableType="queryTable" headerRowCount="0" totalsRowCount="1" headerRowDxfId="679">
  <tableColumns count="7">
    <tableColumn id="8" xr3:uid="{00000000-0010-0000-1800-000008000000}" uniqueName="8" name="Rechtsform" totalsRowLabel="Summe" queryTableFieldId="1"/>
    <tableColumn id="9" xr3:uid="{00000000-0010-0000-1800-000009000000}" uniqueName="9" name="Gebotsmenge" totalsRowFunction="sum" queryTableFieldId="2" dataDxfId="678"/>
    <tableColumn id="10" xr3:uid="{00000000-0010-0000-1800-00000A000000}" uniqueName="10" name="Anzahl Gebote" totalsRowFunction="sum" queryTableFieldId="3" dataDxfId="677"/>
    <tableColumn id="11" xr3:uid="{00000000-0010-0000-1800-00000B000000}" uniqueName="11" name="Mittlere Gebotsmenge" queryTableFieldId="4" dataDxfId="676"/>
    <tableColumn id="12" xr3:uid="{00000000-0010-0000-1800-00000C000000}" uniqueName="12" name="Zuschlagsmenge" totalsRowFunction="sum" queryTableFieldId="5" dataDxfId="675"/>
    <tableColumn id="13" xr3:uid="{00000000-0010-0000-1800-00000D000000}" uniqueName="13" name="Anzahl Zuschläge" totalsRowFunction="sum" queryTableFieldId="6" dataDxfId="674"/>
    <tableColumn id="14" xr3:uid="{00000000-0010-0000-1800-00000E000000}" uniqueName="14" name="Mittlere Zuschlagsmenge" queryTableFieldId="7" dataDxfId="673" totalsRowDxfId="672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19000000}" name="Tabelle_PV_FFA_Datenbank_FE.accdb245671890" displayName="Tabelle_PV_FFA_Datenbank_FE.accdb245671890" ref="A43:G54" tableType="queryTable" headerRowCount="0" totalsRowCount="1" headerRowDxfId="671">
  <tableColumns count="7">
    <tableColumn id="8" xr3:uid="{00000000-0010-0000-1900-000008000000}" uniqueName="8" name="Bundesland" totalsRowLabel="Summe" queryTableFieldId="1"/>
    <tableColumn id="9" xr3:uid="{00000000-0010-0000-1900-000009000000}" uniqueName="9" name="Gebotsmenge" totalsRowFunction="sum" queryTableFieldId="2" dataDxfId="670"/>
    <tableColumn id="10" xr3:uid="{00000000-0010-0000-1900-00000A000000}" uniqueName="10" name="Anzahl Gebote" totalsRowFunction="sum" queryTableFieldId="3" dataDxfId="669"/>
    <tableColumn id="11" xr3:uid="{00000000-0010-0000-1900-00000B000000}" uniqueName="11" name="Mittlere Gebotsmenge" queryTableFieldId="4" dataDxfId="668"/>
    <tableColumn id="12" xr3:uid="{00000000-0010-0000-1900-00000C000000}" uniqueName="12" name="Zuschlagsmenge" totalsRowFunction="sum" queryTableFieldId="5" dataDxfId="667"/>
    <tableColumn id="13" xr3:uid="{00000000-0010-0000-1900-00000D000000}" uniqueName="13" name="Anzahl Zuschläge" totalsRowFunction="sum" queryTableFieldId="6" dataDxfId="666"/>
    <tableColumn id="14" xr3:uid="{00000000-0010-0000-1900-00000E000000}" uniqueName="14" name="Mittlere Zuschlagsmenge" queryTableFieldId="7" dataDxfId="665" totalsRowDxfId="664"/>
  </tableColumns>
  <tableStyleInfo name="TableStyleMedium2" showFirstColumn="0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1A000000}" name="Tabelle_PV_FFA_Datenbank_FE.accdb2456792091" displayName="Tabelle_PV_FFA_Datenbank_FE.accdb2456792091" ref="A80:G83" tableType="queryTable" headerRowCount="0" totalsRowCount="1" headerRowDxfId="663">
  <tableColumns count="7">
    <tableColumn id="8" xr3:uid="{00000000-0010-0000-1A00-000008000000}" uniqueName="8" name="Bundesland" totalsRowLabel="Summe" queryTableFieldId="1"/>
    <tableColumn id="9" xr3:uid="{00000000-0010-0000-1A00-000009000000}" uniqueName="9" name="Gebotsmenge" totalsRowFunction="sum" queryTableFieldId="2" dataDxfId="662"/>
    <tableColumn id="10" xr3:uid="{00000000-0010-0000-1A00-00000A000000}" uniqueName="10" name="Anzahl Gebote" totalsRowFunction="sum" queryTableFieldId="3" dataDxfId="661"/>
    <tableColumn id="11" xr3:uid="{00000000-0010-0000-1A00-00000B000000}" uniqueName="11" name="Mittlere Gebotsmenge" queryTableFieldId="4" dataDxfId="660"/>
    <tableColumn id="12" xr3:uid="{00000000-0010-0000-1A00-00000C000000}" uniqueName="12" name="Zuschlagsmenge" totalsRowFunction="sum" queryTableFieldId="5" dataDxfId="659"/>
    <tableColumn id="13" xr3:uid="{00000000-0010-0000-1A00-00000D000000}" uniqueName="13" name="Anzahl Zuschläge" totalsRowFunction="sum" queryTableFieldId="6" dataDxfId="658"/>
    <tableColumn id="14" xr3:uid="{00000000-0010-0000-1A00-00000E000000}" uniqueName="14" name="Mittlere Zuschlagsmenge" queryTableFieldId="7" dataDxfId="657" totalsRowDxfId="656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1B000000}" name="Tabelle_PV_FFA_Datenbank_FE.accdb24561692" displayName="Tabelle_PV_FFA_Datenbank_FE.accdb24561692" ref="A60:G62" tableType="queryTable" headerRowCount="0" totalsRowCount="1" headerRowDxfId="655">
  <tableColumns count="7">
    <tableColumn id="8" xr3:uid="{00000000-0010-0000-1B00-000008000000}" uniqueName="8" name="BEG" totalsRowLabel="Summe" queryTableFieldId="1"/>
    <tableColumn id="9" xr3:uid="{00000000-0010-0000-1B00-000009000000}" uniqueName="9" name="Gebotsmenge" totalsRowFunction="sum" queryTableFieldId="2" dataDxfId="654"/>
    <tableColumn id="10" xr3:uid="{00000000-0010-0000-1B00-00000A000000}" uniqueName="10" name="Anzahl Gebote" totalsRowFunction="sum" queryTableFieldId="3" dataDxfId="653"/>
    <tableColumn id="11" xr3:uid="{00000000-0010-0000-1B00-00000B000000}" uniqueName="11" name="Mittlere Gebotsmenge" queryTableFieldId="4" dataDxfId="652"/>
    <tableColumn id="12" xr3:uid="{00000000-0010-0000-1B00-00000C000000}" uniqueName="12" name="Zuschlagsmenge" totalsRowFunction="sum" queryTableFieldId="5" dataDxfId="651"/>
    <tableColumn id="13" xr3:uid="{00000000-0010-0000-1B00-00000D000000}" uniqueName="13" name="Anzahl Zuschläge" totalsRowFunction="sum" queryTableFieldId="6" dataDxfId="650"/>
    <tableColumn id="14" xr3:uid="{00000000-0010-0000-1B00-00000E000000}" uniqueName="14" name="Mittlere Zuschlagsmenge" queryTableFieldId="7" dataDxfId="649" totalsRowDxfId="648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1C000000}" name="qryVStat_GemA2_AlleRunden_Gebote53" displayName="qryVStat_GemA2_AlleRunden_Gebote53" ref="A13:H13" tableType="queryTable" headerRowCount="0" totalsRowShown="0" headerRowDxfId="647" dataDxfId="646" tableBorderDxfId="645">
  <tableColumns count="8">
    <tableColumn id="9" xr3:uid="{00000000-0010-0000-1C00-000009000000}" uniqueName="9" name="GebotsM" queryTableFieldId="1" dataDxfId="644"/>
    <tableColumn id="10" xr3:uid="{00000000-0010-0000-1C00-00000A000000}" uniqueName="10" name="Anzahl Gebote" queryTableFieldId="2" dataDxfId="643"/>
    <tableColumn id="11" xr3:uid="{00000000-0010-0000-1C00-00000B000000}" uniqueName="11" name="Min GebotsM" queryTableFieldId="3" dataDxfId="642"/>
    <tableColumn id="12" xr3:uid="{00000000-0010-0000-1C00-00000C000000}" uniqueName="12" name="Max GebotsM" queryTableFieldId="4" dataDxfId="641"/>
    <tableColumn id="13" xr3:uid="{00000000-0010-0000-1C00-00000D000000}" uniqueName="13" name="Mittel GebotsM" queryTableFieldId="5" dataDxfId="640"/>
    <tableColumn id="14" xr3:uid="{00000000-0010-0000-1C00-00000E000000}" uniqueName="14" name="Min GebotsW" queryTableFieldId="6" dataDxfId="639"/>
    <tableColumn id="15" xr3:uid="{00000000-0010-0000-1C00-00000F000000}" uniqueName="15" name="Max GebotsW" queryTableFieldId="7" dataDxfId="638"/>
    <tableColumn id="16" xr3:uid="{00000000-0010-0000-1C00-000010000000}" uniqueName="16" name="Gew Mittel GebotsW" queryTableFieldId="8" dataDxfId="63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02000000}" name="qryVStat_GemA2_AlleRunden_Ausschlüsse104" displayName="qryVStat_GemA2_AlleRunden_Ausschlüsse104" ref="A27:B27" tableType="queryTable" headerRowCount="0" totalsRowShown="0" headerRowDxfId="854" dataDxfId="853" tableBorderDxfId="852">
  <tableColumns count="2">
    <tableColumn id="3" xr3:uid="{00000000-0010-0000-0200-000003000000}" uniqueName="3" name="AusschlussM" queryTableFieldId="1" dataDxfId="851"/>
    <tableColumn id="4" xr3:uid="{00000000-0010-0000-0200-000004000000}" uniqueName="4" name="Anzahl Ausschlüsse" queryTableFieldId="2" dataDxfId="85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1D000000}" name="qryVStat_GemA2_AlleRunden_Zuschläge73" displayName="qryVStat_GemA2_AlleRunden_Zuschläge73" ref="A22:B22" tableType="queryTable" headerRowCount="0" totalsRowShown="0" headerRowDxfId="636" dataDxfId="635" tableBorderDxfId="634">
  <tableColumns count="2">
    <tableColumn id="3" xr3:uid="{00000000-0010-0000-1D00-000003000000}" uniqueName="3" name="ZuschlagsM_NachZS" queryTableFieldId="1" dataDxfId="633"/>
    <tableColumn id="4" xr3:uid="{00000000-0010-0000-1D00-000004000000}" uniqueName="4" name="Anzahl Zuschläge_NachZS" queryTableFieldId="2" dataDxfId="632"/>
  </tableColumns>
  <tableStyleInfo name="TableStyleMedium2" showFirstColumn="0" showLastColumn="0" showRowStripes="0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1E000000}" name="qryVStat_GemA2_AlleRunden_Ausschlüsse74" displayName="qryVStat_GemA2_AlleRunden_Ausschlüsse74" ref="A27:B27" tableType="queryTable" headerRowCount="0" totalsRowShown="0" headerRowDxfId="631" dataDxfId="630" tableBorderDxfId="629">
  <tableColumns count="2">
    <tableColumn id="3" xr3:uid="{00000000-0010-0000-1E00-000003000000}" uniqueName="3" name="AusschlussM" queryTableFieldId="1" dataDxfId="628"/>
    <tableColumn id="4" xr3:uid="{00000000-0010-0000-1E00-000004000000}" uniqueName="4" name="Anzahl Ausschlüsse" queryTableFieldId="2" dataDxfId="627"/>
  </tableColumns>
  <tableStyleInfo name="TableStyleMedium2" showFirstColumn="0" showLastColumn="0" showRowStripes="0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1F000000}" name="qryVStat_GemA2_AlleRunden_Zuschläge2175" displayName="qryVStat_GemA2_AlleRunden_Zuschläge2175" ref="A18:H18" tableType="queryTable" headerRowCount="0" totalsRowShown="0" headerRowDxfId="626" dataDxfId="625" tableBorderDxfId="624">
  <tableColumns count="8">
    <tableColumn id="9" xr3:uid="{00000000-0010-0000-1F00-000009000000}" uniqueName="9" name="ZuschlagsM_VorZS" queryTableFieldId="1" dataDxfId="623"/>
    <tableColumn id="10" xr3:uid="{00000000-0010-0000-1F00-00000A000000}" uniqueName="10" name="Anzahl Zuschläge_VorZS" queryTableFieldId="2" dataDxfId="622"/>
    <tableColumn id="11" xr3:uid="{00000000-0010-0000-1F00-00000B000000}" uniqueName="11" name="Min ZuschlagsM" queryTableFieldId="3" dataDxfId="621"/>
    <tableColumn id="12" xr3:uid="{00000000-0010-0000-1F00-00000C000000}" uniqueName="12" name="Max ZuschlagsM" queryTableFieldId="4" dataDxfId="620"/>
    <tableColumn id="13" xr3:uid="{00000000-0010-0000-1F00-00000D000000}" uniqueName="13" name="Mittel ZuschlagsM" queryTableFieldId="5" dataDxfId="619"/>
    <tableColumn id="14" xr3:uid="{00000000-0010-0000-1F00-00000E000000}" uniqueName="14" name="Min ZuschlagsW" queryTableFieldId="6" dataDxfId="618"/>
    <tableColumn id="15" xr3:uid="{00000000-0010-0000-1F00-00000F000000}" uniqueName="15" name="Max ZuschlagsW" queryTableFieldId="7" dataDxfId="617"/>
    <tableColumn id="16" xr3:uid="{00000000-0010-0000-1F00-000010000000}" uniqueName="16" name="Gew Mittel ZuschlagsW" queryTableFieldId="8" dataDxfId="616"/>
  </tableColumns>
  <tableStyleInfo name="TableStyleMedium2" showFirstColumn="0" showLastColumn="0" showRowStripes="0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20000000}" name="qryVStat_GemA2_AlleRunden_AusschreibungsV76" displayName="qryVStat_GemA2_AlleRunden_AusschreibungsV76" ref="A8:B8" tableType="queryTable" headerRowCount="0" totalsRowShown="0" headerRowDxfId="615" dataDxfId="614" tableBorderDxfId="613">
  <tableColumns count="2">
    <tableColumn id="3" xr3:uid="{00000000-0010-0000-2000-000003000000}" uniqueName="3" name="Ausschreibungsvolumen" queryTableFieldId="1" dataDxfId="612"/>
    <tableColumn id="4" xr3:uid="{00000000-0010-0000-2000-000004000000}" uniqueName="4" name="Höchstwert" queryTableFieldId="2" dataDxfId="611"/>
  </tableColumns>
  <tableStyleInfo name="TableStyleMedium2" showFirstColumn="0" showLastColumn="0" showRowStripes="0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21000000}" name="Tabelle_PV_FFA_Datenbank_FE.accdb21377" displayName="Tabelle_PV_FFA_Datenbank_FE.accdb21377" ref="A34:G38" tableType="queryTable" headerRowCount="0" totalsRowCount="1" headerRowDxfId="610">
  <tableColumns count="7">
    <tableColumn id="8" xr3:uid="{00000000-0010-0000-2100-000008000000}" uniqueName="8" name="Größenklasse" totalsRowLabel="Summe" queryTableFieldId="1" dataDxfId="609" totalsRowDxfId="608"/>
    <tableColumn id="9" xr3:uid="{00000000-0010-0000-2100-000009000000}" uniqueName="9" name="Gebotsmenge" totalsRowFunction="sum" queryTableFieldId="2" dataDxfId="607"/>
    <tableColumn id="10" xr3:uid="{00000000-0010-0000-2100-00000A000000}" uniqueName="10" name="Anzahl Gebote" totalsRowFunction="sum" queryTableFieldId="3" dataDxfId="606"/>
    <tableColumn id="11" xr3:uid="{00000000-0010-0000-2100-00000B000000}" uniqueName="11" name="Mittlere Gebotsmenge" queryTableFieldId="4" dataDxfId="605"/>
    <tableColumn id="12" xr3:uid="{00000000-0010-0000-2100-00000C000000}" uniqueName="12" name="Zuschlagsmenge" totalsRowFunction="sum" queryTableFieldId="5" dataDxfId="604"/>
    <tableColumn id="13" xr3:uid="{00000000-0010-0000-2100-00000D000000}" uniqueName="13" name="Anzahl Zuschläge" totalsRowFunction="sum" queryTableFieldId="6" dataDxfId="603" totalsRowDxfId="602"/>
    <tableColumn id="14" xr3:uid="{00000000-0010-0000-2100-00000E000000}" uniqueName="14" name="Mittlere Zuschlagsmenge" queryTableFieldId="7" dataDxfId="601" totalsRowDxfId="600"/>
  </tableColumns>
  <tableStyleInfo name="TableStyleMedium2" showFirstColumn="0" showLastColumn="0" showRowStripes="0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22000000}" name="Tabelle_PV_FFA_Datenbank_FE.accdb241278" displayName="Tabelle_PV_FFA_Datenbank_FE.accdb241278" ref="A68:G75" tableType="queryTable" headerRowCount="0" totalsRowCount="1" headerRowDxfId="599">
  <tableColumns count="7">
    <tableColumn id="8" xr3:uid="{00000000-0010-0000-2200-000008000000}" uniqueName="8" name="Rechtsform" totalsRowLabel="Summe" queryTableFieldId="1"/>
    <tableColumn id="9" xr3:uid="{00000000-0010-0000-2200-000009000000}" uniqueName="9" name="Gebotsmenge" totalsRowFunction="sum" queryTableFieldId="2" dataDxfId="598"/>
    <tableColumn id="10" xr3:uid="{00000000-0010-0000-2200-00000A000000}" uniqueName="10" name="Anzahl Gebote" totalsRowFunction="sum" queryTableFieldId="3" dataDxfId="597"/>
    <tableColumn id="11" xr3:uid="{00000000-0010-0000-2200-00000B000000}" uniqueName="11" name="Mittlere Gebotsmenge" queryTableFieldId="4" dataDxfId="596"/>
    <tableColumn id="12" xr3:uid="{00000000-0010-0000-2200-00000C000000}" uniqueName="12" name="Zuschlagsmenge" totalsRowFunction="sum" queryTableFieldId="5" dataDxfId="595"/>
    <tableColumn id="13" xr3:uid="{00000000-0010-0000-2200-00000D000000}" uniqueName="13" name="Anzahl Zuschläge" totalsRowFunction="sum" queryTableFieldId="6" dataDxfId="594"/>
    <tableColumn id="14" xr3:uid="{00000000-0010-0000-2200-00000E000000}" uniqueName="14" name="Mittlere Zuschlagsmenge" queryTableFieldId="7" dataDxfId="593" totalsRowDxfId="592"/>
  </tableColumns>
  <tableStyleInfo name="TableStyleMedium2" showFirstColumn="0" showLastColumn="0" showRowStripes="0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23000000}" name="Tabelle_PV_FFA_Datenbank_FE.accdb245671879" displayName="Tabelle_PV_FFA_Datenbank_FE.accdb245671879" ref="A44:G54" tableType="queryTable" headerRowCount="0" totalsRowCount="1" headerRowDxfId="591">
  <tableColumns count="7">
    <tableColumn id="8" xr3:uid="{00000000-0010-0000-2300-000008000000}" uniqueName="8" name="Bundesland" totalsRowLabel="Summe" queryTableFieldId="1" dataDxfId="590" totalsRowDxfId="589"/>
    <tableColumn id="9" xr3:uid="{00000000-0010-0000-2300-000009000000}" uniqueName="9" name="Gebotsmenge" totalsRowFunction="sum" queryTableFieldId="2" dataDxfId="588"/>
    <tableColumn id="10" xr3:uid="{00000000-0010-0000-2300-00000A000000}" uniqueName="10" name="Anzahl Gebote" totalsRowFunction="sum" queryTableFieldId="3" dataDxfId="587"/>
    <tableColumn id="11" xr3:uid="{00000000-0010-0000-2300-00000B000000}" uniqueName="11" name="Mittlere Gebotsmenge" queryTableFieldId="4" dataDxfId="586"/>
    <tableColumn id="12" xr3:uid="{00000000-0010-0000-2300-00000C000000}" uniqueName="12" name="Zuschlagsmenge" totalsRowFunction="sum" queryTableFieldId="5" dataDxfId="585"/>
    <tableColumn id="13" xr3:uid="{00000000-0010-0000-2300-00000D000000}" uniqueName="13" name="Anzahl Zuschläge" totalsRowFunction="sum" queryTableFieldId="6" dataDxfId="584"/>
    <tableColumn id="14" xr3:uid="{00000000-0010-0000-2300-00000E000000}" uniqueName="14" name="Mittlere Zuschlagsmenge" queryTableFieldId="7" dataDxfId="583" totalsRowDxfId="582"/>
  </tableColumns>
  <tableStyleInfo name="TableStyleMedium2" showFirstColumn="0" showLastColumn="0" showRowStripes="0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24000000}" name="Tabelle_PV_FFA_Datenbank_FE.accdb2456792080" displayName="Tabelle_PV_FFA_Datenbank_FE.accdb2456792080" ref="A81:G84" tableType="queryTable" headerRowCount="0" totalsRowCount="1" headerRowDxfId="581">
  <tableColumns count="7">
    <tableColumn id="8" xr3:uid="{00000000-0010-0000-2400-000008000000}" uniqueName="8" name="Bundesland" totalsRowLabel="Summe" queryTableFieldId="1"/>
    <tableColumn id="9" xr3:uid="{00000000-0010-0000-2400-000009000000}" uniqueName="9" name="Gebotsmenge" totalsRowFunction="sum" queryTableFieldId="2" dataDxfId="580"/>
    <tableColumn id="10" xr3:uid="{00000000-0010-0000-2400-00000A000000}" uniqueName="10" name="Anzahl Gebote" totalsRowFunction="sum" queryTableFieldId="3" dataDxfId="579"/>
    <tableColumn id="11" xr3:uid="{00000000-0010-0000-2400-00000B000000}" uniqueName="11" name="Mittlere Gebotsmenge" queryTableFieldId="4" dataDxfId="578"/>
    <tableColumn id="12" xr3:uid="{00000000-0010-0000-2400-00000C000000}" uniqueName="12" name="Zuschlagsmenge" totalsRowFunction="sum" queryTableFieldId="5" dataDxfId="577"/>
    <tableColumn id="13" xr3:uid="{00000000-0010-0000-2400-00000D000000}" uniqueName="13" name="Anzahl Zuschläge" totalsRowFunction="sum" queryTableFieldId="6" dataDxfId="576"/>
    <tableColumn id="14" xr3:uid="{00000000-0010-0000-2400-00000E000000}" uniqueName="14" name="Mittlere Zuschlagsmenge" queryTableFieldId="7" dataDxfId="575" totalsRowDxfId="574"/>
  </tableColumns>
  <tableStyleInfo name="TableStyleMedium2" showFirstColumn="0" showLastColumn="0" showRowStripes="0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25000000}" name="Tabelle_PV_FFA_Datenbank_FE.accdb24561681" displayName="Tabelle_PV_FFA_Datenbank_FE.accdb24561681" ref="A60:G62" tableType="queryTable" headerRowCount="0" totalsRowCount="1" headerRowDxfId="573">
  <tableColumns count="7">
    <tableColumn id="8" xr3:uid="{00000000-0010-0000-2500-000008000000}" uniqueName="8" name="BEG" totalsRowLabel="Summe" queryTableFieldId="1"/>
    <tableColumn id="9" xr3:uid="{00000000-0010-0000-2500-000009000000}" uniqueName="9" name="Gebotsmenge" totalsRowFunction="sum" queryTableFieldId="2" dataDxfId="572"/>
    <tableColumn id="10" xr3:uid="{00000000-0010-0000-2500-00000A000000}" uniqueName="10" name="Anzahl Gebote" totalsRowFunction="sum" queryTableFieldId="3" dataDxfId="571"/>
    <tableColumn id="11" xr3:uid="{00000000-0010-0000-2500-00000B000000}" uniqueName="11" name="Mittlere Gebotsmenge" queryTableFieldId="4" dataDxfId="570"/>
    <tableColumn id="12" xr3:uid="{00000000-0010-0000-2500-00000C000000}" uniqueName="12" name="Zuschlagsmenge" totalsRowFunction="sum" queryTableFieldId="5" dataDxfId="569"/>
    <tableColumn id="13" xr3:uid="{00000000-0010-0000-2500-00000D000000}" uniqueName="13" name="Anzahl Zuschläge" totalsRowFunction="sum" queryTableFieldId="6" dataDxfId="568"/>
    <tableColumn id="14" xr3:uid="{00000000-0010-0000-2500-00000E000000}" uniqueName="14" name="Mittlere Zuschlagsmenge" queryTableFieldId="7" dataDxfId="567" totalsRowDxfId="566"/>
  </tableColumns>
  <tableStyleInfo name="TableStyleMedium2" showFirstColumn="0" showLastColumn="0" showRowStripes="0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26000000}" name="qryVStat_GemA2_AlleRunden_Gebote52" displayName="qryVStat_GemA2_AlleRunden_Gebote52" ref="A13:H13" tableType="queryTable" headerRowCount="0" totalsRowShown="0" headerRowDxfId="565" dataDxfId="564" tableBorderDxfId="563">
  <tableColumns count="8">
    <tableColumn id="9" xr3:uid="{00000000-0010-0000-2600-000009000000}" uniqueName="9" name="GebotsM" queryTableFieldId="1" dataDxfId="562"/>
    <tableColumn id="10" xr3:uid="{00000000-0010-0000-2600-00000A000000}" uniqueName="10" name="Anzahl Gebote" queryTableFieldId="2" dataDxfId="561"/>
    <tableColumn id="11" xr3:uid="{00000000-0010-0000-2600-00000B000000}" uniqueName="11" name="Min GebotsM" queryTableFieldId="3" dataDxfId="560"/>
    <tableColumn id="12" xr3:uid="{00000000-0010-0000-2600-00000C000000}" uniqueName="12" name="Max GebotsM" queryTableFieldId="4" dataDxfId="559"/>
    <tableColumn id="13" xr3:uid="{00000000-0010-0000-2600-00000D000000}" uniqueName="13" name="Mittel GebotsM" queryTableFieldId="5" dataDxfId="558"/>
    <tableColumn id="14" xr3:uid="{00000000-0010-0000-2600-00000E000000}" uniqueName="14" name="Min GebotsW" queryTableFieldId="6" dataDxfId="557"/>
    <tableColumn id="15" xr3:uid="{00000000-0010-0000-2600-00000F000000}" uniqueName="15" name="Max GebotsW" queryTableFieldId="7" dataDxfId="556"/>
    <tableColumn id="16" xr3:uid="{00000000-0010-0000-2600-000010000000}" uniqueName="16" name="Gew Mittel GebotsW" queryTableFieldId="8" dataDxfId="55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03000000}" name="qryVStat_GemA2_AlleRunden_Zuschläge21105" displayName="qryVStat_GemA2_AlleRunden_Zuschläge21105" ref="A18:H18" tableType="queryTable" headerRowCount="0" totalsRowShown="0" headerRowDxfId="849" dataDxfId="848" tableBorderDxfId="847">
  <tableColumns count="8">
    <tableColumn id="9" xr3:uid="{00000000-0010-0000-0300-000009000000}" uniqueName="9" name="ZuschlagsM_VorZS" queryTableFieldId="1" dataDxfId="846"/>
    <tableColumn id="10" xr3:uid="{00000000-0010-0000-0300-00000A000000}" uniqueName="10" name="Anzahl Zuschläge_VorZS" queryTableFieldId="2" dataDxfId="845"/>
    <tableColumn id="11" xr3:uid="{00000000-0010-0000-0300-00000B000000}" uniqueName="11" name="Min ZuschlagsM" queryTableFieldId="3" dataDxfId="844"/>
    <tableColumn id="12" xr3:uid="{00000000-0010-0000-0300-00000C000000}" uniqueName="12" name="Max ZuschlagsM" queryTableFieldId="4" dataDxfId="843"/>
    <tableColumn id="13" xr3:uid="{00000000-0010-0000-0300-00000D000000}" uniqueName="13" name="Mittel ZuschlagsM" queryTableFieldId="5" dataDxfId="842"/>
    <tableColumn id="14" xr3:uid="{00000000-0010-0000-0300-00000E000000}" uniqueName="14" name="Min ZuschlagsW" queryTableFieldId="6" dataDxfId="841"/>
    <tableColumn id="15" xr3:uid="{00000000-0010-0000-0300-00000F000000}" uniqueName="15" name="Max ZuschlagsW" queryTableFieldId="7" dataDxfId="840"/>
    <tableColumn id="16" xr3:uid="{00000000-0010-0000-0300-000010000000}" uniqueName="16" name="Gew Mittel ZuschlagsW" queryTableFieldId="8" dataDxfId="839"/>
  </tableColumns>
  <tableStyleInfo name="TableStyleMedium2" showFirstColumn="0" showLastColumn="0" showRowStripes="0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27000000}" name="qryVStat_GemA2_AlleRunden_Zuschläge64" displayName="qryVStat_GemA2_AlleRunden_Zuschläge64" ref="A22:B22" tableType="queryTable" headerRowCount="0" totalsRowShown="0" headerRowDxfId="554" dataDxfId="553" tableBorderDxfId="552">
  <tableColumns count="2">
    <tableColumn id="3" xr3:uid="{00000000-0010-0000-2700-000003000000}" uniqueName="3" name="ZuschlagsM_NachZS" queryTableFieldId="1" dataDxfId="551"/>
    <tableColumn id="4" xr3:uid="{00000000-0010-0000-2700-000004000000}" uniqueName="4" name="Anzahl Zuschläge_NachZS" queryTableFieldId="2" dataDxfId="550"/>
  </tableColumns>
  <tableStyleInfo name="TableStyleMedium2" showFirstColumn="0" showLastColumn="0" showRowStripes="0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28000000}" name="qryVStat_GemA2_AlleRunden_Ausschlüsse65" displayName="qryVStat_GemA2_AlleRunden_Ausschlüsse65" ref="A27:B27" tableType="queryTable" headerRowCount="0" totalsRowShown="0" headerRowDxfId="549" dataDxfId="548" tableBorderDxfId="547">
  <tableColumns count="2">
    <tableColumn id="3" xr3:uid="{00000000-0010-0000-2800-000003000000}" uniqueName="3" name="AusschlussM" queryTableFieldId="1" dataDxfId="546"/>
    <tableColumn id="4" xr3:uid="{00000000-0010-0000-2800-000004000000}" uniqueName="4" name="Anzahl Ausschlüsse" queryTableFieldId="2" dataDxfId="545"/>
  </tableColumns>
  <tableStyleInfo name="TableStyleMedium2" showFirstColumn="0" showLastColumn="0" showRowStripes="0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29000000}" name="qryVStat_GemA2_AlleRunden_Zuschläge2166" displayName="qryVStat_GemA2_AlleRunden_Zuschläge2166" ref="A18:H18" tableType="queryTable" headerRowCount="0" totalsRowShown="0" headerRowDxfId="544" dataDxfId="543" tableBorderDxfId="542">
  <tableColumns count="8">
    <tableColumn id="9" xr3:uid="{00000000-0010-0000-2900-000009000000}" uniqueName="9" name="ZuschlagsM_VorZS" queryTableFieldId="1" dataDxfId="541"/>
    <tableColumn id="10" xr3:uid="{00000000-0010-0000-2900-00000A000000}" uniqueName="10" name="Anzahl Zuschläge_VorZS" queryTableFieldId="2" dataDxfId="540"/>
    <tableColumn id="11" xr3:uid="{00000000-0010-0000-2900-00000B000000}" uniqueName="11" name="Min ZuschlagsM" queryTableFieldId="3" dataDxfId="539"/>
    <tableColumn id="12" xr3:uid="{00000000-0010-0000-2900-00000C000000}" uniqueName="12" name="Max ZuschlagsM" queryTableFieldId="4" dataDxfId="538"/>
    <tableColumn id="13" xr3:uid="{00000000-0010-0000-2900-00000D000000}" uniqueName="13" name="Mittel ZuschlagsM" queryTableFieldId="5" dataDxfId="537"/>
    <tableColumn id="14" xr3:uid="{00000000-0010-0000-2900-00000E000000}" uniqueName="14" name="Min ZuschlagsW" queryTableFieldId="6" dataDxfId="536"/>
    <tableColumn id="15" xr3:uid="{00000000-0010-0000-2900-00000F000000}" uniqueName="15" name="Max ZuschlagsW" queryTableFieldId="7" dataDxfId="535"/>
    <tableColumn id="16" xr3:uid="{00000000-0010-0000-2900-000010000000}" uniqueName="16" name="Gew Mittel ZuschlagsW" queryTableFieldId="8" dataDxfId="534"/>
  </tableColumns>
  <tableStyleInfo name="TableStyleMedium2" showFirstColumn="0" showLastColumn="0" showRowStripes="0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2A000000}" name="qryVStat_GemA2_AlleRunden_AusschreibungsV67" displayName="qryVStat_GemA2_AlleRunden_AusschreibungsV67" ref="A8:B8" tableType="queryTable" headerRowCount="0" totalsRowShown="0" headerRowDxfId="533" dataDxfId="532" tableBorderDxfId="531">
  <tableColumns count="2">
    <tableColumn id="3" xr3:uid="{00000000-0010-0000-2A00-000003000000}" uniqueName="3" name="Ausschreibungsvolumen" queryTableFieldId="1" dataDxfId="530"/>
    <tableColumn id="4" xr3:uid="{00000000-0010-0000-2A00-000004000000}" uniqueName="4" name="Höchstwert" queryTableFieldId="2" dataDxfId="529"/>
  </tableColumns>
  <tableStyleInfo name="TableStyleMedium2" showFirstColumn="0" showLastColumn="0" showRowStripes="0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2B000000}" name="Tabelle_PV_FFA_Datenbank_FE.accdb21368" displayName="Tabelle_PV_FFA_Datenbank_FE.accdb21368" ref="A34:G37" tableType="queryTable" headerRowCount="0" totalsRowCount="1" headerRowDxfId="528">
  <tableColumns count="7">
    <tableColumn id="8" xr3:uid="{00000000-0010-0000-2B00-000008000000}" uniqueName="8" name="Größenklasse" totalsRowLabel="Summe" queryTableFieldId="1" dataDxfId="527" totalsRowDxfId="526"/>
    <tableColumn id="9" xr3:uid="{00000000-0010-0000-2B00-000009000000}" uniqueName="9" name="Gebotsmenge" totalsRowFunction="sum" queryTableFieldId="2" dataDxfId="525" totalsRowDxfId="524"/>
    <tableColumn id="10" xr3:uid="{00000000-0010-0000-2B00-00000A000000}" uniqueName="10" name="Anzahl Gebote" totalsRowFunction="sum" queryTableFieldId="3" dataDxfId="523"/>
    <tableColumn id="11" xr3:uid="{00000000-0010-0000-2B00-00000B000000}" uniqueName="11" name="Mittlere Gebotsmenge" queryTableFieldId="4" dataDxfId="522"/>
    <tableColumn id="12" xr3:uid="{00000000-0010-0000-2B00-00000C000000}" uniqueName="12" name="Zuschlagsmenge" totalsRowFunction="sum" queryTableFieldId="5" dataDxfId="521"/>
    <tableColumn id="13" xr3:uid="{00000000-0010-0000-2B00-00000D000000}" uniqueName="13" name="Anzahl Zuschläge" totalsRowFunction="sum" queryTableFieldId="6" dataDxfId="520"/>
    <tableColumn id="14" xr3:uid="{00000000-0010-0000-2B00-00000E000000}" uniqueName="14" name="Mittlere Zuschlagsmenge" queryTableFieldId="7" dataDxfId="519" totalsRowDxfId="518"/>
  </tableColumns>
  <tableStyleInfo name="TableStyleMedium2" showFirstColumn="0" showLastColumn="0" showRowStripes="0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2C000000}" name="Tabelle_PV_FFA_Datenbank_FE.accdb241269" displayName="Tabelle_PV_FFA_Datenbank_FE.accdb241269" ref="A66:G72" tableType="queryTable" headerRowCount="0" totalsRowCount="1" headerRowDxfId="517">
  <tableColumns count="7">
    <tableColumn id="8" xr3:uid="{00000000-0010-0000-2C00-000008000000}" uniqueName="8" name="Rechtsform" totalsRowLabel="Summe" queryTableFieldId="1"/>
    <tableColumn id="9" xr3:uid="{00000000-0010-0000-2C00-000009000000}" uniqueName="9" name="Gebotsmenge" totalsRowFunction="sum" queryTableFieldId="2" dataDxfId="516"/>
    <tableColumn id="10" xr3:uid="{00000000-0010-0000-2C00-00000A000000}" uniqueName="10" name="Anzahl Gebote" totalsRowFunction="sum" queryTableFieldId="3" dataDxfId="515"/>
    <tableColumn id="11" xr3:uid="{00000000-0010-0000-2C00-00000B000000}" uniqueName="11" name="Mittlere Gebotsmenge" queryTableFieldId="4" dataDxfId="514"/>
    <tableColumn id="12" xr3:uid="{00000000-0010-0000-2C00-00000C000000}" uniqueName="12" name="Zuschlagsmenge" totalsRowFunction="sum" queryTableFieldId="5" dataDxfId="513"/>
    <tableColumn id="13" xr3:uid="{00000000-0010-0000-2C00-00000D000000}" uniqueName="13" name="Anzahl Zuschläge" totalsRowFunction="sum" queryTableFieldId="6" dataDxfId="512"/>
    <tableColumn id="14" xr3:uid="{00000000-0010-0000-2C00-00000E000000}" uniqueName="14" name="Mittlere Zuschlagsmenge" queryTableFieldId="7" dataDxfId="511" totalsRowDxfId="510"/>
  </tableColumns>
  <tableStyleInfo name="TableStyleMedium2" showFirstColumn="0" showLastColumn="0" showRowStripes="0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2D000000}" name="Tabelle_PV_FFA_Datenbank_FE.accdb245671870" displayName="Tabelle_PV_FFA_Datenbank_FE.accdb245671870" ref="A43:G52" tableType="queryTable" headerRowCount="0" totalsRowCount="1" headerRowDxfId="509">
  <tableColumns count="7">
    <tableColumn id="8" xr3:uid="{00000000-0010-0000-2D00-000008000000}" uniqueName="8" name="Bundesland" totalsRowLabel="Summe" queryTableFieldId="1" dataDxfId="508" totalsRowDxfId="507"/>
    <tableColumn id="9" xr3:uid="{00000000-0010-0000-2D00-000009000000}" uniqueName="9" name="Gebotsmenge" totalsRowFunction="sum" queryTableFieldId="2" dataDxfId="506"/>
    <tableColumn id="10" xr3:uid="{00000000-0010-0000-2D00-00000A000000}" uniqueName="10" name="Anzahl Gebote" totalsRowFunction="sum" queryTableFieldId="3" dataDxfId="505"/>
    <tableColumn id="11" xr3:uid="{00000000-0010-0000-2D00-00000B000000}" uniqueName="11" name="Mittlere Gebotsmenge" queryTableFieldId="4" dataDxfId="504"/>
    <tableColumn id="12" xr3:uid="{00000000-0010-0000-2D00-00000C000000}" uniqueName="12" name="Zuschlagsmenge" totalsRowFunction="sum" queryTableFieldId="5" dataDxfId="503"/>
    <tableColumn id="13" xr3:uid="{00000000-0010-0000-2D00-00000D000000}" uniqueName="13" name="Anzahl Zuschläge" totalsRowFunction="sum" queryTableFieldId="6" dataDxfId="502"/>
    <tableColumn id="14" xr3:uid="{00000000-0010-0000-2D00-00000E000000}" uniqueName="14" name="Mittlere Zuschlagsmenge" queryTableFieldId="7" dataDxfId="501" totalsRowDxfId="500"/>
  </tableColumns>
  <tableStyleInfo name="TableStyleMedium2" showFirstColumn="0" showLastColumn="0" showRowStripes="0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2E000000}" name="Tabelle_PV_FFA_Datenbank_FE.accdb2456792071" displayName="Tabelle_PV_FFA_Datenbank_FE.accdb2456792071" ref="A78:G80" tableType="queryTable" headerRowCount="0" totalsRowCount="1" headerRowDxfId="499">
  <tableColumns count="7">
    <tableColumn id="8" xr3:uid="{00000000-0010-0000-2E00-000008000000}" uniqueName="8" name="Bundesland" totalsRowLabel="Summe" queryTableFieldId="1"/>
    <tableColumn id="9" xr3:uid="{00000000-0010-0000-2E00-000009000000}" uniqueName="9" name="Gebotsmenge" totalsRowFunction="sum" queryTableFieldId="2" dataDxfId="498"/>
    <tableColumn id="10" xr3:uid="{00000000-0010-0000-2E00-00000A000000}" uniqueName="10" name="Anzahl Gebote" totalsRowFunction="sum" queryTableFieldId="3" dataDxfId="497"/>
    <tableColumn id="11" xr3:uid="{00000000-0010-0000-2E00-00000B000000}" uniqueName="11" name="Mittlere Gebotsmenge" queryTableFieldId="4" dataDxfId="496"/>
    <tableColumn id="12" xr3:uid="{00000000-0010-0000-2E00-00000C000000}" uniqueName="12" name="Zuschlagsmenge" totalsRowFunction="sum" queryTableFieldId="5" dataDxfId="495"/>
    <tableColumn id="13" xr3:uid="{00000000-0010-0000-2E00-00000D000000}" uniqueName="13" name="Anzahl Zuschläge" totalsRowFunction="sum" queryTableFieldId="6" dataDxfId="494"/>
    <tableColumn id="14" xr3:uid="{00000000-0010-0000-2E00-00000E000000}" uniqueName="14" name="Mittlere Zuschlagsmenge" queryTableFieldId="7" dataDxfId="493" totalsRowDxfId="492"/>
  </tableColumns>
  <tableStyleInfo name="TableStyleMedium2" showFirstColumn="0" showLastColumn="0" showRowStripes="0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2F000000}" name="Tabelle_PV_FFA_Datenbank_FE.accdb24561672" displayName="Tabelle_PV_FFA_Datenbank_FE.accdb24561672" ref="A58:G60" tableType="queryTable" headerRowCount="0" totalsRowCount="1" headerRowDxfId="491">
  <tableColumns count="7">
    <tableColumn id="8" xr3:uid="{00000000-0010-0000-2F00-000008000000}" uniqueName="8" name="BEG" totalsRowLabel="Summe" queryTableFieldId="1"/>
    <tableColumn id="9" xr3:uid="{00000000-0010-0000-2F00-000009000000}" uniqueName="9" name="Gebotsmenge" totalsRowFunction="sum" queryTableFieldId="2" dataDxfId="490"/>
    <tableColumn id="10" xr3:uid="{00000000-0010-0000-2F00-00000A000000}" uniqueName="10" name="Anzahl Gebote" totalsRowFunction="sum" queryTableFieldId="3" dataDxfId="489"/>
    <tableColumn id="11" xr3:uid="{00000000-0010-0000-2F00-00000B000000}" uniqueName="11" name="Mittlere Gebotsmenge" queryTableFieldId="4" dataDxfId="488"/>
    <tableColumn id="12" xr3:uid="{00000000-0010-0000-2F00-00000C000000}" uniqueName="12" name="Zuschlagsmenge" totalsRowFunction="sum" queryTableFieldId="5" dataDxfId="487"/>
    <tableColumn id="13" xr3:uid="{00000000-0010-0000-2F00-00000D000000}" uniqueName="13" name="Anzahl Zuschläge" totalsRowFunction="sum" queryTableFieldId="6" dataDxfId="486"/>
    <tableColumn id="14" xr3:uid="{00000000-0010-0000-2F00-00000E000000}" uniqueName="14" name="Mittlere Zuschlagsmenge" queryTableFieldId="7" dataDxfId="485" totalsRowDxfId="484"/>
  </tableColumns>
  <tableStyleInfo name="TableStyleMedium2" showFirstColumn="0" showLastColumn="0" showRowStripes="0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0000000}" name="qryVStat_GemA2_AlleRunden_Gebote54" displayName="qryVStat_GemA2_AlleRunden_Gebote54" ref="A13:H13" tableType="queryTable" headerRowCount="0" totalsRowShown="0" headerRowDxfId="483" dataDxfId="482" tableBorderDxfId="481">
  <tableColumns count="8">
    <tableColumn id="9" xr3:uid="{00000000-0010-0000-3000-000009000000}" uniqueName="9" name="GebotsM" queryTableFieldId="1" dataDxfId="480"/>
    <tableColumn id="10" xr3:uid="{00000000-0010-0000-3000-00000A000000}" uniqueName="10" name="Anzahl Gebote" queryTableFieldId="2" dataDxfId="479"/>
    <tableColumn id="11" xr3:uid="{00000000-0010-0000-3000-00000B000000}" uniqueName="11" name="Min GebotsM" queryTableFieldId="3" dataDxfId="478"/>
    <tableColumn id="12" xr3:uid="{00000000-0010-0000-3000-00000C000000}" uniqueName="12" name="Max GebotsM" queryTableFieldId="4" dataDxfId="477"/>
    <tableColumn id="13" xr3:uid="{00000000-0010-0000-3000-00000D000000}" uniqueName="13" name="Mittel GebotsM" queryTableFieldId="5" dataDxfId="476"/>
    <tableColumn id="14" xr3:uid="{00000000-0010-0000-3000-00000E000000}" uniqueName="14" name="Min GebotsW" queryTableFieldId="6" dataDxfId="475"/>
    <tableColumn id="15" xr3:uid="{00000000-0010-0000-3000-00000F000000}" uniqueName="15" name="Max GebotsW" queryTableFieldId="7" dataDxfId="474"/>
    <tableColumn id="16" xr3:uid="{00000000-0010-0000-3000-000010000000}" uniqueName="16" name="Gew Mittel GebotsW" queryTableFieldId="8" dataDxfId="47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04000000}" name="qryVStat_GemA2_AlleRunden_AusschreibungsV106" displayName="qryVStat_GemA2_AlleRunden_AusschreibungsV106" ref="A8:B8" tableType="queryTable" headerRowCount="0" totalsRowShown="0" headerRowDxfId="838" dataDxfId="837" tableBorderDxfId="836">
  <tableColumns count="2">
    <tableColumn id="3" xr3:uid="{00000000-0010-0000-0400-000003000000}" uniqueName="3" name="Ausschreibungsvolumen" queryTableFieldId="1" dataDxfId="835"/>
    <tableColumn id="4" xr3:uid="{00000000-0010-0000-0400-000004000000}" uniqueName="4" name="Höchstwert" queryTableFieldId="2" dataDxfId="834"/>
  </tableColumns>
  <tableStyleInfo name="TableStyleMedium2" showFirstColumn="0" showLastColumn="0" showRowStripes="0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1000000}" name="qryVStat_GemA2_AlleRunden_Zuschläge55" displayName="qryVStat_GemA2_AlleRunden_Zuschläge55" ref="A22:B22" tableType="queryTable" headerRowCount="0" totalsRowShown="0" headerRowDxfId="472" dataDxfId="471" tableBorderDxfId="470">
  <tableColumns count="2">
    <tableColumn id="3" xr3:uid="{00000000-0010-0000-3100-000003000000}" uniqueName="3" name="ZuschlagsM_NachZS" queryTableFieldId="1" dataDxfId="469"/>
    <tableColumn id="4" xr3:uid="{00000000-0010-0000-3100-000004000000}" uniqueName="4" name="Anzahl Zuschläge_NachZS" queryTableFieldId="2" dataDxfId="468"/>
  </tableColumns>
  <tableStyleInfo name="TableStyleMedium2" showFirstColumn="0" showLastColumn="0" showRowStripes="0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2000000}" name="qryVStat_GemA2_AlleRunden_Ausschlüsse56" displayName="qryVStat_GemA2_AlleRunden_Ausschlüsse56" ref="A27:B27" tableType="queryTable" headerRowCount="0" totalsRowShown="0" headerRowDxfId="467" dataDxfId="466" tableBorderDxfId="465">
  <tableColumns count="2">
    <tableColumn id="3" xr3:uid="{00000000-0010-0000-3200-000003000000}" uniqueName="3" name="AusschlussM" queryTableFieldId="1" dataDxfId="464"/>
    <tableColumn id="4" xr3:uid="{00000000-0010-0000-3200-000004000000}" uniqueName="4" name="Anzahl Ausschlüsse" queryTableFieldId="2" dataDxfId="463"/>
  </tableColumns>
  <tableStyleInfo name="TableStyleMedium2" showFirstColumn="0" showLastColumn="0" showRowStripes="0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3000000}" name="qryVStat_GemA2_AlleRunden_Zuschläge2157" displayName="qryVStat_GemA2_AlleRunden_Zuschläge2157" ref="A18:H18" tableType="queryTable" headerRowCount="0" totalsRowShown="0" headerRowDxfId="462" dataDxfId="461" tableBorderDxfId="460">
  <tableColumns count="8">
    <tableColumn id="9" xr3:uid="{00000000-0010-0000-3300-000009000000}" uniqueName="9" name="ZuschlagsM_VorZS" queryTableFieldId="1" dataDxfId="459"/>
    <tableColumn id="10" xr3:uid="{00000000-0010-0000-3300-00000A000000}" uniqueName="10" name="Anzahl Zuschläge_VorZS" queryTableFieldId="2" dataDxfId="458"/>
    <tableColumn id="11" xr3:uid="{00000000-0010-0000-3300-00000B000000}" uniqueName="11" name="Min ZuschlagsM" queryTableFieldId="3" dataDxfId="457"/>
    <tableColumn id="12" xr3:uid="{00000000-0010-0000-3300-00000C000000}" uniqueName="12" name="Max ZuschlagsM" queryTableFieldId="4" dataDxfId="456"/>
    <tableColumn id="13" xr3:uid="{00000000-0010-0000-3300-00000D000000}" uniqueName="13" name="Mittel ZuschlagsM" queryTableFieldId="5" dataDxfId="455"/>
    <tableColumn id="14" xr3:uid="{00000000-0010-0000-3300-00000E000000}" uniqueName="14" name="Min ZuschlagsW" queryTableFieldId="6" dataDxfId="454"/>
    <tableColumn id="15" xr3:uid="{00000000-0010-0000-3300-00000F000000}" uniqueName="15" name="Max ZuschlagsW" queryTableFieldId="7" dataDxfId="453"/>
    <tableColumn id="16" xr3:uid="{00000000-0010-0000-3300-000010000000}" uniqueName="16" name="Gew Mittel ZuschlagsW" queryTableFieldId="8" dataDxfId="452"/>
  </tableColumns>
  <tableStyleInfo name="TableStyleMedium2" showFirstColumn="0" showLastColumn="0" showRowStripes="0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4000000}" name="qryVStat_GemA2_AlleRunden_AusschreibungsV58" displayName="qryVStat_GemA2_AlleRunden_AusschreibungsV58" ref="A8:B8" tableType="queryTable" headerRowCount="0" totalsRowShown="0" headerRowDxfId="451" dataDxfId="450" tableBorderDxfId="449">
  <tableColumns count="2">
    <tableColumn id="3" xr3:uid="{00000000-0010-0000-3400-000003000000}" uniqueName="3" name="Ausschreibungsvolumen" queryTableFieldId="1" dataDxfId="448"/>
    <tableColumn id="4" xr3:uid="{00000000-0010-0000-3400-000004000000}" uniqueName="4" name="Höchstwert" queryTableFieldId="2" dataDxfId="447"/>
  </tableColumns>
  <tableStyleInfo name="TableStyleMedium2" showFirstColumn="0" showLastColumn="0" showRowStripes="0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5000000}" name="Tabelle_PV_FFA_Datenbank_FE.accdb21359" displayName="Tabelle_PV_FFA_Datenbank_FE.accdb21359" ref="A34:G38" tableType="queryTable" headerRowCount="0" totalsRowCount="1" headerRowDxfId="446">
  <tableColumns count="7">
    <tableColumn id="8" xr3:uid="{00000000-0010-0000-3500-000008000000}" uniqueName="8" name="Größenklasse" totalsRowLabel="Summe" queryTableFieldId="1" dataDxfId="445" totalsRowDxfId="444"/>
    <tableColumn id="9" xr3:uid="{00000000-0010-0000-3500-000009000000}" uniqueName="9" name="Gebotsmenge" totalsRowFunction="sum" queryTableFieldId="2" dataDxfId="443"/>
    <tableColumn id="10" xr3:uid="{00000000-0010-0000-3500-00000A000000}" uniqueName="10" name="Anzahl Gebote" totalsRowFunction="sum" queryTableFieldId="3" dataDxfId="442"/>
    <tableColumn id="11" xr3:uid="{00000000-0010-0000-3500-00000B000000}" uniqueName="11" name="Mittlere Gebotsmenge" queryTableFieldId="4" dataDxfId="441"/>
    <tableColumn id="12" xr3:uid="{00000000-0010-0000-3500-00000C000000}" uniqueName="12" name="Zuschlagsmenge" totalsRowFunction="sum" queryTableFieldId="5" dataDxfId="440"/>
    <tableColumn id="13" xr3:uid="{00000000-0010-0000-3500-00000D000000}" uniqueName="13" name="Anzahl Zuschläge" totalsRowFunction="sum" queryTableFieldId="6" dataDxfId="439"/>
    <tableColumn id="14" xr3:uid="{00000000-0010-0000-3500-00000E000000}" uniqueName="14" name="Mittlere Zuschlagsmenge" queryTableFieldId="7" dataDxfId="438" totalsRowDxfId="437"/>
  </tableColumns>
  <tableStyleInfo name="TableStyleMedium2" showFirstColumn="0" showLastColumn="0" showRowStripes="0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6000000}" name="Tabelle_PV_FFA_Datenbank_FE.accdb241260" displayName="Tabelle_PV_FFA_Datenbank_FE.accdb241260" ref="A64:G70" tableType="queryTable" headerRowCount="0" totalsRowCount="1" headerRowDxfId="436">
  <tableColumns count="7">
    <tableColumn id="8" xr3:uid="{00000000-0010-0000-3600-000008000000}" uniqueName="8" name="Rechtsform" totalsRowLabel="Summe" queryTableFieldId="1"/>
    <tableColumn id="9" xr3:uid="{00000000-0010-0000-3600-000009000000}" uniqueName="9" name="Gebotsmenge" totalsRowFunction="sum" queryTableFieldId="2" dataDxfId="435"/>
    <tableColumn id="10" xr3:uid="{00000000-0010-0000-3600-00000A000000}" uniqueName="10" name="Anzahl Gebote" totalsRowFunction="sum" queryTableFieldId="3" dataDxfId="434"/>
    <tableColumn id="11" xr3:uid="{00000000-0010-0000-3600-00000B000000}" uniqueName="11" name="Mittlere Gebotsmenge" queryTableFieldId="4" dataDxfId="433"/>
    <tableColumn id="12" xr3:uid="{00000000-0010-0000-3600-00000C000000}" uniqueName="12" name="Zuschlagsmenge" totalsRowFunction="sum" queryTableFieldId="5" dataDxfId="432"/>
    <tableColumn id="13" xr3:uid="{00000000-0010-0000-3600-00000D000000}" uniqueName="13" name="Anzahl Zuschläge" totalsRowFunction="sum" queryTableFieldId="6" dataDxfId="431"/>
    <tableColumn id="14" xr3:uid="{00000000-0010-0000-3600-00000E000000}" uniqueName="14" name="Mittlere Zuschlagsmenge" queryTableFieldId="7" dataDxfId="430" totalsRowDxfId="429"/>
  </tableColumns>
  <tableStyleInfo name="TableStyleMedium2" showFirstColumn="0" showLastColumn="0" showRowStripes="0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7000000}" name="Tabelle_PV_FFA_Datenbank_FE.accdb245671861" displayName="Tabelle_PV_FFA_Datenbank_FE.accdb245671861" ref="A44:G50" tableType="queryTable" headerRowCount="0" totalsRowCount="1" headerRowDxfId="428">
  <tableColumns count="7">
    <tableColumn id="8" xr3:uid="{00000000-0010-0000-3700-000008000000}" uniqueName="8" name="Bundesland" totalsRowLabel="Summe" queryTableFieldId="1" dataDxfId="427" totalsRowDxfId="426"/>
    <tableColumn id="9" xr3:uid="{00000000-0010-0000-3700-000009000000}" uniqueName="9" name="Gebotsmenge" totalsRowFunction="sum" queryTableFieldId="2" dataDxfId="425"/>
    <tableColumn id="10" xr3:uid="{00000000-0010-0000-3700-00000A000000}" uniqueName="10" name="Anzahl Gebote" totalsRowFunction="sum" queryTableFieldId="3" dataDxfId="424"/>
    <tableColumn id="11" xr3:uid="{00000000-0010-0000-3700-00000B000000}" uniqueName="11" name="Mittlere Gebotsmenge" queryTableFieldId="4" dataDxfId="423"/>
    <tableColumn id="12" xr3:uid="{00000000-0010-0000-3700-00000C000000}" uniqueName="12" name="Zuschlagsmenge" totalsRowFunction="sum" queryTableFieldId="5" dataDxfId="422"/>
    <tableColumn id="13" xr3:uid="{00000000-0010-0000-3700-00000D000000}" uniqueName="13" name="Anzahl Zuschläge" totalsRowFunction="sum" queryTableFieldId="6" dataDxfId="421"/>
    <tableColumn id="14" xr3:uid="{00000000-0010-0000-3700-00000E000000}" uniqueName="14" name="Mittlere Zuschlagsmenge" queryTableFieldId="7" dataDxfId="420" totalsRowDxfId="419"/>
  </tableColumns>
  <tableStyleInfo name="TableStyleMedium2" showFirstColumn="0" showLastColumn="0" showRowStripes="0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8000000}" name="Tabelle_PV_FFA_Datenbank_FE.accdb2456792062" displayName="Tabelle_PV_FFA_Datenbank_FE.accdb2456792062" ref="A76:G78" tableType="queryTable" headerRowCount="0" totalsRowCount="1" headerRowDxfId="418">
  <tableColumns count="7">
    <tableColumn id="8" xr3:uid="{00000000-0010-0000-3800-000008000000}" uniqueName="8" name="Bundesland" totalsRowLabel="Summe" queryTableFieldId="1"/>
    <tableColumn id="9" xr3:uid="{00000000-0010-0000-3800-000009000000}" uniqueName="9" name="Gebotsmenge" totalsRowFunction="sum" queryTableFieldId="2" dataDxfId="417"/>
    <tableColumn id="10" xr3:uid="{00000000-0010-0000-3800-00000A000000}" uniqueName="10" name="Anzahl Gebote" totalsRowFunction="sum" queryTableFieldId="3" dataDxfId="416"/>
    <tableColumn id="11" xr3:uid="{00000000-0010-0000-3800-00000B000000}" uniqueName="11" name="Mittlere Gebotsmenge" queryTableFieldId="4" dataDxfId="415"/>
    <tableColumn id="12" xr3:uid="{00000000-0010-0000-3800-00000C000000}" uniqueName="12" name="Zuschlagsmenge" totalsRowFunction="sum" queryTableFieldId="5" dataDxfId="414"/>
    <tableColumn id="13" xr3:uid="{00000000-0010-0000-3800-00000D000000}" uniqueName="13" name="Anzahl Zuschläge" totalsRowFunction="sum" queryTableFieldId="6" dataDxfId="413"/>
    <tableColumn id="14" xr3:uid="{00000000-0010-0000-3800-00000E000000}" uniqueName="14" name="Mittlere Zuschlagsmenge" queryTableFieldId="7" dataDxfId="412" totalsRowDxfId="411"/>
  </tableColumns>
  <tableStyleInfo name="TableStyleMedium2" showFirstColumn="0" showLastColumn="0" showRowStripes="0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9000000}" name="Tabelle_PV_FFA_Datenbank_FE.accdb24561663" displayName="Tabelle_PV_FFA_Datenbank_FE.accdb24561663" ref="A56:G58" tableType="queryTable" headerRowCount="0" totalsRowCount="1" headerRowDxfId="410">
  <tableColumns count="7">
    <tableColumn id="8" xr3:uid="{00000000-0010-0000-3900-000008000000}" uniqueName="8" name="BEG" totalsRowLabel="Summe" queryTableFieldId="1"/>
    <tableColumn id="9" xr3:uid="{00000000-0010-0000-3900-000009000000}" uniqueName="9" name="Gebotsmenge" totalsRowFunction="sum" queryTableFieldId="2" dataDxfId="409"/>
    <tableColumn id="10" xr3:uid="{00000000-0010-0000-3900-00000A000000}" uniqueName="10" name="Anzahl Gebote" totalsRowFunction="sum" queryTableFieldId="3" dataDxfId="408"/>
    <tableColumn id="11" xr3:uid="{00000000-0010-0000-3900-00000B000000}" uniqueName="11" name="Mittlere Gebotsmenge" queryTableFieldId="4" dataDxfId="407"/>
    <tableColumn id="12" xr3:uid="{00000000-0010-0000-3900-00000C000000}" uniqueName="12" name="Zuschlagsmenge" totalsRowFunction="sum" queryTableFieldId="5" dataDxfId="406"/>
    <tableColumn id="13" xr3:uid="{00000000-0010-0000-3900-00000D000000}" uniqueName="13" name="Anzahl Zuschläge" totalsRowFunction="sum" queryTableFieldId="6" dataDxfId="405"/>
    <tableColumn id="14" xr3:uid="{00000000-0010-0000-3900-00000E000000}" uniqueName="14" name="Mittlere Zuschlagsmenge" queryTableFieldId="7" dataDxfId="404" totalsRowDxfId="403"/>
  </tableColumns>
  <tableStyleInfo name="TableStyleMedium2" showFirstColumn="0" showLastColumn="0" showRowStripes="0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3A000000}" name="qryVStat_GemA2_AlleRunden_Gebote12" displayName="qryVStat_GemA2_AlleRunden_Gebote12" ref="A13:H13" tableType="queryTable" headerRowCount="0" totalsRowShown="0" headerRowDxfId="402" dataDxfId="401" tableBorderDxfId="400">
  <tableColumns count="8">
    <tableColumn id="9" xr3:uid="{00000000-0010-0000-3A00-000009000000}" uniqueName="9" name="GebotsM" queryTableFieldId="1" dataDxfId="399"/>
    <tableColumn id="10" xr3:uid="{00000000-0010-0000-3A00-00000A000000}" uniqueName="10" name="Anzahl Gebote" queryTableFieldId="2" dataDxfId="398"/>
    <tableColumn id="11" xr3:uid="{00000000-0010-0000-3A00-00000B000000}" uniqueName="11" name="Min GebotsM" queryTableFieldId="3" dataDxfId="397"/>
    <tableColumn id="12" xr3:uid="{00000000-0010-0000-3A00-00000C000000}" uniqueName="12" name="Max GebotsM" queryTableFieldId="4" dataDxfId="396"/>
    <tableColumn id="13" xr3:uid="{00000000-0010-0000-3A00-00000D000000}" uniqueName="13" name="Mittel GebotsM" queryTableFieldId="5" dataDxfId="395"/>
    <tableColumn id="14" xr3:uid="{00000000-0010-0000-3A00-00000E000000}" uniqueName="14" name="Min GebotsW" queryTableFieldId="6" dataDxfId="394"/>
    <tableColumn id="15" xr3:uid="{00000000-0010-0000-3A00-00000F000000}" uniqueName="15" name="Max GebotsW" queryTableFieldId="7" dataDxfId="393"/>
    <tableColumn id="16" xr3:uid="{00000000-0010-0000-3A00-000010000000}" uniqueName="16" name="Gew Mittel GebotsW" queryTableFieldId="8" dataDxfId="392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05000000}" name="Tabelle_PV_FFA_Datenbank_FE.accdb213107" displayName="Tabelle_PV_FFA_Datenbank_FE.accdb213107" ref="A34:G39" tableType="queryTable" headerRowCount="0" totalsRowCount="1" headerRowDxfId="833">
  <tableColumns count="7">
    <tableColumn id="8" xr3:uid="{00000000-0010-0000-0500-000008000000}" uniqueName="8" name="Größenklasse" totalsRowLabel="Summe" queryTableFieldId="1" dataDxfId="832" totalsRowDxfId="831"/>
    <tableColumn id="9" xr3:uid="{00000000-0010-0000-0500-000009000000}" uniqueName="9" name="Gebotsmenge" totalsRowFunction="sum" queryTableFieldId="2" dataDxfId="830"/>
    <tableColumn id="10" xr3:uid="{00000000-0010-0000-0500-00000A000000}" uniqueName="10" name="Anzahl Gebote" totalsRowFunction="sum" queryTableFieldId="3" dataDxfId="829"/>
    <tableColumn id="11" xr3:uid="{00000000-0010-0000-0500-00000B000000}" uniqueName="11" name="Mittlere Gebotsmenge" queryTableFieldId="4" dataDxfId="828"/>
    <tableColumn id="12" xr3:uid="{00000000-0010-0000-0500-00000C000000}" uniqueName="12" name="Zuschlagsmenge" totalsRowFunction="sum" queryTableFieldId="5" dataDxfId="827"/>
    <tableColumn id="13" xr3:uid="{00000000-0010-0000-0500-00000D000000}" uniqueName="13" name="Anzahl Zuschläge" totalsRowFunction="sum" queryTableFieldId="6" dataDxfId="826"/>
    <tableColumn id="14" xr3:uid="{00000000-0010-0000-0500-00000E000000}" uniqueName="14" name="Mittlere Zuschlagsmenge" queryTableFieldId="7" dataDxfId="825" totalsRowDxfId="824"/>
  </tableColumns>
  <tableStyleInfo name="TableStyleMedium2" showFirstColumn="0" showLastColumn="0" showRowStripes="0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3B000000}" name="qryVStat_GemA2_AlleRunden_Zuschläge43" displayName="qryVStat_GemA2_AlleRunden_Zuschläge43" ref="A22:B22" tableType="queryTable" headerRowCount="0" totalsRowShown="0" headerRowDxfId="391" dataDxfId="390" tableBorderDxfId="389">
  <tableColumns count="2">
    <tableColumn id="3" xr3:uid="{00000000-0010-0000-3B00-000003000000}" uniqueName="3" name="ZuschlagsM_NachZS" queryTableFieldId="1" dataDxfId="388"/>
    <tableColumn id="4" xr3:uid="{00000000-0010-0000-3B00-000004000000}" uniqueName="4" name="Anzahl Zuschläge_NachZS" queryTableFieldId="2" dataDxfId="387"/>
  </tableColumns>
  <tableStyleInfo name="TableStyleMedium2" showFirstColumn="0" showLastColumn="0" showRowStripes="0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3C000000}" name="qryVStat_GemA2_AlleRunden_Ausschlüsse44" displayName="qryVStat_GemA2_AlleRunden_Ausschlüsse44" ref="A27:B27" tableType="queryTable" headerRowCount="0" totalsRowShown="0" headerRowDxfId="386" dataDxfId="385" tableBorderDxfId="384">
  <tableColumns count="2">
    <tableColumn id="3" xr3:uid="{00000000-0010-0000-3C00-000003000000}" uniqueName="3" name="AusschlussM" queryTableFieldId="1" dataDxfId="383"/>
    <tableColumn id="4" xr3:uid="{00000000-0010-0000-3C00-000004000000}" uniqueName="4" name="Anzahl Ausschlüsse" queryTableFieldId="2" dataDxfId="382"/>
  </tableColumns>
  <tableStyleInfo name="TableStyleMedium2" showFirstColumn="0" showLastColumn="0" showRowStripes="0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3D000000}" name="qryVStat_GemA2_AlleRunden_Zuschläge2145" displayName="qryVStat_GemA2_AlleRunden_Zuschläge2145" ref="A18:H18" tableType="queryTable" headerRowCount="0" totalsRowShown="0" headerRowDxfId="381" dataDxfId="380" tableBorderDxfId="379">
  <tableColumns count="8">
    <tableColumn id="9" xr3:uid="{00000000-0010-0000-3D00-000009000000}" uniqueName="9" name="ZuschlagsM_VorZS" queryTableFieldId="1" dataDxfId="378"/>
    <tableColumn id="10" xr3:uid="{00000000-0010-0000-3D00-00000A000000}" uniqueName="10" name="Anzahl Zuschläge_VorZS" queryTableFieldId="2" dataDxfId="377"/>
    <tableColumn id="11" xr3:uid="{00000000-0010-0000-3D00-00000B000000}" uniqueName="11" name="Min ZuschlagsM" queryTableFieldId="3" dataDxfId="376"/>
    <tableColumn id="12" xr3:uid="{00000000-0010-0000-3D00-00000C000000}" uniqueName="12" name="Max ZuschlagsM" queryTableFieldId="4" dataDxfId="375"/>
    <tableColumn id="13" xr3:uid="{00000000-0010-0000-3D00-00000D000000}" uniqueName="13" name="Mittel ZuschlagsM" queryTableFieldId="5" dataDxfId="374"/>
    <tableColumn id="14" xr3:uid="{00000000-0010-0000-3D00-00000E000000}" uniqueName="14" name="Min ZuschlagsW" queryTableFieldId="6" dataDxfId="373"/>
    <tableColumn id="15" xr3:uid="{00000000-0010-0000-3D00-00000F000000}" uniqueName="15" name="Max ZuschlagsW" queryTableFieldId="7" dataDxfId="372"/>
    <tableColumn id="16" xr3:uid="{00000000-0010-0000-3D00-000010000000}" uniqueName="16" name="Gew Mittel ZuschlagsW" queryTableFieldId="8" dataDxfId="371"/>
  </tableColumns>
  <tableStyleInfo name="TableStyleMedium2" showFirstColumn="0" showLastColumn="0" showRowStripes="0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3E000000}" name="qryVStat_GemA2_AlleRunden_AusschreibungsV46" displayName="qryVStat_GemA2_AlleRunden_AusschreibungsV46" ref="A8:B8" tableType="queryTable" headerRowCount="0" totalsRowShown="0" headerRowDxfId="370" dataDxfId="369" tableBorderDxfId="368">
  <tableColumns count="2">
    <tableColumn id="3" xr3:uid="{00000000-0010-0000-3E00-000003000000}" uniqueName="3" name="Ausschreibungsvolumen" queryTableFieldId="1" dataDxfId="367"/>
    <tableColumn id="4" xr3:uid="{00000000-0010-0000-3E00-000004000000}" uniqueName="4" name="Höchstwert" queryTableFieldId="2" dataDxfId="366"/>
  </tableColumns>
  <tableStyleInfo name="TableStyleMedium2" showFirstColumn="0" showLastColumn="0" showRowStripes="0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3F000000}" name="Tabelle_PV_FFA_Datenbank_FE.accdb21347" displayName="Tabelle_PV_FFA_Datenbank_FE.accdb21347" ref="A34:G38" tableType="queryTable" headerRowCount="0" totalsRowCount="1" headerRowDxfId="365">
  <tableColumns count="7">
    <tableColumn id="8" xr3:uid="{00000000-0010-0000-3F00-000008000000}" uniqueName="8" name="Größenklasse" totalsRowLabel="Summe" queryTableFieldId="1" dataDxfId="364" totalsRowDxfId="363"/>
    <tableColumn id="9" xr3:uid="{00000000-0010-0000-3F00-000009000000}" uniqueName="9" name="Gebotsmenge" totalsRowFunction="sum" queryTableFieldId="2" dataDxfId="362"/>
    <tableColumn id="10" xr3:uid="{00000000-0010-0000-3F00-00000A000000}" uniqueName="10" name="Anzahl Gebote" totalsRowFunction="sum" queryTableFieldId="3" dataDxfId="361"/>
    <tableColumn id="11" xr3:uid="{00000000-0010-0000-3F00-00000B000000}" uniqueName="11" name="Mittlere Gebotsmenge" queryTableFieldId="4" dataDxfId="360"/>
    <tableColumn id="12" xr3:uid="{00000000-0010-0000-3F00-00000C000000}" uniqueName="12" name="Zuschlagsmenge" totalsRowFunction="sum" queryTableFieldId="5" dataDxfId="359"/>
    <tableColumn id="13" xr3:uid="{00000000-0010-0000-3F00-00000D000000}" uniqueName="13" name="Anzahl Zuschläge" totalsRowFunction="sum" queryTableFieldId="6" dataDxfId="358"/>
    <tableColumn id="14" xr3:uid="{00000000-0010-0000-3F00-00000E000000}" uniqueName="14" name="Mittlere Zuschlagsmenge" queryTableFieldId="7" dataDxfId="357" totalsRowDxfId="356"/>
  </tableColumns>
  <tableStyleInfo name="TableStyleMedium2" showFirstColumn="0" showLastColumn="0" showRowStripes="0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40000000}" name="Tabelle_PV_FFA_Datenbank_FE.accdb241248" displayName="Tabelle_PV_FFA_Datenbank_FE.accdb241248" ref="A69:G74" tableType="queryTable" headerRowCount="0" totalsRowCount="1" headerRowDxfId="355">
  <tableColumns count="7">
    <tableColumn id="8" xr3:uid="{00000000-0010-0000-4000-000008000000}" uniqueName="8" name="Rechtsform" totalsRowLabel="Summe" queryTableFieldId="1"/>
    <tableColumn id="9" xr3:uid="{00000000-0010-0000-4000-000009000000}" uniqueName="9" name="Gebotsmenge" totalsRowFunction="sum" queryTableFieldId="2" dataDxfId="354"/>
    <tableColumn id="10" xr3:uid="{00000000-0010-0000-4000-00000A000000}" uniqueName="10" name="Anzahl Gebote" totalsRowFunction="sum" queryTableFieldId="3" dataDxfId="353"/>
    <tableColumn id="11" xr3:uid="{00000000-0010-0000-4000-00000B000000}" uniqueName="11" name="Mittlere Gebotsmenge" queryTableFieldId="4" dataDxfId="352"/>
    <tableColumn id="12" xr3:uid="{00000000-0010-0000-4000-00000C000000}" uniqueName="12" name="Zuschlagsmenge" totalsRowFunction="sum" queryTableFieldId="5" dataDxfId="351"/>
    <tableColumn id="13" xr3:uid="{00000000-0010-0000-4000-00000D000000}" uniqueName="13" name="Anzahl Zuschläge" totalsRowFunction="sum" queryTableFieldId="6" dataDxfId="350"/>
    <tableColumn id="14" xr3:uid="{00000000-0010-0000-4000-00000E000000}" uniqueName="14" name="Mittlere Zuschlagsmenge" queryTableFieldId="7" dataDxfId="349" totalsRowDxfId="348"/>
  </tableColumns>
  <tableStyleInfo name="TableStyleMedium2" showFirstColumn="0" showLastColumn="0" showRowStripes="0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41000000}" name="Tabelle_PV_FFA_Datenbank_FE.accdb245671849" displayName="Tabelle_PV_FFA_Datenbank_FE.accdb245671849" ref="A44:G55" tableType="queryTable" headerRowCount="0" totalsRowCount="1" headerRowDxfId="347">
  <tableColumns count="7">
    <tableColumn id="8" xr3:uid="{00000000-0010-0000-4100-000008000000}" uniqueName="8" name="Bundesland" totalsRowLabel="Summe" queryTableFieldId="1"/>
    <tableColumn id="9" xr3:uid="{00000000-0010-0000-4100-000009000000}" uniqueName="9" name="Gebotsmenge" totalsRowFunction="sum" queryTableFieldId="2" dataDxfId="346"/>
    <tableColumn id="10" xr3:uid="{00000000-0010-0000-4100-00000A000000}" uniqueName="10" name="Anzahl Gebote" totalsRowFunction="sum" queryTableFieldId="3" dataDxfId="345"/>
    <tableColumn id="11" xr3:uid="{00000000-0010-0000-4100-00000B000000}" uniqueName="11" name="Mittlere Gebotsmenge" queryTableFieldId="4" dataDxfId="344"/>
    <tableColumn id="12" xr3:uid="{00000000-0010-0000-4100-00000C000000}" uniqueName="12" name="Zuschlagsmenge" totalsRowFunction="sum" queryTableFieldId="5" dataDxfId="343"/>
    <tableColumn id="13" xr3:uid="{00000000-0010-0000-4100-00000D000000}" uniqueName="13" name="Anzahl Zuschläge" totalsRowFunction="sum" queryTableFieldId="6" dataDxfId="342"/>
    <tableColumn id="14" xr3:uid="{00000000-0010-0000-4100-00000E000000}" uniqueName="14" name="Mittlere Zuschlagsmenge" queryTableFieldId="7" dataDxfId="341" totalsRowDxfId="340"/>
  </tableColumns>
  <tableStyleInfo name="TableStyleMedium2" showFirstColumn="0" showLastColumn="0" showRowStripes="0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42000000}" name="Tabelle_PV_FFA_Datenbank_FE.accdb2456792050" displayName="Tabelle_PV_FFA_Datenbank_FE.accdb2456792050" ref="A80:G83" tableType="queryTable" headerRowCount="0" totalsRowCount="1" headerRowDxfId="339">
  <tableColumns count="7">
    <tableColumn id="8" xr3:uid="{00000000-0010-0000-4200-000008000000}" uniqueName="8" name="Bundesland" totalsRowLabel="Summe" queryTableFieldId="1"/>
    <tableColumn id="9" xr3:uid="{00000000-0010-0000-4200-000009000000}" uniqueName="9" name="Gebotsmenge" totalsRowFunction="sum" queryTableFieldId="2" dataDxfId="338"/>
    <tableColumn id="10" xr3:uid="{00000000-0010-0000-4200-00000A000000}" uniqueName="10" name="Anzahl Gebote" totalsRowFunction="sum" queryTableFieldId="3" dataDxfId="337"/>
    <tableColumn id="11" xr3:uid="{00000000-0010-0000-4200-00000B000000}" uniqueName="11" name="Mittlere Gebotsmenge" queryTableFieldId="4" dataDxfId="336"/>
    <tableColumn id="12" xr3:uid="{00000000-0010-0000-4200-00000C000000}" uniqueName="12" name="Zuschlagsmenge" totalsRowFunction="sum" queryTableFieldId="5" dataDxfId="335"/>
    <tableColumn id="13" xr3:uid="{00000000-0010-0000-4200-00000D000000}" uniqueName="13" name="Anzahl Zuschläge" totalsRowFunction="sum" queryTableFieldId="6" dataDxfId="334"/>
    <tableColumn id="14" xr3:uid="{00000000-0010-0000-4200-00000E000000}" uniqueName="14" name="Mittlere Zuschlagsmenge" queryTableFieldId="7" dataDxfId="333" totalsRowDxfId="332"/>
  </tableColumns>
  <tableStyleInfo name="TableStyleMedium2" showFirstColumn="0" showLastColumn="0" showRowStripes="0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43000000}" name="Tabelle_PV_FFA_Datenbank_FE.accdb24561651" displayName="Tabelle_PV_FFA_Datenbank_FE.accdb24561651" ref="A61:G63" tableType="queryTable" headerRowCount="0" totalsRowCount="1" headerRowDxfId="331">
  <tableColumns count="7">
    <tableColumn id="8" xr3:uid="{00000000-0010-0000-4300-000008000000}" uniqueName="8" name="BEG" totalsRowLabel="Summe" queryTableFieldId="1"/>
    <tableColumn id="9" xr3:uid="{00000000-0010-0000-4300-000009000000}" uniqueName="9" name="Gebotsmenge" totalsRowFunction="sum" queryTableFieldId="2" dataDxfId="330"/>
    <tableColumn id="10" xr3:uid="{00000000-0010-0000-4300-00000A000000}" uniqueName="10" name="Anzahl Gebote" totalsRowFunction="sum" queryTableFieldId="3" dataDxfId="329"/>
    <tableColumn id="11" xr3:uid="{00000000-0010-0000-4300-00000B000000}" uniqueName="11" name="Mittlere Gebotsmenge" queryTableFieldId="4" dataDxfId="328"/>
    <tableColumn id="12" xr3:uid="{00000000-0010-0000-4300-00000C000000}" uniqueName="12" name="Zuschlagsmenge" totalsRowFunction="sum" queryTableFieldId="5" dataDxfId="327"/>
    <tableColumn id="13" xr3:uid="{00000000-0010-0000-4300-00000D000000}" uniqueName="13" name="Anzahl Zuschläge" totalsRowFunction="sum" queryTableFieldId="6" dataDxfId="326"/>
    <tableColumn id="14" xr3:uid="{00000000-0010-0000-4300-00000E000000}" uniqueName="14" name="Mittlere Zuschlagsmenge" queryTableFieldId="7" dataDxfId="325" totalsRowDxfId="324"/>
  </tableColumns>
  <tableStyleInfo name="TableStyleMedium2" showFirstColumn="0" showLastColumn="0" showRowStripes="0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44000000}" name="qryVStat_GemA2_AlleRunden_Gebote33" displayName="qryVStat_GemA2_AlleRunden_Gebote33" ref="A14:H14" tableType="queryTable" headerRowCount="0" totalsRowShown="0" headerRowDxfId="323" dataDxfId="322" tableBorderDxfId="321">
  <tableColumns count="8">
    <tableColumn id="9" xr3:uid="{00000000-0010-0000-4400-000009000000}" uniqueName="9" name="GebotsM" queryTableFieldId="1" dataDxfId="320"/>
    <tableColumn id="10" xr3:uid="{00000000-0010-0000-4400-00000A000000}" uniqueName="10" name="Anzahl Gebote" queryTableFieldId="2" dataDxfId="319"/>
    <tableColumn id="11" xr3:uid="{00000000-0010-0000-4400-00000B000000}" uniqueName="11" name="Min GebotsM" queryTableFieldId="3" dataDxfId="318"/>
    <tableColumn id="12" xr3:uid="{00000000-0010-0000-4400-00000C000000}" uniqueName="12" name="Max GebotsM" queryTableFieldId="4" dataDxfId="317"/>
    <tableColumn id="13" xr3:uid="{00000000-0010-0000-4400-00000D000000}" uniqueName="13" name="Mittel GebotsM" queryTableFieldId="5" dataDxfId="316"/>
    <tableColumn id="14" xr3:uid="{00000000-0010-0000-4400-00000E000000}" uniqueName="14" name="Min GebotsW" queryTableFieldId="6" dataDxfId="315"/>
    <tableColumn id="15" xr3:uid="{00000000-0010-0000-4400-00000F000000}" uniqueName="15" name="Max GebotsW" queryTableFieldId="7" dataDxfId="314"/>
    <tableColumn id="16" xr3:uid="{00000000-0010-0000-4400-000010000000}" uniqueName="16" name="Gew Mittel GebotsW" queryTableFieldId="8" dataDxfId="313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06000000}" name="Tabelle_PV_FFA_Datenbank_FE.accdb2412108" displayName="Tabelle_PV_FFA_Datenbank_FE.accdb2412108" ref="A72:G81" tableType="queryTable" headerRowCount="0" totalsRowCount="1" headerRowDxfId="823">
  <tableColumns count="7">
    <tableColumn id="8" xr3:uid="{00000000-0010-0000-0600-000008000000}" uniqueName="8" name="Rechtsform" totalsRowLabel="Summe" queryTableFieldId="1"/>
    <tableColumn id="9" xr3:uid="{00000000-0010-0000-0600-000009000000}" uniqueName="9" name="Gebotsmenge" totalsRowFunction="sum" queryTableFieldId="2" dataDxfId="822"/>
    <tableColumn id="10" xr3:uid="{00000000-0010-0000-0600-00000A000000}" uniqueName="10" name="Anzahl Gebote" totalsRowFunction="sum" queryTableFieldId="3" dataDxfId="821"/>
    <tableColumn id="11" xr3:uid="{00000000-0010-0000-0600-00000B000000}" uniqueName="11" name="Mittlere Gebotsmenge" queryTableFieldId="4" dataDxfId="820"/>
    <tableColumn id="12" xr3:uid="{00000000-0010-0000-0600-00000C000000}" uniqueName="12" name="Zuschlagsmenge" totalsRowFunction="sum" queryTableFieldId="5" dataDxfId="819"/>
    <tableColumn id="13" xr3:uid="{00000000-0010-0000-0600-00000D000000}" uniqueName="13" name="Anzahl Zuschläge" totalsRowFunction="sum" queryTableFieldId="6" dataDxfId="818"/>
    <tableColumn id="14" xr3:uid="{00000000-0010-0000-0600-00000E000000}" uniqueName="14" name="Mittlere Zuschlagsmenge" queryTableFieldId="7" dataDxfId="817" totalsRowDxfId="816"/>
  </tableColumns>
  <tableStyleInfo name="TableStyleMedium2" showFirstColumn="0" showLastColumn="0" showRowStripes="0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45000000}" name="qryVStat_GemA2_AlleRunden_Zuschläge34" displayName="qryVStat_GemA2_AlleRunden_Zuschläge34" ref="A23:B23" tableType="queryTable" headerRowCount="0" totalsRowShown="0" headerRowDxfId="312" dataDxfId="311" tableBorderDxfId="310">
  <tableColumns count="2">
    <tableColumn id="3" xr3:uid="{00000000-0010-0000-4500-000003000000}" uniqueName="3" name="ZuschlagsM_NachZS" queryTableFieldId="1" dataDxfId="309"/>
    <tableColumn id="4" xr3:uid="{00000000-0010-0000-4500-000004000000}" uniqueName="4" name="Anzahl Zuschläge_NachZS" queryTableFieldId="2" dataDxfId="308"/>
  </tableColumns>
  <tableStyleInfo name="TableStyleMedium2" showFirstColumn="0" showLastColumn="0" showRowStripes="0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46000000}" name="qryVStat_GemA2_AlleRunden_Ausschlüsse35" displayName="qryVStat_GemA2_AlleRunden_Ausschlüsse35" ref="A28:B28" tableType="queryTable" headerRowCount="0" totalsRowShown="0" headerRowDxfId="307" dataDxfId="306" tableBorderDxfId="305">
  <tableColumns count="2">
    <tableColumn id="3" xr3:uid="{00000000-0010-0000-4600-000003000000}" uniqueName="3" name="AusschlussM" queryTableFieldId="1" dataDxfId="304"/>
    <tableColumn id="4" xr3:uid="{00000000-0010-0000-4600-000004000000}" uniqueName="4" name="Anzahl Ausschlüsse" queryTableFieldId="2" dataDxfId="303"/>
  </tableColumns>
  <tableStyleInfo name="TableStyleMedium2" showFirstColumn="0" showLastColumn="0" showRowStripes="0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47000000}" name="qryVStat_GemA2_AlleRunden_Zuschläge2136" displayName="qryVStat_GemA2_AlleRunden_Zuschläge2136" ref="A19:H19" tableType="queryTable" headerRowCount="0" totalsRowShown="0" headerRowDxfId="302" dataDxfId="301" tableBorderDxfId="300">
  <tableColumns count="8">
    <tableColumn id="9" xr3:uid="{00000000-0010-0000-4700-000009000000}" uniqueName="9" name="ZuschlagsM_VorZS" queryTableFieldId="1" dataDxfId="299"/>
    <tableColumn id="10" xr3:uid="{00000000-0010-0000-4700-00000A000000}" uniqueName="10" name="Anzahl Zuschläge_VorZS" queryTableFieldId="2" dataDxfId="298"/>
    <tableColumn id="11" xr3:uid="{00000000-0010-0000-4700-00000B000000}" uniqueName="11" name="Min ZuschlagsM" queryTableFieldId="3" dataDxfId="297"/>
    <tableColumn id="12" xr3:uid="{00000000-0010-0000-4700-00000C000000}" uniqueName="12" name="Max ZuschlagsM" queryTableFieldId="4" dataDxfId="296"/>
    <tableColumn id="13" xr3:uid="{00000000-0010-0000-4700-00000D000000}" uniqueName="13" name="Mittel ZuschlagsM" queryTableFieldId="5" dataDxfId="295"/>
    <tableColumn id="14" xr3:uid="{00000000-0010-0000-4700-00000E000000}" uniqueName="14" name="Min ZuschlagsW" queryTableFieldId="6" dataDxfId="294"/>
    <tableColumn id="15" xr3:uid="{00000000-0010-0000-4700-00000F000000}" uniqueName="15" name="Max ZuschlagsW" queryTableFieldId="7" dataDxfId="293"/>
    <tableColumn id="16" xr3:uid="{00000000-0010-0000-4700-000010000000}" uniqueName="16" name="Gew Mittel ZuschlagsW" queryTableFieldId="8" dataDxfId="292"/>
  </tableColumns>
  <tableStyleInfo name="TableStyleMedium2" showFirstColumn="0" showLastColumn="0" showRowStripes="0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48000000}" name="qryVStat_GemA2_AlleRunden_AusschreibungsV37" displayName="qryVStat_GemA2_AlleRunden_AusschreibungsV37" ref="A8:B8" tableType="queryTable" headerRowCount="0" totalsRowShown="0" headerRowDxfId="291" dataDxfId="290" tableBorderDxfId="289">
  <tableColumns count="2">
    <tableColumn id="3" xr3:uid="{00000000-0010-0000-4800-000003000000}" uniqueName="3" name="Ausschreibungsvolumen" queryTableFieldId="1" dataDxfId="288"/>
    <tableColumn id="4" xr3:uid="{00000000-0010-0000-4800-000004000000}" uniqueName="4" name="Höchstwert" queryTableFieldId="2" dataDxfId="287"/>
  </tableColumns>
  <tableStyleInfo name="TableStyleMedium2" showFirstColumn="0" showLastColumn="0" showRowStripes="0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49000000}" name="Tabelle_PV_FFA_Datenbank_FE.accdb21338" displayName="Tabelle_PV_FFA_Datenbank_FE.accdb21338" ref="A35:G39" tableType="queryTable" headerRowCount="0" totalsRowCount="1" headerRowDxfId="286">
  <tableColumns count="7">
    <tableColumn id="8" xr3:uid="{00000000-0010-0000-4900-000008000000}" uniqueName="8" name="Größenklasse" totalsRowLabel="Summe" queryTableFieldId="1" dataDxfId="285" totalsRowDxfId="284"/>
    <tableColumn id="9" xr3:uid="{00000000-0010-0000-4900-000009000000}" uniqueName="9" name="Gebotsmenge" totalsRowFunction="sum" queryTableFieldId="2" dataDxfId="283"/>
    <tableColumn id="10" xr3:uid="{00000000-0010-0000-4900-00000A000000}" uniqueName="10" name="Anzahl Gebote" totalsRowFunction="sum" queryTableFieldId="3" dataDxfId="282"/>
    <tableColumn id="11" xr3:uid="{00000000-0010-0000-4900-00000B000000}" uniqueName="11" name="Mittlere Gebotsmenge" queryTableFieldId="4" dataDxfId="281"/>
    <tableColumn id="12" xr3:uid="{00000000-0010-0000-4900-00000C000000}" uniqueName="12" name="Zuschlagsmenge" totalsRowFunction="sum" queryTableFieldId="5" dataDxfId="280"/>
    <tableColumn id="13" xr3:uid="{00000000-0010-0000-4900-00000D000000}" uniqueName="13" name="Anzahl Zuschläge" totalsRowFunction="sum" queryTableFieldId="6" dataDxfId="279"/>
    <tableColumn id="14" xr3:uid="{00000000-0010-0000-4900-00000E000000}" uniqueName="14" name="Mittlere Zuschlagsmenge" queryTableFieldId="7" dataDxfId="278" totalsRowDxfId="277"/>
  </tableColumns>
  <tableStyleInfo name="TableStyleMedium2" showFirstColumn="0" showLastColumn="0" showRowStripes="0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4A000000}" name="Tabelle_PV_FFA_Datenbank_FE.accdb241239" displayName="Tabelle_PV_FFA_Datenbank_FE.accdb241239" ref="A69:G76" tableType="queryTable" headerRowCount="0" totalsRowCount="1" headerRowDxfId="276">
  <tableColumns count="7">
    <tableColumn id="8" xr3:uid="{00000000-0010-0000-4A00-000008000000}" uniqueName="8" name="Rechtsform" totalsRowLabel="Summe" queryTableFieldId="1"/>
    <tableColumn id="9" xr3:uid="{00000000-0010-0000-4A00-000009000000}" uniqueName="9" name="Gebotsmenge" totalsRowFunction="sum" queryTableFieldId="2" dataDxfId="275"/>
    <tableColumn id="10" xr3:uid="{00000000-0010-0000-4A00-00000A000000}" uniqueName="10" name="Anzahl Gebote" totalsRowFunction="sum" queryTableFieldId="3" dataDxfId="274"/>
    <tableColumn id="11" xr3:uid="{00000000-0010-0000-4A00-00000B000000}" uniqueName="11" name="Mittlere Gebotsmenge" queryTableFieldId="4" dataDxfId="273"/>
    <tableColumn id="12" xr3:uid="{00000000-0010-0000-4A00-00000C000000}" uniqueName="12" name="Zuschlagsmenge" totalsRowFunction="sum" queryTableFieldId="5" dataDxfId="272"/>
    <tableColumn id="13" xr3:uid="{00000000-0010-0000-4A00-00000D000000}" uniqueName="13" name="Anzahl Zuschläge" totalsRowFunction="sum" queryTableFieldId="6" dataDxfId="271"/>
    <tableColumn id="14" xr3:uid="{00000000-0010-0000-4A00-00000E000000}" uniqueName="14" name="Mittlere Zuschlagsmenge" queryTableFieldId="7" dataDxfId="270" totalsRowDxfId="269"/>
  </tableColumns>
  <tableStyleInfo name="TableStyleMedium2" showFirstColumn="0" showLastColumn="0" showRowStripes="0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4B000000}" name="Tabelle_PV_FFA_Datenbank_FE.accdb245671840" displayName="Tabelle_PV_FFA_Datenbank_FE.accdb245671840" ref="A45:G55" tableType="queryTable" headerRowCount="0" totalsRowCount="1" headerRowDxfId="268">
  <tableColumns count="7">
    <tableColumn id="8" xr3:uid="{00000000-0010-0000-4B00-000008000000}" uniqueName="8" name="Bundesland" totalsRowLabel="Summe" queryTableFieldId="1" dataDxfId="267" totalsRowDxfId="266"/>
    <tableColumn id="9" xr3:uid="{00000000-0010-0000-4B00-000009000000}" uniqueName="9" name="Gebotsmenge" totalsRowFunction="sum" queryTableFieldId="2" dataDxfId="265"/>
    <tableColumn id="10" xr3:uid="{00000000-0010-0000-4B00-00000A000000}" uniqueName="10" name="Anzahl Gebote" totalsRowFunction="sum" queryTableFieldId="3" dataDxfId="264"/>
    <tableColumn id="11" xr3:uid="{00000000-0010-0000-4B00-00000B000000}" uniqueName="11" name="Mittlere Gebotsmenge" queryTableFieldId="4" dataDxfId="263"/>
    <tableColumn id="12" xr3:uid="{00000000-0010-0000-4B00-00000C000000}" uniqueName="12" name="Zuschlagsmenge" totalsRowFunction="sum" queryTableFieldId="5" dataDxfId="262"/>
    <tableColumn id="13" xr3:uid="{00000000-0010-0000-4B00-00000D000000}" uniqueName="13" name="Anzahl Zuschläge" totalsRowFunction="sum" queryTableFieldId="6" dataDxfId="261"/>
    <tableColumn id="14" xr3:uid="{00000000-0010-0000-4B00-00000E000000}" uniqueName="14" name="Mittlere Zuschlagsmenge" queryTableFieldId="7" dataDxfId="260" totalsRowDxfId="259"/>
  </tableColumns>
  <tableStyleInfo name="TableStyleMedium2" showFirstColumn="0" showLastColumn="0" showRowStripes="0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4C000000}" name="Tabelle_PV_FFA_Datenbank_FE.accdb2456792041" displayName="Tabelle_PV_FFA_Datenbank_FE.accdb2456792041" ref="A82:G85" tableType="queryTable" headerRowCount="0" totalsRowCount="1" headerRowDxfId="258">
  <tableColumns count="7">
    <tableColumn id="8" xr3:uid="{00000000-0010-0000-4C00-000008000000}" uniqueName="8" name="Bundesland" totalsRowLabel="Summe" queryTableFieldId="1"/>
    <tableColumn id="9" xr3:uid="{00000000-0010-0000-4C00-000009000000}" uniqueName="9" name="Gebotsmenge" totalsRowFunction="sum" queryTableFieldId="2" dataDxfId="257"/>
    <tableColumn id="10" xr3:uid="{00000000-0010-0000-4C00-00000A000000}" uniqueName="10" name="Anzahl Gebote" totalsRowFunction="sum" queryTableFieldId="3" dataDxfId="256"/>
    <tableColumn id="11" xr3:uid="{00000000-0010-0000-4C00-00000B000000}" uniqueName="11" name="Mittlere Gebotsmenge" queryTableFieldId="4" dataDxfId="255"/>
    <tableColumn id="12" xr3:uid="{00000000-0010-0000-4C00-00000C000000}" uniqueName="12" name="Zuschlagsmenge" totalsRowFunction="sum" queryTableFieldId="5" dataDxfId="254"/>
    <tableColumn id="13" xr3:uid="{00000000-0010-0000-4C00-00000D000000}" uniqueName="13" name="Anzahl Zuschläge" totalsRowFunction="sum" queryTableFieldId="6" dataDxfId="253"/>
    <tableColumn id="14" xr3:uid="{00000000-0010-0000-4C00-00000E000000}" uniqueName="14" name="Mittlere Zuschlagsmenge" queryTableFieldId="7" dataDxfId="252" totalsRowDxfId="251"/>
  </tableColumns>
  <tableStyleInfo name="TableStyleMedium2" showFirstColumn="0" showLastColumn="0" showRowStripes="0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4D000000}" name="Tabelle_PV_FFA_Datenbank_FE.accdb24561642" displayName="Tabelle_PV_FFA_Datenbank_FE.accdb24561642" ref="A61:G63" tableType="queryTable" headerRowCount="0" totalsRowCount="1" headerRowDxfId="250">
  <tableColumns count="7">
    <tableColumn id="8" xr3:uid="{00000000-0010-0000-4D00-000008000000}" uniqueName="8" name="BEG" totalsRowLabel="Summe" queryTableFieldId="1"/>
    <tableColumn id="9" xr3:uid="{00000000-0010-0000-4D00-000009000000}" uniqueName="9" name="Gebotsmenge" totalsRowFunction="sum" queryTableFieldId="2" dataDxfId="249"/>
    <tableColumn id="10" xr3:uid="{00000000-0010-0000-4D00-00000A000000}" uniqueName="10" name="Anzahl Gebote" totalsRowFunction="sum" queryTableFieldId="3" dataDxfId="248"/>
    <tableColumn id="11" xr3:uid="{00000000-0010-0000-4D00-00000B000000}" uniqueName="11" name="Mittlere Gebotsmenge" queryTableFieldId="4" dataDxfId="247"/>
    <tableColumn id="12" xr3:uid="{00000000-0010-0000-4D00-00000C000000}" uniqueName="12" name="Zuschlagsmenge" totalsRowFunction="sum" queryTableFieldId="5" dataDxfId="246"/>
    <tableColumn id="13" xr3:uid="{00000000-0010-0000-4D00-00000D000000}" uniqueName="13" name="Anzahl Zuschläge" totalsRowFunction="sum" queryTableFieldId="6" dataDxfId="245"/>
    <tableColumn id="14" xr3:uid="{00000000-0010-0000-4D00-00000E000000}" uniqueName="14" name="Mittlere Zuschlagsmenge" queryTableFieldId="7" dataDxfId="244" totalsRowDxfId="243"/>
  </tableColumns>
  <tableStyleInfo name="TableStyleMedium2" showFirstColumn="0" showLastColumn="0" showRowStripes="0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4E000000}" name="qryVStat_GemA2_AlleRunden_Gebote13" displayName="qryVStat_GemA2_AlleRunden_Gebote13" ref="A13:H13" tableType="queryTable" headerRowCount="0" totalsRowShown="0" headerRowDxfId="242" dataDxfId="241" tableBorderDxfId="240">
  <tableColumns count="8">
    <tableColumn id="9" xr3:uid="{00000000-0010-0000-4E00-000009000000}" uniqueName="9" name="GebotsM" queryTableFieldId="1" dataDxfId="239"/>
    <tableColumn id="10" xr3:uid="{00000000-0010-0000-4E00-00000A000000}" uniqueName="10" name="Anzahl Gebote" queryTableFieldId="2" dataDxfId="238"/>
    <tableColumn id="11" xr3:uid="{00000000-0010-0000-4E00-00000B000000}" uniqueName="11" name="Min GebotsM" queryTableFieldId="3" dataDxfId="237"/>
    <tableColumn id="12" xr3:uid="{00000000-0010-0000-4E00-00000C000000}" uniqueName="12" name="Max GebotsM" queryTableFieldId="4" dataDxfId="236"/>
    <tableColumn id="13" xr3:uid="{00000000-0010-0000-4E00-00000D000000}" uniqueName="13" name="Mittel GebotsM" queryTableFieldId="5" dataDxfId="235"/>
    <tableColumn id="14" xr3:uid="{00000000-0010-0000-4E00-00000E000000}" uniqueName="14" name="Min GebotsW" queryTableFieldId="6" dataDxfId="234"/>
    <tableColumn id="15" xr3:uid="{00000000-0010-0000-4E00-00000F000000}" uniqueName="15" name="Max GebotsW" queryTableFieldId="7" dataDxfId="233"/>
    <tableColumn id="16" xr3:uid="{00000000-0010-0000-4E00-000010000000}" uniqueName="16" name="Gew Mittel GebotsW" queryTableFieldId="8" dataDxfId="232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07000000}" name="Tabelle_PV_FFA_Datenbank_FE.accdb2456718109" displayName="Tabelle_PV_FFA_Datenbank_FE.accdb2456718109" ref="A45:G58" tableType="queryTable" headerRowCount="0" totalsRowCount="1" headerRowDxfId="815">
  <tableColumns count="7">
    <tableColumn id="8" xr3:uid="{00000000-0010-0000-0700-000008000000}" uniqueName="8" name="Bundesland" totalsRowLabel="Summe" queryTableFieldId="1"/>
    <tableColumn id="9" xr3:uid="{00000000-0010-0000-0700-000009000000}" uniqueName="9" name="Gebotsmenge" totalsRowFunction="sum" queryTableFieldId="2" dataDxfId="814"/>
    <tableColumn id="10" xr3:uid="{00000000-0010-0000-0700-00000A000000}" uniqueName="10" name="Anzahl Gebote" totalsRowFunction="sum" queryTableFieldId="3" dataDxfId="813"/>
    <tableColumn id="11" xr3:uid="{00000000-0010-0000-0700-00000B000000}" uniqueName="11" name="Mittlere Gebotsmenge" queryTableFieldId="4" dataDxfId="812"/>
    <tableColumn id="12" xr3:uid="{00000000-0010-0000-0700-00000C000000}" uniqueName="12" name="Zuschlagsmenge" totalsRowFunction="sum" queryTableFieldId="5" dataDxfId="811"/>
    <tableColumn id="13" xr3:uid="{00000000-0010-0000-0700-00000D000000}" uniqueName="13" name="Anzahl Zuschläge" totalsRowFunction="sum" queryTableFieldId="6" dataDxfId="810"/>
    <tableColumn id="14" xr3:uid="{00000000-0010-0000-0700-00000E000000}" uniqueName="14" name="Mittlere Zuschlagsmenge" queryTableFieldId="7" dataDxfId="809" totalsRowDxfId="808"/>
  </tableColumns>
  <tableStyleInfo name="TableStyleMedium2" showFirstColumn="0" showLastColumn="0" showRowStripes="0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4F000000}" name="qryVStat_GemA2_AlleRunden_Zuschläge24" displayName="qryVStat_GemA2_AlleRunden_Zuschläge24" ref="A22:B22" tableType="queryTable" headerRowCount="0" totalsRowShown="0" headerRowDxfId="231" dataDxfId="230" tableBorderDxfId="229">
  <tableColumns count="2">
    <tableColumn id="3" xr3:uid="{00000000-0010-0000-4F00-000003000000}" uniqueName="3" name="ZuschlagsM_NachZS" queryTableFieldId="1" dataDxfId="228"/>
    <tableColumn id="4" xr3:uid="{00000000-0010-0000-4F00-000004000000}" uniqueName="4" name="Anzahl Zuschläge_NachZS" queryTableFieldId="2" dataDxfId="227"/>
  </tableColumns>
  <tableStyleInfo name="TableStyleMedium2" showFirstColumn="0" showLastColumn="0" showRowStripes="0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50000000}" name="qryVStat_GemA2_AlleRunden_Ausschlüsse25" displayName="qryVStat_GemA2_AlleRunden_Ausschlüsse25" ref="A27:B27" tableType="queryTable" headerRowCount="0" totalsRowShown="0" headerRowDxfId="226" dataDxfId="225" tableBorderDxfId="224">
  <tableColumns count="2">
    <tableColumn id="3" xr3:uid="{00000000-0010-0000-5000-000003000000}" uniqueName="3" name="AusschlussM" queryTableFieldId="1" dataDxfId="223"/>
    <tableColumn id="4" xr3:uid="{00000000-0010-0000-5000-000004000000}" uniqueName="4" name="Anzahl Ausschlüsse" queryTableFieldId="2" dataDxfId="222"/>
  </tableColumns>
  <tableStyleInfo name="TableStyleMedium2" showFirstColumn="0" showLastColumn="0" showRowStripes="0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51000000}" name="qryVStat_GemA2_AlleRunden_Zuschläge2126" displayName="qryVStat_GemA2_AlleRunden_Zuschläge2126" ref="A18:H18" tableType="queryTable" headerRowCount="0" totalsRowShown="0" headerRowDxfId="221" dataDxfId="220" tableBorderDxfId="219">
  <tableColumns count="8">
    <tableColumn id="9" xr3:uid="{00000000-0010-0000-5100-000009000000}" uniqueName="9" name="ZuschlagsM_VorZS" queryTableFieldId="1" dataDxfId="218"/>
    <tableColumn id="10" xr3:uid="{00000000-0010-0000-5100-00000A000000}" uniqueName="10" name="Anzahl Zuschläge_VorZS" queryTableFieldId="2" dataDxfId="217"/>
    <tableColumn id="11" xr3:uid="{00000000-0010-0000-5100-00000B000000}" uniqueName="11" name="Min ZuschlagsM" queryTableFieldId="3" dataDxfId="216"/>
    <tableColumn id="12" xr3:uid="{00000000-0010-0000-5100-00000C000000}" uniqueName="12" name="Max ZuschlagsM" queryTableFieldId="4" dataDxfId="215"/>
    <tableColumn id="13" xr3:uid="{00000000-0010-0000-5100-00000D000000}" uniqueName="13" name="Mittel ZuschlagsM" queryTableFieldId="5" dataDxfId="214"/>
    <tableColumn id="14" xr3:uid="{00000000-0010-0000-5100-00000E000000}" uniqueName="14" name="Min ZuschlagsW" queryTableFieldId="6" dataDxfId="213"/>
    <tableColumn id="15" xr3:uid="{00000000-0010-0000-5100-00000F000000}" uniqueName="15" name="Max ZuschlagsW" queryTableFieldId="7" dataDxfId="212"/>
    <tableColumn id="16" xr3:uid="{00000000-0010-0000-5100-000010000000}" uniqueName="16" name="Gew Mittel ZuschlagsW" queryTableFieldId="8" dataDxfId="211"/>
  </tableColumns>
  <tableStyleInfo name="TableStyleMedium2" showFirstColumn="0" showLastColumn="0" showRowStripes="0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52000000}" name="qryVStat_GemA2_AlleRunden_AusschreibungsV27" displayName="qryVStat_GemA2_AlleRunden_AusschreibungsV27" ref="A8:B8" tableType="queryTable" headerRowCount="0" totalsRowShown="0" headerRowDxfId="210" dataDxfId="209" tableBorderDxfId="208">
  <tableColumns count="2">
    <tableColumn id="3" xr3:uid="{00000000-0010-0000-5200-000003000000}" uniqueName="3" name="Ausschreibungsvolumen" queryTableFieldId="1" dataDxfId="207"/>
    <tableColumn id="4" xr3:uid="{00000000-0010-0000-5200-000004000000}" uniqueName="4" name="Höchstwert" queryTableFieldId="2" dataDxfId="206"/>
  </tableColumns>
  <tableStyleInfo name="TableStyleMedium2" showFirstColumn="0" showLastColumn="0" showRowStripes="0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53000000}" name="Tabelle_PV_FFA_Datenbank_FE.accdb21328" displayName="Tabelle_PV_FFA_Datenbank_FE.accdb21328" ref="A34:G38" tableType="queryTable" headerRowCount="0" totalsRowCount="1" headerRowDxfId="205">
  <tableColumns count="7">
    <tableColumn id="8" xr3:uid="{00000000-0010-0000-5300-000008000000}" uniqueName="8" name="Größenklasse" totalsRowLabel="Summe" queryTableFieldId="1" dataDxfId="204" totalsRowDxfId="203"/>
    <tableColumn id="9" xr3:uid="{00000000-0010-0000-5300-000009000000}" uniqueName="9" name="Gebotsmenge" totalsRowFunction="sum" queryTableFieldId="2" dataDxfId="202"/>
    <tableColumn id="10" xr3:uid="{00000000-0010-0000-5300-00000A000000}" uniqueName="10" name="Anzahl Gebote" totalsRowFunction="sum" queryTableFieldId="3" dataDxfId="201"/>
    <tableColumn id="11" xr3:uid="{00000000-0010-0000-5300-00000B000000}" uniqueName="11" name="Mittlere Gebotsmenge" queryTableFieldId="4" dataDxfId="200"/>
    <tableColumn id="12" xr3:uid="{00000000-0010-0000-5300-00000C000000}" uniqueName="12" name="Zuschlagsmenge" totalsRowFunction="sum" queryTableFieldId="5" dataDxfId="199"/>
    <tableColumn id="13" xr3:uid="{00000000-0010-0000-5300-00000D000000}" uniqueName="13" name="Anzahl Zuschläge" totalsRowFunction="sum" queryTableFieldId="6" dataDxfId="198"/>
    <tableColumn id="14" xr3:uid="{00000000-0010-0000-5300-00000E000000}" uniqueName="14" name="Mittlere Zuschlagsmenge" queryTableFieldId="7" dataDxfId="197" totalsRowDxfId="196"/>
  </tableColumns>
  <tableStyleInfo name="TableStyleMedium2" showFirstColumn="0" showLastColumn="0" showRowStripes="0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54000000}" name="Tabelle_PV_FFA_Datenbank_FE.accdb241229" displayName="Tabelle_PV_FFA_Datenbank_FE.accdb241229" ref="A70:G78" tableType="queryTable" headerRowCount="0" totalsRowCount="1" headerRowDxfId="195">
  <tableColumns count="7">
    <tableColumn id="8" xr3:uid="{00000000-0010-0000-5400-000008000000}" uniqueName="8" name="Rechtsform" totalsRowLabel="Summe" queryTableFieldId="1"/>
    <tableColumn id="9" xr3:uid="{00000000-0010-0000-5400-000009000000}" uniqueName="9" name="Gebotsmenge" totalsRowFunction="sum" queryTableFieldId="2" dataDxfId="194"/>
    <tableColumn id="10" xr3:uid="{00000000-0010-0000-5400-00000A000000}" uniqueName="10" name="Anzahl Gebote" totalsRowFunction="sum" queryTableFieldId="3" dataDxfId="193"/>
    <tableColumn id="11" xr3:uid="{00000000-0010-0000-5400-00000B000000}" uniqueName="11" name="Mittlere Gebotsmenge" queryTableFieldId="4" dataDxfId="192"/>
    <tableColumn id="12" xr3:uid="{00000000-0010-0000-5400-00000C000000}" uniqueName="12" name="Zuschlagsmenge" totalsRowFunction="sum" queryTableFieldId="5" dataDxfId="191"/>
    <tableColumn id="13" xr3:uid="{00000000-0010-0000-5400-00000D000000}" uniqueName="13" name="Anzahl Zuschläge" totalsRowFunction="sum" queryTableFieldId="6" dataDxfId="190"/>
    <tableColumn id="14" xr3:uid="{00000000-0010-0000-5400-00000E000000}" uniqueName="14" name="Mittlere Zuschlagsmenge" queryTableFieldId="7" dataDxfId="189" totalsRowDxfId="188"/>
  </tableColumns>
  <tableStyleInfo name="TableStyleMedium2" showFirstColumn="0" showLastColumn="0" showRowStripes="0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55000000}" name="Tabelle_PV_FFA_Datenbank_FE.accdb245671830" displayName="Tabelle_PV_FFA_Datenbank_FE.accdb245671830" ref="A44:G56" tableType="queryTable" headerRowCount="0" totalsRowCount="1" headerRowDxfId="187">
  <tableColumns count="7">
    <tableColumn id="8" xr3:uid="{00000000-0010-0000-5500-000008000000}" uniqueName="8" name="Bundesland" totalsRowLabel="Summe" queryTableFieldId="1"/>
    <tableColumn id="9" xr3:uid="{00000000-0010-0000-5500-000009000000}" uniqueName="9" name="Gebotsmenge" totalsRowFunction="sum" queryTableFieldId="2" dataDxfId="186"/>
    <tableColumn id="10" xr3:uid="{00000000-0010-0000-5500-00000A000000}" uniqueName="10" name="Anzahl Gebote" totalsRowFunction="sum" queryTableFieldId="3" dataDxfId="185"/>
    <tableColumn id="11" xr3:uid="{00000000-0010-0000-5500-00000B000000}" uniqueName="11" name="Mittlere Gebotsmenge" queryTableFieldId="4" dataDxfId="184"/>
    <tableColumn id="12" xr3:uid="{00000000-0010-0000-5500-00000C000000}" uniqueName="12" name="Zuschlagsmenge" totalsRowFunction="sum" queryTableFieldId="5" dataDxfId="183"/>
    <tableColumn id="13" xr3:uid="{00000000-0010-0000-5500-00000D000000}" uniqueName="13" name="Anzahl Zuschläge" totalsRowFunction="sum" queryTableFieldId="6" dataDxfId="182"/>
    <tableColumn id="14" xr3:uid="{00000000-0010-0000-5500-00000E000000}" uniqueName="14" name="Mittlere Zuschlagsmenge" queryTableFieldId="7" dataDxfId="181" totalsRowDxfId="180"/>
  </tableColumns>
  <tableStyleInfo name="TableStyleMedium2" showFirstColumn="0" showLastColumn="0" showRowStripes="0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56000000}" name="Tabelle_PV_FFA_Datenbank_FE.accdb2456792031" displayName="Tabelle_PV_FFA_Datenbank_FE.accdb2456792031" ref="A84:G87" tableType="queryTable" headerRowCount="0" totalsRowCount="1" headerRowDxfId="179">
  <tableColumns count="7">
    <tableColumn id="8" xr3:uid="{00000000-0010-0000-5600-000008000000}" uniqueName="8" name="Bundesland" totalsRowLabel="Summe" queryTableFieldId="1"/>
    <tableColumn id="9" xr3:uid="{00000000-0010-0000-5600-000009000000}" uniqueName="9" name="Gebotsmenge" totalsRowFunction="sum" queryTableFieldId="2" dataDxfId="178"/>
    <tableColumn id="10" xr3:uid="{00000000-0010-0000-5600-00000A000000}" uniqueName="10" name="Anzahl Gebote" totalsRowFunction="sum" queryTableFieldId="3" dataDxfId="177"/>
    <tableColumn id="11" xr3:uid="{00000000-0010-0000-5600-00000B000000}" uniqueName="11" name="Mittlere Gebotsmenge" queryTableFieldId="4" dataDxfId="176"/>
    <tableColumn id="12" xr3:uid="{00000000-0010-0000-5600-00000C000000}" uniqueName="12" name="Zuschlagsmenge" totalsRowFunction="sum" queryTableFieldId="5" dataDxfId="175"/>
    <tableColumn id="13" xr3:uid="{00000000-0010-0000-5600-00000D000000}" uniqueName="13" name="Anzahl Zuschläge" totalsRowFunction="sum" queryTableFieldId="6" dataDxfId="174"/>
    <tableColumn id="14" xr3:uid="{00000000-0010-0000-5600-00000E000000}" uniqueName="14" name="Mittlere Zuschlagsmenge" queryTableFieldId="7" dataDxfId="173" totalsRowDxfId="172"/>
  </tableColumns>
  <tableStyleInfo name="TableStyleMedium2" showFirstColumn="0" showLastColumn="0" showRowStripes="0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57000000}" name="Tabelle_PV_FFA_Datenbank_FE.accdb24561632" displayName="Tabelle_PV_FFA_Datenbank_FE.accdb24561632" ref="A62:G64" tableType="queryTable" headerRowCount="0" totalsRowCount="1" headerRowDxfId="171">
  <tableColumns count="7">
    <tableColumn id="8" xr3:uid="{00000000-0010-0000-5700-000008000000}" uniqueName="8" name="BEG" totalsRowLabel="Summe" queryTableFieldId="1"/>
    <tableColumn id="9" xr3:uid="{00000000-0010-0000-5700-000009000000}" uniqueName="9" name="Gebotsmenge" totalsRowFunction="sum" queryTableFieldId="2" dataDxfId="170"/>
    <tableColumn id="10" xr3:uid="{00000000-0010-0000-5700-00000A000000}" uniqueName="10" name="Anzahl Gebote" totalsRowFunction="sum" queryTableFieldId="3" dataDxfId="169"/>
    <tableColumn id="11" xr3:uid="{00000000-0010-0000-5700-00000B000000}" uniqueName="11" name="Mittlere Gebotsmenge" queryTableFieldId="4" dataDxfId="168"/>
    <tableColumn id="12" xr3:uid="{00000000-0010-0000-5700-00000C000000}" uniqueName="12" name="Zuschlagsmenge" totalsRowFunction="sum" queryTableFieldId="5" dataDxfId="167"/>
    <tableColumn id="13" xr3:uid="{00000000-0010-0000-5700-00000D000000}" uniqueName="13" name="Anzahl Zuschläge" totalsRowFunction="sum" queryTableFieldId="6" dataDxfId="166"/>
    <tableColumn id="14" xr3:uid="{00000000-0010-0000-5700-00000E000000}" uniqueName="14" name="Mittlere Zuschlagsmenge" queryTableFieldId="7" dataDxfId="165" totalsRowDxfId="164"/>
  </tableColumns>
  <tableStyleInfo name="TableStyleMedium2" showFirstColumn="0" showLastColumn="0" showRowStripes="0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58000000}" name="qryVStat_GemA2_AlleRunden_Gebote14" displayName="qryVStat_GemA2_AlleRunden_Gebote14" ref="A13:H13" tableType="queryTable" headerRowCount="0" totalsRowShown="0" headerRowDxfId="163" dataDxfId="162" tableBorderDxfId="161">
  <tableColumns count="8">
    <tableColumn id="9" xr3:uid="{00000000-0010-0000-5800-000009000000}" uniqueName="9" name="GebotsM" queryTableFieldId="1" dataDxfId="160"/>
    <tableColumn id="10" xr3:uid="{00000000-0010-0000-5800-00000A000000}" uniqueName="10" name="Anzahl Gebote" queryTableFieldId="2" dataDxfId="159"/>
    <tableColumn id="11" xr3:uid="{00000000-0010-0000-5800-00000B000000}" uniqueName="11" name="Min GebotsM" queryTableFieldId="3" dataDxfId="158"/>
    <tableColumn id="12" xr3:uid="{00000000-0010-0000-5800-00000C000000}" uniqueName="12" name="Max GebotsM" queryTableFieldId="4" dataDxfId="157"/>
    <tableColumn id="13" xr3:uid="{00000000-0010-0000-5800-00000D000000}" uniqueName="13" name="Mittel GebotsM" queryTableFieldId="5" dataDxfId="156"/>
    <tableColumn id="14" xr3:uid="{00000000-0010-0000-5800-00000E000000}" uniqueName="14" name="Min GebotsW" queryTableFieldId="6" dataDxfId="155"/>
    <tableColumn id="15" xr3:uid="{00000000-0010-0000-5800-00000F000000}" uniqueName="15" name="Max GebotsW" queryTableFieldId="7" dataDxfId="154"/>
    <tableColumn id="16" xr3:uid="{00000000-0010-0000-5800-000010000000}" uniqueName="16" name="Gew Mittel GebotsW" queryTableFieldId="8" dataDxfId="153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08000000}" name="Tabelle_PV_FFA_Datenbank_FE.accdb245616110" displayName="Tabelle_PV_FFA_Datenbank_FE.accdb245616110" ref="A64:G66" tableType="queryTable" headerRowCount="0" totalsRowCount="1" headerRowDxfId="807">
  <tableColumns count="7">
    <tableColumn id="8" xr3:uid="{00000000-0010-0000-0800-000008000000}" uniqueName="8" name="BEG" totalsRowLabel="Summe" queryTableFieldId="1"/>
    <tableColumn id="9" xr3:uid="{00000000-0010-0000-0800-000009000000}" uniqueName="9" name="Gebotsmenge" totalsRowFunction="sum" queryTableFieldId="2" dataDxfId="806"/>
    <tableColumn id="10" xr3:uid="{00000000-0010-0000-0800-00000A000000}" uniqueName="10" name="Anzahl Gebote" totalsRowFunction="sum" queryTableFieldId="3" dataDxfId="805"/>
    <tableColumn id="11" xr3:uid="{00000000-0010-0000-0800-00000B000000}" uniqueName="11" name="Mittlere Gebotsmenge" queryTableFieldId="4" dataDxfId="804"/>
    <tableColumn id="12" xr3:uid="{00000000-0010-0000-0800-00000C000000}" uniqueName="12" name="Zuschlagsmenge" totalsRowFunction="sum" queryTableFieldId="5" dataDxfId="803"/>
    <tableColumn id="13" xr3:uid="{00000000-0010-0000-0800-00000D000000}" uniqueName="13" name="Anzahl Zuschläge" totalsRowFunction="sum" queryTableFieldId="6" dataDxfId="802"/>
    <tableColumn id="14" xr3:uid="{00000000-0010-0000-0800-00000E000000}" uniqueName="14" name="Mittlere Zuschlagsmenge" queryTableFieldId="7" dataDxfId="801" totalsRowDxfId="800"/>
  </tableColumns>
  <tableStyleInfo name="TableStyleMedium2" showFirstColumn="0" showLastColumn="0" showRowStripes="0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59000000}" name="qryVStat_GemA2_AlleRunden_Zuschläge15" displayName="qryVStat_GemA2_AlleRunden_Zuschläge15" ref="A22:B22" tableType="queryTable" headerRowCount="0" totalsRowShown="0" headerRowDxfId="152" dataDxfId="151" tableBorderDxfId="150">
  <tableColumns count="2">
    <tableColumn id="3" xr3:uid="{00000000-0010-0000-5900-000003000000}" uniqueName="3" name="ZuschlagsM_NachZS" queryTableFieldId="1" dataDxfId="149"/>
    <tableColumn id="4" xr3:uid="{00000000-0010-0000-5900-000004000000}" uniqueName="4" name="Anzahl Zuschläge_NachZS" queryTableFieldId="2" dataDxfId="148"/>
  </tableColumns>
  <tableStyleInfo name="TableStyleMedium2" showFirstColumn="0" showLastColumn="0" showRowStripes="0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5A000000}" name="qryVStat_GemA2_AlleRunden_Ausschlüsse16" displayName="qryVStat_GemA2_AlleRunden_Ausschlüsse16" ref="A27:B27" tableType="queryTable" headerRowCount="0" totalsRowShown="0" headerRowDxfId="147" dataDxfId="146" tableBorderDxfId="145">
  <tableColumns count="2">
    <tableColumn id="3" xr3:uid="{00000000-0010-0000-5A00-000003000000}" uniqueName="3" name="AusschlussM" queryTableFieldId="1" dataDxfId="144"/>
    <tableColumn id="4" xr3:uid="{00000000-0010-0000-5A00-000004000000}" uniqueName="4" name="Anzahl Ausschlüsse" queryTableFieldId="2" dataDxfId="143"/>
  </tableColumns>
  <tableStyleInfo name="TableStyleMedium2" showFirstColumn="0" showLastColumn="0" showRowStripes="0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5B000000}" name="qryVStat_GemA2_AlleRunden_Zuschläge2117" displayName="qryVStat_GemA2_AlleRunden_Zuschläge2117" ref="A18:H18" tableType="queryTable" headerRowCount="0" totalsRowShown="0" headerRowDxfId="142" dataDxfId="141" tableBorderDxfId="140">
  <tableColumns count="8">
    <tableColumn id="9" xr3:uid="{00000000-0010-0000-5B00-000009000000}" uniqueName="9" name="ZuschlagsM_VorZS" queryTableFieldId="1" dataDxfId="139"/>
    <tableColumn id="10" xr3:uid="{00000000-0010-0000-5B00-00000A000000}" uniqueName="10" name="Anzahl Zuschläge_VorZS" queryTableFieldId="2" dataDxfId="138"/>
    <tableColumn id="11" xr3:uid="{00000000-0010-0000-5B00-00000B000000}" uniqueName="11" name="Min ZuschlagsM" queryTableFieldId="3" dataDxfId="137"/>
    <tableColumn id="12" xr3:uid="{00000000-0010-0000-5B00-00000C000000}" uniqueName="12" name="Max ZuschlagsM" queryTableFieldId="4" dataDxfId="136"/>
    <tableColumn id="13" xr3:uid="{00000000-0010-0000-5B00-00000D000000}" uniqueName="13" name="Mittel ZuschlagsM" queryTableFieldId="5" dataDxfId="135"/>
    <tableColumn id="14" xr3:uid="{00000000-0010-0000-5B00-00000E000000}" uniqueName="14" name="Min ZuschlagsW" queryTableFieldId="6" dataDxfId="134"/>
    <tableColumn id="15" xr3:uid="{00000000-0010-0000-5B00-00000F000000}" uniqueName="15" name="Max ZuschlagsW" queryTableFieldId="7" dataDxfId="133"/>
    <tableColumn id="16" xr3:uid="{00000000-0010-0000-5B00-000010000000}" uniqueName="16" name="Gew Mittel ZuschlagsW" queryTableFieldId="8" dataDxfId="132"/>
  </tableColumns>
  <tableStyleInfo name="TableStyleMedium2" showFirstColumn="0" showLastColumn="0" showRowStripes="0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5C000000}" name="qryVStat_GemA2_AlleRunden_AusschreibungsV18" displayName="qryVStat_GemA2_AlleRunden_AusschreibungsV18" ref="A8:B8" tableType="queryTable" headerRowCount="0" totalsRowShown="0" headerRowDxfId="131" dataDxfId="130" tableBorderDxfId="129">
  <tableColumns count="2">
    <tableColumn id="3" xr3:uid="{00000000-0010-0000-5C00-000003000000}" uniqueName="3" name="Ausschreibungsvolumen" queryTableFieldId="1" dataDxfId="128"/>
    <tableColumn id="4" xr3:uid="{00000000-0010-0000-5C00-000004000000}" uniqueName="4" name="Höchstwert" queryTableFieldId="2" dataDxfId="127"/>
  </tableColumns>
  <tableStyleInfo name="TableStyleMedium2" showFirstColumn="0" showLastColumn="0" showRowStripes="0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5D000000}" name="Tabelle_PV_FFA_Datenbank_FE.accdb21319" displayName="Tabelle_PV_FFA_Datenbank_FE.accdb21319" ref="A33:G37" tableType="queryTable" headerRowCount="0" totalsRowCount="1" headerRowDxfId="126">
  <tableColumns count="7">
    <tableColumn id="8" xr3:uid="{00000000-0010-0000-5D00-000008000000}" uniqueName="8" name="Größenklasse" totalsRowLabel="Summe" queryTableFieldId="1" dataDxfId="125" totalsRowDxfId="124"/>
    <tableColumn id="9" xr3:uid="{00000000-0010-0000-5D00-000009000000}" uniqueName="9" name="Gebotsmenge" totalsRowFunction="sum" queryTableFieldId="2" dataDxfId="123"/>
    <tableColumn id="10" xr3:uid="{00000000-0010-0000-5D00-00000A000000}" uniqueName="10" name="Anzahl Gebote" totalsRowFunction="sum" queryTableFieldId="3" dataDxfId="122"/>
    <tableColumn id="11" xr3:uid="{00000000-0010-0000-5D00-00000B000000}" uniqueName="11" name="Mittlere Gebotsmenge" queryTableFieldId="4" dataDxfId="121"/>
    <tableColumn id="12" xr3:uid="{00000000-0010-0000-5D00-00000C000000}" uniqueName="12" name="Zuschlagsmenge" totalsRowFunction="sum" queryTableFieldId="5" dataDxfId="120"/>
    <tableColumn id="13" xr3:uid="{00000000-0010-0000-5D00-00000D000000}" uniqueName="13" name="Anzahl Zuschläge" totalsRowFunction="sum" queryTableFieldId="6" dataDxfId="119"/>
    <tableColumn id="14" xr3:uid="{00000000-0010-0000-5D00-00000E000000}" uniqueName="14" name="Mittlere Zuschlagsmenge" queryTableFieldId="7" dataDxfId="118" totalsRowDxfId="117"/>
  </tableColumns>
  <tableStyleInfo name="TableStyleMedium2" showFirstColumn="0" showLastColumn="0" showRowStripes="0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5E000000}" name="Tabelle_PV_FFA_Datenbank_FE.accdb241220" displayName="Tabelle_PV_FFA_Datenbank_FE.accdb241220" ref="A66:G70" tableType="queryTable" headerRowCount="0" totalsRowCount="1" headerRowDxfId="116">
  <tableColumns count="7">
    <tableColumn id="8" xr3:uid="{00000000-0010-0000-5E00-000008000000}" uniqueName="8" name="Rechtsform" totalsRowLabel="Summe" queryTableFieldId="1"/>
    <tableColumn id="9" xr3:uid="{00000000-0010-0000-5E00-000009000000}" uniqueName="9" name="Gebotsmenge" totalsRowFunction="sum" queryTableFieldId="2" dataDxfId="115"/>
    <tableColumn id="10" xr3:uid="{00000000-0010-0000-5E00-00000A000000}" uniqueName="10" name="Anzahl Gebote" totalsRowFunction="sum" queryTableFieldId="3" dataDxfId="114"/>
    <tableColumn id="11" xr3:uid="{00000000-0010-0000-5E00-00000B000000}" uniqueName="11" name="Mittlere Gebotsmenge" queryTableFieldId="4" dataDxfId="113"/>
    <tableColumn id="12" xr3:uid="{00000000-0010-0000-5E00-00000C000000}" uniqueName="12" name="Zuschlagsmenge" totalsRowFunction="sum" queryTableFieldId="5" dataDxfId="112"/>
    <tableColumn id="13" xr3:uid="{00000000-0010-0000-5E00-00000D000000}" uniqueName="13" name="Anzahl Zuschläge" totalsRowFunction="sum" queryTableFieldId="6" dataDxfId="111"/>
    <tableColumn id="14" xr3:uid="{00000000-0010-0000-5E00-00000E000000}" uniqueName="14" name="Mittlere Zuschlagsmenge" queryTableFieldId="7" dataDxfId="110" totalsRowDxfId="109"/>
  </tableColumns>
  <tableStyleInfo name="TableStyleMedium2" showFirstColumn="0" showLastColumn="0" showRowStripes="0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5F000000}" name="Tabelle_PV_FFA_Datenbank_FE.accdb245671821" displayName="Tabelle_PV_FFA_Datenbank_FE.accdb245671821" ref="A43:G52" tableType="queryTable" headerRowCount="0" totalsRowCount="1" headerRowDxfId="108">
  <tableColumns count="7">
    <tableColumn id="8" xr3:uid="{00000000-0010-0000-5F00-000008000000}" uniqueName="8" name="Bundesland" totalsRowLabel="Summe" queryTableFieldId="1" dataDxfId="107" totalsRowDxfId="106"/>
    <tableColumn id="9" xr3:uid="{00000000-0010-0000-5F00-000009000000}" uniqueName="9" name="Gebotsmenge" totalsRowFunction="sum" queryTableFieldId="2" dataDxfId="105"/>
    <tableColumn id="10" xr3:uid="{00000000-0010-0000-5F00-00000A000000}" uniqueName="10" name="Anzahl Gebote" totalsRowFunction="sum" queryTableFieldId="3" dataDxfId="104"/>
    <tableColumn id="11" xr3:uid="{00000000-0010-0000-5F00-00000B000000}" uniqueName="11" name="Mittlere Gebotsmenge" queryTableFieldId="4" dataDxfId="103"/>
    <tableColumn id="12" xr3:uid="{00000000-0010-0000-5F00-00000C000000}" uniqueName="12" name="Zuschlagsmenge" totalsRowFunction="sum" queryTableFieldId="5" dataDxfId="102"/>
    <tableColumn id="13" xr3:uid="{00000000-0010-0000-5F00-00000D000000}" uniqueName="13" name="Anzahl Zuschläge" totalsRowFunction="sum" queryTableFieldId="6" dataDxfId="101"/>
    <tableColumn id="14" xr3:uid="{00000000-0010-0000-5F00-00000E000000}" uniqueName="14" name="Mittlere Zuschlagsmenge" queryTableFieldId="7" dataDxfId="100" totalsRowDxfId="99"/>
  </tableColumns>
  <tableStyleInfo name="TableStyleMedium2" showFirstColumn="0" showLastColumn="0" showRowStripes="0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60000000}" name="Tabelle_PV_FFA_Datenbank_FE.accdb2456792022" displayName="Tabelle_PV_FFA_Datenbank_FE.accdb2456792022" ref="A76:G78" tableType="queryTable" headerRowCount="0" totalsRowCount="1" headerRowDxfId="98">
  <tableColumns count="7">
    <tableColumn id="8" xr3:uid="{00000000-0010-0000-6000-000008000000}" uniqueName="8" name="Bundesland" totalsRowLabel="Summe" queryTableFieldId="1"/>
    <tableColumn id="9" xr3:uid="{00000000-0010-0000-6000-000009000000}" uniqueName="9" name="Gebotsmenge" totalsRowFunction="sum" queryTableFieldId="2" dataDxfId="97"/>
    <tableColumn id="10" xr3:uid="{00000000-0010-0000-6000-00000A000000}" uniqueName="10" name="Anzahl Gebote" totalsRowFunction="sum" queryTableFieldId="3" dataDxfId="96"/>
    <tableColumn id="11" xr3:uid="{00000000-0010-0000-6000-00000B000000}" uniqueName="11" name="Mittlere Gebotsmenge" queryTableFieldId="4" dataDxfId="95"/>
    <tableColumn id="12" xr3:uid="{00000000-0010-0000-6000-00000C000000}" uniqueName="12" name="Zuschlagsmenge" totalsRowFunction="sum" queryTableFieldId="5" dataDxfId="94"/>
    <tableColumn id="13" xr3:uid="{00000000-0010-0000-6000-00000D000000}" uniqueName="13" name="Anzahl Zuschläge" totalsRowFunction="sum" queryTableFieldId="6" dataDxfId="93"/>
    <tableColumn id="14" xr3:uid="{00000000-0010-0000-6000-00000E000000}" uniqueName="14" name="Mittlere Zuschlagsmenge" queryTableFieldId="7" dataDxfId="92" totalsRowDxfId="91"/>
  </tableColumns>
  <tableStyleInfo name="TableStyleMedium2" showFirstColumn="0" showLastColumn="0" showRowStripes="0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61000000}" name="Tabelle_PV_FFA_Datenbank_FE.accdb24561623" displayName="Tabelle_PV_FFA_Datenbank_FE.accdb24561623" ref="A58:G60" tableType="queryTable" headerRowCount="0" totalsRowCount="1" headerRowDxfId="90">
  <tableColumns count="7">
    <tableColumn id="8" xr3:uid="{00000000-0010-0000-6100-000008000000}" uniqueName="8" name="BEG" totalsRowLabel="Summe" queryTableFieldId="1"/>
    <tableColumn id="9" xr3:uid="{00000000-0010-0000-6100-000009000000}" uniqueName="9" name="Gebotsmenge" totalsRowFunction="sum" queryTableFieldId="2" dataDxfId="89"/>
    <tableColumn id="10" xr3:uid="{00000000-0010-0000-6100-00000A000000}" uniqueName="10" name="Anzahl Gebote" totalsRowFunction="sum" queryTableFieldId="3" dataDxfId="88"/>
    <tableColumn id="11" xr3:uid="{00000000-0010-0000-6100-00000B000000}" uniqueName="11" name="Mittlere Gebotsmenge" queryTableFieldId="4" dataDxfId="87"/>
    <tableColumn id="12" xr3:uid="{00000000-0010-0000-6100-00000C000000}" uniqueName="12" name="Zuschlagsmenge" totalsRowFunction="sum" queryTableFieldId="5" dataDxfId="86"/>
    <tableColumn id="13" xr3:uid="{00000000-0010-0000-6100-00000D000000}" uniqueName="13" name="Anzahl Zuschläge" totalsRowFunction="sum" queryTableFieldId="6" dataDxfId="85"/>
    <tableColumn id="14" xr3:uid="{00000000-0010-0000-6100-00000E000000}" uniqueName="14" name="Mittlere Zuschlagsmenge" queryTableFieldId="7" dataDxfId="84" totalsRowDxfId="83"/>
  </tableColumns>
  <tableStyleInfo name="TableStyleMedium2" showFirstColumn="0" showLastColumn="0" showRowStripes="0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62000000}" name="qryVStat_GemA2_AlleRunden_Gebote" displayName="qryVStat_GemA2_AlleRunden_Gebote" ref="A13:H13" tableType="queryTable" headerRowCount="0" totalsRowShown="0" headerRowDxfId="82" dataDxfId="81" tableBorderDxfId="80">
  <tableColumns count="8">
    <tableColumn id="9" xr3:uid="{00000000-0010-0000-6200-000009000000}" uniqueName="9" name="GebotsM" queryTableFieldId="1" dataDxfId="79"/>
    <tableColumn id="10" xr3:uid="{00000000-0010-0000-6200-00000A000000}" uniqueName="10" name="Anzahl Gebote" queryTableFieldId="2" dataDxfId="78"/>
    <tableColumn id="11" xr3:uid="{00000000-0010-0000-6200-00000B000000}" uniqueName="11" name="Min GebotsM" queryTableFieldId="3" dataDxfId="77"/>
    <tableColumn id="12" xr3:uid="{00000000-0010-0000-6200-00000C000000}" uniqueName="12" name="Max GebotsM" queryTableFieldId="4" dataDxfId="76"/>
    <tableColumn id="13" xr3:uid="{00000000-0010-0000-6200-00000D000000}" uniqueName="13" name="Mittel GebotsM" queryTableFieldId="5" dataDxfId="75"/>
    <tableColumn id="14" xr3:uid="{00000000-0010-0000-6200-00000E000000}" uniqueName="14" name="Min GebotsW" queryTableFieldId="6" dataDxfId="74"/>
    <tableColumn id="15" xr3:uid="{00000000-0010-0000-6200-00000F000000}" uniqueName="15" name="Max GebotsW" queryTableFieldId="7" dataDxfId="73"/>
    <tableColumn id="16" xr3:uid="{00000000-0010-0000-6200-000010000000}" uniqueName="16" name="Gew Mittel GebotsW" queryTableFieldId="8" dataDxfId="72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5.xml"/><Relationship Id="rId3" Type="http://schemas.openxmlformats.org/officeDocument/2006/relationships/table" Target="../tables/table40.xml"/><Relationship Id="rId7" Type="http://schemas.openxmlformats.org/officeDocument/2006/relationships/table" Target="../tables/table44.xml"/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3.xml"/><Relationship Id="rId11" Type="http://schemas.openxmlformats.org/officeDocument/2006/relationships/table" Target="../tables/table48.xml"/><Relationship Id="rId5" Type="http://schemas.openxmlformats.org/officeDocument/2006/relationships/table" Target="../tables/table42.xml"/><Relationship Id="rId10" Type="http://schemas.openxmlformats.org/officeDocument/2006/relationships/table" Target="../tables/table47.xml"/><Relationship Id="rId4" Type="http://schemas.openxmlformats.org/officeDocument/2006/relationships/table" Target="../tables/table41.xml"/><Relationship Id="rId9" Type="http://schemas.openxmlformats.org/officeDocument/2006/relationships/table" Target="../tables/table46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5.xml"/><Relationship Id="rId3" Type="http://schemas.openxmlformats.org/officeDocument/2006/relationships/table" Target="../tables/table50.xml"/><Relationship Id="rId7" Type="http://schemas.openxmlformats.org/officeDocument/2006/relationships/table" Target="../tables/table54.xml"/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53.xml"/><Relationship Id="rId11" Type="http://schemas.openxmlformats.org/officeDocument/2006/relationships/table" Target="../tables/table58.xml"/><Relationship Id="rId5" Type="http://schemas.openxmlformats.org/officeDocument/2006/relationships/table" Target="../tables/table52.xml"/><Relationship Id="rId10" Type="http://schemas.openxmlformats.org/officeDocument/2006/relationships/table" Target="../tables/table57.xml"/><Relationship Id="rId4" Type="http://schemas.openxmlformats.org/officeDocument/2006/relationships/table" Target="../tables/table51.xml"/><Relationship Id="rId9" Type="http://schemas.openxmlformats.org/officeDocument/2006/relationships/table" Target="../tables/table5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5.xml"/><Relationship Id="rId3" Type="http://schemas.openxmlformats.org/officeDocument/2006/relationships/table" Target="../tables/table60.xml"/><Relationship Id="rId7" Type="http://schemas.openxmlformats.org/officeDocument/2006/relationships/table" Target="../tables/table64.xml"/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63.xml"/><Relationship Id="rId11" Type="http://schemas.openxmlformats.org/officeDocument/2006/relationships/table" Target="../tables/table68.xml"/><Relationship Id="rId5" Type="http://schemas.openxmlformats.org/officeDocument/2006/relationships/table" Target="../tables/table62.xml"/><Relationship Id="rId10" Type="http://schemas.openxmlformats.org/officeDocument/2006/relationships/table" Target="../tables/table67.xml"/><Relationship Id="rId4" Type="http://schemas.openxmlformats.org/officeDocument/2006/relationships/table" Target="../tables/table61.xml"/><Relationship Id="rId9" Type="http://schemas.openxmlformats.org/officeDocument/2006/relationships/table" Target="../tables/table6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5.xml"/><Relationship Id="rId3" Type="http://schemas.openxmlformats.org/officeDocument/2006/relationships/table" Target="../tables/table70.xml"/><Relationship Id="rId7" Type="http://schemas.openxmlformats.org/officeDocument/2006/relationships/table" Target="../tables/table74.xml"/><Relationship Id="rId2" Type="http://schemas.openxmlformats.org/officeDocument/2006/relationships/table" Target="../tables/table69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73.xml"/><Relationship Id="rId11" Type="http://schemas.openxmlformats.org/officeDocument/2006/relationships/table" Target="../tables/table78.xml"/><Relationship Id="rId5" Type="http://schemas.openxmlformats.org/officeDocument/2006/relationships/table" Target="../tables/table72.xml"/><Relationship Id="rId10" Type="http://schemas.openxmlformats.org/officeDocument/2006/relationships/table" Target="../tables/table77.xml"/><Relationship Id="rId4" Type="http://schemas.openxmlformats.org/officeDocument/2006/relationships/table" Target="../tables/table71.xml"/><Relationship Id="rId9" Type="http://schemas.openxmlformats.org/officeDocument/2006/relationships/table" Target="../tables/table76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5.xml"/><Relationship Id="rId3" Type="http://schemas.openxmlformats.org/officeDocument/2006/relationships/table" Target="../tables/table80.xml"/><Relationship Id="rId7" Type="http://schemas.openxmlformats.org/officeDocument/2006/relationships/table" Target="../tables/table84.xml"/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83.xml"/><Relationship Id="rId11" Type="http://schemas.openxmlformats.org/officeDocument/2006/relationships/table" Target="../tables/table88.xml"/><Relationship Id="rId5" Type="http://schemas.openxmlformats.org/officeDocument/2006/relationships/table" Target="../tables/table82.xml"/><Relationship Id="rId10" Type="http://schemas.openxmlformats.org/officeDocument/2006/relationships/table" Target="../tables/table87.xml"/><Relationship Id="rId4" Type="http://schemas.openxmlformats.org/officeDocument/2006/relationships/table" Target="../tables/table81.xml"/><Relationship Id="rId9" Type="http://schemas.openxmlformats.org/officeDocument/2006/relationships/table" Target="../tables/table8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5.xml"/><Relationship Id="rId3" Type="http://schemas.openxmlformats.org/officeDocument/2006/relationships/table" Target="../tables/table90.xml"/><Relationship Id="rId7" Type="http://schemas.openxmlformats.org/officeDocument/2006/relationships/table" Target="../tables/table94.xml"/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93.xml"/><Relationship Id="rId11" Type="http://schemas.openxmlformats.org/officeDocument/2006/relationships/table" Target="../tables/table98.xml"/><Relationship Id="rId5" Type="http://schemas.openxmlformats.org/officeDocument/2006/relationships/table" Target="../tables/table92.xml"/><Relationship Id="rId10" Type="http://schemas.openxmlformats.org/officeDocument/2006/relationships/table" Target="../tables/table97.xml"/><Relationship Id="rId4" Type="http://schemas.openxmlformats.org/officeDocument/2006/relationships/table" Target="../tables/table91.xml"/><Relationship Id="rId9" Type="http://schemas.openxmlformats.org/officeDocument/2006/relationships/table" Target="../tables/table9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5.xml"/><Relationship Id="rId3" Type="http://schemas.openxmlformats.org/officeDocument/2006/relationships/table" Target="../tables/table100.xml"/><Relationship Id="rId7" Type="http://schemas.openxmlformats.org/officeDocument/2006/relationships/table" Target="../tables/table104.xml"/><Relationship Id="rId2" Type="http://schemas.openxmlformats.org/officeDocument/2006/relationships/table" Target="../tables/table99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103.xml"/><Relationship Id="rId11" Type="http://schemas.openxmlformats.org/officeDocument/2006/relationships/table" Target="../tables/table108.xml"/><Relationship Id="rId5" Type="http://schemas.openxmlformats.org/officeDocument/2006/relationships/table" Target="../tables/table102.xml"/><Relationship Id="rId10" Type="http://schemas.openxmlformats.org/officeDocument/2006/relationships/table" Target="../tables/table107.xml"/><Relationship Id="rId4" Type="http://schemas.openxmlformats.org/officeDocument/2006/relationships/table" Target="../tables/table101.xml"/><Relationship Id="rId9" Type="http://schemas.openxmlformats.org/officeDocument/2006/relationships/table" Target="../tables/table10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3.xml"/><Relationship Id="rId11" Type="http://schemas.openxmlformats.org/officeDocument/2006/relationships/table" Target="../tables/table28.xml"/><Relationship Id="rId5" Type="http://schemas.openxmlformats.org/officeDocument/2006/relationships/table" Target="../tables/table22.xml"/><Relationship Id="rId10" Type="http://schemas.openxmlformats.org/officeDocument/2006/relationships/table" Target="../tables/table27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.xml"/><Relationship Id="rId3" Type="http://schemas.openxmlformats.org/officeDocument/2006/relationships/table" Target="../tables/table30.xml"/><Relationship Id="rId7" Type="http://schemas.openxmlformats.org/officeDocument/2006/relationships/table" Target="../tables/table34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33.xml"/><Relationship Id="rId11" Type="http://schemas.openxmlformats.org/officeDocument/2006/relationships/table" Target="../tables/table38.xml"/><Relationship Id="rId5" Type="http://schemas.openxmlformats.org/officeDocument/2006/relationships/table" Target="../tables/table32.xml"/><Relationship Id="rId10" Type="http://schemas.openxmlformats.org/officeDocument/2006/relationships/table" Target="../tables/table37.xml"/><Relationship Id="rId4" Type="http://schemas.openxmlformats.org/officeDocument/2006/relationships/table" Target="../tables/table31.xml"/><Relationship Id="rId9" Type="http://schemas.openxmlformats.org/officeDocument/2006/relationships/table" Target="../tables/table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7">
    <tabColor rgb="FF0070C0"/>
  </sheetPr>
  <dimension ref="A1:AL74"/>
  <sheetViews>
    <sheetView showGridLines="0" tabSelected="1" topLeftCell="V7" zoomScaleNormal="100" workbookViewId="0">
      <selection activeCell="AG9" sqref="AG9:AG31"/>
    </sheetView>
  </sheetViews>
  <sheetFormatPr defaultColWidth="11.42578125" defaultRowHeight="15" x14ac:dyDescent="0.25"/>
  <cols>
    <col min="1" max="20" width="15.28515625" style="180" customWidth="1"/>
    <col min="21" max="34" width="17.7109375" style="180" customWidth="1"/>
    <col min="35" max="35" width="20.28515625" style="180" bestFit="1" customWidth="1"/>
    <col min="36" max="36" width="17.7109375" style="180" customWidth="1"/>
    <col min="37" max="16384" width="11.42578125" style="180"/>
  </cols>
  <sheetData>
    <row r="1" spans="1:38" ht="43.5" customHeight="1" x14ac:dyDescent="0.25">
      <c r="A1" s="324" t="s">
        <v>129</v>
      </c>
      <c r="B1" s="324"/>
      <c r="C1" s="324"/>
      <c r="D1" s="324"/>
      <c r="E1" s="324"/>
      <c r="F1" s="324"/>
      <c r="G1" s="324"/>
      <c r="H1" s="324"/>
      <c r="I1" s="324"/>
      <c r="J1" s="324"/>
      <c r="L1" s="222" t="s">
        <v>130</v>
      </c>
      <c r="M1" s="218"/>
      <c r="N1" s="218"/>
    </row>
    <row r="2" spans="1:38" s="221" customFormat="1" ht="15" customHeight="1" x14ac:dyDescent="0.25">
      <c r="A2" s="223" t="s">
        <v>131</v>
      </c>
      <c r="B2" s="219"/>
      <c r="C2" s="219"/>
      <c r="D2" s="219"/>
      <c r="E2" s="219"/>
      <c r="F2" s="219"/>
      <c r="H2" s="224"/>
      <c r="J2" s="225"/>
      <c r="AC2" s="311"/>
      <c r="AD2" s="311"/>
      <c r="AE2" s="311"/>
      <c r="AF2" s="311"/>
      <c r="AJ2" s="310"/>
    </row>
    <row r="3" spans="1:38" x14ac:dyDescent="0.25">
      <c r="A3" s="226"/>
    </row>
    <row r="4" spans="1:38" x14ac:dyDescent="0.25">
      <c r="A4" s="227"/>
    </row>
    <row r="5" spans="1:38" ht="15.75" x14ac:dyDescent="0.25">
      <c r="A5" s="228" t="s">
        <v>132</v>
      </c>
      <c r="B5" s="228"/>
      <c r="C5" s="228"/>
      <c r="D5" s="228"/>
      <c r="E5" s="228"/>
      <c r="F5" s="228" t="s">
        <v>18</v>
      </c>
      <c r="G5" s="228"/>
      <c r="H5" s="228"/>
      <c r="I5" s="228"/>
      <c r="J5" s="228"/>
      <c r="K5" s="228"/>
      <c r="L5" s="228"/>
      <c r="M5" s="228"/>
      <c r="N5" s="228" t="s">
        <v>133</v>
      </c>
      <c r="V5" s="228" t="s">
        <v>31</v>
      </c>
      <c r="W5" s="229"/>
      <c r="X5" s="228" t="s">
        <v>123</v>
      </c>
      <c r="Y5" s="228"/>
      <c r="Z5" s="228" t="s">
        <v>125</v>
      </c>
      <c r="AA5" s="228"/>
      <c r="AB5" s="228"/>
      <c r="AC5" s="228"/>
      <c r="AD5" s="228"/>
      <c r="AE5" s="228"/>
      <c r="AF5" s="228"/>
      <c r="AJ5" s="228"/>
    </row>
    <row r="6" spans="1:38" s="210" customFormat="1" ht="16.5" customHeight="1" thickBot="1" x14ac:dyDescent="0.3">
      <c r="N6" s="230" t="s">
        <v>122</v>
      </c>
      <c r="O6" s="228"/>
      <c r="P6" s="228"/>
      <c r="Q6" s="228"/>
      <c r="R6" s="228"/>
      <c r="S6" s="228"/>
      <c r="T6" s="228"/>
      <c r="U6" s="228"/>
      <c r="V6" s="229" t="s">
        <v>134</v>
      </c>
      <c r="W6" s="228"/>
      <c r="AK6" s="228"/>
      <c r="AL6" s="228"/>
    </row>
    <row r="7" spans="1:38" ht="42" customHeight="1" thickBot="1" x14ac:dyDescent="0.3">
      <c r="A7" s="317" t="s">
        <v>135</v>
      </c>
      <c r="B7" s="317" t="s">
        <v>121</v>
      </c>
      <c r="C7" s="317" t="s">
        <v>136</v>
      </c>
      <c r="D7" s="317" t="s">
        <v>127</v>
      </c>
      <c r="E7" s="317" t="s">
        <v>137</v>
      </c>
      <c r="F7" s="317" t="s">
        <v>7</v>
      </c>
      <c r="G7" s="317" t="s">
        <v>6</v>
      </c>
      <c r="H7" s="231" t="s">
        <v>7</v>
      </c>
      <c r="I7" s="232"/>
      <c r="J7" s="233"/>
      <c r="K7" s="231" t="s">
        <v>8</v>
      </c>
      <c r="L7" s="232"/>
      <c r="M7" s="233"/>
      <c r="N7" s="317" t="s">
        <v>15</v>
      </c>
      <c r="O7" s="317" t="s">
        <v>14</v>
      </c>
      <c r="P7" s="231" t="s">
        <v>15</v>
      </c>
      <c r="Q7" s="232"/>
      <c r="R7" s="233"/>
      <c r="S7" s="321" t="s">
        <v>138</v>
      </c>
      <c r="T7" s="322"/>
      <c r="U7" s="234" t="s">
        <v>139</v>
      </c>
      <c r="V7" s="317" t="s">
        <v>15</v>
      </c>
      <c r="W7" s="317" t="s">
        <v>14</v>
      </c>
      <c r="X7" s="317" t="s">
        <v>120</v>
      </c>
      <c r="Y7" s="317" t="s">
        <v>119</v>
      </c>
      <c r="Z7" s="317" t="s">
        <v>140</v>
      </c>
      <c r="AA7" s="317" t="s">
        <v>141</v>
      </c>
      <c r="AB7" s="317" t="s">
        <v>142</v>
      </c>
      <c r="AC7" s="314"/>
      <c r="AD7" s="314"/>
    </row>
    <row r="8" spans="1:38" ht="26.25" customHeight="1" x14ac:dyDescent="0.25">
      <c r="A8" s="319"/>
      <c r="B8" s="319"/>
      <c r="C8" s="319"/>
      <c r="D8" s="319"/>
      <c r="E8" s="319"/>
      <c r="F8" s="320"/>
      <c r="G8" s="318"/>
      <c r="H8" s="235" t="s">
        <v>9</v>
      </c>
      <c r="I8" s="235" t="s">
        <v>10</v>
      </c>
      <c r="J8" s="235" t="s">
        <v>11</v>
      </c>
      <c r="K8" s="235" t="s">
        <v>9</v>
      </c>
      <c r="L8" s="235" t="s">
        <v>10</v>
      </c>
      <c r="M8" s="235" t="s">
        <v>12</v>
      </c>
      <c r="N8" s="318"/>
      <c r="O8" s="320"/>
      <c r="P8" s="235" t="s">
        <v>9</v>
      </c>
      <c r="Q8" s="235" t="s">
        <v>10</v>
      </c>
      <c r="R8" s="235" t="s">
        <v>11</v>
      </c>
      <c r="S8" s="236" t="s">
        <v>9</v>
      </c>
      <c r="T8" s="235" t="s">
        <v>10</v>
      </c>
      <c r="U8" s="237" t="s">
        <v>12</v>
      </c>
      <c r="V8" s="323"/>
      <c r="W8" s="323"/>
      <c r="X8" s="318"/>
      <c r="Y8" s="318"/>
      <c r="Z8" s="318"/>
      <c r="AA8" s="319"/>
      <c r="AB8" s="318"/>
      <c r="AC8" s="312" t="s">
        <v>174</v>
      </c>
      <c r="AD8" s="312" t="s">
        <v>171</v>
      </c>
      <c r="AE8" s="312" t="s">
        <v>172</v>
      </c>
      <c r="AF8" s="312" t="s">
        <v>173</v>
      </c>
      <c r="AG8" s="312" t="s">
        <v>169</v>
      </c>
      <c r="AH8" s="312" t="s">
        <v>166</v>
      </c>
      <c r="AI8" s="312" t="s">
        <v>168</v>
      </c>
      <c r="AJ8" s="312" t="s">
        <v>170</v>
      </c>
      <c r="AK8" s="312" t="s">
        <v>167</v>
      </c>
    </row>
    <row r="9" spans="1:38" x14ac:dyDescent="0.25">
      <c r="A9" s="238" t="s">
        <v>143</v>
      </c>
      <c r="B9" s="239">
        <v>42856</v>
      </c>
      <c r="C9" s="240" t="s">
        <v>144</v>
      </c>
      <c r="D9" s="241">
        <v>800000</v>
      </c>
      <c r="E9" s="242">
        <v>7</v>
      </c>
      <c r="F9" s="241">
        <v>2136730</v>
      </c>
      <c r="G9" s="241">
        <v>256</v>
      </c>
      <c r="H9" s="241">
        <v>2000</v>
      </c>
      <c r="I9" s="241">
        <v>23100</v>
      </c>
      <c r="J9" s="241">
        <v>8346.6015625</v>
      </c>
      <c r="K9" s="243">
        <v>4.2</v>
      </c>
      <c r="L9" s="243">
        <v>7</v>
      </c>
      <c r="M9" s="243">
        <v>5.8181988365399464</v>
      </c>
      <c r="N9" s="241">
        <v>806660</v>
      </c>
      <c r="O9" s="241">
        <v>70</v>
      </c>
      <c r="P9" s="241">
        <v>2000</v>
      </c>
      <c r="Q9" s="241">
        <v>22400</v>
      </c>
      <c r="R9" s="241">
        <v>11523.714285714286</v>
      </c>
      <c r="S9" s="243">
        <v>4.2</v>
      </c>
      <c r="T9" s="243">
        <v>5.78</v>
      </c>
      <c r="U9" s="243">
        <v>5.7068069557517846</v>
      </c>
      <c r="V9" s="241">
        <v>806660</v>
      </c>
      <c r="W9" s="241">
        <v>70</v>
      </c>
      <c r="X9" s="241">
        <v>60600</v>
      </c>
      <c r="Y9" s="241">
        <v>12</v>
      </c>
      <c r="Z9" s="239">
        <v>42881</v>
      </c>
      <c r="AA9" s="239">
        <v>43616</v>
      </c>
      <c r="AB9" s="244">
        <v>43795</v>
      </c>
      <c r="AC9" s="315" t="s">
        <v>175</v>
      </c>
      <c r="AD9" s="316">
        <f>AF9/AE9</f>
        <v>0.37440387882418463</v>
      </c>
      <c r="AE9" s="156">
        <f>F9/1000</f>
        <v>2136.73</v>
      </c>
      <c r="AF9" s="156">
        <f>D9/1000</f>
        <v>800</v>
      </c>
      <c r="AG9" s="156">
        <f>N9/1000</f>
        <v>806.66</v>
      </c>
      <c r="AH9" s="156">
        <f>O9</f>
        <v>70</v>
      </c>
      <c r="AI9" s="180">
        <f>AG9/AH9</f>
        <v>11.523714285714286</v>
      </c>
      <c r="AJ9" s="156">
        <f t="shared" ref="AJ9:AJ31" si="0">G9</f>
        <v>256</v>
      </c>
      <c r="AK9" s="156">
        <f t="shared" ref="AK9:AK31" si="1">MAX(D9/AI9/1000,AH9)</f>
        <v>70</v>
      </c>
    </row>
    <row r="10" spans="1:38" x14ac:dyDescent="0.25">
      <c r="A10" s="245" t="s">
        <v>143</v>
      </c>
      <c r="B10" s="239">
        <v>42948</v>
      </c>
      <c r="C10" s="240" t="s">
        <v>144</v>
      </c>
      <c r="D10" s="241">
        <v>1000000</v>
      </c>
      <c r="E10" s="242">
        <v>7</v>
      </c>
      <c r="F10" s="241">
        <v>2926940</v>
      </c>
      <c r="G10" s="241">
        <v>281</v>
      </c>
      <c r="H10" s="241">
        <v>2000</v>
      </c>
      <c r="I10" s="241">
        <v>24150</v>
      </c>
      <c r="J10" s="241">
        <v>10416.156583629892</v>
      </c>
      <c r="K10" s="243">
        <v>3.5</v>
      </c>
      <c r="L10" s="243">
        <v>6.45</v>
      </c>
      <c r="M10" s="243">
        <v>4.6381263367202603</v>
      </c>
      <c r="N10" s="241">
        <v>1020690</v>
      </c>
      <c r="O10" s="241">
        <v>68</v>
      </c>
      <c r="P10" s="241">
        <v>2780</v>
      </c>
      <c r="Q10" s="241">
        <v>21600</v>
      </c>
      <c r="R10" s="241">
        <v>15010.14705882353</v>
      </c>
      <c r="S10" s="243">
        <v>3.5</v>
      </c>
      <c r="T10" s="243">
        <v>4.4400000000000004</v>
      </c>
      <c r="U10" s="243">
        <v>4.2873473369097317</v>
      </c>
      <c r="V10" s="241">
        <v>1020690</v>
      </c>
      <c r="W10" s="241">
        <v>68</v>
      </c>
      <c r="X10" s="241">
        <v>102800</v>
      </c>
      <c r="Y10" s="241">
        <v>14</v>
      </c>
      <c r="Z10" s="239">
        <v>42969</v>
      </c>
      <c r="AA10" s="239">
        <v>43710</v>
      </c>
      <c r="AB10" s="244">
        <v>43885</v>
      </c>
      <c r="AC10" s="315" t="s">
        <v>176</v>
      </c>
      <c r="AD10" s="316">
        <f t="shared" ref="AD10:AD31" si="2">AF10/AE10</f>
        <v>0.34165374076680766</v>
      </c>
      <c r="AE10" s="156">
        <f t="shared" ref="AE10:AE31" si="3">F10/1000</f>
        <v>2926.94</v>
      </c>
      <c r="AF10" s="156">
        <f t="shared" ref="AF10:AF31" si="4">D10/1000</f>
        <v>1000</v>
      </c>
      <c r="AG10" s="156">
        <f t="shared" ref="AG10:AG31" si="5">N10/1000</f>
        <v>1020.69</v>
      </c>
      <c r="AH10" s="156">
        <f t="shared" ref="AH10:AH31" si="6">O10</f>
        <v>68</v>
      </c>
      <c r="AI10" s="180">
        <f t="shared" ref="AI10:AI31" si="7">AG10/AH10</f>
        <v>15.010147058823531</v>
      </c>
      <c r="AJ10" s="156">
        <f t="shared" si="0"/>
        <v>281</v>
      </c>
      <c r="AK10" s="156">
        <f t="shared" si="1"/>
        <v>68</v>
      </c>
    </row>
    <row r="11" spans="1:38" x14ac:dyDescent="0.25">
      <c r="A11" s="245" t="s">
        <v>143</v>
      </c>
      <c r="B11" s="239">
        <v>43040</v>
      </c>
      <c r="C11" s="240" t="s">
        <v>144</v>
      </c>
      <c r="D11" s="241">
        <v>1000000</v>
      </c>
      <c r="E11" s="242">
        <v>7</v>
      </c>
      <c r="F11" s="241">
        <v>2590845</v>
      </c>
      <c r="G11" s="241">
        <v>210</v>
      </c>
      <c r="H11" s="241">
        <v>2000</v>
      </c>
      <c r="I11" s="241">
        <v>23800</v>
      </c>
      <c r="J11" s="241">
        <v>12337.357142857143</v>
      </c>
      <c r="K11" s="243">
        <v>2.2000000000000002</v>
      </c>
      <c r="L11" s="243">
        <v>6.66</v>
      </c>
      <c r="M11" s="243">
        <v>4.0215977798749059</v>
      </c>
      <c r="N11" s="241">
        <v>1010875</v>
      </c>
      <c r="O11" s="241">
        <v>62</v>
      </c>
      <c r="P11" s="241">
        <v>4200</v>
      </c>
      <c r="Q11" s="241">
        <v>18000</v>
      </c>
      <c r="R11" s="241">
        <v>16304.435483870968</v>
      </c>
      <c r="S11" s="243">
        <v>2.2000000000000002</v>
      </c>
      <c r="T11" s="243">
        <v>3.94</v>
      </c>
      <c r="U11" s="243">
        <v>3.8221381802486376</v>
      </c>
      <c r="V11" s="241">
        <v>1010875</v>
      </c>
      <c r="W11" s="241">
        <v>62</v>
      </c>
      <c r="X11" s="241">
        <v>172300</v>
      </c>
      <c r="Y11" s="241">
        <v>15</v>
      </c>
      <c r="Z11" s="239">
        <v>43068</v>
      </c>
      <c r="AA11" s="239">
        <v>43984</v>
      </c>
      <c r="AB11" s="244">
        <v>44165</v>
      </c>
      <c r="AC11" s="315" t="s">
        <v>177</v>
      </c>
      <c r="AD11" s="316">
        <f t="shared" si="2"/>
        <v>0.38597446006997721</v>
      </c>
      <c r="AE11" s="156">
        <f t="shared" si="3"/>
        <v>2590.8449999999998</v>
      </c>
      <c r="AF11" s="156">
        <f t="shared" si="4"/>
        <v>1000</v>
      </c>
      <c r="AG11" s="156">
        <f t="shared" si="5"/>
        <v>1010.875</v>
      </c>
      <c r="AH11" s="156">
        <f t="shared" si="6"/>
        <v>62</v>
      </c>
      <c r="AI11" s="180">
        <f t="shared" si="7"/>
        <v>16.304435483870968</v>
      </c>
      <c r="AJ11" s="156">
        <f t="shared" si="0"/>
        <v>210</v>
      </c>
      <c r="AK11" s="156">
        <f t="shared" si="1"/>
        <v>62</v>
      </c>
    </row>
    <row r="12" spans="1:38" x14ac:dyDescent="0.25">
      <c r="A12" s="245" t="s">
        <v>143</v>
      </c>
      <c r="B12" s="239">
        <v>43132</v>
      </c>
      <c r="C12" s="240" t="s">
        <v>144</v>
      </c>
      <c r="D12" s="241">
        <v>700000</v>
      </c>
      <c r="E12" s="242">
        <v>6.3000001907348633</v>
      </c>
      <c r="F12" s="241">
        <v>989306</v>
      </c>
      <c r="G12" s="241">
        <v>132</v>
      </c>
      <c r="H12" s="241">
        <v>2000</v>
      </c>
      <c r="I12" s="241">
        <v>24400</v>
      </c>
      <c r="J12" s="241">
        <v>7494.742424242424</v>
      </c>
      <c r="K12" s="243">
        <v>3.8</v>
      </c>
      <c r="L12" s="243">
        <v>6.28</v>
      </c>
      <c r="M12" s="243">
        <v>4.9049266051151008</v>
      </c>
      <c r="N12" s="241">
        <v>708926</v>
      </c>
      <c r="O12" s="241">
        <v>83</v>
      </c>
      <c r="P12" s="241">
        <v>2000</v>
      </c>
      <c r="Q12" s="241">
        <v>24400</v>
      </c>
      <c r="R12" s="241">
        <v>8541.2771084337346</v>
      </c>
      <c r="S12" s="243">
        <v>3.8</v>
      </c>
      <c r="T12" s="243">
        <v>5.28</v>
      </c>
      <c r="U12" s="243">
        <v>4.7337749498106776</v>
      </c>
      <c r="V12" s="241">
        <v>708926</v>
      </c>
      <c r="W12" s="241">
        <v>83</v>
      </c>
      <c r="X12" s="241">
        <v>16250</v>
      </c>
      <c r="Y12" s="241">
        <v>2</v>
      </c>
      <c r="Z12" s="239">
        <v>43158</v>
      </c>
      <c r="AA12" s="239">
        <v>44074</v>
      </c>
      <c r="AB12" s="244">
        <v>44256</v>
      </c>
      <c r="AC12" s="315" t="s">
        <v>178</v>
      </c>
      <c r="AD12" s="316">
        <f t="shared" si="2"/>
        <v>0.70756671848750541</v>
      </c>
      <c r="AE12" s="156">
        <f t="shared" si="3"/>
        <v>989.30600000000004</v>
      </c>
      <c r="AF12" s="156">
        <f t="shared" si="4"/>
        <v>700</v>
      </c>
      <c r="AG12" s="156">
        <f t="shared" si="5"/>
        <v>708.92600000000004</v>
      </c>
      <c r="AH12" s="156">
        <f t="shared" si="6"/>
        <v>83</v>
      </c>
      <c r="AI12" s="180">
        <f t="shared" si="7"/>
        <v>8.5412771084337358</v>
      </c>
      <c r="AJ12" s="156">
        <f t="shared" si="0"/>
        <v>132</v>
      </c>
      <c r="AK12" s="156">
        <f t="shared" si="1"/>
        <v>83</v>
      </c>
    </row>
    <row r="13" spans="1:38" x14ac:dyDescent="0.25">
      <c r="A13" s="245" t="s">
        <v>143</v>
      </c>
      <c r="B13" s="239">
        <v>43221</v>
      </c>
      <c r="C13" s="240" t="s">
        <v>144</v>
      </c>
      <c r="D13" s="241">
        <v>670161</v>
      </c>
      <c r="E13" s="242">
        <v>6.3000001907348633</v>
      </c>
      <c r="F13" s="241">
        <v>604140</v>
      </c>
      <c r="G13" s="241">
        <v>111</v>
      </c>
      <c r="H13" s="241">
        <v>800</v>
      </c>
      <c r="I13" s="241">
        <v>21780</v>
      </c>
      <c r="J13" s="241">
        <v>5442.7027027027025</v>
      </c>
      <c r="K13" s="243">
        <v>4.3</v>
      </c>
      <c r="L13" s="243">
        <v>6.28</v>
      </c>
      <c r="M13" s="243">
        <v>5.4781633396232658</v>
      </c>
      <c r="N13" s="241">
        <v>604140</v>
      </c>
      <c r="O13" s="241">
        <v>111</v>
      </c>
      <c r="P13" s="241">
        <v>800</v>
      </c>
      <c r="Q13" s="241">
        <v>21780</v>
      </c>
      <c r="R13" s="241">
        <v>5442.7027027027025</v>
      </c>
      <c r="S13" s="243">
        <v>4.3</v>
      </c>
      <c r="T13" s="243">
        <v>6.28</v>
      </c>
      <c r="U13" s="243">
        <v>5.7279747037738868</v>
      </c>
      <c r="V13" s="241">
        <v>604140</v>
      </c>
      <c r="W13" s="241">
        <v>111</v>
      </c>
      <c r="X13" s="241">
        <v>0</v>
      </c>
      <c r="Y13" s="241">
        <v>0</v>
      </c>
      <c r="Z13" s="239">
        <v>43244</v>
      </c>
      <c r="AA13" s="239">
        <v>44165</v>
      </c>
      <c r="AB13" s="244">
        <v>44341</v>
      </c>
      <c r="AC13" s="315" t="s">
        <v>179</v>
      </c>
      <c r="AD13" s="316">
        <f t="shared" si="2"/>
        <v>1.1092809613665706</v>
      </c>
      <c r="AE13" s="156">
        <f t="shared" si="3"/>
        <v>604.14</v>
      </c>
      <c r="AF13" s="156">
        <f t="shared" si="4"/>
        <v>670.16099999999994</v>
      </c>
      <c r="AG13" s="156">
        <f t="shared" si="5"/>
        <v>604.14</v>
      </c>
      <c r="AH13" s="156">
        <f t="shared" si="6"/>
        <v>111</v>
      </c>
      <c r="AI13" s="180">
        <f t="shared" si="7"/>
        <v>5.4427027027027028</v>
      </c>
      <c r="AJ13" s="156">
        <f t="shared" si="0"/>
        <v>111</v>
      </c>
      <c r="AK13" s="156">
        <f t="shared" si="1"/>
        <v>123.13018671168935</v>
      </c>
    </row>
    <row r="14" spans="1:38" x14ac:dyDescent="0.25">
      <c r="A14" s="245" t="s">
        <v>143</v>
      </c>
      <c r="B14" s="239">
        <v>43313</v>
      </c>
      <c r="C14" s="240" t="s">
        <v>144</v>
      </c>
      <c r="D14" s="241">
        <v>670161</v>
      </c>
      <c r="E14" s="242">
        <v>6.3000001907348633</v>
      </c>
      <c r="F14" s="241">
        <v>708600</v>
      </c>
      <c r="G14" s="241">
        <v>91</v>
      </c>
      <c r="H14" s="241">
        <v>800</v>
      </c>
      <c r="I14" s="241">
        <v>41400</v>
      </c>
      <c r="J14" s="241">
        <v>7786.8131868131868</v>
      </c>
      <c r="K14" s="243">
        <v>4</v>
      </c>
      <c r="L14" s="243">
        <v>6.3</v>
      </c>
      <c r="M14" s="243">
        <v>6.1146848715777589</v>
      </c>
      <c r="N14" s="241">
        <v>666450</v>
      </c>
      <c r="O14" s="241">
        <v>86</v>
      </c>
      <c r="P14" s="241">
        <v>800</v>
      </c>
      <c r="Q14" s="241">
        <v>41400</v>
      </c>
      <c r="R14" s="241">
        <v>7749.4186046511632</v>
      </c>
      <c r="S14" s="243">
        <v>4</v>
      </c>
      <c r="T14" s="243">
        <v>6.3</v>
      </c>
      <c r="U14" s="243">
        <v>6.1618624549892624</v>
      </c>
      <c r="V14" s="241">
        <v>666450</v>
      </c>
      <c r="W14" s="241">
        <v>86</v>
      </c>
      <c r="X14" s="241">
        <v>42150</v>
      </c>
      <c r="Y14" s="241">
        <v>5</v>
      </c>
      <c r="Z14" s="239">
        <v>43336</v>
      </c>
      <c r="AA14" s="239">
        <v>44256</v>
      </c>
      <c r="AB14" s="244">
        <v>44432</v>
      </c>
      <c r="AC14" s="315" t="s">
        <v>180</v>
      </c>
      <c r="AD14" s="316">
        <f t="shared" si="2"/>
        <v>0.9457535986452158</v>
      </c>
      <c r="AE14" s="156">
        <f t="shared" si="3"/>
        <v>708.6</v>
      </c>
      <c r="AF14" s="156">
        <f t="shared" si="4"/>
        <v>670.16099999999994</v>
      </c>
      <c r="AG14" s="156">
        <f t="shared" si="5"/>
        <v>666.45</v>
      </c>
      <c r="AH14" s="156">
        <f t="shared" si="6"/>
        <v>86</v>
      </c>
      <c r="AI14" s="180">
        <f t="shared" si="7"/>
        <v>7.7494186046511633</v>
      </c>
      <c r="AJ14" s="156">
        <f t="shared" si="0"/>
        <v>91</v>
      </c>
      <c r="AK14" s="156">
        <f t="shared" si="1"/>
        <v>86.478874634256115</v>
      </c>
    </row>
    <row r="15" spans="1:38" x14ac:dyDescent="0.25">
      <c r="A15" s="245" t="s">
        <v>143</v>
      </c>
      <c r="B15" s="239">
        <v>43374</v>
      </c>
      <c r="C15" s="240" t="s">
        <v>144</v>
      </c>
      <c r="D15" s="241">
        <v>670161</v>
      </c>
      <c r="E15" s="242">
        <v>6.3000001907348633</v>
      </c>
      <c r="F15" s="241">
        <v>388350</v>
      </c>
      <c r="G15" s="241">
        <v>62</v>
      </c>
      <c r="H15" s="241">
        <v>0</v>
      </c>
      <c r="I15" s="241">
        <v>25200</v>
      </c>
      <c r="J15" s="241">
        <v>6263.7096774193551</v>
      </c>
      <c r="K15" s="243">
        <v>5</v>
      </c>
      <c r="L15" s="243">
        <v>6.3</v>
      </c>
      <c r="M15" s="243">
        <v>6.1724089094888628</v>
      </c>
      <c r="N15" s="241">
        <v>363200</v>
      </c>
      <c r="O15" s="241">
        <v>57</v>
      </c>
      <c r="P15" s="241">
        <v>2000</v>
      </c>
      <c r="Q15" s="241">
        <v>25200</v>
      </c>
      <c r="R15" s="241">
        <v>6371.9298245614036</v>
      </c>
      <c r="S15" s="243">
        <v>5</v>
      </c>
      <c r="T15" s="243">
        <v>6.3</v>
      </c>
      <c r="U15" s="243">
        <v>6.2553717560705113</v>
      </c>
      <c r="V15" s="241">
        <v>363200</v>
      </c>
      <c r="W15" s="241">
        <v>57</v>
      </c>
      <c r="X15" s="241">
        <v>25150</v>
      </c>
      <c r="Y15" s="241">
        <v>5</v>
      </c>
      <c r="Z15" s="239">
        <v>43399</v>
      </c>
      <c r="AA15" s="239">
        <v>44316</v>
      </c>
      <c r="AB15" s="244">
        <v>44495</v>
      </c>
      <c r="AC15" s="315" t="s">
        <v>181</v>
      </c>
      <c r="AD15" s="316">
        <f t="shared" si="2"/>
        <v>1.7256624179219773</v>
      </c>
      <c r="AE15" s="156">
        <f t="shared" si="3"/>
        <v>388.35</v>
      </c>
      <c r="AF15" s="156">
        <f t="shared" si="4"/>
        <v>670.16099999999994</v>
      </c>
      <c r="AG15" s="156">
        <f t="shared" si="5"/>
        <v>363.2</v>
      </c>
      <c r="AH15" s="156">
        <f t="shared" si="6"/>
        <v>57</v>
      </c>
      <c r="AI15" s="180">
        <f t="shared" si="7"/>
        <v>6.3719298245614029</v>
      </c>
      <c r="AJ15" s="156">
        <f t="shared" si="0"/>
        <v>62</v>
      </c>
      <c r="AK15" s="156">
        <f t="shared" si="1"/>
        <v>105.17394548458151</v>
      </c>
    </row>
    <row r="16" spans="1:38" x14ac:dyDescent="0.25">
      <c r="A16" s="245" t="s">
        <v>143</v>
      </c>
      <c r="B16" s="239">
        <v>43497</v>
      </c>
      <c r="C16" s="240" t="s">
        <v>144</v>
      </c>
      <c r="D16" s="241">
        <v>700000</v>
      </c>
      <c r="E16" s="242">
        <v>6.1999998092651367</v>
      </c>
      <c r="F16" s="241">
        <v>499390</v>
      </c>
      <c r="G16" s="241">
        <v>72</v>
      </c>
      <c r="H16" s="241">
        <v>800</v>
      </c>
      <c r="I16" s="241">
        <v>24150</v>
      </c>
      <c r="J16" s="241">
        <v>6935.9722222222226</v>
      </c>
      <c r="K16" s="243">
        <v>5.24</v>
      </c>
      <c r="L16" s="243">
        <v>6.2</v>
      </c>
      <c r="M16" s="243">
        <v>6.041094535333106</v>
      </c>
      <c r="N16" s="241">
        <v>476300</v>
      </c>
      <c r="O16" s="241">
        <v>67</v>
      </c>
      <c r="P16" s="241">
        <v>2000</v>
      </c>
      <c r="Q16" s="241">
        <v>24150</v>
      </c>
      <c r="R16" s="241">
        <v>7108.9552238805973</v>
      </c>
      <c r="S16" s="243">
        <v>5.24</v>
      </c>
      <c r="T16" s="243">
        <v>6.2</v>
      </c>
      <c r="U16" s="243">
        <v>6.1064958435733754</v>
      </c>
      <c r="V16" s="241">
        <v>476300</v>
      </c>
      <c r="W16" s="241">
        <v>67</v>
      </c>
      <c r="X16" s="241">
        <v>23090</v>
      </c>
      <c r="Y16" s="241">
        <v>5</v>
      </c>
      <c r="Z16" s="239">
        <v>43518</v>
      </c>
      <c r="AA16" s="239">
        <v>44440</v>
      </c>
      <c r="AB16" s="244">
        <v>44431</v>
      </c>
      <c r="AC16" s="315" t="s">
        <v>182</v>
      </c>
      <c r="AD16" s="316">
        <f t="shared" si="2"/>
        <v>1.4017100863052925</v>
      </c>
      <c r="AE16" s="156">
        <f t="shared" si="3"/>
        <v>499.39</v>
      </c>
      <c r="AF16" s="156">
        <f t="shared" si="4"/>
        <v>700</v>
      </c>
      <c r="AG16" s="156">
        <f t="shared" si="5"/>
        <v>476.3</v>
      </c>
      <c r="AH16" s="156">
        <f t="shared" si="6"/>
        <v>67</v>
      </c>
      <c r="AI16" s="180">
        <f t="shared" si="7"/>
        <v>7.1089552238805975</v>
      </c>
      <c r="AJ16" s="156">
        <f t="shared" si="0"/>
        <v>72</v>
      </c>
      <c r="AK16" s="156">
        <f t="shared" si="1"/>
        <v>98.467352508922943</v>
      </c>
    </row>
    <row r="17" spans="1:37" x14ac:dyDescent="0.25">
      <c r="A17" s="245" t="s">
        <v>143</v>
      </c>
      <c r="B17" s="239">
        <v>43586</v>
      </c>
      <c r="C17" s="240" t="s">
        <v>144</v>
      </c>
      <c r="D17" s="241">
        <v>650000</v>
      </c>
      <c r="E17" s="242">
        <v>6.1999998092651367</v>
      </c>
      <c r="F17" s="241">
        <v>294960</v>
      </c>
      <c r="G17" s="241">
        <v>41</v>
      </c>
      <c r="H17" s="241">
        <v>800</v>
      </c>
      <c r="I17" s="241">
        <v>37100</v>
      </c>
      <c r="J17" s="241">
        <v>7194.1463414634145</v>
      </c>
      <c r="K17" s="243">
        <v>5.4</v>
      </c>
      <c r="L17" s="243">
        <v>6.2</v>
      </c>
      <c r="M17" s="243">
        <v>6.1159706400867915</v>
      </c>
      <c r="N17" s="241">
        <v>269760</v>
      </c>
      <c r="O17" s="241">
        <v>35</v>
      </c>
      <c r="P17" s="241">
        <v>800</v>
      </c>
      <c r="Q17" s="241">
        <v>37100</v>
      </c>
      <c r="R17" s="241">
        <v>7707.4285714285716</v>
      </c>
      <c r="S17" s="243">
        <v>5.4</v>
      </c>
      <c r="T17" s="243">
        <v>6.2</v>
      </c>
      <c r="U17" s="243">
        <v>6.1318456113585942</v>
      </c>
      <c r="V17" s="241">
        <v>269760</v>
      </c>
      <c r="W17" s="241">
        <v>35</v>
      </c>
      <c r="X17" s="241">
        <v>25200</v>
      </c>
      <c r="Y17" s="241">
        <v>6</v>
      </c>
      <c r="Z17" s="239">
        <v>43605</v>
      </c>
      <c r="AA17" s="239">
        <v>44530</v>
      </c>
      <c r="AB17" s="244">
        <v>44522</v>
      </c>
      <c r="AC17" s="315" t="s">
        <v>183</v>
      </c>
      <c r="AD17" s="316">
        <f t="shared" si="2"/>
        <v>2.2036886357472203</v>
      </c>
      <c r="AE17" s="156">
        <f t="shared" si="3"/>
        <v>294.95999999999998</v>
      </c>
      <c r="AF17" s="156">
        <f t="shared" si="4"/>
        <v>650</v>
      </c>
      <c r="AG17" s="156">
        <f t="shared" si="5"/>
        <v>269.76</v>
      </c>
      <c r="AH17" s="156">
        <f t="shared" si="6"/>
        <v>35</v>
      </c>
      <c r="AI17" s="180">
        <f t="shared" si="7"/>
        <v>7.7074285714285713</v>
      </c>
      <c r="AJ17" s="156">
        <f t="shared" si="0"/>
        <v>41</v>
      </c>
      <c r="AK17" s="156">
        <f t="shared" si="1"/>
        <v>84.334223013048643</v>
      </c>
    </row>
    <row r="18" spans="1:37" x14ac:dyDescent="0.25">
      <c r="A18" s="245" t="s">
        <v>143</v>
      </c>
      <c r="B18" s="239">
        <v>43678</v>
      </c>
      <c r="C18" s="240" t="s">
        <v>144</v>
      </c>
      <c r="D18" s="241">
        <v>650000</v>
      </c>
      <c r="E18" s="242">
        <v>6.1999998092651367</v>
      </c>
      <c r="F18" s="241">
        <v>239250</v>
      </c>
      <c r="G18" s="241">
        <v>33</v>
      </c>
      <c r="H18" s="241">
        <v>2300</v>
      </c>
      <c r="I18" s="241">
        <v>31050</v>
      </c>
      <c r="J18" s="241">
        <v>7250</v>
      </c>
      <c r="K18" s="243">
        <v>6.19</v>
      </c>
      <c r="L18" s="243">
        <v>6.2</v>
      </c>
      <c r="M18" s="243">
        <v>6.1979268547544413</v>
      </c>
      <c r="N18" s="241">
        <v>208200</v>
      </c>
      <c r="O18" s="241">
        <v>32</v>
      </c>
      <c r="P18" s="241">
        <v>2300</v>
      </c>
      <c r="Q18" s="241">
        <v>21000</v>
      </c>
      <c r="R18" s="241">
        <v>6506.25</v>
      </c>
      <c r="S18" s="243">
        <v>6.19</v>
      </c>
      <c r="T18" s="243">
        <v>6.2</v>
      </c>
      <c r="U18" s="243">
        <v>6.1976175436483452</v>
      </c>
      <c r="V18" s="241">
        <v>208200</v>
      </c>
      <c r="W18" s="241">
        <v>32</v>
      </c>
      <c r="X18" s="241">
        <v>31050</v>
      </c>
      <c r="Y18" s="241">
        <v>1</v>
      </c>
      <c r="Z18" s="239">
        <v>43693</v>
      </c>
      <c r="AA18" s="239">
        <v>44620</v>
      </c>
      <c r="AB18" s="244">
        <v>44608</v>
      </c>
      <c r="AC18" s="315" t="s">
        <v>184</v>
      </c>
      <c r="AD18" s="316">
        <f t="shared" si="2"/>
        <v>2.716823406478579</v>
      </c>
      <c r="AE18" s="156">
        <f t="shared" si="3"/>
        <v>239.25</v>
      </c>
      <c r="AF18" s="156">
        <f t="shared" si="4"/>
        <v>650</v>
      </c>
      <c r="AG18" s="156">
        <f t="shared" si="5"/>
        <v>208.2</v>
      </c>
      <c r="AH18" s="156">
        <f t="shared" si="6"/>
        <v>32</v>
      </c>
      <c r="AI18" s="180">
        <f t="shared" si="7"/>
        <v>6.5062499999999996</v>
      </c>
      <c r="AJ18" s="156">
        <f t="shared" si="0"/>
        <v>33</v>
      </c>
      <c r="AK18" s="156">
        <f t="shared" si="1"/>
        <v>99.903938520653213</v>
      </c>
    </row>
    <row r="19" spans="1:37" x14ac:dyDescent="0.25">
      <c r="A19" s="245" t="s">
        <v>143</v>
      </c>
      <c r="B19" s="239">
        <v>43710</v>
      </c>
      <c r="C19" s="240" t="s">
        <v>144</v>
      </c>
      <c r="D19" s="241">
        <v>500000</v>
      </c>
      <c r="E19" s="242">
        <v>6.1999998092651367</v>
      </c>
      <c r="F19" s="241">
        <v>187810</v>
      </c>
      <c r="G19" s="241">
        <v>22</v>
      </c>
      <c r="H19" s="241">
        <v>800</v>
      </c>
      <c r="I19" s="241">
        <v>36900</v>
      </c>
      <c r="J19" s="241">
        <v>8536.818181818182</v>
      </c>
      <c r="K19" s="243">
        <v>6.19</v>
      </c>
      <c r="L19" s="243">
        <v>6.2</v>
      </c>
      <c r="M19" s="243">
        <v>6.195088120973324</v>
      </c>
      <c r="N19" s="241">
        <v>179410</v>
      </c>
      <c r="O19" s="241">
        <v>21</v>
      </c>
      <c r="P19" s="241">
        <v>800</v>
      </c>
      <c r="Q19" s="241">
        <v>36900</v>
      </c>
      <c r="R19" s="241">
        <v>8543.3333333333339</v>
      </c>
      <c r="S19" s="243">
        <v>6.19</v>
      </c>
      <c r="T19" s="243">
        <v>6.2</v>
      </c>
      <c r="U19" s="243">
        <v>6.1948580829058395</v>
      </c>
      <c r="V19" s="241">
        <v>179410</v>
      </c>
      <c r="W19" s="241">
        <v>21</v>
      </c>
      <c r="X19" s="241">
        <v>8400</v>
      </c>
      <c r="Y19" s="241">
        <v>1</v>
      </c>
      <c r="Z19" s="239">
        <v>43725</v>
      </c>
      <c r="AA19" s="239">
        <v>44650</v>
      </c>
      <c r="AB19" s="244">
        <v>44823</v>
      </c>
      <c r="AC19" s="315" t="s">
        <v>185</v>
      </c>
      <c r="AD19" s="316">
        <f t="shared" si="2"/>
        <v>2.6622650551088864</v>
      </c>
      <c r="AE19" s="156">
        <f t="shared" si="3"/>
        <v>187.81</v>
      </c>
      <c r="AF19" s="156">
        <f t="shared" si="4"/>
        <v>500</v>
      </c>
      <c r="AG19" s="156">
        <f t="shared" si="5"/>
        <v>179.41</v>
      </c>
      <c r="AH19" s="156">
        <f t="shared" si="6"/>
        <v>21</v>
      </c>
      <c r="AI19" s="180">
        <f t="shared" si="7"/>
        <v>8.543333333333333</v>
      </c>
      <c r="AJ19" s="156">
        <f t="shared" si="0"/>
        <v>22</v>
      </c>
      <c r="AK19" s="156">
        <f t="shared" si="1"/>
        <v>58.525165821303162</v>
      </c>
    </row>
    <row r="20" spans="1:37" x14ac:dyDescent="0.25">
      <c r="A20" s="245" t="s">
        <v>143</v>
      </c>
      <c r="B20" s="239">
        <v>43739</v>
      </c>
      <c r="C20" s="240" t="s">
        <v>144</v>
      </c>
      <c r="D20" s="241">
        <v>675000</v>
      </c>
      <c r="E20" s="242">
        <v>6.1999998092651367</v>
      </c>
      <c r="F20" s="241">
        <v>204070</v>
      </c>
      <c r="G20" s="241">
        <v>25</v>
      </c>
      <c r="H20" s="241">
        <v>2350</v>
      </c>
      <c r="I20" s="241">
        <v>24500</v>
      </c>
      <c r="J20" s="241">
        <v>8162.8</v>
      </c>
      <c r="K20" s="243">
        <v>6.19</v>
      </c>
      <c r="L20" s="243">
        <v>6.2</v>
      </c>
      <c r="M20" s="243">
        <v>6.1998039888273633</v>
      </c>
      <c r="N20" s="241">
        <v>204070</v>
      </c>
      <c r="O20" s="241">
        <v>25</v>
      </c>
      <c r="P20" s="241">
        <v>2350</v>
      </c>
      <c r="Q20" s="241">
        <v>24500</v>
      </c>
      <c r="R20" s="241">
        <v>8162.8</v>
      </c>
      <c r="S20" s="243">
        <v>6.19</v>
      </c>
      <c r="T20" s="243">
        <v>6.2</v>
      </c>
      <c r="U20" s="243">
        <v>6.1998038029527009</v>
      </c>
      <c r="V20" s="241">
        <v>204070</v>
      </c>
      <c r="W20" s="241">
        <v>25</v>
      </c>
      <c r="X20" s="241">
        <v>0</v>
      </c>
      <c r="Y20" s="241">
        <v>0</v>
      </c>
      <c r="Z20" s="239">
        <v>43763</v>
      </c>
      <c r="AA20" s="239">
        <v>44683</v>
      </c>
      <c r="AB20" s="244">
        <v>44859</v>
      </c>
      <c r="AC20" s="315" t="s">
        <v>186</v>
      </c>
      <c r="AD20" s="316">
        <f t="shared" si="2"/>
        <v>3.3076885382466803</v>
      </c>
      <c r="AE20" s="156">
        <f t="shared" si="3"/>
        <v>204.07</v>
      </c>
      <c r="AF20" s="156">
        <f t="shared" si="4"/>
        <v>675</v>
      </c>
      <c r="AG20" s="156">
        <f t="shared" si="5"/>
        <v>204.07</v>
      </c>
      <c r="AH20" s="156">
        <f t="shared" si="6"/>
        <v>25</v>
      </c>
      <c r="AI20" s="180">
        <f t="shared" si="7"/>
        <v>8.1627999999999989</v>
      </c>
      <c r="AJ20" s="156">
        <f t="shared" si="0"/>
        <v>25</v>
      </c>
      <c r="AK20" s="156">
        <f t="shared" si="1"/>
        <v>82.692213456167011</v>
      </c>
    </row>
    <row r="21" spans="1:37" x14ac:dyDescent="0.25">
      <c r="A21" s="245" t="s">
        <v>143</v>
      </c>
      <c r="B21" s="239">
        <v>43800</v>
      </c>
      <c r="C21" s="240" t="s">
        <v>144</v>
      </c>
      <c r="D21" s="241">
        <v>500000</v>
      </c>
      <c r="E21" s="242">
        <v>6.1999998092651367</v>
      </c>
      <c r="F21" s="241">
        <v>685840</v>
      </c>
      <c r="G21" s="241">
        <v>76</v>
      </c>
      <c r="H21" s="241">
        <v>800</v>
      </c>
      <c r="I21" s="241">
        <v>56000</v>
      </c>
      <c r="J21" s="241">
        <v>9024.21052631579</v>
      </c>
      <c r="K21" s="243">
        <v>5.74</v>
      </c>
      <c r="L21" s="243">
        <v>6.2</v>
      </c>
      <c r="M21" s="243">
        <v>6.110253703487694</v>
      </c>
      <c r="N21" s="241">
        <v>509040</v>
      </c>
      <c r="O21" s="241">
        <v>56</v>
      </c>
      <c r="P21" s="241">
        <v>2350</v>
      </c>
      <c r="Q21" s="241">
        <v>56000</v>
      </c>
      <c r="R21" s="241">
        <v>9090</v>
      </c>
      <c r="S21" s="243">
        <v>5.74</v>
      </c>
      <c r="T21" s="243">
        <v>6.18</v>
      </c>
      <c r="U21" s="243">
        <v>6.1132374064232522</v>
      </c>
      <c r="V21" s="241">
        <v>509040</v>
      </c>
      <c r="W21" s="241">
        <v>56</v>
      </c>
      <c r="X21" s="241">
        <v>28800</v>
      </c>
      <c r="Y21" s="241">
        <v>2</v>
      </c>
      <c r="Z21" s="239">
        <v>43826</v>
      </c>
      <c r="AA21" s="239">
        <v>44742</v>
      </c>
      <c r="AB21" s="244">
        <v>44922</v>
      </c>
      <c r="AC21" s="315" t="s">
        <v>187</v>
      </c>
      <c r="AD21" s="316">
        <f t="shared" si="2"/>
        <v>0.72903301061472059</v>
      </c>
      <c r="AE21" s="156">
        <f t="shared" si="3"/>
        <v>685.84</v>
      </c>
      <c r="AF21" s="156">
        <f t="shared" si="4"/>
        <v>500</v>
      </c>
      <c r="AG21" s="156">
        <f t="shared" si="5"/>
        <v>509.04</v>
      </c>
      <c r="AH21" s="156">
        <f t="shared" si="6"/>
        <v>56</v>
      </c>
      <c r="AI21" s="180">
        <f t="shared" si="7"/>
        <v>9.09</v>
      </c>
      <c r="AJ21" s="156">
        <f t="shared" si="0"/>
        <v>76</v>
      </c>
      <c r="AK21" s="156">
        <f t="shared" si="1"/>
        <v>56</v>
      </c>
    </row>
    <row r="22" spans="1:37" x14ac:dyDescent="0.25">
      <c r="A22" s="245" t="s">
        <v>143</v>
      </c>
      <c r="B22" s="239">
        <v>43862</v>
      </c>
      <c r="C22" s="240" t="s">
        <v>144</v>
      </c>
      <c r="D22" s="241">
        <v>900000</v>
      </c>
      <c r="E22" s="242">
        <v>6.1999998092651367</v>
      </c>
      <c r="F22" s="241">
        <v>526550</v>
      </c>
      <c r="G22" s="241">
        <v>67</v>
      </c>
      <c r="H22" s="241">
        <v>800</v>
      </c>
      <c r="I22" s="241">
        <v>31800</v>
      </c>
      <c r="J22" s="241">
        <v>7858.9552238805973</v>
      </c>
      <c r="K22" s="243">
        <v>5.76</v>
      </c>
      <c r="L22" s="243">
        <v>6.2</v>
      </c>
      <c r="M22" s="243">
        <v>6.1763773620738771</v>
      </c>
      <c r="N22" s="241">
        <v>523050</v>
      </c>
      <c r="O22" s="241">
        <v>66</v>
      </c>
      <c r="P22" s="241">
        <v>800</v>
      </c>
      <c r="Q22" s="241">
        <v>31800</v>
      </c>
      <c r="R22" s="241">
        <v>7925</v>
      </c>
      <c r="S22" s="243">
        <v>5.76</v>
      </c>
      <c r="T22" s="243">
        <v>6.2</v>
      </c>
      <c r="U22" s="243">
        <v>6.1764218909097055</v>
      </c>
      <c r="V22" s="241">
        <v>523050</v>
      </c>
      <c r="W22" s="241">
        <v>66</v>
      </c>
      <c r="X22" s="241">
        <v>3500</v>
      </c>
      <c r="Y22" s="241">
        <v>1</v>
      </c>
      <c r="Z22" s="239">
        <v>43887</v>
      </c>
      <c r="AA22" s="239">
        <v>44802</v>
      </c>
      <c r="AB22" s="244">
        <v>44984</v>
      </c>
      <c r="AC22" s="315" t="s">
        <v>188</v>
      </c>
      <c r="AD22" s="316">
        <f t="shared" si="2"/>
        <v>1.70923938847213</v>
      </c>
      <c r="AE22" s="156">
        <f t="shared" si="3"/>
        <v>526.54999999999995</v>
      </c>
      <c r="AF22" s="156">
        <f t="shared" si="4"/>
        <v>900</v>
      </c>
      <c r="AG22" s="156">
        <f t="shared" si="5"/>
        <v>523.04999999999995</v>
      </c>
      <c r="AH22" s="156">
        <f t="shared" si="6"/>
        <v>66</v>
      </c>
      <c r="AI22" s="180">
        <f t="shared" si="7"/>
        <v>7.9249999999999989</v>
      </c>
      <c r="AJ22" s="156">
        <f t="shared" si="0"/>
        <v>67</v>
      </c>
      <c r="AK22" s="156">
        <f t="shared" si="1"/>
        <v>113.56466876971611</v>
      </c>
    </row>
    <row r="23" spans="1:37" x14ac:dyDescent="0.25">
      <c r="A23" s="245" t="s">
        <v>143</v>
      </c>
      <c r="B23" s="239">
        <v>43891</v>
      </c>
      <c r="C23" s="240" t="s">
        <v>144</v>
      </c>
      <c r="D23" s="241">
        <v>300000</v>
      </c>
      <c r="E23" s="242">
        <v>6.1999998092651367</v>
      </c>
      <c r="F23" s="241">
        <v>193800</v>
      </c>
      <c r="G23" s="241">
        <v>25</v>
      </c>
      <c r="H23" s="241">
        <v>2300</v>
      </c>
      <c r="I23" s="241">
        <v>28000</v>
      </c>
      <c r="J23" s="241">
        <v>7752</v>
      </c>
      <c r="K23" s="243">
        <v>5.74</v>
      </c>
      <c r="L23" s="243">
        <v>6.2</v>
      </c>
      <c r="M23" s="243">
        <v>6.0802218782249744</v>
      </c>
      <c r="N23" s="241">
        <v>150900</v>
      </c>
      <c r="O23" s="241">
        <v>20</v>
      </c>
      <c r="P23" s="241">
        <v>2300</v>
      </c>
      <c r="Q23" s="241">
        <v>28000</v>
      </c>
      <c r="R23" s="241">
        <v>7545</v>
      </c>
      <c r="S23" s="243">
        <v>5.74</v>
      </c>
      <c r="T23" s="243">
        <v>6.2</v>
      </c>
      <c r="U23" s="243">
        <v>6.0711396914432187</v>
      </c>
      <c r="V23" s="241">
        <v>150900</v>
      </c>
      <c r="W23" s="241">
        <v>20</v>
      </c>
      <c r="X23" s="241">
        <v>17700</v>
      </c>
      <c r="Y23" s="241">
        <v>2</v>
      </c>
      <c r="Z23" s="239">
        <v>44096</v>
      </c>
      <c r="AA23" s="239">
        <v>44834</v>
      </c>
      <c r="AB23" s="244">
        <v>45007</v>
      </c>
      <c r="AC23" s="315" t="s">
        <v>189</v>
      </c>
      <c r="AD23" s="316">
        <f t="shared" si="2"/>
        <v>1.5479876160990711</v>
      </c>
      <c r="AE23" s="156">
        <f t="shared" si="3"/>
        <v>193.8</v>
      </c>
      <c r="AF23" s="156">
        <f t="shared" si="4"/>
        <v>300</v>
      </c>
      <c r="AG23" s="156">
        <f t="shared" si="5"/>
        <v>150.9</v>
      </c>
      <c r="AH23" s="156">
        <f t="shared" si="6"/>
        <v>20</v>
      </c>
      <c r="AI23" s="180">
        <f t="shared" si="7"/>
        <v>7.5449999999999999</v>
      </c>
      <c r="AJ23" s="156">
        <f t="shared" si="0"/>
        <v>25</v>
      </c>
      <c r="AK23" s="156">
        <f t="shared" si="1"/>
        <v>39.761431411530815</v>
      </c>
    </row>
    <row r="24" spans="1:37" x14ac:dyDescent="0.25">
      <c r="A24" s="245" t="s">
        <v>143</v>
      </c>
      <c r="B24" s="239">
        <v>43983</v>
      </c>
      <c r="C24" s="240" t="s">
        <v>144</v>
      </c>
      <c r="D24" s="241">
        <v>825527</v>
      </c>
      <c r="E24" s="242">
        <v>6.1999998092651367</v>
      </c>
      <c r="F24" s="241">
        <v>467590</v>
      </c>
      <c r="G24" s="241">
        <v>62</v>
      </c>
      <c r="H24" s="241">
        <v>2300</v>
      </c>
      <c r="I24" s="241">
        <v>20400</v>
      </c>
      <c r="J24" s="241">
        <v>7541.7741935483873</v>
      </c>
      <c r="K24" s="243">
        <v>5.9</v>
      </c>
      <c r="L24" s="243">
        <v>6.2</v>
      </c>
      <c r="M24" s="243">
        <v>6.135732158514938</v>
      </c>
      <c r="N24" s="241">
        <v>463990</v>
      </c>
      <c r="O24" s="241">
        <v>61</v>
      </c>
      <c r="P24" s="241">
        <v>2300</v>
      </c>
      <c r="Q24" s="241">
        <v>20400</v>
      </c>
      <c r="R24" s="241">
        <v>7606.3934426229507</v>
      </c>
      <c r="S24" s="243">
        <v>5.9</v>
      </c>
      <c r="T24" s="243">
        <v>6.2</v>
      </c>
      <c r="U24" s="243">
        <v>6.1448995607310692</v>
      </c>
      <c r="V24" s="241">
        <v>463990</v>
      </c>
      <c r="W24" s="241">
        <v>61</v>
      </c>
      <c r="X24" s="241">
        <v>3600</v>
      </c>
      <c r="Y24" s="241">
        <v>1</v>
      </c>
      <c r="Z24" s="239">
        <v>44096</v>
      </c>
      <c r="AA24" s="239">
        <v>44834</v>
      </c>
      <c r="AB24" s="244">
        <v>45007</v>
      </c>
      <c r="AC24" s="315" t="s">
        <v>190</v>
      </c>
      <c r="AD24" s="316">
        <f t="shared" si="2"/>
        <v>1.7654932740221136</v>
      </c>
      <c r="AE24" s="156">
        <f t="shared" si="3"/>
        <v>467.59</v>
      </c>
      <c r="AF24" s="156">
        <f t="shared" si="4"/>
        <v>825.52700000000004</v>
      </c>
      <c r="AG24" s="156">
        <f t="shared" si="5"/>
        <v>463.99</v>
      </c>
      <c r="AH24" s="156">
        <f t="shared" si="6"/>
        <v>61</v>
      </c>
      <c r="AI24" s="180">
        <f t="shared" si="7"/>
        <v>7.6063934426229514</v>
      </c>
      <c r="AJ24" s="156">
        <f t="shared" si="0"/>
        <v>62</v>
      </c>
      <c r="AK24" s="156">
        <f t="shared" si="1"/>
        <v>108.53067307485074</v>
      </c>
    </row>
    <row r="25" spans="1:37" x14ac:dyDescent="0.25">
      <c r="A25" s="245" t="s">
        <v>143</v>
      </c>
      <c r="B25" s="239">
        <v>44013</v>
      </c>
      <c r="C25" s="240" t="s">
        <v>144</v>
      </c>
      <c r="D25" s="241">
        <v>275176</v>
      </c>
      <c r="E25" s="242">
        <v>6.1999998092651367</v>
      </c>
      <c r="F25" s="241">
        <v>191050</v>
      </c>
      <c r="G25" s="241">
        <v>26</v>
      </c>
      <c r="H25" s="241">
        <v>2300</v>
      </c>
      <c r="I25" s="241">
        <v>33600</v>
      </c>
      <c r="J25" s="241">
        <v>7348.0769230769229</v>
      </c>
      <c r="K25" s="243">
        <v>5.5</v>
      </c>
      <c r="L25" s="243">
        <v>6.2</v>
      </c>
      <c r="M25" s="243">
        <v>6.0849803716304631</v>
      </c>
      <c r="N25" s="241">
        <v>191050</v>
      </c>
      <c r="O25" s="241">
        <v>26</v>
      </c>
      <c r="P25" s="241">
        <v>2300</v>
      </c>
      <c r="Q25" s="241">
        <v>33600</v>
      </c>
      <c r="R25" s="241">
        <v>7348.0769230769229</v>
      </c>
      <c r="S25" s="243">
        <v>5.5</v>
      </c>
      <c r="T25" s="243">
        <v>6.2</v>
      </c>
      <c r="U25" s="243">
        <v>6.1410179878210904</v>
      </c>
      <c r="V25" s="241">
        <v>191050</v>
      </c>
      <c r="W25" s="241">
        <v>26</v>
      </c>
      <c r="X25" s="241">
        <v>0</v>
      </c>
      <c r="Y25" s="241">
        <v>0</v>
      </c>
      <c r="Z25" s="239">
        <v>44096</v>
      </c>
      <c r="AA25" s="239">
        <v>44834</v>
      </c>
      <c r="AB25" s="244">
        <v>45007</v>
      </c>
      <c r="AC25" s="315" t="s">
        <v>191</v>
      </c>
      <c r="AD25" s="316">
        <f t="shared" si="2"/>
        <v>1.440334990840094</v>
      </c>
      <c r="AE25" s="156">
        <f t="shared" si="3"/>
        <v>191.05</v>
      </c>
      <c r="AF25" s="156">
        <f t="shared" si="4"/>
        <v>275.17599999999999</v>
      </c>
      <c r="AG25" s="156">
        <f t="shared" si="5"/>
        <v>191.05</v>
      </c>
      <c r="AH25" s="156">
        <f t="shared" si="6"/>
        <v>26</v>
      </c>
      <c r="AI25" s="180">
        <f t="shared" si="7"/>
        <v>7.3480769230769232</v>
      </c>
      <c r="AJ25" s="156">
        <f t="shared" si="0"/>
        <v>26</v>
      </c>
      <c r="AK25" s="156">
        <f t="shared" si="1"/>
        <v>37.448709761842451</v>
      </c>
    </row>
    <row r="26" spans="1:37" x14ac:dyDescent="0.25">
      <c r="A26" s="245" t="s">
        <v>143</v>
      </c>
      <c r="B26" s="239">
        <v>44075</v>
      </c>
      <c r="C26" s="240" t="s">
        <v>144</v>
      </c>
      <c r="D26" s="241">
        <v>366901</v>
      </c>
      <c r="E26" s="242">
        <v>6.1999998092651367</v>
      </c>
      <c r="F26" s="241">
        <v>310450</v>
      </c>
      <c r="G26" s="241">
        <v>25</v>
      </c>
      <c r="H26" s="241">
        <v>2350</v>
      </c>
      <c r="I26" s="241">
        <v>71600</v>
      </c>
      <c r="J26" s="241">
        <v>12418</v>
      </c>
      <c r="K26" s="243">
        <v>5.99</v>
      </c>
      <c r="L26" s="243">
        <v>6.2</v>
      </c>
      <c r="M26" s="243">
        <v>6.191446287646964</v>
      </c>
      <c r="N26" s="241">
        <v>284900</v>
      </c>
      <c r="O26" s="241">
        <v>22</v>
      </c>
      <c r="P26" s="241">
        <v>3500</v>
      </c>
      <c r="Q26" s="241">
        <v>71600</v>
      </c>
      <c r="R26" s="241">
        <v>12950</v>
      </c>
      <c r="S26" s="243">
        <v>6.09</v>
      </c>
      <c r="T26" s="243">
        <v>6.2</v>
      </c>
      <c r="U26" s="243">
        <v>6.1966583207432704</v>
      </c>
      <c r="V26" s="241">
        <v>284900</v>
      </c>
      <c r="W26" s="241">
        <v>22</v>
      </c>
      <c r="X26" s="241">
        <v>25550</v>
      </c>
      <c r="Y26" s="241">
        <v>3</v>
      </c>
      <c r="Z26" s="239">
        <v>44111</v>
      </c>
      <c r="AA26" s="239">
        <v>44865</v>
      </c>
      <c r="AB26" s="244">
        <v>45027</v>
      </c>
      <c r="AC26" s="315" t="s">
        <v>192</v>
      </c>
      <c r="AD26" s="316">
        <f t="shared" si="2"/>
        <v>1.1818360444516025</v>
      </c>
      <c r="AE26" s="156">
        <f t="shared" si="3"/>
        <v>310.45</v>
      </c>
      <c r="AF26" s="156">
        <f t="shared" si="4"/>
        <v>366.90100000000001</v>
      </c>
      <c r="AG26" s="156">
        <f t="shared" si="5"/>
        <v>284.89999999999998</v>
      </c>
      <c r="AH26" s="156">
        <f t="shared" si="6"/>
        <v>22</v>
      </c>
      <c r="AI26" s="180">
        <f t="shared" si="7"/>
        <v>12.95</v>
      </c>
      <c r="AJ26" s="156">
        <f t="shared" si="0"/>
        <v>25</v>
      </c>
      <c r="AK26" s="156">
        <f t="shared" si="1"/>
        <v>28.332123552123555</v>
      </c>
    </row>
    <row r="27" spans="1:37" x14ac:dyDescent="0.25">
      <c r="A27" s="245" t="s">
        <v>143</v>
      </c>
      <c r="B27" s="239">
        <v>44105</v>
      </c>
      <c r="C27" s="240" t="s">
        <v>144</v>
      </c>
      <c r="D27" s="241">
        <v>825527</v>
      </c>
      <c r="E27" s="242">
        <v>6.1999998092651367</v>
      </c>
      <c r="F27" s="241">
        <v>768950</v>
      </c>
      <c r="G27" s="241">
        <v>89</v>
      </c>
      <c r="H27" s="241">
        <v>2350</v>
      </c>
      <c r="I27" s="241">
        <v>36000</v>
      </c>
      <c r="J27" s="241">
        <v>8639.8876404494385</v>
      </c>
      <c r="K27" s="243">
        <v>5.6</v>
      </c>
      <c r="L27" s="243">
        <v>6.2</v>
      </c>
      <c r="M27" s="243">
        <v>6.1140880421353794</v>
      </c>
      <c r="N27" s="241">
        <v>658650</v>
      </c>
      <c r="O27" s="241">
        <v>74</v>
      </c>
      <c r="P27" s="241">
        <v>3000</v>
      </c>
      <c r="Q27" s="241">
        <v>36000</v>
      </c>
      <c r="R27" s="241">
        <v>8900.6756756756749</v>
      </c>
      <c r="S27" s="243">
        <v>5.6</v>
      </c>
      <c r="T27" s="243">
        <v>6.2</v>
      </c>
      <c r="U27" s="243">
        <v>6.1079723182521271</v>
      </c>
      <c r="V27" s="241">
        <v>658650</v>
      </c>
      <c r="W27" s="241">
        <v>74</v>
      </c>
      <c r="X27" s="241">
        <v>48000</v>
      </c>
      <c r="Y27" s="241">
        <v>3</v>
      </c>
      <c r="Z27" s="239">
        <v>44137</v>
      </c>
      <c r="AA27" s="239">
        <v>44895</v>
      </c>
      <c r="AB27" s="244">
        <v>45048</v>
      </c>
      <c r="AC27" s="315" t="s">
        <v>193</v>
      </c>
      <c r="AD27" s="316">
        <f t="shared" si="2"/>
        <v>1.07357695558879</v>
      </c>
      <c r="AE27" s="156">
        <f t="shared" si="3"/>
        <v>768.95</v>
      </c>
      <c r="AF27" s="156">
        <f t="shared" si="4"/>
        <v>825.52700000000004</v>
      </c>
      <c r="AG27" s="156">
        <f t="shared" si="5"/>
        <v>658.65</v>
      </c>
      <c r="AH27" s="156">
        <f t="shared" si="6"/>
        <v>74</v>
      </c>
      <c r="AI27" s="180">
        <f t="shared" si="7"/>
        <v>8.9006756756756751</v>
      </c>
      <c r="AJ27" s="156">
        <f t="shared" si="0"/>
        <v>89</v>
      </c>
      <c r="AK27" s="156">
        <f t="shared" si="1"/>
        <v>92.748801336066194</v>
      </c>
    </row>
    <row r="28" spans="1:37" x14ac:dyDescent="0.25">
      <c r="A28" s="245" t="s">
        <v>143</v>
      </c>
      <c r="B28" s="239">
        <v>44166</v>
      </c>
      <c r="C28" s="240" t="s">
        <v>144</v>
      </c>
      <c r="D28" s="241">
        <v>366901</v>
      </c>
      <c r="E28" s="242">
        <v>6.1999998092651367</v>
      </c>
      <c r="F28" s="241">
        <v>657100</v>
      </c>
      <c r="G28" s="241">
        <v>96</v>
      </c>
      <c r="H28" s="241">
        <v>2350</v>
      </c>
      <c r="I28" s="241">
        <v>39900</v>
      </c>
      <c r="J28" s="241">
        <v>6844.791666666667</v>
      </c>
      <c r="K28" s="243">
        <v>5.59</v>
      </c>
      <c r="L28" s="243">
        <v>6.2</v>
      </c>
      <c r="M28" s="243">
        <v>5.9824828793182165</v>
      </c>
      <c r="N28" s="241">
        <v>399700</v>
      </c>
      <c r="O28" s="241">
        <v>58</v>
      </c>
      <c r="P28" s="241">
        <v>3450</v>
      </c>
      <c r="Q28" s="241">
        <v>38500</v>
      </c>
      <c r="R28" s="241">
        <v>6891.3793103448279</v>
      </c>
      <c r="S28" s="243">
        <v>5.59</v>
      </c>
      <c r="T28" s="243">
        <v>6.07</v>
      </c>
      <c r="U28" s="243">
        <v>5.9082336706729839</v>
      </c>
      <c r="V28" s="241">
        <v>399700</v>
      </c>
      <c r="W28" s="241">
        <v>58</v>
      </c>
      <c r="X28" s="241">
        <v>20500</v>
      </c>
      <c r="Y28" s="241">
        <v>3</v>
      </c>
      <c r="Z28" s="239">
        <v>44193</v>
      </c>
      <c r="AA28" s="239">
        <v>44928</v>
      </c>
      <c r="AB28" s="244">
        <v>45105</v>
      </c>
      <c r="AC28" s="315" t="s">
        <v>194</v>
      </c>
      <c r="AD28" s="316">
        <f t="shared" si="2"/>
        <v>0.55836402374067873</v>
      </c>
      <c r="AE28" s="156">
        <f t="shared" si="3"/>
        <v>657.1</v>
      </c>
      <c r="AF28" s="156">
        <f t="shared" si="4"/>
        <v>366.90100000000001</v>
      </c>
      <c r="AG28" s="156">
        <f t="shared" si="5"/>
        <v>399.7</v>
      </c>
      <c r="AH28" s="156">
        <f t="shared" si="6"/>
        <v>58</v>
      </c>
      <c r="AI28" s="180">
        <f t="shared" si="7"/>
        <v>6.8913793103448278</v>
      </c>
      <c r="AJ28" s="156">
        <f t="shared" si="0"/>
        <v>96</v>
      </c>
      <c r="AK28" s="156">
        <f t="shared" si="1"/>
        <v>58</v>
      </c>
    </row>
    <row r="29" spans="1:37" x14ac:dyDescent="0.25">
      <c r="A29" s="245" t="s">
        <v>143</v>
      </c>
      <c r="B29" s="239">
        <v>44228</v>
      </c>
      <c r="C29" s="240" t="s">
        <v>144</v>
      </c>
      <c r="D29" s="241">
        <v>1500000</v>
      </c>
      <c r="E29" s="242">
        <v>6</v>
      </c>
      <c r="F29" s="241">
        <v>718800</v>
      </c>
      <c r="G29" s="241">
        <v>91</v>
      </c>
      <c r="H29" s="241">
        <v>350</v>
      </c>
      <c r="I29" s="241">
        <v>39900</v>
      </c>
      <c r="J29" s="241">
        <v>7898.9010989010985</v>
      </c>
      <c r="K29" s="243">
        <v>5.15</v>
      </c>
      <c r="L29" s="243">
        <v>6</v>
      </c>
      <c r="M29" s="243">
        <v>5.9967890929326657</v>
      </c>
      <c r="N29" s="241">
        <v>691450</v>
      </c>
      <c r="O29" s="241">
        <v>89</v>
      </c>
      <c r="P29" s="241">
        <v>350</v>
      </c>
      <c r="Q29" s="241">
        <v>39900</v>
      </c>
      <c r="R29" s="241">
        <v>7769.1011235955057</v>
      </c>
      <c r="S29" s="243">
        <v>5.15</v>
      </c>
      <c r="T29" s="243">
        <v>6</v>
      </c>
      <c r="U29" s="243">
        <v>5.9967300244496249</v>
      </c>
      <c r="V29" s="241">
        <v>691450</v>
      </c>
      <c r="W29" s="241">
        <v>89</v>
      </c>
      <c r="X29" s="241">
        <v>27350</v>
      </c>
      <c r="Y29" s="241">
        <v>2</v>
      </c>
      <c r="Z29" s="239">
        <v>44323</v>
      </c>
      <c r="AA29" s="239">
        <v>45054</v>
      </c>
      <c r="AB29" s="244">
        <v>45237</v>
      </c>
      <c r="AC29" s="315" t="s">
        <v>195</v>
      </c>
      <c r="AD29" s="316">
        <f t="shared" si="2"/>
        <v>2.0868113522537564</v>
      </c>
      <c r="AE29" s="156">
        <f t="shared" si="3"/>
        <v>718.8</v>
      </c>
      <c r="AF29" s="156">
        <f t="shared" si="4"/>
        <v>1500</v>
      </c>
      <c r="AG29" s="156">
        <f t="shared" si="5"/>
        <v>691.45</v>
      </c>
      <c r="AH29" s="156">
        <f t="shared" si="6"/>
        <v>89</v>
      </c>
      <c r="AI29" s="180">
        <f t="shared" si="7"/>
        <v>7.7691011235955063</v>
      </c>
      <c r="AJ29" s="156">
        <f t="shared" si="0"/>
        <v>91</v>
      </c>
      <c r="AK29" s="156">
        <f t="shared" si="1"/>
        <v>193.07252874394388</v>
      </c>
    </row>
    <row r="30" spans="1:37" x14ac:dyDescent="0.25">
      <c r="A30" s="245" t="s">
        <v>143</v>
      </c>
      <c r="B30" s="239">
        <v>44317</v>
      </c>
      <c r="C30" s="240" t="s">
        <v>144</v>
      </c>
      <c r="D30" s="241">
        <v>1243230</v>
      </c>
      <c r="E30" s="242">
        <v>6</v>
      </c>
      <c r="F30" s="241">
        <v>1161390</v>
      </c>
      <c r="G30" s="241">
        <v>137</v>
      </c>
      <c r="H30" s="241">
        <v>750</v>
      </c>
      <c r="I30" s="241">
        <v>38500</v>
      </c>
      <c r="J30" s="241">
        <v>8477.2992700729919</v>
      </c>
      <c r="K30" s="243">
        <v>4.5</v>
      </c>
      <c r="L30" s="243">
        <v>6</v>
      </c>
      <c r="M30" s="243">
        <v>5.8775423415045767</v>
      </c>
      <c r="N30" s="241">
        <v>1110390</v>
      </c>
      <c r="O30" s="241">
        <v>127</v>
      </c>
      <c r="P30" s="241">
        <v>2350</v>
      </c>
      <c r="Q30" s="241">
        <v>38500</v>
      </c>
      <c r="R30" s="241">
        <v>8743.2283464566935</v>
      </c>
      <c r="S30" s="243">
        <v>4.5</v>
      </c>
      <c r="T30" s="243">
        <v>6</v>
      </c>
      <c r="U30" s="243">
        <v>5.9099918528971918</v>
      </c>
      <c r="V30" s="241">
        <v>1110390</v>
      </c>
      <c r="W30" s="241">
        <v>127</v>
      </c>
      <c r="X30" s="241">
        <v>39800</v>
      </c>
      <c r="Y30" s="241">
        <v>9</v>
      </c>
      <c r="Z30" s="239">
        <v>44368</v>
      </c>
      <c r="AA30" s="239">
        <v>45098</v>
      </c>
      <c r="AB30" s="244">
        <v>45281</v>
      </c>
      <c r="AC30" s="315" t="s">
        <v>196</v>
      </c>
      <c r="AD30" s="316">
        <f t="shared" si="2"/>
        <v>1.0704672848913801</v>
      </c>
      <c r="AE30" s="156">
        <f t="shared" si="3"/>
        <v>1161.3900000000001</v>
      </c>
      <c r="AF30" s="156">
        <f t="shared" si="4"/>
        <v>1243.23</v>
      </c>
      <c r="AG30" s="156">
        <f t="shared" si="5"/>
        <v>1110.3900000000001</v>
      </c>
      <c r="AH30" s="156">
        <f t="shared" si="6"/>
        <v>127</v>
      </c>
      <c r="AI30" s="180">
        <f t="shared" si="7"/>
        <v>8.7432283464566929</v>
      </c>
      <c r="AJ30" s="156">
        <f t="shared" si="0"/>
        <v>137</v>
      </c>
      <c r="AK30" s="156">
        <f t="shared" si="1"/>
        <v>142.19347256369383</v>
      </c>
    </row>
    <row r="31" spans="1:37" x14ac:dyDescent="0.25">
      <c r="A31" s="245" t="s">
        <v>143</v>
      </c>
      <c r="B31" s="239">
        <v>44440</v>
      </c>
      <c r="C31" s="240" t="s">
        <v>144</v>
      </c>
      <c r="D31" s="241">
        <v>1492019</v>
      </c>
      <c r="E31" s="242">
        <v>6</v>
      </c>
      <c r="F31" s="241">
        <v>1823840</v>
      </c>
      <c r="G31" s="241">
        <v>210</v>
      </c>
      <c r="H31" s="241">
        <v>750</v>
      </c>
      <c r="I31" s="241">
        <v>66000</v>
      </c>
      <c r="J31" s="241">
        <v>8684.9523809523816</v>
      </c>
      <c r="K31" s="243">
        <v>5.2</v>
      </c>
      <c r="L31" s="243">
        <v>6</v>
      </c>
      <c r="M31" s="243">
        <v>5.8091168084919733</v>
      </c>
      <c r="N31" s="241">
        <v>1493940</v>
      </c>
      <c r="O31" s="241">
        <v>166</v>
      </c>
      <c r="P31" s="241">
        <v>750</v>
      </c>
      <c r="Q31" s="241">
        <v>66000</v>
      </c>
      <c r="R31" s="241">
        <v>8999.6385542168682</v>
      </c>
      <c r="S31" s="243">
        <v>5.2</v>
      </c>
      <c r="T31" s="243">
        <v>5.92</v>
      </c>
      <c r="U31" s="243">
        <v>5.7934927861211785</v>
      </c>
      <c r="V31" s="241">
        <v>1493940</v>
      </c>
      <c r="W31" s="241">
        <v>166</v>
      </c>
      <c r="X31" s="241">
        <v>34200</v>
      </c>
      <c r="Y31" s="241">
        <v>6</v>
      </c>
      <c r="Z31" s="239">
        <v>44490</v>
      </c>
      <c r="AA31" s="239">
        <v>45222</v>
      </c>
      <c r="AB31" s="244">
        <v>45404</v>
      </c>
      <c r="AC31" s="315" t="s">
        <v>197</v>
      </c>
      <c r="AD31" s="316">
        <f t="shared" si="2"/>
        <v>0.81806463286253184</v>
      </c>
      <c r="AE31" s="156">
        <f t="shared" si="3"/>
        <v>1823.84</v>
      </c>
      <c r="AF31" s="156">
        <f t="shared" si="4"/>
        <v>1492.019</v>
      </c>
      <c r="AG31" s="156">
        <f t="shared" si="5"/>
        <v>1493.94</v>
      </c>
      <c r="AH31" s="156">
        <f t="shared" si="6"/>
        <v>166</v>
      </c>
      <c r="AI31" s="180">
        <f t="shared" si="7"/>
        <v>8.9996385542168671</v>
      </c>
      <c r="AJ31" s="156">
        <f t="shared" si="0"/>
        <v>210</v>
      </c>
      <c r="AK31" s="156">
        <f t="shared" si="1"/>
        <v>166</v>
      </c>
    </row>
    <row r="32" spans="1:37" x14ac:dyDescent="0.25">
      <c r="A32" s="246"/>
      <c r="B32" s="247"/>
      <c r="C32" s="247"/>
      <c r="D32" s="248">
        <f>SUBTOTAL(109,Übersicht!$D$9:$D$31)</f>
        <v>17280764</v>
      </c>
      <c r="E32" s="247"/>
      <c r="F32" s="248">
        <f>SUBTOTAL(109,Übersicht!$F$9:$F$31)</f>
        <v>19275751</v>
      </c>
      <c r="G32" s="248">
        <f>SUBTOTAL(109,Übersicht!$G$9:$G$31)</f>
        <v>2240</v>
      </c>
      <c r="H32" s="247"/>
      <c r="I32" s="247"/>
      <c r="J32" s="247"/>
      <c r="K32" s="247"/>
      <c r="L32" s="247"/>
      <c r="M32" s="247"/>
      <c r="N32" s="248">
        <f>SUBTOTAL(109,Übersicht!$N$9:$N$31)</f>
        <v>12995741</v>
      </c>
      <c r="O32" s="248">
        <f>SUBTOTAL(109,Übersicht!$O$9:$O$31)</f>
        <v>1482</v>
      </c>
      <c r="P32" s="247"/>
      <c r="Q32" s="247"/>
      <c r="R32" s="247"/>
      <c r="S32" s="247"/>
      <c r="T32" s="247"/>
      <c r="U32" s="247"/>
      <c r="V32" s="248">
        <f>SUBTOTAL(109,Übersicht!$V$9:$V$31)</f>
        <v>12995741</v>
      </c>
      <c r="W32" s="248">
        <f>SUBTOTAL(109,Übersicht!$W$9:$W$31)</f>
        <v>1482</v>
      </c>
      <c r="X32" s="248">
        <f>SUBTOTAL(109,Übersicht!$X$9:$X$31)</f>
        <v>755990</v>
      </c>
      <c r="Y32" s="248">
        <f>SUBTOTAL(109,Übersicht!$Y$9:$Y$31)</f>
        <v>98</v>
      </c>
      <c r="Z32" s="247"/>
      <c r="AA32" s="247"/>
      <c r="AB32" s="249"/>
      <c r="AC32" s="313"/>
      <c r="AD32" s="313"/>
      <c r="AE32" s="313"/>
      <c r="AF32" s="313"/>
      <c r="AJ32" s="313"/>
      <c r="AK32" s="156"/>
    </row>
    <row r="33" spans="1:36" x14ac:dyDescent="0.25">
      <c r="A33" s="250"/>
      <c r="B33" s="250"/>
      <c r="C33" s="250"/>
      <c r="D33" s="209"/>
      <c r="E33" s="250"/>
      <c r="F33" s="251"/>
      <c r="G33" s="251"/>
      <c r="H33" s="251"/>
      <c r="I33" s="251"/>
      <c r="J33" s="251"/>
      <c r="K33" s="252"/>
      <c r="L33" s="252"/>
      <c r="M33" s="252"/>
      <c r="N33" s="251"/>
      <c r="O33" s="251"/>
      <c r="P33" s="252"/>
      <c r="Q33" s="252"/>
      <c r="R33" s="252"/>
      <c r="S33" s="251"/>
      <c r="T33" s="251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J33" s="250"/>
    </row>
    <row r="34" spans="1:36" x14ac:dyDescent="0.25">
      <c r="A34" s="250"/>
      <c r="B34" s="250"/>
      <c r="C34" s="250"/>
      <c r="D34" s="209"/>
      <c r="E34" s="250"/>
      <c r="F34" s="251"/>
      <c r="G34" s="251"/>
      <c r="H34" s="251"/>
      <c r="I34" s="251"/>
      <c r="J34" s="251"/>
      <c r="K34" s="252"/>
      <c r="L34" s="252"/>
      <c r="M34" s="252"/>
      <c r="N34" s="251"/>
      <c r="O34" s="251"/>
      <c r="P34" s="252"/>
      <c r="Q34" s="252"/>
      <c r="R34" s="252"/>
      <c r="S34" s="251"/>
      <c r="T34" s="251"/>
      <c r="U34" s="250"/>
      <c r="V34" s="250"/>
      <c r="W34" s="250"/>
      <c r="X34" s="250"/>
      <c r="Y34" s="250"/>
      <c r="Z34" s="250"/>
      <c r="AA34" s="250"/>
      <c r="AB34" s="250"/>
      <c r="AC34" s="250"/>
      <c r="AD34" s="250"/>
      <c r="AE34" s="250"/>
      <c r="AF34" s="250"/>
      <c r="AJ34" s="250"/>
    </row>
    <row r="35" spans="1:36" ht="15.75" x14ac:dyDescent="0.25">
      <c r="A35" s="229" t="s">
        <v>145</v>
      </c>
      <c r="B35" s="207"/>
      <c r="C35" s="182"/>
      <c r="D35" s="208"/>
      <c r="E35" s="182"/>
      <c r="F35" s="182"/>
      <c r="G35" s="208"/>
      <c r="H35" s="208"/>
      <c r="I35" s="208"/>
      <c r="J35" s="208"/>
      <c r="K35" s="208"/>
      <c r="L35" s="208"/>
      <c r="M35" s="182"/>
      <c r="N35" s="182"/>
      <c r="O35" s="208"/>
      <c r="P35" s="208"/>
      <c r="Q35" s="208"/>
      <c r="R35" s="182"/>
      <c r="S35" s="182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J35" s="207"/>
    </row>
    <row r="36" spans="1:36" ht="15.75" x14ac:dyDescent="0.25">
      <c r="A36" s="253" t="s">
        <v>146</v>
      </c>
      <c r="B36" s="207"/>
      <c r="C36" s="182"/>
      <c r="D36" s="208"/>
      <c r="E36" s="182"/>
      <c r="F36" s="182"/>
      <c r="G36" s="208"/>
      <c r="H36" s="208"/>
      <c r="I36" s="208"/>
      <c r="J36" s="208"/>
      <c r="K36" s="208"/>
      <c r="L36" s="208"/>
      <c r="M36" s="182"/>
      <c r="N36" s="182"/>
      <c r="O36" s="208"/>
      <c r="P36" s="208"/>
      <c r="Q36" s="208"/>
      <c r="R36" s="182"/>
      <c r="S36" s="182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J36" s="207"/>
    </row>
    <row r="37" spans="1:36" x14ac:dyDescent="0.25">
      <c r="A37" s="207"/>
      <c r="B37" s="207"/>
      <c r="C37" s="182"/>
      <c r="D37" s="208"/>
      <c r="E37" s="182"/>
      <c r="F37" s="182"/>
      <c r="G37" s="208"/>
      <c r="H37" s="208"/>
      <c r="I37" s="208"/>
      <c r="J37" s="208"/>
      <c r="K37" s="208"/>
      <c r="L37" s="208"/>
      <c r="M37" s="182"/>
      <c r="N37" s="182"/>
      <c r="O37" s="208"/>
      <c r="P37" s="208"/>
      <c r="Q37" s="208"/>
      <c r="R37" s="182"/>
      <c r="S37" s="182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  <c r="AJ37" s="207"/>
    </row>
    <row r="38" spans="1:36" x14ac:dyDescent="0.25">
      <c r="A38" s="207"/>
      <c r="B38" s="207"/>
      <c r="C38" s="182"/>
      <c r="D38" s="208"/>
      <c r="E38" s="182"/>
      <c r="F38" s="182"/>
      <c r="G38" s="208"/>
      <c r="H38" s="208"/>
      <c r="I38" s="208"/>
      <c r="J38" s="208"/>
      <c r="K38" s="208"/>
      <c r="L38" s="208"/>
      <c r="M38" s="182"/>
      <c r="N38" s="182"/>
      <c r="O38" s="208"/>
      <c r="P38" s="208"/>
      <c r="Q38" s="208"/>
      <c r="R38" s="182"/>
      <c r="S38" s="182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  <c r="AD38" s="207"/>
      <c r="AE38" s="207"/>
      <c r="AF38" s="207"/>
      <c r="AJ38" s="207"/>
    </row>
    <row r="39" spans="1:36" x14ac:dyDescent="0.25">
      <c r="I39" s="208"/>
      <c r="J39" s="208"/>
      <c r="K39" s="208"/>
      <c r="L39" s="208"/>
      <c r="M39" s="182"/>
      <c r="N39" s="182"/>
      <c r="O39" s="208"/>
      <c r="P39" s="208"/>
      <c r="Q39" s="208"/>
      <c r="R39" s="182"/>
      <c r="S39" s="182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  <c r="AD39" s="207"/>
      <c r="AE39" s="207"/>
      <c r="AF39" s="207"/>
      <c r="AJ39" s="207"/>
    </row>
    <row r="40" spans="1:36" x14ac:dyDescent="0.25">
      <c r="I40" s="208"/>
      <c r="J40" s="208"/>
      <c r="K40" s="208"/>
      <c r="L40" s="208"/>
      <c r="M40" s="182"/>
      <c r="N40" s="182"/>
      <c r="O40" s="208"/>
      <c r="P40" s="208"/>
      <c r="Q40" s="208"/>
      <c r="R40" s="182"/>
      <c r="S40" s="182"/>
      <c r="T40" s="207"/>
      <c r="U40" s="207"/>
      <c r="V40" s="207"/>
      <c r="W40" s="207"/>
      <c r="X40" s="207"/>
      <c r="Y40" s="207"/>
      <c r="Z40" s="207"/>
      <c r="AA40" s="207"/>
      <c r="AB40" s="207"/>
      <c r="AC40" s="207"/>
      <c r="AD40" s="207"/>
      <c r="AE40" s="207"/>
      <c r="AF40" s="207"/>
      <c r="AJ40" s="207"/>
    </row>
    <row r="70" spans="2:7" x14ac:dyDescent="0.25">
      <c r="B70" s="206"/>
      <c r="C70" s="156"/>
      <c r="D70" s="156"/>
      <c r="E70" s="156"/>
      <c r="F70" s="156"/>
      <c r="G70" s="156"/>
    </row>
    <row r="71" spans="2:7" x14ac:dyDescent="0.25">
      <c r="B71" s="206"/>
      <c r="C71" s="156"/>
      <c r="D71" s="156"/>
      <c r="E71" s="156"/>
      <c r="F71" s="156"/>
      <c r="G71" s="156"/>
    </row>
    <row r="72" spans="2:7" x14ac:dyDescent="0.25">
      <c r="B72" s="206"/>
      <c r="C72" s="156"/>
      <c r="D72" s="156"/>
      <c r="E72" s="156"/>
      <c r="F72" s="156"/>
      <c r="G72" s="156"/>
    </row>
    <row r="73" spans="2:7" x14ac:dyDescent="0.25">
      <c r="B73" s="206"/>
      <c r="C73" s="156"/>
      <c r="D73" s="156"/>
      <c r="E73" s="156"/>
      <c r="F73" s="156"/>
      <c r="G73" s="156"/>
    </row>
    <row r="74" spans="2:7" x14ac:dyDescent="0.25">
      <c r="B74" s="206"/>
      <c r="C74" s="156"/>
      <c r="D74" s="156"/>
      <c r="E74" s="156"/>
      <c r="F74" s="156"/>
      <c r="G74" s="156"/>
    </row>
  </sheetData>
  <mergeCells count="18">
    <mergeCell ref="A1:J1"/>
    <mergeCell ref="A7:A8"/>
    <mergeCell ref="B7:B8"/>
    <mergeCell ref="C7:C8"/>
    <mergeCell ref="D7:D8"/>
    <mergeCell ref="E7:E8"/>
    <mergeCell ref="F7:F8"/>
    <mergeCell ref="G7:G8"/>
    <mergeCell ref="Y7:Y8"/>
    <mergeCell ref="Z7:Z8"/>
    <mergeCell ref="AA7:AA8"/>
    <mergeCell ref="AB7:AB8"/>
    <mergeCell ref="N7:N8"/>
    <mergeCell ref="O7:O8"/>
    <mergeCell ref="S7:T7"/>
    <mergeCell ref="V7:V8"/>
    <mergeCell ref="W7:W8"/>
    <mergeCell ref="X7:X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54">
    <tabColor rgb="FF0070C0"/>
  </sheetPr>
  <dimension ref="A1:H82"/>
  <sheetViews>
    <sheetView showGridLines="0" topLeftCell="A31" zoomScaleNormal="100" workbookViewId="0">
      <selection activeCell="E80" sqref="E80"/>
    </sheetView>
  </sheetViews>
  <sheetFormatPr defaultColWidth="9.140625" defaultRowHeight="15" x14ac:dyDescent="0.25"/>
  <cols>
    <col min="1" max="1" width="47.5703125" style="180" customWidth="1"/>
    <col min="2" max="43" width="19.28515625" style="180" customWidth="1"/>
    <col min="44" max="16384" width="9.140625" style="180"/>
  </cols>
  <sheetData>
    <row r="1" spans="1:8" s="202" customFormat="1" x14ac:dyDescent="0.25">
      <c r="A1" s="339" t="s">
        <v>64</v>
      </c>
      <c r="B1" s="340"/>
      <c r="C1" s="340"/>
      <c r="D1" s="340"/>
      <c r="E1" s="340"/>
      <c r="F1" s="340"/>
      <c r="H1" s="136" t="s">
        <v>117</v>
      </c>
    </row>
    <row r="2" spans="1:8" s="202" customFormat="1" ht="23.25" x14ac:dyDescent="0.25">
      <c r="A2" s="181"/>
    </row>
    <row r="3" spans="1:8" x14ac:dyDescent="0.25">
      <c r="A3" s="137" t="s">
        <v>1</v>
      </c>
      <c r="B3" s="138">
        <v>44075</v>
      </c>
      <c r="C3" s="139" t="e">
        <f ca="1">OFFSET([2]!Gebotstermine[[#Headers],[terGebotsterminID]],MATCH(Gebotstermin,[2]!Gebotstermine[terGebotstermin],0),,,)</f>
        <v>#REF!</v>
      </c>
    </row>
    <row r="4" spans="1:8" x14ac:dyDescent="0.25">
      <c r="A4" s="140"/>
      <c r="B4" s="141"/>
    </row>
    <row r="6" spans="1:8" ht="19.5" thickBot="1" x14ac:dyDescent="0.35">
      <c r="A6" s="142" t="s">
        <v>2</v>
      </c>
    </row>
    <row r="7" spans="1:8" ht="45.75" thickBot="1" x14ac:dyDescent="0.3">
      <c r="A7" s="143" t="s">
        <v>3</v>
      </c>
      <c r="B7" s="143" t="s">
        <v>4</v>
      </c>
      <c r="F7" s="144"/>
      <c r="G7" s="145"/>
      <c r="H7" s="145"/>
    </row>
    <row r="8" spans="1:8" x14ac:dyDescent="0.25">
      <c r="A8" s="133">
        <v>366901</v>
      </c>
      <c r="B8" s="146">
        <v>6.1999998092651367</v>
      </c>
    </row>
    <row r="9" spans="1:8" ht="18.75" x14ac:dyDescent="0.3">
      <c r="A9" s="142"/>
    </row>
    <row r="10" spans="1:8" ht="15.75" thickBot="1" x14ac:dyDescent="0.3">
      <c r="A10" s="147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11" t="s">
        <v>7</v>
      </c>
      <c r="D11" s="12"/>
      <c r="E11" s="13"/>
      <c r="F11" s="11" t="s">
        <v>8</v>
      </c>
      <c r="G11" s="12"/>
      <c r="H11" s="13"/>
    </row>
    <row r="12" spans="1:8" ht="15.75" thickBot="1" x14ac:dyDescent="0.3">
      <c r="A12" s="332"/>
      <c r="B12" s="332"/>
      <c r="C12" s="148" t="s">
        <v>9</v>
      </c>
      <c r="D12" s="148" t="s">
        <v>10</v>
      </c>
      <c r="E12" s="148" t="s">
        <v>11</v>
      </c>
      <c r="F12" s="148" t="s">
        <v>9</v>
      </c>
      <c r="G12" s="148" t="s">
        <v>10</v>
      </c>
      <c r="H12" s="149" t="s">
        <v>12</v>
      </c>
    </row>
    <row r="13" spans="1:8" x14ac:dyDescent="0.25">
      <c r="A13" s="132">
        <v>310450</v>
      </c>
      <c r="B13" s="131">
        <v>25</v>
      </c>
      <c r="C13" s="130">
        <v>2350</v>
      </c>
      <c r="D13" s="129">
        <v>71600</v>
      </c>
      <c r="E13" s="128">
        <v>12418</v>
      </c>
      <c r="F13" s="127">
        <v>5.99</v>
      </c>
      <c r="G13" s="126">
        <v>6.2</v>
      </c>
      <c r="H13" s="125">
        <v>6.191446287646964</v>
      </c>
    </row>
    <row r="14" spans="1:8" ht="4.5" customHeight="1" x14ac:dyDescent="0.25">
      <c r="A14" s="182"/>
      <c r="B14" s="182"/>
      <c r="C14" s="182"/>
      <c r="D14" s="182"/>
      <c r="E14" s="182"/>
      <c r="F14" s="182"/>
      <c r="G14" s="182"/>
      <c r="H14" s="182"/>
    </row>
    <row r="15" spans="1:8" ht="15.75" thickBot="1" x14ac:dyDescent="0.3">
      <c r="A15" s="147" t="s">
        <v>65</v>
      </c>
      <c r="B15" s="151"/>
      <c r="C15" s="151"/>
      <c r="D15" s="151"/>
      <c r="E15" s="151"/>
      <c r="F15" s="146"/>
      <c r="G15" s="146"/>
      <c r="H15" s="146"/>
    </row>
    <row r="16" spans="1:8" ht="15.75" customHeight="1" thickBot="1" x14ac:dyDescent="0.3">
      <c r="A16" s="331" t="s">
        <v>66</v>
      </c>
      <c r="B16" s="331" t="s">
        <v>67</v>
      </c>
      <c r="C16" s="11" t="s">
        <v>15</v>
      </c>
      <c r="D16" s="12"/>
      <c r="E16" s="13"/>
      <c r="F16" s="11" t="s">
        <v>16</v>
      </c>
      <c r="G16" s="12"/>
      <c r="H16" s="13"/>
    </row>
    <row r="17" spans="1:8" ht="15.75" thickBot="1" x14ac:dyDescent="0.3">
      <c r="A17" s="332"/>
      <c r="B17" s="332"/>
      <c r="C17" s="148" t="s">
        <v>9</v>
      </c>
      <c r="D17" s="148" t="s">
        <v>10</v>
      </c>
      <c r="E17" s="148" t="s">
        <v>11</v>
      </c>
      <c r="F17" s="148" t="s">
        <v>9</v>
      </c>
      <c r="G17" s="148" t="s">
        <v>10</v>
      </c>
      <c r="H17" s="148" t="s">
        <v>12</v>
      </c>
    </row>
    <row r="18" spans="1:8" x14ac:dyDescent="0.25">
      <c r="A18" s="120">
        <v>284900</v>
      </c>
      <c r="B18" s="119">
        <v>22</v>
      </c>
      <c r="C18" s="124">
        <v>3500</v>
      </c>
      <c r="D18" s="32">
        <v>71600</v>
      </c>
      <c r="E18" s="33">
        <v>12950</v>
      </c>
      <c r="F18" s="123">
        <v>6.1700000762939453</v>
      </c>
      <c r="G18" s="122">
        <v>6.1999998092651367</v>
      </c>
      <c r="H18" s="121">
        <v>6.1966583207432704</v>
      </c>
    </row>
    <row r="19" spans="1:8" ht="4.5" customHeight="1" x14ac:dyDescent="0.25">
      <c r="A19" s="182"/>
      <c r="B19" s="182"/>
      <c r="C19" s="182"/>
      <c r="D19" s="182"/>
      <c r="E19" s="182"/>
      <c r="F19" s="182"/>
      <c r="G19" s="182"/>
      <c r="H19" s="182"/>
    </row>
    <row r="20" spans="1:8" ht="16.5" thickBot="1" x14ac:dyDescent="0.3">
      <c r="A20" s="152" t="s">
        <v>68</v>
      </c>
      <c r="B20" s="151"/>
      <c r="C20" s="151"/>
      <c r="D20" s="151"/>
      <c r="E20" s="151"/>
      <c r="F20" s="146"/>
      <c r="G20" s="146"/>
      <c r="H20" s="146"/>
    </row>
    <row r="21" spans="1:8" ht="30" x14ac:dyDescent="0.25">
      <c r="A21" s="203" t="s">
        <v>66</v>
      </c>
      <c r="B21" s="203" t="s">
        <v>14</v>
      </c>
      <c r="C21" s="151"/>
      <c r="D21" s="151"/>
      <c r="E21" s="151"/>
      <c r="F21" s="146"/>
      <c r="G21" s="146"/>
      <c r="H21" s="146"/>
    </row>
    <row r="22" spans="1:8" x14ac:dyDescent="0.25">
      <c r="A22" s="120">
        <v>284900</v>
      </c>
      <c r="B22" s="119">
        <v>22</v>
      </c>
    </row>
    <row r="23" spans="1:8" ht="4.5" customHeight="1" x14ac:dyDescent="0.25">
      <c r="A23" s="182"/>
      <c r="B23" s="182"/>
      <c r="C23" s="151"/>
      <c r="D23" s="151"/>
      <c r="E23" s="151"/>
      <c r="F23" s="146"/>
      <c r="G23" s="146"/>
      <c r="H23" s="146"/>
    </row>
    <row r="24" spans="1:8" ht="15.75" thickBot="1" x14ac:dyDescent="0.3">
      <c r="A24" s="147" t="s">
        <v>69</v>
      </c>
      <c r="B24" s="151"/>
      <c r="C24" s="151"/>
      <c r="D24" s="151"/>
      <c r="E24" s="151"/>
      <c r="F24" s="146"/>
      <c r="G24" s="146"/>
      <c r="H24" s="146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118">
        <v>25550</v>
      </c>
      <c r="B27" s="117">
        <v>3</v>
      </c>
    </row>
    <row r="28" spans="1:8" ht="15.75" x14ac:dyDescent="0.25">
      <c r="A28" s="153" t="s">
        <v>100</v>
      </c>
    </row>
    <row r="31" spans="1:8" ht="19.5" thickBot="1" x14ac:dyDescent="0.35">
      <c r="A31" s="79" t="s">
        <v>73</v>
      </c>
    </row>
    <row r="32" spans="1:8" ht="15.75" thickBot="1" x14ac:dyDescent="0.3">
      <c r="A32" s="325" t="s">
        <v>23</v>
      </c>
      <c r="B32" s="80" t="s">
        <v>18</v>
      </c>
      <c r="C32" s="81"/>
      <c r="D32" s="82"/>
      <c r="E32" s="81" t="s">
        <v>31</v>
      </c>
      <c r="F32" s="81"/>
      <c r="G32" s="82"/>
      <c r="H32" s="144"/>
    </row>
    <row r="33" spans="1:8" ht="30.75" thickBot="1" x14ac:dyDescent="0.3">
      <c r="A33" s="326"/>
      <c r="B33" s="143" t="s">
        <v>63</v>
      </c>
      <c r="C33" s="143" t="s">
        <v>20</v>
      </c>
      <c r="D33" s="143" t="s">
        <v>74</v>
      </c>
      <c r="E33" s="154" t="s">
        <v>75</v>
      </c>
      <c r="F33" s="143" t="s">
        <v>32</v>
      </c>
      <c r="G33" s="143" t="s">
        <v>76</v>
      </c>
      <c r="H33" s="144"/>
    </row>
    <row r="34" spans="1:8" x14ac:dyDescent="0.25">
      <c r="A34" s="116" t="s">
        <v>26</v>
      </c>
      <c r="B34" s="145">
        <v>56450</v>
      </c>
      <c r="C34" s="145">
        <v>13</v>
      </c>
      <c r="D34" s="145">
        <v>4342.3076923076924</v>
      </c>
      <c r="E34" s="145">
        <v>54100</v>
      </c>
      <c r="F34" s="145">
        <v>12</v>
      </c>
      <c r="G34" s="145">
        <v>4508.333333333333</v>
      </c>
      <c r="H34" s="144"/>
    </row>
    <row r="35" spans="1:8" x14ac:dyDescent="0.25">
      <c r="A35" s="116" t="s">
        <v>27</v>
      </c>
      <c r="B35" s="145">
        <v>73200</v>
      </c>
      <c r="C35" s="145">
        <v>7</v>
      </c>
      <c r="D35" s="145">
        <v>10457.142857142857</v>
      </c>
      <c r="E35" s="145">
        <v>50000</v>
      </c>
      <c r="F35" s="145">
        <v>5</v>
      </c>
      <c r="G35" s="145">
        <v>10000</v>
      </c>
      <c r="H35" s="144"/>
    </row>
    <row r="36" spans="1:8" x14ac:dyDescent="0.25">
      <c r="A36" s="116" t="s">
        <v>77</v>
      </c>
      <c r="B36" s="145">
        <v>180800</v>
      </c>
      <c r="C36" s="145">
        <v>5</v>
      </c>
      <c r="D36" s="145">
        <v>36160</v>
      </c>
      <c r="E36" s="145">
        <v>180800</v>
      </c>
      <c r="F36" s="145">
        <v>5</v>
      </c>
      <c r="G36" s="145">
        <v>36160</v>
      </c>
      <c r="H36" s="144"/>
    </row>
    <row r="37" spans="1:8" x14ac:dyDescent="0.25">
      <c r="A37" s="201" t="s">
        <v>78</v>
      </c>
      <c r="B37" s="156">
        <f>SUBTOTAL(109,Tabelle_PV_FFA_Datenbank_FE.accdb21368[Gebotsmenge])</f>
        <v>310450</v>
      </c>
      <c r="C37" s="156">
        <f>SUBTOTAL(109,Tabelle_PV_FFA_Datenbank_FE.accdb21368[Anzahl Gebote])</f>
        <v>25</v>
      </c>
      <c r="E37" s="156">
        <f>SUBTOTAL(109,Tabelle_PV_FFA_Datenbank_FE.accdb21368[Zuschlagsmenge])</f>
        <v>284900</v>
      </c>
      <c r="F37" s="156">
        <f>SUBTOTAL(109,Tabelle_PV_FFA_Datenbank_FE.accdb21368[Anzahl Zuschläge])</f>
        <v>22</v>
      </c>
      <c r="G37" s="156"/>
      <c r="H37" s="144"/>
    </row>
    <row r="38" spans="1:8" x14ac:dyDescent="0.25">
      <c r="A38" s="116"/>
      <c r="B38" s="145"/>
      <c r="C38" s="145"/>
      <c r="D38" s="145"/>
      <c r="E38" s="145"/>
      <c r="F38" s="145"/>
      <c r="G38" s="145"/>
      <c r="H38" s="144"/>
    </row>
    <row r="39" spans="1:8" x14ac:dyDescent="0.25">
      <c r="A39" s="201"/>
      <c r="B39" s="156"/>
      <c r="C39" s="156"/>
      <c r="E39" s="156"/>
      <c r="F39" s="156"/>
      <c r="G39" s="156"/>
      <c r="H39" s="144"/>
    </row>
    <row r="40" spans="1:8" ht="19.5" thickBot="1" x14ac:dyDescent="0.35">
      <c r="A40" s="157" t="s">
        <v>79</v>
      </c>
    </row>
    <row r="41" spans="1:8" ht="15.75" thickBot="1" x14ac:dyDescent="0.3">
      <c r="A41" s="325" t="s">
        <v>80</v>
      </c>
      <c r="B41" s="80" t="s">
        <v>18</v>
      </c>
      <c r="C41" s="81"/>
      <c r="D41" s="82"/>
      <c r="E41" s="81" t="s">
        <v>31</v>
      </c>
      <c r="F41" s="81"/>
      <c r="G41" s="82"/>
    </row>
    <row r="42" spans="1:8" ht="30.75" thickBot="1" x14ac:dyDescent="0.3">
      <c r="A42" s="326"/>
      <c r="B42" s="143" t="s">
        <v>63</v>
      </c>
      <c r="C42" s="143" t="s">
        <v>20</v>
      </c>
      <c r="D42" s="143" t="s">
        <v>74</v>
      </c>
      <c r="E42" s="154" t="s">
        <v>75</v>
      </c>
      <c r="F42" s="143" t="s">
        <v>32</v>
      </c>
      <c r="G42" s="143" t="s">
        <v>76</v>
      </c>
    </row>
    <row r="43" spans="1:8" x14ac:dyDescent="0.25">
      <c r="A43" s="116" t="s">
        <v>116</v>
      </c>
      <c r="B43" s="145">
        <v>4200</v>
      </c>
      <c r="C43" s="145">
        <v>1</v>
      </c>
      <c r="D43" s="145">
        <v>4200</v>
      </c>
      <c r="E43" s="145">
        <v>4200</v>
      </c>
      <c r="F43" s="145">
        <v>1</v>
      </c>
      <c r="G43" s="145">
        <v>4200</v>
      </c>
    </row>
    <row r="44" spans="1:8" x14ac:dyDescent="0.25">
      <c r="A44" s="116" t="s">
        <v>41</v>
      </c>
      <c r="B44" s="145">
        <v>100400</v>
      </c>
      <c r="C44" s="145">
        <v>5</v>
      </c>
      <c r="D44" s="145">
        <v>20080</v>
      </c>
      <c r="E44" s="145">
        <v>100400</v>
      </c>
      <c r="F44" s="145">
        <v>5</v>
      </c>
      <c r="G44" s="145">
        <v>20080</v>
      </c>
    </row>
    <row r="45" spans="1:8" x14ac:dyDescent="0.25">
      <c r="A45" s="201" t="s">
        <v>42</v>
      </c>
      <c r="B45" s="156">
        <v>8400</v>
      </c>
      <c r="C45" s="156">
        <v>1</v>
      </c>
      <c r="D45" s="156">
        <v>8400</v>
      </c>
      <c r="E45" s="156">
        <v>8400</v>
      </c>
      <c r="F45" s="156">
        <v>1</v>
      </c>
      <c r="G45" s="156">
        <v>8400</v>
      </c>
    </row>
    <row r="46" spans="1:8" x14ac:dyDescent="0.25">
      <c r="A46" s="201" t="s">
        <v>43</v>
      </c>
      <c r="B46" s="156">
        <v>83600</v>
      </c>
      <c r="C46" s="156">
        <v>2</v>
      </c>
      <c r="D46" s="156">
        <v>41800</v>
      </c>
      <c r="E46" s="156">
        <v>71600</v>
      </c>
      <c r="F46" s="156">
        <v>1</v>
      </c>
      <c r="G46" s="156">
        <v>71600</v>
      </c>
    </row>
    <row r="47" spans="1:8" x14ac:dyDescent="0.25">
      <c r="A47" s="201" t="s">
        <v>44</v>
      </c>
      <c r="B47" s="156">
        <v>24000</v>
      </c>
      <c r="C47" s="156">
        <v>1</v>
      </c>
      <c r="D47" s="156">
        <v>24000</v>
      </c>
      <c r="E47" s="156">
        <v>24000</v>
      </c>
      <c r="F47" s="156">
        <v>1</v>
      </c>
      <c r="G47" s="156">
        <v>24000</v>
      </c>
    </row>
    <row r="48" spans="1:8" x14ac:dyDescent="0.25">
      <c r="A48" s="201" t="s">
        <v>45</v>
      </c>
      <c r="B48" s="156">
        <v>46900</v>
      </c>
      <c r="C48" s="156">
        <v>8</v>
      </c>
      <c r="D48" s="156">
        <v>5862.5</v>
      </c>
      <c r="E48" s="156">
        <v>46900</v>
      </c>
      <c r="F48" s="156">
        <v>8</v>
      </c>
      <c r="G48" s="156">
        <v>5862.5</v>
      </c>
    </row>
    <row r="49" spans="1:7" x14ac:dyDescent="0.25">
      <c r="A49" s="201" t="s">
        <v>47</v>
      </c>
      <c r="B49" s="156">
        <v>11200</v>
      </c>
      <c r="C49" s="156">
        <v>1</v>
      </c>
      <c r="D49" s="156">
        <v>11200</v>
      </c>
      <c r="E49" s="156">
        <v>0</v>
      </c>
      <c r="F49" s="156">
        <v>0</v>
      </c>
      <c r="G49" s="156">
        <v>0</v>
      </c>
    </row>
    <row r="50" spans="1:7" x14ac:dyDescent="0.25">
      <c r="A50" s="201" t="s">
        <v>49</v>
      </c>
      <c r="B50" s="156">
        <v>14950</v>
      </c>
      <c r="C50" s="156">
        <v>4</v>
      </c>
      <c r="D50" s="156">
        <v>3737.5</v>
      </c>
      <c r="E50" s="156">
        <v>12600</v>
      </c>
      <c r="F50" s="156">
        <v>3</v>
      </c>
      <c r="G50" s="156">
        <v>4200</v>
      </c>
    </row>
    <row r="51" spans="1:7" x14ac:dyDescent="0.25">
      <c r="A51" s="180" t="s">
        <v>50</v>
      </c>
      <c r="B51" s="156">
        <v>16800</v>
      </c>
      <c r="C51" s="156">
        <v>2</v>
      </c>
      <c r="D51" s="156">
        <v>8400</v>
      </c>
      <c r="E51" s="156">
        <v>16800</v>
      </c>
      <c r="F51" s="156">
        <v>2</v>
      </c>
      <c r="G51" s="156">
        <v>8400</v>
      </c>
    </row>
    <row r="52" spans="1:7" x14ac:dyDescent="0.25">
      <c r="A52" s="201" t="s">
        <v>78</v>
      </c>
      <c r="B52" s="156">
        <f>SUBTOTAL(109,Tabelle_PV_FFA_Datenbank_FE.accdb245671870[Gebotsmenge])</f>
        <v>310450</v>
      </c>
      <c r="C52" s="156">
        <f>SUBTOTAL(109,Tabelle_PV_FFA_Datenbank_FE.accdb245671870[Anzahl Gebote])</f>
        <v>25</v>
      </c>
      <c r="E52" s="156">
        <f>SUBTOTAL(109,Tabelle_PV_FFA_Datenbank_FE.accdb245671870[Zuschlagsmenge])</f>
        <v>284900</v>
      </c>
      <c r="F52" s="156">
        <f>SUBTOTAL(109,Tabelle_PV_FFA_Datenbank_FE.accdb245671870[Anzahl Zuschläge])</f>
        <v>22</v>
      </c>
      <c r="G52" s="156"/>
    </row>
    <row r="53" spans="1:7" x14ac:dyDescent="0.25">
      <c r="B53" s="156"/>
      <c r="C53" s="156"/>
      <c r="D53" s="156"/>
      <c r="E53" s="156"/>
      <c r="F53" s="156"/>
      <c r="G53" s="156"/>
    </row>
    <row r="54" spans="1:7" x14ac:dyDescent="0.25">
      <c r="B54" s="156"/>
      <c r="C54" s="156"/>
      <c r="D54" s="156"/>
      <c r="E54" s="156"/>
      <c r="F54" s="156"/>
      <c r="G54" s="156"/>
    </row>
    <row r="55" spans="1:7" ht="19.5" thickBot="1" x14ac:dyDescent="0.35">
      <c r="A55" s="79" t="s">
        <v>82</v>
      </c>
    </row>
    <row r="56" spans="1:7" ht="15.75" thickBot="1" x14ac:dyDescent="0.3">
      <c r="A56" s="325" t="s">
        <v>83</v>
      </c>
      <c r="B56" s="80" t="s">
        <v>18</v>
      </c>
      <c r="C56" s="81"/>
      <c r="D56" s="82"/>
      <c r="E56" s="81" t="s">
        <v>31</v>
      </c>
      <c r="F56" s="81"/>
      <c r="G56" s="82"/>
    </row>
    <row r="57" spans="1:7" ht="30.75" thickBot="1" x14ac:dyDescent="0.3">
      <c r="A57" s="326"/>
      <c r="B57" s="143" t="s">
        <v>63</v>
      </c>
      <c r="C57" s="143" t="s">
        <v>20</v>
      </c>
      <c r="D57" s="143" t="s">
        <v>74</v>
      </c>
      <c r="E57" s="154" t="s">
        <v>75</v>
      </c>
      <c r="F57" s="143" t="s">
        <v>32</v>
      </c>
      <c r="G57" s="143" t="s">
        <v>76</v>
      </c>
    </row>
    <row r="58" spans="1:7" x14ac:dyDescent="0.25">
      <c r="A58" s="116" t="s">
        <v>24</v>
      </c>
      <c r="B58" s="145">
        <v>11000</v>
      </c>
      <c r="C58" s="145">
        <v>1</v>
      </c>
      <c r="D58" s="145">
        <v>11000</v>
      </c>
      <c r="E58" s="145">
        <v>11000</v>
      </c>
      <c r="F58" s="145">
        <v>1</v>
      </c>
      <c r="G58" s="145">
        <v>11000</v>
      </c>
    </row>
    <row r="59" spans="1:7" x14ac:dyDescent="0.25">
      <c r="A59" s="180" t="s">
        <v>84</v>
      </c>
      <c r="B59" s="156">
        <v>299450</v>
      </c>
      <c r="C59" s="156">
        <v>24</v>
      </c>
      <c r="D59" s="156">
        <v>12477.083333333334</v>
      </c>
      <c r="E59" s="156">
        <v>273900</v>
      </c>
      <c r="F59" s="156">
        <v>21</v>
      </c>
      <c r="G59" s="156">
        <v>13042.857142857143</v>
      </c>
    </row>
    <row r="60" spans="1:7" x14ac:dyDescent="0.25">
      <c r="A60" s="180" t="s">
        <v>78</v>
      </c>
      <c r="B60" s="156">
        <f>SUBTOTAL(109,Tabelle_PV_FFA_Datenbank_FE.accdb24561672[Gebotsmenge])</f>
        <v>310450</v>
      </c>
      <c r="C60" s="156">
        <f>SUBTOTAL(109,Tabelle_PV_FFA_Datenbank_FE.accdb24561672[Anzahl Gebote])</f>
        <v>25</v>
      </c>
      <c r="E60" s="156">
        <f>SUBTOTAL(109,Tabelle_PV_FFA_Datenbank_FE.accdb24561672[Zuschlagsmenge])</f>
        <v>284900</v>
      </c>
      <c r="F60" s="156">
        <f>SUBTOTAL(109,Tabelle_PV_FFA_Datenbank_FE.accdb24561672[Anzahl Zuschläge])</f>
        <v>22</v>
      </c>
      <c r="G60" s="156"/>
    </row>
    <row r="61" spans="1:7" x14ac:dyDescent="0.25">
      <c r="B61" s="156"/>
      <c r="C61" s="156"/>
      <c r="E61" s="156"/>
      <c r="F61" s="156"/>
    </row>
    <row r="62" spans="1:7" x14ac:dyDescent="0.25">
      <c r="A62" s="201"/>
      <c r="B62" s="156"/>
      <c r="C62" s="156"/>
      <c r="D62" s="156"/>
      <c r="E62" s="156"/>
      <c r="F62" s="156"/>
      <c r="G62" s="156"/>
    </row>
    <row r="63" spans="1:7" ht="19.5" thickBot="1" x14ac:dyDescent="0.35">
      <c r="A63" s="79" t="s">
        <v>85</v>
      </c>
    </row>
    <row r="64" spans="1:7" ht="15.75" thickBot="1" x14ac:dyDescent="0.3">
      <c r="A64" s="325" t="s">
        <v>86</v>
      </c>
      <c r="B64" s="80" t="s">
        <v>18</v>
      </c>
      <c r="C64" s="81"/>
      <c r="D64" s="82"/>
      <c r="E64" s="81" t="s">
        <v>31</v>
      </c>
      <c r="F64" s="81"/>
      <c r="G64" s="82"/>
    </row>
    <row r="65" spans="1:7" ht="30.75" thickBot="1" x14ac:dyDescent="0.3">
      <c r="A65" s="338"/>
      <c r="B65" s="143" t="s">
        <v>63</v>
      </c>
      <c r="C65" s="143" t="s">
        <v>20</v>
      </c>
      <c r="D65" s="143" t="s">
        <v>74</v>
      </c>
      <c r="E65" s="154" t="s">
        <v>75</v>
      </c>
      <c r="F65" s="143" t="s">
        <v>32</v>
      </c>
      <c r="G65" s="143" t="s">
        <v>76</v>
      </c>
    </row>
    <row r="66" spans="1:7" x14ac:dyDescent="0.25">
      <c r="A66" s="116" t="s">
        <v>115</v>
      </c>
      <c r="B66" s="145">
        <v>5000</v>
      </c>
      <c r="C66" s="145">
        <v>1</v>
      </c>
      <c r="D66" s="145">
        <v>5000</v>
      </c>
      <c r="E66" s="145">
        <v>5000</v>
      </c>
      <c r="F66" s="145">
        <v>1</v>
      </c>
      <c r="G66" s="145">
        <v>5000</v>
      </c>
    </row>
    <row r="67" spans="1:7" x14ac:dyDescent="0.25">
      <c r="A67" s="180" t="s">
        <v>89</v>
      </c>
      <c r="B67" s="156">
        <v>13200</v>
      </c>
      <c r="C67" s="156">
        <v>3</v>
      </c>
      <c r="D67" s="156">
        <v>4400</v>
      </c>
      <c r="E67" s="156">
        <v>13200</v>
      </c>
      <c r="F67" s="156">
        <v>3</v>
      </c>
      <c r="G67" s="156">
        <v>4400</v>
      </c>
    </row>
    <row r="68" spans="1:7" x14ac:dyDescent="0.25">
      <c r="A68" s="180" t="s">
        <v>90</v>
      </c>
      <c r="B68" s="156">
        <v>9200</v>
      </c>
      <c r="C68" s="156">
        <v>2</v>
      </c>
      <c r="D68" s="156">
        <v>4600</v>
      </c>
      <c r="E68" s="156">
        <v>9200</v>
      </c>
      <c r="F68" s="156">
        <v>2</v>
      </c>
      <c r="G68" s="156">
        <v>4600</v>
      </c>
    </row>
    <row r="69" spans="1:7" x14ac:dyDescent="0.25">
      <c r="A69" s="180" t="s">
        <v>91</v>
      </c>
      <c r="B69" s="180">
        <v>50300</v>
      </c>
      <c r="C69" s="180">
        <v>4</v>
      </c>
      <c r="D69" s="156">
        <v>12575</v>
      </c>
      <c r="E69" s="180">
        <v>50300</v>
      </c>
      <c r="F69" s="180">
        <v>4</v>
      </c>
      <c r="G69" s="180">
        <v>12575</v>
      </c>
    </row>
    <row r="70" spans="1:7" x14ac:dyDescent="0.25">
      <c r="A70" s="180" t="s">
        <v>92</v>
      </c>
      <c r="B70" s="156">
        <v>221750</v>
      </c>
      <c r="C70" s="156">
        <v>14</v>
      </c>
      <c r="D70" s="156">
        <v>15839.285714285714</v>
      </c>
      <c r="E70" s="156">
        <v>196200</v>
      </c>
      <c r="F70" s="156">
        <v>11</v>
      </c>
      <c r="G70" s="156">
        <v>17836.363636363636</v>
      </c>
    </row>
    <row r="71" spans="1:7" x14ac:dyDescent="0.25">
      <c r="A71" s="180" t="s">
        <v>94</v>
      </c>
      <c r="B71" s="156">
        <v>11000</v>
      </c>
      <c r="C71" s="156">
        <v>1</v>
      </c>
      <c r="D71" s="156">
        <v>11000</v>
      </c>
      <c r="E71" s="156">
        <v>11000</v>
      </c>
      <c r="F71" s="156">
        <v>1</v>
      </c>
      <c r="G71" s="156">
        <v>11000</v>
      </c>
    </row>
    <row r="72" spans="1:7" x14ac:dyDescent="0.25">
      <c r="A72" s="180" t="s">
        <v>78</v>
      </c>
      <c r="B72" s="156">
        <f>SUBTOTAL(109,Tabelle_PV_FFA_Datenbank_FE.accdb241269[Gebotsmenge])</f>
        <v>310450</v>
      </c>
      <c r="C72" s="156">
        <f>SUBTOTAL(109,Tabelle_PV_FFA_Datenbank_FE.accdb241269[Anzahl Gebote])</f>
        <v>25</v>
      </c>
      <c r="E72" s="156">
        <f>SUBTOTAL(109,Tabelle_PV_FFA_Datenbank_FE.accdb241269[Zuschlagsmenge])</f>
        <v>284900</v>
      </c>
      <c r="F72" s="156">
        <f>SUBTOTAL(109,Tabelle_PV_FFA_Datenbank_FE.accdb241269[Anzahl Zuschläge])</f>
        <v>22</v>
      </c>
      <c r="G72" s="156"/>
    </row>
    <row r="73" spans="1:7" x14ac:dyDescent="0.25">
      <c r="B73" s="156"/>
      <c r="C73" s="156"/>
      <c r="D73" s="156"/>
      <c r="E73" s="156"/>
      <c r="F73" s="156"/>
      <c r="G73" s="156"/>
    </row>
    <row r="74" spans="1:7" x14ac:dyDescent="0.25">
      <c r="B74" s="156"/>
      <c r="C74" s="156"/>
      <c r="D74" s="156"/>
      <c r="E74" s="156"/>
      <c r="F74" s="156"/>
      <c r="G74" s="156"/>
    </row>
    <row r="75" spans="1:7" ht="19.5" thickBot="1" x14ac:dyDescent="0.35">
      <c r="A75" s="157" t="s">
        <v>95</v>
      </c>
    </row>
    <row r="76" spans="1:7" ht="15.75" thickBot="1" x14ac:dyDescent="0.3">
      <c r="A76" s="325" t="s">
        <v>80</v>
      </c>
      <c r="B76" s="80" t="s">
        <v>18</v>
      </c>
      <c r="C76" s="81"/>
      <c r="D76" s="82"/>
      <c r="E76" s="81" t="s">
        <v>31</v>
      </c>
      <c r="F76" s="81"/>
      <c r="G76" s="82"/>
    </row>
    <row r="77" spans="1:7" ht="30.75" thickBot="1" x14ac:dyDescent="0.3">
      <c r="A77" s="326"/>
      <c r="B77" s="143" t="s">
        <v>63</v>
      </c>
      <c r="C77" s="143" t="s">
        <v>20</v>
      </c>
      <c r="D77" s="143" t="s">
        <v>74</v>
      </c>
      <c r="E77" s="154" t="s">
        <v>75</v>
      </c>
      <c r="F77" s="143" t="s">
        <v>32</v>
      </c>
      <c r="G77" s="143" t="s">
        <v>76</v>
      </c>
    </row>
    <row r="78" spans="1:7" x14ac:dyDescent="0.25">
      <c r="A78" s="201" t="s">
        <v>43</v>
      </c>
      <c r="B78" s="156">
        <v>83600</v>
      </c>
      <c r="C78" s="156">
        <v>2</v>
      </c>
      <c r="D78" s="156">
        <v>41800</v>
      </c>
      <c r="E78" s="156">
        <v>71600</v>
      </c>
      <c r="F78" s="156">
        <v>1</v>
      </c>
      <c r="G78" s="156">
        <v>71600</v>
      </c>
    </row>
    <row r="79" spans="1:7" x14ac:dyDescent="0.25">
      <c r="A79" s="180" t="s">
        <v>49</v>
      </c>
      <c r="B79" s="156">
        <v>14950</v>
      </c>
      <c r="C79" s="156">
        <v>4</v>
      </c>
      <c r="D79" s="156">
        <v>3737.5</v>
      </c>
      <c r="E79" s="156">
        <v>12600</v>
      </c>
      <c r="F79" s="156">
        <v>3</v>
      </c>
      <c r="G79" s="156">
        <v>4200</v>
      </c>
    </row>
    <row r="80" spans="1:7" x14ac:dyDescent="0.25">
      <c r="A80" s="180" t="s">
        <v>78</v>
      </c>
      <c r="B80" s="156">
        <f>SUBTOTAL(109,Tabelle_PV_FFA_Datenbank_FE.accdb2456792071[Gebotsmenge])</f>
        <v>98550</v>
      </c>
      <c r="C80" s="156">
        <f>SUBTOTAL(109,Tabelle_PV_FFA_Datenbank_FE.accdb2456792071[Anzahl Gebote])</f>
        <v>6</v>
      </c>
      <c r="E80" s="156">
        <f>SUBTOTAL(109,Tabelle_PV_FFA_Datenbank_FE.accdb2456792071[Zuschlagsmenge])</f>
        <v>84200</v>
      </c>
      <c r="F80" s="156">
        <f>SUBTOTAL(109,Tabelle_PV_FFA_Datenbank_FE.accdb2456792071[Anzahl Zuschläge])</f>
        <v>4</v>
      </c>
      <c r="G80" s="156"/>
    </row>
    <row r="81" spans="2:7" x14ac:dyDescent="0.25">
      <c r="B81" s="156"/>
      <c r="C81" s="156"/>
      <c r="D81" s="156"/>
      <c r="E81" s="156"/>
      <c r="F81" s="156"/>
      <c r="G81" s="156"/>
    </row>
    <row r="82" spans="2:7" x14ac:dyDescent="0.25">
      <c r="B82" s="156"/>
      <c r="C82" s="156"/>
      <c r="D82" s="156"/>
      <c r="E82" s="156"/>
      <c r="F82" s="156"/>
      <c r="G82" s="156"/>
    </row>
  </sheetData>
  <protectedRanges>
    <protectedRange sqref="B3" name="Bereich1"/>
  </protectedRanges>
  <mergeCells count="12">
    <mergeCell ref="A64:A65"/>
    <mergeCell ref="A76:A77"/>
    <mergeCell ref="A32:A33"/>
    <mergeCell ref="A41:A42"/>
    <mergeCell ref="A56:A57"/>
    <mergeCell ref="B25:B26"/>
    <mergeCell ref="A1:F1"/>
    <mergeCell ref="A11:A12"/>
    <mergeCell ref="B11:B12"/>
    <mergeCell ref="A16:A17"/>
    <mergeCell ref="B16:B17"/>
    <mergeCell ref="A25:A26"/>
  </mergeCells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custom" allowBlank="1" showInputMessage="1" showErrorMessage="1" xr:uid="{00000000-0002-0000-0900-000000000000}">
          <x14:formula1>
            <xm:f>VLOOKUP(C3,'J:\Referatslaufwerk\EEG\8175 Ausschreibungen\8175-00 Allgemein\Statistik_Veröffentlichung\[Statistik_Veröffentlichung_Wind.xlsm]Gebotstermine'!#REF!,2,FALSE)</xm:f>
          </x14:formula1>
          <xm:sqref>D3</xm:sqref>
        </x14:dataValidation>
        <x14:dataValidation type="list" showInputMessage="1" showErrorMessage="1" xr:uid="{00000000-0002-0000-0900-000001000000}">
          <x14:formula1>
            <xm:f>'J:\Referatslaufwerk\EEG\8175 Ausschreibungen\8175-00 Allgemein\Statistik_Veröffentlichung\[Statistik_Veröffentlichung_Wind.xlsm]Gebotstermine'!#REF!</xm:f>
          </x14:formula1>
          <xm:sqref>B3</xm:sqref>
        </x14:dataValidation>
        <x14:dataValidation type="list" allowBlank="1" showInputMessage="1" showErrorMessage="1" xr:uid="{00000000-0002-0000-0900-000002000000}">
          <x14:formula1>
            <xm:f>'J:\Referatslaufwerk\EEG\8175 Ausschreibungen\8175-00 Allgemein\Statistik_Veröffentlichung\[Statistik_Veröffentlichung_Wind.xlsm]Gebotstermine'!#REF!</xm:f>
          </x14:formula1>
          <xm:sqref>I3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55">
    <tabColor rgb="FF0070C0"/>
  </sheetPr>
  <dimension ref="A1:H79"/>
  <sheetViews>
    <sheetView showGridLines="0" topLeftCell="A34" zoomScaleNormal="100" workbookViewId="0">
      <selection activeCell="E58" sqref="E58"/>
    </sheetView>
  </sheetViews>
  <sheetFormatPr defaultColWidth="9.140625" defaultRowHeight="15" x14ac:dyDescent="0.25"/>
  <cols>
    <col min="1" max="1" width="47.5703125" style="180" customWidth="1"/>
    <col min="2" max="43" width="19.28515625" style="180" customWidth="1"/>
    <col min="44" max="16384" width="9.140625" style="180"/>
  </cols>
  <sheetData>
    <row r="1" spans="1:8" s="198" customFormat="1" x14ac:dyDescent="0.25">
      <c r="A1" s="339" t="s">
        <v>64</v>
      </c>
      <c r="B1" s="340"/>
      <c r="C1" s="340"/>
      <c r="D1" s="340"/>
      <c r="E1" s="340"/>
      <c r="F1" s="340"/>
      <c r="H1" s="136" t="s">
        <v>114</v>
      </c>
    </row>
    <row r="2" spans="1:8" s="198" customFormat="1" ht="23.25" x14ac:dyDescent="0.25">
      <c r="A2" s="181"/>
    </row>
    <row r="3" spans="1:8" x14ac:dyDescent="0.25">
      <c r="A3" s="137" t="s">
        <v>1</v>
      </c>
      <c r="B3" s="138">
        <v>44013</v>
      </c>
      <c r="C3" s="139" t="e">
        <f ca="1">OFFSET([3]!Gebotstermine[[#Headers],[terGebotsterminID]],MATCH(Gebotstermin,[3]!Gebotstermine[terGebotstermin],0),,,)</f>
        <v>#REF!</v>
      </c>
    </row>
    <row r="4" spans="1:8" x14ac:dyDescent="0.25">
      <c r="A4" s="140"/>
      <c r="B4" s="141"/>
    </row>
    <row r="6" spans="1:8" ht="19.5" thickBot="1" x14ac:dyDescent="0.35">
      <c r="A6" s="142" t="s">
        <v>2</v>
      </c>
    </row>
    <row r="7" spans="1:8" ht="45.75" thickBot="1" x14ac:dyDescent="0.3">
      <c r="A7" s="143" t="s">
        <v>3</v>
      </c>
      <c r="B7" s="143" t="s">
        <v>4</v>
      </c>
      <c r="F7" s="144"/>
      <c r="G7" s="145"/>
      <c r="H7" s="145"/>
    </row>
    <row r="8" spans="1:8" x14ac:dyDescent="0.25">
      <c r="A8" s="133">
        <v>275176</v>
      </c>
      <c r="B8" s="146">
        <v>6.1999998092651367</v>
      </c>
    </row>
    <row r="9" spans="1:8" ht="18.75" x14ac:dyDescent="0.3">
      <c r="A9" s="142"/>
    </row>
    <row r="10" spans="1:8" ht="15.75" thickBot="1" x14ac:dyDescent="0.3">
      <c r="A10" s="147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11" t="s">
        <v>7</v>
      </c>
      <c r="D11" s="12"/>
      <c r="E11" s="13"/>
      <c r="F11" s="11" t="s">
        <v>8</v>
      </c>
      <c r="G11" s="12"/>
      <c r="H11" s="13"/>
    </row>
    <row r="12" spans="1:8" ht="15.75" thickBot="1" x14ac:dyDescent="0.3">
      <c r="A12" s="332"/>
      <c r="B12" s="332"/>
      <c r="C12" s="148" t="s">
        <v>9</v>
      </c>
      <c r="D12" s="148" t="s">
        <v>10</v>
      </c>
      <c r="E12" s="148" t="s">
        <v>11</v>
      </c>
      <c r="F12" s="148" t="s">
        <v>9</v>
      </c>
      <c r="G12" s="148" t="s">
        <v>10</v>
      </c>
      <c r="H12" s="149" t="s">
        <v>12</v>
      </c>
    </row>
    <row r="13" spans="1:8" x14ac:dyDescent="0.25">
      <c r="A13" s="132">
        <v>191050</v>
      </c>
      <c r="B13" s="131">
        <v>26</v>
      </c>
      <c r="C13" s="130">
        <v>2300</v>
      </c>
      <c r="D13" s="129">
        <v>33600</v>
      </c>
      <c r="E13" s="128">
        <v>7348.0769230769229</v>
      </c>
      <c r="F13" s="127">
        <v>5.5</v>
      </c>
      <c r="G13" s="126">
        <v>6.2</v>
      </c>
      <c r="H13" s="125">
        <v>6.0849803716304631</v>
      </c>
    </row>
    <row r="14" spans="1:8" ht="4.5" customHeight="1" x14ac:dyDescent="0.25">
      <c r="A14" s="182"/>
      <c r="B14" s="182"/>
      <c r="C14" s="182"/>
      <c r="D14" s="182"/>
      <c r="E14" s="182"/>
      <c r="F14" s="182"/>
      <c r="G14" s="182"/>
      <c r="H14" s="182"/>
    </row>
    <row r="15" spans="1:8" ht="15.75" thickBot="1" x14ac:dyDescent="0.3">
      <c r="A15" s="147" t="s">
        <v>65</v>
      </c>
      <c r="B15" s="151"/>
      <c r="C15" s="151"/>
      <c r="D15" s="151"/>
      <c r="E15" s="151"/>
      <c r="F15" s="146"/>
      <c r="G15" s="146"/>
      <c r="H15" s="146"/>
    </row>
    <row r="16" spans="1:8" ht="15.75" customHeight="1" thickBot="1" x14ac:dyDescent="0.3">
      <c r="A16" s="331" t="s">
        <v>66</v>
      </c>
      <c r="B16" s="331" t="s">
        <v>67</v>
      </c>
      <c r="C16" s="11" t="s">
        <v>15</v>
      </c>
      <c r="D16" s="12"/>
      <c r="E16" s="13"/>
      <c r="F16" s="11" t="s">
        <v>16</v>
      </c>
      <c r="G16" s="12"/>
      <c r="H16" s="13"/>
    </row>
    <row r="17" spans="1:8" ht="15.75" thickBot="1" x14ac:dyDescent="0.3">
      <c r="A17" s="332"/>
      <c r="B17" s="332"/>
      <c r="C17" s="148" t="s">
        <v>9</v>
      </c>
      <c r="D17" s="148" t="s">
        <v>10</v>
      </c>
      <c r="E17" s="148" t="s">
        <v>11</v>
      </c>
      <c r="F17" s="148" t="s">
        <v>9</v>
      </c>
      <c r="G17" s="148" t="s">
        <v>10</v>
      </c>
      <c r="H17" s="148" t="s">
        <v>12</v>
      </c>
    </row>
    <row r="18" spans="1:8" x14ac:dyDescent="0.25">
      <c r="A18" s="120">
        <v>191050</v>
      </c>
      <c r="B18" s="119">
        <v>26</v>
      </c>
      <c r="C18" s="124">
        <v>2300</v>
      </c>
      <c r="D18" s="32">
        <v>33600</v>
      </c>
      <c r="E18" s="33">
        <v>7348.0769230769229</v>
      </c>
      <c r="F18" s="123">
        <v>6</v>
      </c>
      <c r="G18" s="122">
        <v>6.1999998092651367</v>
      </c>
      <c r="H18" s="121">
        <v>6.1410179878210904</v>
      </c>
    </row>
    <row r="19" spans="1:8" ht="4.5" customHeight="1" x14ac:dyDescent="0.25">
      <c r="A19" s="182"/>
      <c r="B19" s="182"/>
      <c r="C19" s="182"/>
      <c r="D19" s="182"/>
      <c r="E19" s="182"/>
      <c r="F19" s="182"/>
      <c r="G19" s="182"/>
      <c r="H19" s="182"/>
    </row>
    <row r="20" spans="1:8" ht="16.5" thickBot="1" x14ac:dyDescent="0.3">
      <c r="A20" s="152" t="s">
        <v>68</v>
      </c>
      <c r="B20" s="151"/>
      <c r="C20" s="151"/>
      <c r="D20" s="151"/>
      <c r="E20" s="151"/>
      <c r="F20" s="146"/>
      <c r="G20" s="146"/>
      <c r="H20" s="146"/>
    </row>
    <row r="21" spans="1:8" ht="30" x14ac:dyDescent="0.25">
      <c r="A21" s="200" t="s">
        <v>66</v>
      </c>
      <c r="B21" s="200" t="s">
        <v>14</v>
      </c>
      <c r="C21" s="151"/>
      <c r="D21" s="151"/>
      <c r="E21" s="151"/>
      <c r="F21" s="146"/>
      <c r="G21" s="146"/>
      <c r="H21" s="146"/>
    </row>
    <row r="22" spans="1:8" x14ac:dyDescent="0.25">
      <c r="A22" s="120">
        <v>191050</v>
      </c>
      <c r="B22" s="119">
        <v>26</v>
      </c>
    </row>
    <row r="23" spans="1:8" ht="4.5" customHeight="1" x14ac:dyDescent="0.25">
      <c r="A23" s="182"/>
      <c r="B23" s="182"/>
      <c r="C23" s="151"/>
      <c r="D23" s="151"/>
      <c r="E23" s="151"/>
      <c r="F23" s="146"/>
      <c r="G23" s="146"/>
      <c r="H23" s="146"/>
    </row>
    <row r="24" spans="1:8" ht="15.75" thickBot="1" x14ac:dyDescent="0.3">
      <c r="A24" s="147" t="s">
        <v>69</v>
      </c>
      <c r="B24" s="151"/>
      <c r="C24" s="151"/>
      <c r="D24" s="151"/>
      <c r="E24" s="151"/>
      <c r="F24" s="146"/>
      <c r="G24" s="146"/>
      <c r="H24" s="146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118">
        <v>0</v>
      </c>
      <c r="B27" s="117">
        <v>0</v>
      </c>
    </row>
    <row r="28" spans="1:8" ht="15.75" x14ac:dyDescent="0.25">
      <c r="A28" s="153" t="s">
        <v>100</v>
      </c>
    </row>
    <row r="31" spans="1:8" ht="19.5" thickBot="1" x14ac:dyDescent="0.35">
      <c r="A31" s="79" t="s">
        <v>73</v>
      </c>
    </row>
    <row r="32" spans="1:8" ht="15.75" thickBot="1" x14ac:dyDescent="0.3">
      <c r="A32" s="325" t="s">
        <v>23</v>
      </c>
      <c r="B32" s="80" t="s">
        <v>18</v>
      </c>
      <c r="C32" s="81"/>
      <c r="D32" s="82"/>
      <c r="E32" s="81" t="s">
        <v>31</v>
      </c>
      <c r="F32" s="81"/>
      <c r="G32" s="82"/>
      <c r="H32" s="144"/>
    </row>
    <row r="33" spans="1:8" ht="30.75" thickBot="1" x14ac:dyDescent="0.3">
      <c r="A33" s="326"/>
      <c r="B33" s="143" t="s">
        <v>63</v>
      </c>
      <c r="C33" s="143" t="s">
        <v>20</v>
      </c>
      <c r="D33" s="143" t="s">
        <v>74</v>
      </c>
      <c r="E33" s="154" t="s">
        <v>75</v>
      </c>
      <c r="F33" s="143" t="s">
        <v>32</v>
      </c>
      <c r="G33" s="143" t="s">
        <v>76</v>
      </c>
      <c r="H33" s="144"/>
    </row>
    <row r="34" spans="1:8" x14ac:dyDescent="0.25">
      <c r="A34" s="116" t="s">
        <v>26</v>
      </c>
      <c r="B34" s="145">
        <v>79650</v>
      </c>
      <c r="C34" s="145">
        <v>19</v>
      </c>
      <c r="D34" s="145">
        <v>4192.105263157895</v>
      </c>
      <c r="E34" s="145">
        <v>79650</v>
      </c>
      <c r="F34" s="145">
        <v>19</v>
      </c>
      <c r="G34" s="145">
        <v>4192.105263157895</v>
      </c>
      <c r="H34" s="144"/>
    </row>
    <row r="35" spans="1:8" x14ac:dyDescent="0.25">
      <c r="A35" s="116" t="s">
        <v>27</v>
      </c>
      <c r="B35" s="145">
        <v>41300</v>
      </c>
      <c r="C35" s="145">
        <v>4</v>
      </c>
      <c r="D35" s="145">
        <v>10325</v>
      </c>
      <c r="E35" s="145">
        <v>41300</v>
      </c>
      <c r="F35" s="145">
        <v>4</v>
      </c>
      <c r="G35" s="145">
        <v>10325</v>
      </c>
      <c r="H35" s="144"/>
    </row>
    <row r="36" spans="1:8" x14ac:dyDescent="0.25">
      <c r="A36" s="116" t="s">
        <v>28</v>
      </c>
      <c r="B36" s="145">
        <v>16800</v>
      </c>
      <c r="C36" s="145">
        <v>1</v>
      </c>
      <c r="D36" s="145">
        <v>16800</v>
      </c>
      <c r="E36" s="145">
        <v>16800</v>
      </c>
      <c r="F36" s="145">
        <v>1</v>
      </c>
      <c r="G36" s="145">
        <v>16800</v>
      </c>
      <c r="H36" s="144"/>
    </row>
    <row r="37" spans="1:8" x14ac:dyDescent="0.25">
      <c r="A37" s="116" t="s">
        <v>77</v>
      </c>
      <c r="B37" s="145">
        <v>53300</v>
      </c>
      <c r="C37" s="145">
        <v>2</v>
      </c>
      <c r="D37" s="145">
        <v>26650</v>
      </c>
      <c r="E37" s="145">
        <v>53300</v>
      </c>
      <c r="F37" s="145">
        <v>2</v>
      </c>
      <c r="G37" s="145">
        <v>26650</v>
      </c>
      <c r="H37" s="144"/>
    </row>
    <row r="38" spans="1:8" x14ac:dyDescent="0.25">
      <c r="A38" s="199" t="s">
        <v>78</v>
      </c>
      <c r="B38" s="156">
        <f>SUBTOTAL(109,Tabelle_PV_FFA_Datenbank_FE.accdb21359[Gebotsmenge])</f>
        <v>191050</v>
      </c>
      <c r="C38" s="156">
        <f>SUBTOTAL(109,Tabelle_PV_FFA_Datenbank_FE.accdb21359[Anzahl Gebote])</f>
        <v>26</v>
      </c>
      <c r="E38" s="156">
        <f>SUBTOTAL(109,Tabelle_PV_FFA_Datenbank_FE.accdb21359[Zuschlagsmenge])</f>
        <v>191050</v>
      </c>
      <c r="F38" s="156">
        <f>SUBTOTAL(109,Tabelle_PV_FFA_Datenbank_FE.accdb21359[Anzahl Zuschläge])</f>
        <v>26</v>
      </c>
      <c r="G38" s="156"/>
      <c r="H38" s="144"/>
    </row>
    <row r="39" spans="1:8" x14ac:dyDescent="0.25">
      <c r="A39" s="199"/>
      <c r="B39" s="156"/>
      <c r="C39" s="156"/>
      <c r="E39" s="156"/>
      <c r="F39" s="156"/>
      <c r="G39" s="156"/>
      <c r="H39" s="144"/>
    </row>
    <row r="40" spans="1:8" x14ac:dyDescent="0.25">
      <c r="A40" s="199"/>
      <c r="B40" s="156"/>
      <c r="C40" s="156"/>
      <c r="E40" s="156"/>
      <c r="F40" s="156"/>
      <c r="G40" s="156"/>
      <c r="H40" s="144"/>
    </row>
    <row r="41" spans="1:8" ht="19.5" thickBot="1" x14ac:dyDescent="0.35">
      <c r="A41" s="157" t="s">
        <v>79</v>
      </c>
    </row>
    <row r="42" spans="1:8" ht="15.75" thickBot="1" x14ac:dyDescent="0.3">
      <c r="A42" s="325" t="s">
        <v>80</v>
      </c>
      <c r="B42" s="80" t="s">
        <v>18</v>
      </c>
      <c r="C42" s="81"/>
      <c r="D42" s="82"/>
      <c r="E42" s="81" t="s">
        <v>31</v>
      </c>
      <c r="F42" s="81"/>
      <c r="G42" s="82"/>
    </row>
    <row r="43" spans="1:8" ht="30.75" thickBot="1" x14ac:dyDescent="0.3">
      <c r="A43" s="326"/>
      <c r="B43" s="143" t="s">
        <v>63</v>
      </c>
      <c r="C43" s="143" t="s">
        <v>20</v>
      </c>
      <c r="D43" s="143" t="s">
        <v>74</v>
      </c>
      <c r="E43" s="154" t="s">
        <v>75</v>
      </c>
      <c r="F43" s="143" t="s">
        <v>32</v>
      </c>
      <c r="G43" s="143" t="s">
        <v>76</v>
      </c>
    </row>
    <row r="44" spans="1:8" x14ac:dyDescent="0.25">
      <c r="A44" s="116" t="s">
        <v>41</v>
      </c>
      <c r="B44" s="145">
        <v>41300</v>
      </c>
      <c r="C44" s="145">
        <v>4</v>
      </c>
      <c r="D44" s="145">
        <v>10325</v>
      </c>
      <c r="E44" s="145">
        <v>41300</v>
      </c>
      <c r="F44" s="145">
        <v>4</v>
      </c>
      <c r="G44" s="145">
        <v>10325</v>
      </c>
    </row>
    <row r="45" spans="1:8" x14ac:dyDescent="0.25">
      <c r="A45" s="116" t="s">
        <v>43</v>
      </c>
      <c r="B45" s="145">
        <v>8300</v>
      </c>
      <c r="C45" s="145">
        <v>1</v>
      </c>
      <c r="D45" s="145">
        <v>8300</v>
      </c>
      <c r="E45" s="145">
        <v>8300</v>
      </c>
      <c r="F45" s="145">
        <v>1</v>
      </c>
      <c r="G45" s="145">
        <v>8300</v>
      </c>
    </row>
    <row r="46" spans="1:8" x14ac:dyDescent="0.25">
      <c r="A46" s="199" t="s">
        <v>44</v>
      </c>
      <c r="B46" s="156">
        <v>48350</v>
      </c>
      <c r="C46" s="156">
        <v>9</v>
      </c>
      <c r="D46" s="156">
        <v>5372.2222222222226</v>
      </c>
      <c r="E46" s="156">
        <v>48350</v>
      </c>
      <c r="F46" s="156">
        <v>9</v>
      </c>
      <c r="G46" s="156">
        <v>5372.2222222222226</v>
      </c>
    </row>
    <row r="47" spans="1:8" x14ac:dyDescent="0.25">
      <c r="A47" s="199" t="s">
        <v>45</v>
      </c>
      <c r="B47" s="156">
        <v>36100</v>
      </c>
      <c r="C47" s="156">
        <v>7</v>
      </c>
      <c r="D47" s="156">
        <v>5157.1428571428569</v>
      </c>
      <c r="E47" s="156">
        <v>36100</v>
      </c>
      <c r="F47" s="156">
        <v>7</v>
      </c>
      <c r="G47" s="156">
        <v>5157.1428571428569</v>
      </c>
    </row>
    <row r="48" spans="1:8" x14ac:dyDescent="0.25">
      <c r="A48" s="199" t="s">
        <v>49</v>
      </c>
      <c r="B48" s="156">
        <v>48600</v>
      </c>
      <c r="C48" s="156">
        <v>3</v>
      </c>
      <c r="D48" s="156">
        <v>16200</v>
      </c>
      <c r="E48" s="156">
        <v>48600</v>
      </c>
      <c r="F48" s="156">
        <v>3</v>
      </c>
      <c r="G48" s="156">
        <v>16200</v>
      </c>
    </row>
    <row r="49" spans="1:7" x14ac:dyDescent="0.25">
      <c r="A49" s="199" t="s">
        <v>50</v>
      </c>
      <c r="B49" s="156">
        <v>8400</v>
      </c>
      <c r="C49" s="156">
        <v>2</v>
      </c>
      <c r="D49" s="156">
        <v>4200</v>
      </c>
      <c r="E49" s="156">
        <v>8400</v>
      </c>
      <c r="F49" s="156">
        <v>2</v>
      </c>
      <c r="G49" s="156">
        <v>4200</v>
      </c>
    </row>
    <row r="50" spans="1:7" x14ac:dyDescent="0.25">
      <c r="A50" s="199" t="s">
        <v>78</v>
      </c>
      <c r="B50" s="156">
        <f>SUBTOTAL(109,Tabelle_PV_FFA_Datenbank_FE.accdb245671861[Gebotsmenge])</f>
        <v>191050</v>
      </c>
      <c r="C50" s="156">
        <f>SUBTOTAL(109,Tabelle_PV_FFA_Datenbank_FE.accdb245671861[Anzahl Gebote])</f>
        <v>26</v>
      </c>
      <c r="E50" s="156">
        <f>SUBTOTAL(109,Tabelle_PV_FFA_Datenbank_FE.accdb245671861[Zuschlagsmenge])</f>
        <v>191050</v>
      </c>
      <c r="F50" s="156">
        <f>SUBTOTAL(109,Tabelle_PV_FFA_Datenbank_FE.accdb245671861[Anzahl Zuschläge])</f>
        <v>26</v>
      </c>
      <c r="G50" s="156"/>
    </row>
    <row r="51" spans="1:7" x14ac:dyDescent="0.25">
      <c r="A51" s="199"/>
      <c r="B51" s="156"/>
      <c r="C51" s="156"/>
      <c r="D51" s="156"/>
      <c r="E51" s="156"/>
      <c r="F51" s="156"/>
      <c r="G51" s="156"/>
    </row>
    <row r="52" spans="1:7" ht="15" customHeight="1" x14ac:dyDescent="0.25">
      <c r="B52" s="156"/>
      <c r="C52" s="156"/>
      <c r="D52" s="156"/>
      <c r="E52" s="156"/>
      <c r="F52" s="156"/>
      <c r="G52" s="156"/>
    </row>
    <row r="53" spans="1:7" ht="19.5" thickBot="1" x14ac:dyDescent="0.35">
      <c r="A53" s="79" t="s">
        <v>82</v>
      </c>
    </row>
    <row r="54" spans="1:7" ht="15.75" thickBot="1" x14ac:dyDescent="0.3">
      <c r="A54" s="325" t="s">
        <v>83</v>
      </c>
      <c r="B54" s="80" t="s">
        <v>18</v>
      </c>
      <c r="C54" s="81"/>
      <c r="D54" s="82"/>
      <c r="E54" s="81" t="s">
        <v>31</v>
      </c>
      <c r="F54" s="81"/>
      <c r="G54" s="82"/>
    </row>
    <row r="55" spans="1:7" ht="30.75" thickBot="1" x14ac:dyDescent="0.3">
      <c r="A55" s="326"/>
      <c r="B55" s="143" t="s">
        <v>63</v>
      </c>
      <c r="C55" s="143" t="s">
        <v>20</v>
      </c>
      <c r="D55" s="143" t="s">
        <v>74</v>
      </c>
      <c r="E55" s="154" t="s">
        <v>75</v>
      </c>
      <c r="F55" s="143" t="s">
        <v>32</v>
      </c>
      <c r="G55" s="143" t="s">
        <v>76</v>
      </c>
    </row>
    <row r="56" spans="1:7" x14ac:dyDescent="0.25">
      <c r="A56" s="116" t="s">
        <v>24</v>
      </c>
      <c r="B56" s="145">
        <v>40100</v>
      </c>
      <c r="C56" s="145">
        <v>4</v>
      </c>
      <c r="D56" s="145">
        <v>10025</v>
      </c>
      <c r="E56" s="145">
        <v>40100</v>
      </c>
      <c r="F56" s="145">
        <v>4</v>
      </c>
      <c r="G56" s="145">
        <v>10025</v>
      </c>
    </row>
    <row r="57" spans="1:7" x14ac:dyDescent="0.25">
      <c r="A57" s="180" t="s">
        <v>84</v>
      </c>
      <c r="B57" s="156">
        <v>150950</v>
      </c>
      <c r="C57" s="156">
        <v>22</v>
      </c>
      <c r="D57" s="156">
        <v>6861.363636363636</v>
      </c>
      <c r="E57" s="156">
        <v>150950</v>
      </c>
      <c r="F57" s="156">
        <v>22</v>
      </c>
      <c r="G57" s="156">
        <v>6861.363636363636</v>
      </c>
    </row>
    <row r="58" spans="1:7" x14ac:dyDescent="0.25">
      <c r="A58" s="180" t="s">
        <v>78</v>
      </c>
      <c r="B58" s="156">
        <f>SUBTOTAL(109,Tabelle_PV_FFA_Datenbank_FE.accdb24561663[Gebotsmenge])</f>
        <v>191050</v>
      </c>
      <c r="C58" s="156">
        <f>SUBTOTAL(109,Tabelle_PV_FFA_Datenbank_FE.accdb24561663[Anzahl Gebote])</f>
        <v>26</v>
      </c>
      <c r="E58" s="156">
        <f>SUBTOTAL(109,Tabelle_PV_FFA_Datenbank_FE.accdb24561663[Zuschlagsmenge])</f>
        <v>191050</v>
      </c>
      <c r="F58" s="156">
        <f>SUBTOTAL(109,Tabelle_PV_FFA_Datenbank_FE.accdb24561663[Anzahl Zuschläge])</f>
        <v>26</v>
      </c>
      <c r="G58" s="156"/>
    </row>
    <row r="59" spans="1:7" x14ac:dyDescent="0.25">
      <c r="B59" s="156"/>
      <c r="C59" s="156"/>
      <c r="E59" s="156"/>
      <c r="F59" s="156"/>
    </row>
    <row r="60" spans="1:7" x14ac:dyDescent="0.25">
      <c r="A60" s="199"/>
      <c r="B60" s="156"/>
      <c r="C60" s="156"/>
      <c r="D60" s="156"/>
      <c r="E60" s="156"/>
      <c r="F60" s="156"/>
      <c r="G60" s="156"/>
    </row>
    <row r="61" spans="1:7" ht="19.5" thickBot="1" x14ac:dyDescent="0.35">
      <c r="A61" s="79" t="s">
        <v>85</v>
      </c>
    </row>
    <row r="62" spans="1:7" ht="15.75" thickBot="1" x14ac:dyDescent="0.3">
      <c r="A62" s="325" t="s">
        <v>86</v>
      </c>
      <c r="B62" s="80" t="s">
        <v>18</v>
      </c>
      <c r="C62" s="81"/>
      <c r="D62" s="82"/>
      <c r="E62" s="81" t="s">
        <v>31</v>
      </c>
      <c r="F62" s="81"/>
      <c r="G62" s="82"/>
    </row>
    <row r="63" spans="1:7" ht="30.75" thickBot="1" x14ac:dyDescent="0.3">
      <c r="A63" s="338"/>
      <c r="B63" s="143" t="s">
        <v>63</v>
      </c>
      <c r="C63" s="143" t="s">
        <v>20</v>
      </c>
      <c r="D63" s="143" t="s">
        <v>74</v>
      </c>
      <c r="E63" s="154" t="s">
        <v>75</v>
      </c>
      <c r="F63" s="143" t="s">
        <v>32</v>
      </c>
      <c r="G63" s="143" t="s">
        <v>76</v>
      </c>
    </row>
    <row r="64" spans="1:7" x14ac:dyDescent="0.25">
      <c r="A64" s="116" t="s">
        <v>87</v>
      </c>
      <c r="B64" s="145">
        <v>36450</v>
      </c>
      <c r="C64" s="145">
        <v>9</v>
      </c>
      <c r="D64" s="145">
        <v>4050</v>
      </c>
      <c r="E64" s="145">
        <v>36450</v>
      </c>
      <c r="F64" s="145">
        <v>9</v>
      </c>
      <c r="G64" s="145">
        <v>4050</v>
      </c>
    </row>
    <row r="65" spans="1:7" x14ac:dyDescent="0.25">
      <c r="A65" s="180" t="s">
        <v>115</v>
      </c>
      <c r="B65" s="156">
        <v>16800</v>
      </c>
      <c r="C65" s="156">
        <v>1</v>
      </c>
      <c r="D65" s="156">
        <v>16800</v>
      </c>
      <c r="E65" s="156">
        <v>16800</v>
      </c>
      <c r="F65" s="156">
        <v>1</v>
      </c>
      <c r="G65" s="156">
        <v>16800</v>
      </c>
    </row>
    <row r="66" spans="1:7" x14ac:dyDescent="0.25">
      <c r="A66" s="180" t="s">
        <v>90</v>
      </c>
      <c r="B66" s="156">
        <v>3600</v>
      </c>
      <c r="C66" s="156">
        <v>1</v>
      </c>
      <c r="D66" s="156">
        <v>3600</v>
      </c>
      <c r="E66" s="156">
        <v>3600</v>
      </c>
      <c r="F66" s="156">
        <v>1</v>
      </c>
      <c r="G66" s="156">
        <v>3600</v>
      </c>
    </row>
    <row r="67" spans="1:7" x14ac:dyDescent="0.25">
      <c r="A67" s="180" t="s">
        <v>91</v>
      </c>
      <c r="B67" s="180">
        <v>10700</v>
      </c>
      <c r="C67" s="180">
        <v>3</v>
      </c>
      <c r="D67" s="156">
        <v>3566.6666666666665</v>
      </c>
      <c r="E67" s="180">
        <v>10700</v>
      </c>
      <c r="F67" s="180">
        <v>3</v>
      </c>
      <c r="G67" s="180">
        <v>3566.6666666666665</v>
      </c>
    </row>
    <row r="68" spans="1:7" x14ac:dyDescent="0.25">
      <c r="A68" s="180" t="s">
        <v>92</v>
      </c>
      <c r="B68" s="156">
        <v>112500</v>
      </c>
      <c r="C68" s="156">
        <v>11</v>
      </c>
      <c r="D68" s="156">
        <v>10227.272727272728</v>
      </c>
      <c r="E68" s="156">
        <v>112500</v>
      </c>
      <c r="F68" s="156">
        <v>11</v>
      </c>
      <c r="G68" s="156">
        <v>10227.272727272728</v>
      </c>
    </row>
    <row r="69" spans="1:7" x14ac:dyDescent="0.25">
      <c r="A69" s="180" t="s">
        <v>94</v>
      </c>
      <c r="B69" s="156">
        <v>11000</v>
      </c>
      <c r="C69" s="156">
        <v>1</v>
      </c>
      <c r="D69" s="156">
        <v>11000</v>
      </c>
      <c r="E69" s="156">
        <v>11000</v>
      </c>
      <c r="F69" s="156">
        <v>1</v>
      </c>
      <c r="G69" s="156">
        <v>11000</v>
      </c>
    </row>
    <row r="70" spans="1:7" x14ac:dyDescent="0.25">
      <c r="A70" s="180" t="s">
        <v>78</v>
      </c>
      <c r="B70" s="156">
        <f>SUBTOTAL(109,Tabelle_PV_FFA_Datenbank_FE.accdb241260[Gebotsmenge])</f>
        <v>191050</v>
      </c>
      <c r="C70" s="156">
        <f>SUBTOTAL(109,Tabelle_PV_FFA_Datenbank_FE.accdb241260[Anzahl Gebote])</f>
        <v>26</v>
      </c>
      <c r="E70" s="156">
        <f>SUBTOTAL(109,Tabelle_PV_FFA_Datenbank_FE.accdb241260[Zuschlagsmenge])</f>
        <v>191050</v>
      </c>
      <c r="F70" s="156">
        <f>SUBTOTAL(109,Tabelle_PV_FFA_Datenbank_FE.accdb241260[Anzahl Zuschläge])</f>
        <v>26</v>
      </c>
      <c r="G70" s="156"/>
    </row>
    <row r="71" spans="1:7" x14ac:dyDescent="0.25">
      <c r="B71" s="156"/>
      <c r="C71" s="156"/>
      <c r="D71" s="156"/>
      <c r="E71" s="156"/>
      <c r="F71" s="156"/>
      <c r="G71" s="156"/>
    </row>
    <row r="72" spans="1:7" x14ac:dyDescent="0.25">
      <c r="B72" s="156"/>
      <c r="C72" s="156"/>
      <c r="D72" s="156"/>
      <c r="E72" s="156"/>
      <c r="F72" s="156"/>
      <c r="G72" s="156"/>
    </row>
    <row r="73" spans="1:7" ht="19.5" thickBot="1" x14ac:dyDescent="0.35">
      <c r="A73" s="157" t="s">
        <v>95</v>
      </c>
    </row>
    <row r="74" spans="1:7" ht="15.75" thickBot="1" x14ac:dyDescent="0.3">
      <c r="A74" s="325" t="s">
        <v>80</v>
      </c>
      <c r="B74" s="80" t="s">
        <v>18</v>
      </c>
      <c r="C74" s="81"/>
      <c r="D74" s="82"/>
      <c r="E74" s="81" t="s">
        <v>31</v>
      </c>
      <c r="F74" s="81"/>
      <c r="G74" s="82"/>
    </row>
    <row r="75" spans="1:7" ht="30.75" thickBot="1" x14ac:dyDescent="0.3">
      <c r="A75" s="326"/>
      <c r="B75" s="143" t="s">
        <v>63</v>
      </c>
      <c r="C75" s="143" t="s">
        <v>20</v>
      </c>
      <c r="D75" s="143" t="s">
        <v>74</v>
      </c>
      <c r="E75" s="154" t="s">
        <v>75</v>
      </c>
      <c r="F75" s="143" t="s">
        <v>32</v>
      </c>
      <c r="G75" s="143" t="s">
        <v>76</v>
      </c>
    </row>
    <row r="76" spans="1:7" x14ac:dyDescent="0.25">
      <c r="A76" s="199" t="s">
        <v>43</v>
      </c>
      <c r="B76" s="156">
        <v>8300</v>
      </c>
      <c r="C76" s="156">
        <v>1</v>
      </c>
      <c r="D76" s="156">
        <v>8300</v>
      </c>
      <c r="E76" s="156">
        <v>8300</v>
      </c>
      <c r="F76" s="156">
        <v>1</v>
      </c>
      <c r="G76" s="156">
        <v>8300</v>
      </c>
    </row>
    <row r="77" spans="1:7" x14ac:dyDescent="0.25">
      <c r="A77" s="180" t="s">
        <v>49</v>
      </c>
      <c r="B77" s="156">
        <v>48600</v>
      </c>
      <c r="C77" s="156">
        <v>3</v>
      </c>
      <c r="D77" s="156">
        <v>16200</v>
      </c>
      <c r="E77" s="156">
        <v>48600</v>
      </c>
      <c r="F77" s="156">
        <v>3</v>
      </c>
      <c r="G77" s="156">
        <v>16200</v>
      </c>
    </row>
    <row r="78" spans="1:7" x14ac:dyDescent="0.25">
      <c r="A78" s="180" t="s">
        <v>78</v>
      </c>
      <c r="B78" s="156">
        <f>SUBTOTAL(109,Tabelle_PV_FFA_Datenbank_FE.accdb2456792062[Gebotsmenge])</f>
        <v>56900</v>
      </c>
      <c r="C78" s="156">
        <f>SUBTOTAL(109,Tabelle_PV_FFA_Datenbank_FE.accdb2456792062[Anzahl Gebote])</f>
        <v>4</v>
      </c>
      <c r="E78" s="156">
        <f>SUBTOTAL(109,Tabelle_PV_FFA_Datenbank_FE.accdb2456792062[Zuschlagsmenge])</f>
        <v>56900</v>
      </c>
      <c r="F78" s="156">
        <f>SUBTOTAL(109,Tabelle_PV_FFA_Datenbank_FE.accdb2456792062[Anzahl Zuschläge])</f>
        <v>4</v>
      </c>
      <c r="G78" s="156"/>
    </row>
    <row r="79" spans="1:7" x14ac:dyDescent="0.25">
      <c r="B79" s="156"/>
      <c r="C79" s="156"/>
      <c r="D79" s="156"/>
      <c r="E79" s="156"/>
      <c r="F79" s="156"/>
      <c r="G79" s="156"/>
    </row>
  </sheetData>
  <protectedRanges>
    <protectedRange sqref="B3" name="Bereich1"/>
  </protectedRanges>
  <mergeCells count="12">
    <mergeCell ref="B25:B26"/>
    <mergeCell ref="A1:F1"/>
    <mergeCell ref="A11:A12"/>
    <mergeCell ref="B11:B12"/>
    <mergeCell ref="A16:A17"/>
    <mergeCell ref="B16:B17"/>
    <mergeCell ref="A25:A26"/>
    <mergeCell ref="A62:A63"/>
    <mergeCell ref="A74:A75"/>
    <mergeCell ref="A32:A33"/>
    <mergeCell ref="A42:A43"/>
    <mergeCell ref="A54:A55"/>
  </mergeCells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custom" allowBlank="1" showInputMessage="1" showErrorMessage="1" xr:uid="{00000000-0002-0000-0A00-000000000000}">
          <x14:formula1>
            <xm:f>VLOOKUP(C3,'K:\Referatslaufwerk\EEG\8175 Ausschreibungen\8175-00 Allgemein\Statistik_Veröffentlichung\[Statistik_Veröffentlichung_Wind.xlsm]Gebotstermine'!#REF!,2,FALSE)</xm:f>
          </x14:formula1>
          <xm:sqref>D3</xm:sqref>
        </x14:dataValidation>
        <x14:dataValidation type="list" showInputMessage="1" showErrorMessage="1" xr:uid="{00000000-0002-0000-0A00-000001000000}">
          <x14:formula1>
            <xm:f>'K:\Referatslaufwerk\EEG\8175 Ausschreibungen\8175-00 Allgemein\Statistik_Veröffentlichung\[Statistik_Veröffentlichung_Wind.xlsm]Gebotstermine'!#REF!</xm:f>
          </x14:formula1>
          <xm:sqref>B3</xm:sqref>
        </x14:dataValidation>
        <x14:dataValidation type="list" allowBlank="1" showInputMessage="1" showErrorMessage="1" xr:uid="{00000000-0002-0000-0A00-000002000000}">
          <x14:formula1>
            <xm:f>'K:\Referatslaufwerk\EEG\8175 Ausschreibungen\8175-00 Allgemein\Statistik_Veröffentlichung\[Statistik_Veröffentlichung_Wind.xlsm]Gebotstermine'!#REF!</xm:f>
          </x14:formula1>
          <xm:sqref>I3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56">
    <tabColor rgb="FF0070C0"/>
  </sheetPr>
  <dimension ref="A1:H84"/>
  <sheetViews>
    <sheetView showGridLines="0" topLeftCell="A58" zoomScaleNormal="100" workbookViewId="0">
      <selection activeCell="E83" sqref="E83"/>
    </sheetView>
  </sheetViews>
  <sheetFormatPr defaultColWidth="9.140625" defaultRowHeight="15" x14ac:dyDescent="0.25"/>
  <cols>
    <col min="1" max="1" width="47.5703125" style="180" customWidth="1"/>
    <col min="2" max="43" width="19.28515625" style="180" customWidth="1"/>
    <col min="44" max="16384" width="9.140625" style="180"/>
  </cols>
  <sheetData>
    <row r="1" spans="1:8" s="195" customFormat="1" ht="42.75" customHeight="1" x14ac:dyDescent="0.25">
      <c r="A1" s="339" t="s">
        <v>64</v>
      </c>
      <c r="B1" s="340"/>
      <c r="C1" s="340"/>
      <c r="D1" s="340"/>
      <c r="E1" s="340"/>
      <c r="F1" s="340"/>
      <c r="H1" s="136" t="s">
        <v>113</v>
      </c>
    </row>
    <row r="2" spans="1:8" s="195" customFormat="1" ht="23.25" x14ac:dyDescent="0.25">
      <c r="A2" s="181"/>
    </row>
    <row r="3" spans="1:8" x14ac:dyDescent="0.25">
      <c r="A3" s="137" t="s">
        <v>1</v>
      </c>
      <c r="B3" s="138">
        <v>43983</v>
      </c>
      <c r="C3" s="139" t="e">
        <f ca="1">OFFSET([5]!Gebotstermine[[#Headers],[terGebotsterminID]],MATCH(Gebotstermin,[5]!Gebotstermine[terGebotstermin],0),,,)</f>
        <v>#REF!</v>
      </c>
    </row>
    <row r="4" spans="1:8" x14ac:dyDescent="0.25">
      <c r="A4" s="140"/>
      <c r="B4" s="141"/>
    </row>
    <row r="6" spans="1:8" ht="19.5" thickBot="1" x14ac:dyDescent="0.35">
      <c r="A6" s="142" t="s">
        <v>2</v>
      </c>
    </row>
    <row r="7" spans="1:8" ht="45.75" thickBot="1" x14ac:dyDescent="0.3">
      <c r="A7" s="143" t="s">
        <v>3</v>
      </c>
      <c r="B7" s="143" t="s">
        <v>4</v>
      </c>
      <c r="F7" s="144"/>
      <c r="G7" s="145"/>
      <c r="H7" s="145"/>
    </row>
    <row r="8" spans="1:8" x14ac:dyDescent="0.25">
      <c r="A8" s="133">
        <v>825527</v>
      </c>
      <c r="B8" s="146">
        <v>6.1999998092651367</v>
      </c>
    </row>
    <row r="9" spans="1:8" ht="18.75" x14ac:dyDescent="0.3">
      <c r="A9" s="142"/>
    </row>
    <row r="10" spans="1:8" ht="15.75" thickBot="1" x14ac:dyDescent="0.3">
      <c r="A10" s="147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11" t="s">
        <v>7</v>
      </c>
      <c r="D11" s="12"/>
      <c r="E11" s="13"/>
      <c r="F11" s="11" t="s">
        <v>8</v>
      </c>
      <c r="G11" s="12"/>
      <c r="H11" s="13"/>
    </row>
    <row r="12" spans="1:8" ht="15.75" thickBot="1" x14ac:dyDescent="0.3">
      <c r="A12" s="332"/>
      <c r="B12" s="332"/>
      <c r="C12" s="148" t="s">
        <v>9</v>
      </c>
      <c r="D12" s="148" t="s">
        <v>10</v>
      </c>
      <c r="E12" s="148" t="s">
        <v>11</v>
      </c>
      <c r="F12" s="148" t="s">
        <v>9</v>
      </c>
      <c r="G12" s="148" t="s">
        <v>10</v>
      </c>
      <c r="H12" s="149" t="s">
        <v>12</v>
      </c>
    </row>
    <row r="13" spans="1:8" x14ac:dyDescent="0.25">
      <c r="A13" s="132">
        <v>467590</v>
      </c>
      <c r="B13" s="131">
        <v>62</v>
      </c>
      <c r="C13" s="130">
        <v>2300</v>
      </c>
      <c r="D13" s="129">
        <v>20400</v>
      </c>
      <c r="E13" s="128">
        <v>7541.7741935483873</v>
      </c>
      <c r="F13" s="127">
        <v>5.9</v>
      </c>
      <c r="G13" s="126">
        <v>6.2</v>
      </c>
      <c r="H13" s="125">
        <v>6.135732158514938</v>
      </c>
    </row>
    <row r="14" spans="1:8" ht="4.5" customHeight="1" x14ac:dyDescent="0.25">
      <c r="A14" s="182"/>
      <c r="B14" s="182"/>
      <c r="C14" s="182"/>
      <c r="D14" s="182"/>
      <c r="E14" s="182"/>
      <c r="F14" s="182"/>
      <c r="G14" s="182"/>
      <c r="H14" s="182"/>
    </row>
    <row r="15" spans="1:8" ht="15.75" thickBot="1" x14ac:dyDescent="0.3">
      <c r="A15" s="147" t="s">
        <v>65</v>
      </c>
      <c r="B15" s="151"/>
      <c r="C15" s="151"/>
      <c r="D15" s="151"/>
      <c r="E15" s="151"/>
      <c r="F15" s="146"/>
      <c r="G15" s="146"/>
      <c r="H15" s="146"/>
    </row>
    <row r="16" spans="1:8" ht="15.75" customHeight="1" thickBot="1" x14ac:dyDescent="0.3">
      <c r="A16" s="331" t="s">
        <v>66</v>
      </c>
      <c r="B16" s="331" t="s">
        <v>67</v>
      </c>
      <c r="C16" s="11" t="s">
        <v>15</v>
      </c>
      <c r="D16" s="12"/>
      <c r="E16" s="13"/>
      <c r="F16" s="11" t="s">
        <v>16</v>
      </c>
      <c r="G16" s="12"/>
      <c r="H16" s="13"/>
    </row>
    <row r="17" spans="1:8" ht="15.75" thickBot="1" x14ac:dyDescent="0.3">
      <c r="A17" s="332"/>
      <c r="B17" s="332"/>
      <c r="C17" s="148" t="s">
        <v>9</v>
      </c>
      <c r="D17" s="148" t="s">
        <v>10</v>
      </c>
      <c r="E17" s="148" t="s">
        <v>11</v>
      </c>
      <c r="F17" s="148" t="s">
        <v>9</v>
      </c>
      <c r="G17" s="148" t="s">
        <v>10</v>
      </c>
      <c r="H17" s="148" t="s">
        <v>12</v>
      </c>
    </row>
    <row r="18" spans="1:8" x14ac:dyDescent="0.25">
      <c r="A18" s="120">
        <v>463990</v>
      </c>
      <c r="B18" s="119">
        <v>61</v>
      </c>
      <c r="C18" s="124">
        <v>2300</v>
      </c>
      <c r="D18" s="32">
        <v>20400</v>
      </c>
      <c r="E18" s="33">
        <v>7606.3934426229507</v>
      </c>
      <c r="F18" s="123">
        <v>5.9000000953674316</v>
      </c>
      <c r="G18" s="122">
        <v>6.1999998092651367</v>
      </c>
      <c r="H18" s="121">
        <v>6.1448995607310692</v>
      </c>
    </row>
    <row r="19" spans="1:8" ht="4.5" customHeight="1" x14ac:dyDescent="0.25">
      <c r="A19" s="182"/>
      <c r="B19" s="182"/>
      <c r="C19" s="182"/>
      <c r="D19" s="182"/>
      <c r="E19" s="182"/>
      <c r="F19" s="182"/>
      <c r="G19" s="182"/>
      <c r="H19" s="182"/>
    </row>
    <row r="20" spans="1:8" ht="16.5" thickBot="1" x14ac:dyDescent="0.3">
      <c r="A20" s="152" t="s">
        <v>68</v>
      </c>
      <c r="B20" s="151"/>
      <c r="C20" s="151"/>
      <c r="D20" s="151"/>
      <c r="E20" s="151"/>
      <c r="F20" s="146"/>
      <c r="G20" s="146"/>
      <c r="H20" s="146"/>
    </row>
    <row r="21" spans="1:8" ht="30" x14ac:dyDescent="0.25">
      <c r="A21" s="196" t="s">
        <v>66</v>
      </c>
      <c r="B21" s="196" t="s">
        <v>14</v>
      </c>
      <c r="C21" s="151"/>
      <c r="D21" s="151"/>
      <c r="E21" s="151"/>
      <c r="F21" s="146"/>
      <c r="G21" s="146"/>
      <c r="H21" s="146"/>
    </row>
    <row r="22" spans="1:8" x14ac:dyDescent="0.25">
      <c r="A22" s="120">
        <v>463990</v>
      </c>
      <c r="B22" s="119">
        <v>61</v>
      </c>
    </row>
    <row r="23" spans="1:8" ht="4.5" customHeight="1" x14ac:dyDescent="0.25">
      <c r="A23" s="182"/>
      <c r="B23" s="182"/>
      <c r="C23" s="151"/>
      <c r="D23" s="151"/>
      <c r="E23" s="151"/>
      <c r="F23" s="146"/>
      <c r="G23" s="146"/>
      <c r="H23" s="146"/>
    </row>
    <row r="24" spans="1:8" ht="15.75" thickBot="1" x14ac:dyDescent="0.3">
      <c r="A24" s="147" t="s">
        <v>69</v>
      </c>
      <c r="B24" s="151"/>
      <c r="C24" s="151"/>
      <c r="D24" s="151"/>
      <c r="E24" s="151"/>
      <c r="F24" s="146"/>
      <c r="G24" s="146"/>
      <c r="H24" s="146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118">
        <v>3600</v>
      </c>
      <c r="B27" s="117">
        <v>1</v>
      </c>
    </row>
    <row r="28" spans="1:8" ht="15.75" x14ac:dyDescent="0.25">
      <c r="A28" s="153" t="s">
        <v>100</v>
      </c>
    </row>
    <row r="31" spans="1:8" ht="19.5" thickBot="1" x14ac:dyDescent="0.35">
      <c r="A31" s="79" t="s">
        <v>73</v>
      </c>
    </row>
    <row r="32" spans="1:8" ht="15.75" thickBot="1" x14ac:dyDescent="0.3">
      <c r="A32" s="325" t="s">
        <v>23</v>
      </c>
      <c r="B32" s="80" t="s">
        <v>18</v>
      </c>
      <c r="C32" s="81"/>
      <c r="D32" s="82"/>
      <c r="E32" s="81" t="s">
        <v>31</v>
      </c>
      <c r="F32" s="81"/>
      <c r="G32" s="82"/>
      <c r="H32" s="144"/>
    </row>
    <row r="33" spans="1:8" ht="30.75" thickBot="1" x14ac:dyDescent="0.3">
      <c r="A33" s="326"/>
      <c r="B33" s="143" t="s">
        <v>63</v>
      </c>
      <c r="C33" s="143" t="s">
        <v>20</v>
      </c>
      <c r="D33" s="143" t="s">
        <v>74</v>
      </c>
      <c r="E33" s="154" t="s">
        <v>75</v>
      </c>
      <c r="F33" s="143" t="s">
        <v>32</v>
      </c>
      <c r="G33" s="143" t="s">
        <v>76</v>
      </c>
      <c r="H33" s="144"/>
    </row>
    <row r="34" spans="1:8" x14ac:dyDescent="0.25">
      <c r="A34" s="116" t="s">
        <v>26</v>
      </c>
      <c r="B34" s="145">
        <v>142950</v>
      </c>
      <c r="C34" s="145">
        <v>37</v>
      </c>
      <c r="D34" s="145">
        <v>3863.5135135135133</v>
      </c>
      <c r="E34" s="145">
        <v>139350</v>
      </c>
      <c r="F34" s="145">
        <v>36</v>
      </c>
      <c r="G34" s="145">
        <v>3870.8333333333335</v>
      </c>
      <c r="H34" s="144"/>
    </row>
    <row r="35" spans="1:8" x14ac:dyDescent="0.25">
      <c r="A35" s="116" t="s">
        <v>27</v>
      </c>
      <c r="B35" s="145">
        <v>108900</v>
      </c>
      <c r="C35" s="145">
        <v>12</v>
      </c>
      <c r="D35" s="145">
        <v>9075</v>
      </c>
      <c r="E35" s="145">
        <v>108900</v>
      </c>
      <c r="F35" s="145">
        <v>12</v>
      </c>
      <c r="G35" s="145">
        <v>9075</v>
      </c>
      <c r="H35" s="144"/>
    </row>
    <row r="36" spans="1:8" x14ac:dyDescent="0.25">
      <c r="A36" s="116" t="s">
        <v>28</v>
      </c>
      <c r="B36" s="145">
        <v>177040</v>
      </c>
      <c r="C36" s="145">
        <v>11</v>
      </c>
      <c r="D36" s="145">
        <v>16094.545454545454</v>
      </c>
      <c r="E36" s="145">
        <v>177040</v>
      </c>
      <c r="F36" s="145">
        <v>11</v>
      </c>
      <c r="G36" s="145">
        <v>16094.545454545454</v>
      </c>
      <c r="H36" s="144"/>
    </row>
    <row r="37" spans="1:8" x14ac:dyDescent="0.25">
      <c r="A37" s="116" t="s">
        <v>77</v>
      </c>
      <c r="B37" s="145">
        <v>38700</v>
      </c>
      <c r="C37" s="145">
        <v>2</v>
      </c>
      <c r="D37" s="145">
        <v>19350</v>
      </c>
      <c r="E37" s="145">
        <v>38700</v>
      </c>
      <c r="F37" s="145">
        <v>2</v>
      </c>
      <c r="G37" s="145">
        <v>19350</v>
      </c>
      <c r="H37" s="144"/>
    </row>
    <row r="38" spans="1:8" x14ac:dyDescent="0.25">
      <c r="A38" s="197" t="s">
        <v>78</v>
      </c>
      <c r="B38" s="156">
        <f>SUBTOTAL(109,Tabelle_PV_FFA_Datenbank_FE.accdb21347[Gebotsmenge])</f>
        <v>467590</v>
      </c>
      <c r="C38" s="156">
        <f>SUBTOTAL(109,Tabelle_PV_FFA_Datenbank_FE.accdb21347[Anzahl Gebote])</f>
        <v>62</v>
      </c>
      <c r="E38" s="156">
        <f>SUBTOTAL(109,Tabelle_PV_FFA_Datenbank_FE.accdb21347[Zuschlagsmenge])</f>
        <v>463990</v>
      </c>
      <c r="F38" s="156">
        <f>SUBTOTAL(109,Tabelle_PV_FFA_Datenbank_FE.accdb21347[Anzahl Zuschläge])</f>
        <v>61</v>
      </c>
      <c r="G38" s="156"/>
      <c r="H38" s="144"/>
    </row>
    <row r="39" spans="1:8" x14ac:dyDescent="0.25">
      <c r="A39" s="197"/>
      <c r="B39" s="156"/>
      <c r="C39" s="156"/>
      <c r="E39" s="156"/>
      <c r="F39" s="156"/>
      <c r="G39" s="156"/>
      <c r="H39" s="144"/>
    </row>
    <row r="40" spans="1:8" x14ac:dyDescent="0.25">
      <c r="A40" s="197"/>
      <c r="B40" s="156"/>
      <c r="C40" s="156"/>
      <c r="E40" s="156"/>
      <c r="F40" s="156"/>
      <c r="G40" s="156"/>
      <c r="H40" s="144"/>
    </row>
    <row r="41" spans="1:8" ht="19.5" thickBot="1" x14ac:dyDescent="0.35">
      <c r="A41" s="157" t="s">
        <v>79</v>
      </c>
    </row>
    <row r="42" spans="1:8" ht="15.75" thickBot="1" x14ac:dyDescent="0.3">
      <c r="A42" s="325" t="s">
        <v>80</v>
      </c>
      <c r="B42" s="80" t="s">
        <v>18</v>
      </c>
      <c r="C42" s="81"/>
      <c r="D42" s="82"/>
      <c r="E42" s="81" t="s">
        <v>31</v>
      </c>
      <c r="F42" s="81"/>
      <c r="G42" s="82"/>
    </row>
    <row r="43" spans="1:8" ht="30.75" thickBot="1" x14ac:dyDescent="0.3">
      <c r="A43" s="326"/>
      <c r="B43" s="143" t="s">
        <v>63</v>
      </c>
      <c r="C43" s="143" t="s">
        <v>20</v>
      </c>
      <c r="D43" s="143" t="s">
        <v>74</v>
      </c>
      <c r="E43" s="154" t="s">
        <v>75</v>
      </c>
      <c r="F43" s="143" t="s">
        <v>32</v>
      </c>
      <c r="G43" s="143" t="s">
        <v>76</v>
      </c>
    </row>
    <row r="44" spans="1:8" x14ac:dyDescent="0.25">
      <c r="A44" s="116" t="s">
        <v>40</v>
      </c>
      <c r="B44" s="145">
        <v>13500</v>
      </c>
      <c r="C44" s="145">
        <v>1</v>
      </c>
      <c r="D44" s="145">
        <v>13500</v>
      </c>
      <c r="E44" s="145">
        <v>13500</v>
      </c>
      <c r="F44" s="145">
        <v>1</v>
      </c>
      <c r="G44" s="145">
        <v>13500</v>
      </c>
    </row>
    <row r="45" spans="1:8" x14ac:dyDescent="0.25">
      <c r="A45" s="116" t="s">
        <v>41</v>
      </c>
      <c r="B45" s="145">
        <v>86000</v>
      </c>
      <c r="C45" s="145">
        <v>8</v>
      </c>
      <c r="D45" s="145">
        <v>10750</v>
      </c>
      <c r="E45" s="145">
        <v>86000</v>
      </c>
      <c r="F45" s="145">
        <v>8</v>
      </c>
      <c r="G45" s="145">
        <v>10750</v>
      </c>
    </row>
    <row r="46" spans="1:8" x14ac:dyDescent="0.25">
      <c r="A46" s="197" t="s">
        <v>42</v>
      </c>
      <c r="B46" s="156">
        <v>13500</v>
      </c>
      <c r="C46" s="156">
        <v>1</v>
      </c>
      <c r="D46" s="156">
        <v>13500</v>
      </c>
      <c r="E46" s="156">
        <v>13500</v>
      </c>
      <c r="F46" s="156">
        <v>1</v>
      </c>
      <c r="G46" s="156">
        <v>13500</v>
      </c>
    </row>
    <row r="47" spans="1:8" x14ac:dyDescent="0.25">
      <c r="A47" s="197" t="s">
        <v>43</v>
      </c>
      <c r="B47" s="156">
        <v>2300</v>
      </c>
      <c r="C47" s="156">
        <v>1</v>
      </c>
      <c r="D47" s="156">
        <v>2300</v>
      </c>
      <c r="E47" s="156">
        <v>2300</v>
      </c>
      <c r="F47" s="156">
        <v>1</v>
      </c>
      <c r="G47" s="156">
        <v>2300</v>
      </c>
    </row>
    <row r="48" spans="1:8" x14ac:dyDescent="0.25">
      <c r="A48" s="197" t="s">
        <v>44</v>
      </c>
      <c r="B48" s="156">
        <v>16800</v>
      </c>
      <c r="C48" s="156">
        <v>1</v>
      </c>
      <c r="D48" s="156">
        <v>16800</v>
      </c>
      <c r="E48" s="156">
        <v>16800</v>
      </c>
      <c r="F48" s="156">
        <v>1</v>
      </c>
      <c r="G48" s="156">
        <v>16800</v>
      </c>
    </row>
    <row r="49" spans="1:7" x14ac:dyDescent="0.25">
      <c r="A49" s="197" t="s">
        <v>45</v>
      </c>
      <c r="B49" s="156">
        <v>100450</v>
      </c>
      <c r="C49" s="156">
        <v>17</v>
      </c>
      <c r="D49" s="156">
        <v>5908.8235294117649</v>
      </c>
      <c r="E49" s="156">
        <v>96850</v>
      </c>
      <c r="F49" s="156">
        <v>16</v>
      </c>
      <c r="G49" s="156">
        <v>6053.125</v>
      </c>
    </row>
    <row r="50" spans="1:7" x14ac:dyDescent="0.25">
      <c r="A50" s="197" t="s">
        <v>46</v>
      </c>
      <c r="B50" s="156">
        <v>32700</v>
      </c>
      <c r="C50" s="156">
        <v>3</v>
      </c>
      <c r="D50" s="156">
        <v>10900</v>
      </c>
      <c r="E50" s="156">
        <v>32700</v>
      </c>
      <c r="F50" s="156">
        <v>3</v>
      </c>
      <c r="G50" s="156">
        <v>10900</v>
      </c>
    </row>
    <row r="51" spans="1:7" x14ac:dyDescent="0.25">
      <c r="A51" s="197" t="s">
        <v>47</v>
      </c>
      <c r="B51" s="156">
        <v>27000</v>
      </c>
      <c r="C51" s="156">
        <v>4</v>
      </c>
      <c r="D51" s="156">
        <v>6750</v>
      </c>
      <c r="E51" s="156">
        <v>27000</v>
      </c>
      <c r="F51" s="156">
        <v>4</v>
      </c>
      <c r="G51" s="156">
        <v>6750</v>
      </c>
    </row>
    <row r="52" spans="1:7" x14ac:dyDescent="0.25">
      <c r="A52" s="180" t="s">
        <v>48</v>
      </c>
      <c r="B52" s="156">
        <v>34000</v>
      </c>
      <c r="C52" s="156">
        <v>2</v>
      </c>
      <c r="D52" s="156">
        <v>17000</v>
      </c>
      <c r="E52" s="156">
        <v>34000</v>
      </c>
      <c r="F52" s="156">
        <v>2</v>
      </c>
      <c r="G52" s="156">
        <v>17000</v>
      </c>
    </row>
    <row r="53" spans="1:7" x14ac:dyDescent="0.25">
      <c r="A53" s="180" t="s">
        <v>49</v>
      </c>
      <c r="B53" s="156">
        <v>128740</v>
      </c>
      <c r="C53" s="156">
        <v>21</v>
      </c>
      <c r="D53" s="156">
        <v>6130.4761904761908</v>
      </c>
      <c r="E53" s="156">
        <v>128740</v>
      </c>
      <c r="F53" s="156">
        <v>21</v>
      </c>
      <c r="G53" s="156">
        <v>6130.4761904761908</v>
      </c>
    </row>
    <row r="54" spans="1:7" x14ac:dyDescent="0.25">
      <c r="A54" s="180" t="s">
        <v>50</v>
      </c>
      <c r="B54" s="156">
        <v>12600</v>
      </c>
      <c r="C54" s="156">
        <v>3</v>
      </c>
      <c r="D54" s="156">
        <v>4200</v>
      </c>
      <c r="E54" s="156">
        <v>12600</v>
      </c>
      <c r="F54" s="156">
        <v>3</v>
      </c>
      <c r="G54" s="156">
        <v>4200</v>
      </c>
    </row>
    <row r="55" spans="1:7" x14ac:dyDescent="0.25">
      <c r="A55" s="180" t="s">
        <v>78</v>
      </c>
      <c r="B55" s="156">
        <f>SUBTOTAL(109,Tabelle_PV_FFA_Datenbank_FE.accdb245671849[Gebotsmenge])</f>
        <v>467590</v>
      </c>
      <c r="C55" s="156">
        <f>SUBTOTAL(109,Tabelle_PV_FFA_Datenbank_FE.accdb245671849[Anzahl Gebote])</f>
        <v>62</v>
      </c>
      <c r="E55" s="156">
        <f>SUBTOTAL(109,Tabelle_PV_FFA_Datenbank_FE.accdb245671849[Zuschlagsmenge])</f>
        <v>463990</v>
      </c>
      <c r="F55" s="156">
        <f>SUBTOTAL(109,Tabelle_PV_FFA_Datenbank_FE.accdb245671849[Anzahl Zuschläge])</f>
        <v>61</v>
      </c>
      <c r="G55" s="156"/>
    </row>
    <row r="56" spans="1:7" x14ac:dyDescent="0.25">
      <c r="B56" s="156"/>
      <c r="C56" s="156"/>
      <c r="D56" s="156"/>
      <c r="E56" s="156"/>
      <c r="F56" s="156"/>
      <c r="G56" s="156"/>
    </row>
    <row r="57" spans="1:7" ht="15" customHeight="1" x14ac:dyDescent="0.25">
      <c r="B57" s="156"/>
      <c r="C57" s="156"/>
      <c r="D57" s="156"/>
      <c r="E57" s="156"/>
      <c r="F57" s="156"/>
      <c r="G57" s="156"/>
    </row>
    <row r="58" spans="1:7" ht="19.5" thickBot="1" x14ac:dyDescent="0.35">
      <c r="A58" s="79" t="s">
        <v>82</v>
      </c>
    </row>
    <row r="59" spans="1:7" ht="15.75" thickBot="1" x14ac:dyDescent="0.3">
      <c r="A59" s="325" t="s">
        <v>83</v>
      </c>
      <c r="B59" s="80" t="s">
        <v>18</v>
      </c>
      <c r="C59" s="81"/>
      <c r="D59" s="82"/>
      <c r="E59" s="81" t="s">
        <v>31</v>
      </c>
      <c r="F59" s="81"/>
      <c r="G59" s="82"/>
    </row>
    <row r="60" spans="1:7" ht="30.75" thickBot="1" x14ac:dyDescent="0.3">
      <c r="A60" s="326"/>
      <c r="B60" s="143" t="s">
        <v>63</v>
      </c>
      <c r="C60" s="143" t="s">
        <v>20</v>
      </c>
      <c r="D60" s="143" t="s">
        <v>74</v>
      </c>
      <c r="E60" s="154" t="s">
        <v>75</v>
      </c>
      <c r="F60" s="143" t="s">
        <v>32</v>
      </c>
      <c r="G60" s="143" t="s">
        <v>76</v>
      </c>
    </row>
    <row r="61" spans="1:7" x14ac:dyDescent="0.25">
      <c r="A61" s="116" t="s">
        <v>24</v>
      </c>
      <c r="B61" s="145">
        <v>43140</v>
      </c>
      <c r="C61" s="145">
        <v>3</v>
      </c>
      <c r="D61" s="145">
        <v>14380</v>
      </c>
      <c r="E61" s="145">
        <v>43140</v>
      </c>
      <c r="F61" s="145">
        <v>3</v>
      </c>
      <c r="G61" s="145">
        <v>14380</v>
      </c>
    </row>
    <row r="62" spans="1:7" x14ac:dyDescent="0.25">
      <c r="A62" s="180" t="s">
        <v>84</v>
      </c>
      <c r="B62" s="156">
        <v>424450</v>
      </c>
      <c r="C62" s="156">
        <v>59</v>
      </c>
      <c r="D62" s="156">
        <v>7194.0677966101694</v>
      </c>
      <c r="E62" s="156">
        <v>420850</v>
      </c>
      <c r="F62" s="156">
        <v>58</v>
      </c>
      <c r="G62" s="156">
        <v>7256.0344827586205</v>
      </c>
    </row>
    <row r="63" spans="1:7" x14ac:dyDescent="0.25">
      <c r="A63" s="180" t="s">
        <v>78</v>
      </c>
      <c r="B63" s="156">
        <f>SUBTOTAL(109,Tabelle_PV_FFA_Datenbank_FE.accdb24561651[Gebotsmenge])</f>
        <v>467590</v>
      </c>
      <c r="C63" s="156">
        <f>SUBTOTAL(109,Tabelle_PV_FFA_Datenbank_FE.accdb24561651[Anzahl Gebote])</f>
        <v>62</v>
      </c>
      <c r="E63" s="156">
        <f>SUBTOTAL(109,Tabelle_PV_FFA_Datenbank_FE.accdb24561651[Zuschlagsmenge])</f>
        <v>463990</v>
      </c>
      <c r="F63" s="156">
        <f>SUBTOTAL(109,Tabelle_PV_FFA_Datenbank_FE.accdb24561651[Anzahl Zuschläge])</f>
        <v>61</v>
      </c>
      <c r="G63" s="156"/>
    </row>
    <row r="64" spans="1:7" x14ac:dyDescent="0.25">
      <c r="B64" s="156"/>
      <c r="C64" s="156"/>
      <c r="E64" s="156"/>
      <c r="F64" s="156"/>
    </row>
    <row r="65" spans="1:7" x14ac:dyDescent="0.25">
      <c r="A65" s="197"/>
      <c r="B65" s="156"/>
      <c r="C65" s="156"/>
      <c r="D65" s="156"/>
      <c r="E65" s="156"/>
      <c r="F65" s="156"/>
      <c r="G65" s="156"/>
    </row>
    <row r="66" spans="1:7" ht="19.5" thickBot="1" x14ac:dyDescent="0.35">
      <c r="A66" s="79" t="s">
        <v>85</v>
      </c>
    </row>
    <row r="67" spans="1:7" ht="15.75" thickBot="1" x14ac:dyDescent="0.3">
      <c r="A67" s="325" t="s">
        <v>86</v>
      </c>
      <c r="B67" s="80" t="s">
        <v>18</v>
      </c>
      <c r="C67" s="81"/>
      <c r="D67" s="82"/>
      <c r="E67" s="81" t="s">
        <v>31</v>
      </c>
      <c r="F67" s="81"/>
      <c r="G67" s="82"/>
    </row>
    <row r="68" spans="1:7" ht="30.75" thickBot="1" x14ac:dyDescent="0.3">
      <c r="A68" s="338"/>
      <c r="B68" s="143" t="s">
        <v>63</v>
      </c>
      <c r="C68" s="143" t="s">
        <v>20</v>
      </c>
      <c r="D68" s="143" t="s">
        <v>74</v>
      </c>
      <c r="E68" s="154" t="s">
        <v>75</v>
      </c>
      <c r="F68" s="143" t="s">
        <v>32</v>
      </c>
      <c r="G68" s="143" t="s">
        <v>76</v>
      </c>
    </row>
    <row r="69" spans="1:7" x14ac:dyDescent="0.25">
      <c r="A69" s="116" t="s">
        <v>87</v>
      </c>
      <c r="B69" s="145">
        <v>37000</v>
      </c>
      <c r="C69" s="145">
        <v>6</v>
      </c>
      <c r="D69" s="145">
        <v>6166.666666666667</v>
      </c>
      <c r="E69" s="145">
        <v>37000</v>
      </c>
      <c r="F69" s="145">
        <v>6</v>
      </c>
      <c r="G69" s="145">
        <v>6166.666666666667</v>
      </c>
    </row>
    <row r="70" spans="1:7" x14ac:dyDescent="0.25">
      <c r="A70" s="180" t="s">
        <v>90</v>
      </c>
      <c r="B70" s="156">
        <v>27840</v>
      </c>
      <c r="C70" s="156">
        <v>4</v>
      </c>
      <c r="D70" s="156">
        <v>6960</v>
      </c>
      <c r="E70" s="156">
        <v>24240</v>
      </c>
      <c r="F70" s="156">
        <v>3</v>
      </c>
      <c r="G70" s="156">
        <v>8080</v>
      </c>
    </row>
    <row r="71" spans="1:7" x14ac:dyDescent="0.25">
      <c r="A71" s="180" t="s">
        <v>91</v>
      </c>
      <c r="B71" s="156">
        <v>93600</v>
      </c>
      <c r="C71" s="156">
        <v>13</v>
      </c>
      <c r="D71" s="156">
        <v>7200</v>
      </c>
      <c r="E71" s="156">
        <v>93600</v>
      </c>
      <c r="F71" s="156">
        <v>13</v>
      </c>
      <c r="G71" s="156">
        <v>7200</v>
      </c>
    </row>
    <row r="72" spans="1:7" x14ac:dyDescent="0.25">
      <c r="A72" s="180" t="s">
        <v>92</v>
      </c>
      <c r="B72" s="180">
        <v>304950</v>
      </c>
      <c r="C72" s="180">
        <v>38</v>
      </c>
      <c r="D72" s="156">
        <v>8025</v>
      </c>
      <c r="E72" s="180">
        <v>304950</v>
      </c>
      <c r="F72" s="180">
        <v>38</v>
      </c>
      <c r="G72" s="180">
        <v>8025</v>
      </c>
    </row>
    <row r="73" spans="1:7" x14ac:dyDescent="0.25">
      <c r="A73" s="180" t="s">
        <v>103</v>
      </c>
      <c r="B73" s="156">
        <v>4200</v>
      </c>
      <c r="C73" s="156">
        <v>1</v>
      </c>
      <c r="D73" s="156">
        <v>4200</v>
      </c>
      <c r="E73" s="156">
        <v>4200</v>
      </c>
      <c r="F73" s="156">
        <v>1</v>
      </c>
      <c r="G73" s="156">
        <v>4200</v>
      </c>
    </row>
    <row r="74" spans="1:7" x14ac:dyDescent="0.25">
      <c r="A74" s="180" t="s">
        <v>78</v>
      </c>
      <c r="B74" s="156">
        <f>SUBTOTAL(109,Tabelle_PV_FFA_Datenbank_FE.accdb241248[Gebotsmenge])</f>
        <v>467590</v>
      </c>
      <c r="C74" s="156">
        <f>SUBTOTAL(109,Tabelle_PV_FFA_Datenbank_FE.accdb241248[Anzahl Gebote])</f>
        <v>62</v>
      </c>
      <c r="E74" s="156">
        <f>SUBTOTAL(109,Tabelle_PV_FFA_Datenbank_FE.accdb241248[Zuschlagsmenge])</f>
        <v>463990</v>
      </c>
      <c r="F74" s="156">
        <f>SUBTOTAL(109,Tabelle_PV_FFA_Datenbank_FE.accdb241248[Anzahl Zuschläge])</f>
        <v>61</v>
      </c>
      <c r="G74" s="156"/>
    </row>
    <row r="75" spans="1:7" x14ac:dyDescent="0.25">
      <c r="B75" s="156"/>
      <c r="C75" s="156"/>
      <c r="D75" s="156"/>
      <c r="E75" s="156"/>
      <c r="F75" s="156"/>
      <c r="G75" s="156"/>
    </row>
    <row r="76" spans="1:7" x14ac:dyDescent="0.25">
      <c r="B76" s="156"/>
      <c r="C76" s="156"/>
      <c r="D76" s="156"/>
      <c r="E76" s="156"/>
      <c r="F76" s="156"/>
      <c r="G76" s="156"/>
    </row>
    <row r="77" spans="1:7" ht="19.5" thickBot="1" x14ac:dyDescent="0.35">
      <c r="A77" s="157" t="s">
        <v>95</v>
      </c>
    </row>
    <row r="78" spans="1:7" ht="15.75" thickBot="1" x14ac:dyDescent="0.3">
      <c r="A78" s="325" t="s">
        <v>80</v>
      </c>
      <c r="B78" s="80" t="s">
        <v>18</v>
      </c>
      <c r="C78" s="81"/>
      <c r="D78" s="82"/>
      <c r="E78" s="81" t="s">
        <v>31</v>
      </c>
      <c r="F78" s="81"/>
      <c r="G78" s="82"/>
    </row>
    <row r="79" spans="1:7" ht="30.75" thickBot="1" x14ac:dyDescent="0.3">
      <c r="A79" s="326"/>
      <c r="B79" s="143" t="s">
        <v>63</v>
      </c>
      <c r="C79" s="143" t="s">
        <v>20</v>
      </c>
      <c r="D79" s="143" t="s">
        <v>74</v>
      </c>
      <c r="E79" s="154" t="s">
        <v>75</v>
      </c>
      <c r="F79" s="143" t="s">
        <v>32</v>
      </c>
      <c r="G79" s="143" t="s">
        <v>76</v>
      </c>
    </row>
    <row r="80" spans="1:7" x14ac:dyDescent="0.25">
      <c r="A80" s="197" t="s">
        <v>43</v>
      </c>
      <c r="B80" s="156">
        <v>2300</v>
      </c>
      <c r="C80" s="156">
        <v>1</v>
      </c>
      <c r="D80" s="156">
        <v>2300</v>
      </c>
      <c r="E80" s="156">
        <v>2300</v>
      </c>
      <c r="F80" s="156">
        <v>1</v>
      </c>
      <c r="G80" s="156">
        <v>2300</v>
      </c>
    </row>
    <row r="81" spans="1:7" x14ac:dyDescent="0.25">
      <c r="A81" s="180" t="s">
        <v>44</v>
      </c>
      <c r="B81" s="156">
        <v>16800</v>
      </c>
      <c r="C81" s="156">
        <v>1</v>
      </c>
      <c r="D81" s="156">
        <v>16800</v>
      </c>
      <c r="E81" s="156">
        <v>16800</v>
      </c>
      <c r="F81" s="156">
        <v>1</v>
      </c>
      <c r="G81" s="156">
        <v>16800</v>
      </c>
    </row>
    <row r="82" spans="1:7" x14ac:dyDescent="0.25">
      <c r="A82" s="180" t="s">
        <v>49</v>
      </c>
      <c r="B82" s="156">
        <v>128740</v>
      </c>
      <c r="C82" s="156">
        <v>21</v>
      </c>
      <c r="D82" s="156">
        <v>6130.4761904761908</v>
      </c>
      <c r="E82" s="156">
        <v>128740</v>
      </c>
      <c r="F82" s="156">
        <v>21</v>
      </c>
      <c r="G82" s="156">
        <v>6130.4761904761908</v>
      </c>
    </row>
    <row r="83" spans="1:7" x14ac:dyDescent="0.25">
      <c r="A83" s="180" t="s">
        <v>78</v>
      </c>
      <c r="B83" s="156">
        <f>SUBTOTAL(109,Tabelle_PV_FFA_Datenbank_FE.accdb2456792050[Gebotsmenge])</f>
        <v>147840</v>
      </c>
      <c r="C83" s="156">
        <f>SUBTOTAL(109,Tabelle_PV_FFA_Datenbank_FE.accdb2456792050[Anzahl Gebote])</f>
        <v>23</v>
      </c>
      <c r="E83" s="156">
        <f>SUBTOTAL(109,Tabelle_PV_FFA_Datenbank_FE.accdb2456792050[Zuschlagsmenge])</f>
        <v>147840</v>
      </c>
      <c r="F83" s="156">
        <f>SUBTOTAL(109,Tabelle_PV_FFA_Datenbank_FE.accdb2456792050[Anzahl Zuschläge])</f>
        <v>23</v>
      </c>
      <c r="G83" s="156"/>
    </row>
    <row r="84" spans="1:7" x14ac:dyDescent="0.25">
      <c r="B84" s="156"/>
      <c r="C84" s="156"/>
      <c r="D84" s="156"/>
      <c r="E84" s="156"/>
      <c r="F84" s="156"/>
      <c r="G84" s="156"/>
    </row>
  </sheetData>
  <protectedRanges>
    <protectedRange sqref="B3" name="Bereich1"/>
  </protectedRanges>
  <mergeCells count="12">
    <mergeCell ref="A67:A68"/>
    <mergeCell ref="A78:A79"/>
    <mergeCell ref="A32:A33"/>
    <mergeCell ref="A42:A43"/>
    <mergeCell ref="A59:A60"/>
    <mergeCell ref="B25:B26"/>
    <mergeCell ref="A1:F1"/>
    <mergeCell ref="A11:A12"/>
    <mergeCell ref="B11:B12"/>
    <mergeCell ref="A16:A17"/>
    <mergeCell ref="B16:B17"/>
    <mergeCell ref="A25:A26"/>
  </mergeCells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custom" allowBlank="1" showInputMessage="1" showErrorMessage="1" xr:uid="{00000000-0002-0000-0B00-000000000000}">
          <x14:formula1>
            <xm:f>VLOOKUP(C3,'\\DSWIBN6001\Ref_605$\Referatslaufwerk\EEG\8175 Ausschreibungen\8175-00 Allgemein\Statistik_Veröffentlichung\[Statistik_Veröffentlichung_Wind.xlsm]Gebotstermine'!#REF!,2,FALSE)</xm:f>
          </x14:formula1>
          <xm:sqref>D3</xm:sqref>
        </x14:dataValidation>
        <x14:dataValidation type="list" showInputMessage="1" showErrorMessage="1" xr:uid="{00000000-0002-0000-0B00-000001000000}">
          <x14:formula1>
            <xm:f>'\\DSWIBN6001\Ref_605$\Referatslaufwerk\EEG\8175 Ausschreibungen\8175-00 Allgemein\Statistik_Veröffentlichung\[Statistik_Veröffentlichung_Wind.xlsm]Gebotstermine'!#REF!</xm:f>
          </x14:formula1>
          <xm:sqref>B3</xm:sqref>
        </x14:dataValidation>
        <x14:dataValidation type="list" allowBlank="1" showInputMessage="1" showErrorMessage="1" xr:uid="{00000000-0002-0000-0B00-000002000000}">
          <x14:formula1>
            <xm:f>'\\DSWIBN6001\Ref_605$\Referatslaufwerk\EEG\8175 Ausschreibungen\8175-00 Allgemein\Statistik_Veröffentlichung\[Statistik_Veröffentlichung_Wind.xlsm]Gebotstermine'!#REF!</xm:f>
          </x14:formula1>
          <xm:sqref>I3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">
    <tabColor rgb="FF0070C0"/>
  </sheetPr>
  <dimension ref="A1:H81"/>
  <sheetViews>
    <sheetView showGridLines="0" topLeftCell="A55" zoomScaleNormal="100" workbookViewId="0">
      <selection activeCell="E79" sqref="E79"/>
    </sheetView>
  </sheetViews>
  <sheetFormatPr defaultColWidth="9.140625" defaultRowHeight="15" x14ac:dyDescent="0.25"/>
  <cols>
    <col min="1" max="1" width="47.5703125" style="180" customWidth="1"/>
    <col min="2" max="43" width="19.28515625" style="180" customWidth="1"/>
    <col min="44" max="16384" width="9.140625" style="180"/>
  </cols>
  <sheetData>
    <row r="1" spans="1:8" s="192" customFormat="1" ht="48" customHeight="1" x14ac:dyDescent="0.25">
      <c r="A1" s="339" t="s">
        <v>64</v>
      </c>
      <c r="B1" s="340"/>
      <c r="C1" s="340"/>
      <c r="D1" s="340"/>
      <c r="E1" s="340"/>
      <c r="F1" s="340"/>
      <c r="H1" s="136" t="s">
        <v>112</v>
      </c>
    </row>
    <row r="2" spans="1:8" s="192" customFormat="1" ht="5.25" customHeight="1" x14ac:dyDescent="0.25">
      <c r="A2" s="181"/>
    </row>
    <row r="3" spans="1:8" x14ac:dyDescent="0.25">
      <c r="A3" s="137" t="s">
        <v>1</v>
      </c>
      <c r="B3" s="138">
        <v>43891</v>
      </c>
      <c r="C3" s="139">
        <v>43</v>
      </c>
    </row>
    <row r="4" spans="1:8" x14ac:dyDescent="0.25">
      <c r="A4" s="140"/>
      <c r="B4" s="141"/>
    </row>
    <row r="6" spans="1:8" ht="19.5" thickBot="1" x14ac:dyDescent="0.35">
      <c r="A6" s="142" t="s">
        <v>2</v>
      </c>
    </row>
    <row r="7" spans="1:8" ht="30.75" customHeight="1" thickBot="1" x14ac:dyDescent="0.3">
      <c r="A7" s="143" t="s">
        <v>3</v>
      </c>
      <c r="B7" s="143" t="s">
        <v>4</v>
      </c>
      <c r="F7" s="144"/>
      <c r="G7" s="145"/>
      <c r="H7" s="145"/>
    </row>
    <row r="8" spans="1:8" ht="15.75" thickBot="1" x14ac:dyDescent="0.3">
      <c r="A8" s="158">
        <v>300000</v>
      </c>
      <c r="B8" s="165">
        <v>6.1999998092651367</v>
      </c>
    </row>
    <row r="9" spans="1:8" ht="15" customHeight="1" x14ac:dyDescent="0.3">
      <c r="A9" s="142"/>
    </row>
    <row r="10" spans="1:8" ht="18" customHeight="1" thickBot="1" x14ac:dyDescent="0.3">
      <c r="A10" s="147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11" t="s">
        <v>7</v>
      </c>
      <c r="D11" s="12"/>
      <c r="E11" s="13"/>
      <c r="F11" s="11" t="s">
        <v>8</v>
      </c>
      <c r="G11" s="12"/>
      <c r="H11" s="13"/>
    </row>
    <row r="12" spans="1:8" ht="15.75" thickBot="1" x14ac:dyDescent="0.3">
      <c r="A12" s="332"/>
      <c r="B12" s="332"/>
      <c r="C12" s="148" t="s">
        <v>9</v>
      </c>
      <c r="D12" s="148" t="s">
        <v>10</v>
      </c>
      <c r="E12" s="148" t="s">
        <v>11</v>
      </c>
      <c r="F12" s="148" t="s">
        <v>9</v>
      </c>
      <c r="G12" s="148" t="s">
        <v>10</v>
      </c>
      <c r="H12" s="149" t="s">
        <v>12</v>
      </c>
    </row>
    <row r="13" spans="1:8" ht="15.75" thickBot="1" x14ac:dyDescent="0.3">
      <c r="A13" s="158">
        <v>193800</v>
      </c>
      <c r="B13" s="159">
        <v>25</v>
      </c>
      <c r="C13" s="159">
        <v>2300</v>
      </c>
      <c r="D13" s="160">
        <v>28000</v>
      </c>
      <c r="E13" s="160">
        <v>7752</v>
      </c>
      <c r="F13" s="161">
        <v>5.74</v>
      </c>
      <c r="G13" s="162">
        <v>6.2</v>
      </c>
      <c r="H13" s="163">
        <v>6.0802218782249744</v>
      </c>
    </row>
    <row r="14" spans="1:8" ht="4.5" customHeight="1" x14ac:dyDescent="0.25">
      <c r="A14" s="182"/>
      <c r="B14" s="182"/>
      <c r="C14" s="182"/>
      <c r="D14" s="182"/>
      <c r="E14" s="182"/>
      <c r="F14" s="182"/>
      <c r="G14" s="182"/>
      <c r="H14" s="182"/>
    </row>
    <row r="15" spans="1:8" ht="18" customHeight="1" thickBot="1" x14ac:dyDescent="0.3">
      <c r="A15" s="147" t="s">
        <v>65</v>
      </c>
      <c r="B15" s="151"/>
      <c r="C15" s="151"/>
      <c r="D15" s="151"/>
      <c r="E15" s="151"/>
      <c r="F15" s="146"/>
      <c r="G15" s="146"/>
      <c r="H15" s="146"/>
    </row>
    <row r="16" spans="1:8" ht="15.75" customHeight="1" thickBot="1" x14ac:dyDescent="0.3">
      <c r="A16" s="331" t="s">
        <v>66</v>
      </c>
      <c r="B16" s="331" t="s">
        <v>67</v>
      </c>
      <c r="C16" s="11" t="s">
        <v>15</v>
      </c>
      <c r="D16" s="12"/>
      <c r="E16" s="13"/>
      <c r="F16" s="11" t="s">
        <v>16</v>
      </c>
      <c r="G16" s="12"/>
      <c r="H16" s="13"/>
    </row>
    <row r="17" spans="1:8" ht="15.75" thickBot="1" x14ac:dyDescent="0.3">
      <c r="A17" s="332"/>
      <c r="B17" s="332"/>
      <c r="C17" s="148" t="s">
        <v>9</v>
      </c>
      <c r="D17" s="148" t="s">
        <v>10</v>
      </c>
      <c r="E17" s="148" t="s">
        <v>11</v>
      </c>
      <c r="F17" s="148" t="s">
        <v>9</v>
      </c>
      <c r="G17" s="148" t="s">
        <v>10</v>
      </c>
      <c r="H17" s="148" t="s">
        <v>12</v>
      </c>
    </row>
    <row r="18" spans="1:8" ht="15.75" thickBot="1" x14ac:dyDescent="0.3">
      <c r="A18" s="158">
        <v>150900</v>
      </c>
      <c r="B18" s="159">
        <v>20</v>
      </c>
      <c r="C18" s="159">
        <v>2300</v>
      </c>
      <c r="D18" s="160">
        <v>28000</v>
      </c>
      <c r="E18" s="160">
        <v>7545</v>
      </c>
      <c r="F18" s="161">
        <v>5.7399997711181641</v>
      </c>
      <c r="G18" s="162">
        <v>6.1999998092651367</v>
      </c>
      <c r="H18" s="163">
        <v>6.0711396914432187</v>
      </c>
    </row>
    <row r="19" spans="1:8" ht="4.5" customHeight="1" x14ac:dyDescent="0.25">
      <c r="A19" s="182"/>
      <c r="B19" s="182"/>
      <c r="C19" s="182"/>
      <c r="D19" s="182"/>
      <c r="E19" s="182"/>
      <c r="F19" s="182"/>
      <c r="G19" s="182"/>
      <c r="H19" s="182"/>
    </row>
    <row r="20" spans="1:8" ht="18" customHeight="1" thickBot="1" x14ac:dyDescent="0.3">
      <c r="A20" s="152" t="s">
        <v>68</v>
      </c>
      <c r="B20" s="151"/>
      <c r="C20" s="151"/>
      <c r="D20" s="151"/>
      <c r="E20" s="151"/>
      <c r="F20" s="146"/>
      <c r="G20" s="146"/>
      <c r="H20" s="146"/>
    </row>
    <row r="21" spans="1:8" ht="30.75" customHeight="1" thickBot="1" x14ac:dyDescent="0.3">
      <c r="A21" s="193" t="s">
        <v>66</v>
      </c>
      <c r="B21" s="193" t="s">
        <v>14</v>
      </c>
      <c r="C21" s="151"/>
      <c r="D21" s="151"/>
      <c r="E21" s="151"/>
      <c r="F21" s="146"/>
      <c r="G21" s="146"/>
      <c r="H21" s="146"/>
    </row>
    <row r="22" spans="1:8" ht="15.75" thickBot="1" x14ac:dyDescent="0.3">
      <c r="A22" s="158">
        <v>150900</v>
      </c>
      <c r="B22" s="164">
        <v>20</v>
      </c>
    </row>
    <row r="23" spans="1:8" ht="4.5" customHeight="1" x14ac:dyDescent="0.25">
      <c r="A23" s="182"/>
      <c r="B23" s="182"/>
      <c r="C23" s="151"/>
      <c r="D23" s="151"/>
      <c r="E23" s="151"/>
      <c r="F23" s="146"/>
      <c r="G23" s="146"/>
      <c r="H23" s="146"/>
    </row>
    <row r="24" spans="1:8" ht="18" customHeight="1" thickBot="1" x14ac:dyDescent="0.3">
      <c r="A24" s="147" t="s">
        <v>69</v>
      </c>
      <c r="B24" s="151"/>
      <c r="C24" s="151"/>
      <c r="D24" s="151"/>
      <c r="E24" s="151"/>
      <c r="F24" s="146"/>
      <c r="G24" s="146"/>
      <c r="H24" s="146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158">
        <v>17700</v>
      </c>
      <c r="B27" s="164">
        <v>2</v>
      </c>
    </row>
    <row r="28" spans="1:8" ht="15.75" x14ac:dyDescent="0.25">
      <c r="A28" s="153" t="s">
        <v>100</v>
      </c>
    </row>
    <row r="31" spans="1:8" ht="19.5" thickBot="1" x14ac:dyDescent="0.35">
      <c r="A31" s="79" t="s">
        <v>73</v>
      </c>
    </row>
    <row r="32" spans="1:8" ht="15.75" thickBot="1" x14ac:dyDescent="0.3">
      <c r="A32" s="325" t="s">
        <v>23</v>
      </c>
      <c r="B32" s="80" t="s">
        <v>18</v>
      </c>
      <c r="C32" s="81"/>
      <c r="D32" s="82"/>
      <c r="E32" s="81" t="s">
        <v>31</v>
      </c>
      <c r="F32" s="81"/>
      <c r="G32" s="82"/>
      <c r="H32" s="144"/>
    </row>
    <row r="33" spans="1:8" ht="30.75" thickBot="1" x14ac:dyDescent="0.3">
      <c r="A33" s="326"/>
      <c r="B33" s="143" t="s">
        <v>63</v>
      </c>
      <c r="C33" s="143" t="s">
        <v>20</v>
      </c>
      <c r="D33" s="143" t="s">
        <v>74</v>
      </c>
      <c r="E33" s="154" t="s">
        <v>75</v>
      </c>
      <c r="F33" s="143" t="s">
        <v>32</v>
      </c>
      <c r="G33" s="143" t="s">
        <v>76</v>
      </c>
      <c r="H33" s="144"/>
    </row>
    <row r="34" spans="1:8" x14ac:dyDescent="0.25">
      <c r="A34" s="166" t="s">
        <v>26</v>
      </c>
      <c r="B34" s="167">
        <v>66000</v>
      </c>
      <c r="C34" s="167">
        <v>16</v>
      </c>
      <c r="D34" s="167">
        <v>4125</v>
      </c>
      <c r="E34" s="167">
        <v>53400</v>
      </c>
      <c r="F34" s="167">
        <v>13</v>
      </c>
      <c r="G34" s="168">
        <v>4107.6923076923076</v>
      </c>
      <c r="H34" s="144"/>
    </row>
    <row r="35" spans="1:8" x14ac:dyDescent="0.25">
      <c r="A35" s="166" t="s">
        <v>27</v>
      </c>
      <c r="B35" s="167">
        <v>34700</v>
      </c>
      <c r="C35" s="167">
        <v>4</v>
      </c>
      <c r="D35" s="167">
        <v>8675</v>
      </c>
      <c r="E35" s="167">
        <v>34700</v>
      </c>
      <c r="F35" s="167">
        <v>4</v>
      </c>
      <c r="G35" s="168">
        <v>8675</v>
      </c>
      <c r="H35" s="144"/>
    </row>
    <row r="36" spans="1:8" x14ac:dyDescent="0.25">
      <c r="A36" s="166" t="s">
        <v>28</v>
      </c>
      <c r="B36" s="167">
        <v>45300</v>
      </c>
      <c r="C36" s="167">
        <v>3</v>
      </c>
      <c r="D36" s="167">
        <v>15100</v>
      </c>
      <c r="E36" s="167">
        <v>15000</v>
      </c>
      <c r="F36" s="167">
        <v>1</v>
      </c>
      <c r="G36" s="168">
        <v>15000</v>
      </c>
      <c r="H36" s="144"/>
    </row>
    <row r="37" spans="1:8" ht="15.75" thickBot="1" x14ac:dyDescent="0.3">
      <c r="A37" s="166" t="s">
        <v>77</v>
      </c>
      <c r="B37" s="167">
        <v>47800</v>
      </c>
      <c r="C37" s="167">
        <v>2</v>
      </c>
      <c r="D37" s="167">
        <v>23900</v>
      </c>
      <c r="E37" s="167">
        <v>47800</v>
      </c>
      <c r="F37" s="167">
        <v>2</v>
      </c>
      <c r="G37" s="168">
        <v>23900</v>
      </c>
      <c r="H37" s="144"/>
    </row>
    <row r="38" spans="1:8" ht="15.75" thickTop="1" x14ac:dyDescent="0.25">
      <c r="A38" s="169" t="s">
        <v>78</v>
      </c>
      <c r="B38" s="170">
        <v>193800</v>
      </c>
      <c r="C38" s="170">
        <v>25</v>
      </c>
      <c r="D38" s="171"/>
      <c r="E38" s="170">
        <v>150900</v>
      </c>
      <c r="F38" s="170">
        <v>20</v>
      </c>
      <c r="G38" s="172"/>
      <c r="H38" s="144"/>
    </row>
    <row r="39" spans="1:8" x14ac:dyDescent="0.25">
      <c r="A39" s="189"/>
      <c r="B39" s="156"/>
      <c r="C39" s="156"/>
      <c r="E39" s="156"/>
      <c r="F39" s="156"/>
      <c r="G39" s="156"/>
      <c r="H39" s="144"/>
    </row>
    <row r="40" spans="1:8" x14ac:dyDescent="0.25">
      <c r="A40" s="189"/>
      <c r="B40" s="156"/>
      <c r="C40" s="156"/>
      <c r="E40" s="156"/>
      <c r="F40" s="156"/>
      <c r="G40" s="156"/>
      <c r="H40" s="144"/>
    </row>
    <row r="41" spans="1:8" ht="19.5" thickBot="1" x14ac:dyDescent="0.35">
      <c r="A41" s="157" t="s">
        <v>79</v>
      </c>
    </row>
    <row r="42" spans="1:8" ht="15.75" thickBot="1" x14ac:dyDescent="0.3">
      <c r="A42" s="325" t="s">
        <v>80</v>
      </c>
      <c r="B42" s="80" t="s">
        <v>18</v>
      </c>
      <c r="C42" s="81"/>
      <c r="D42" s="82"/>
      <c r="E42" s="81" t="s">
        <v>31</v>
      </c>
      <c r="F42" s="81"/>
      <c r="G42" s="82"/>
    </row>
    <row r="43" spans="1:8" ht="30.75" thickBot="1" x14ac:dyDescent="0.3">
      <c r="A43" s="326"/>
      <c r="B43" s="143" t="s">
        <v>63</v>
      </c>
      <c r="C43" s="143" t="s">
        <v>20</v>
      </c>
      <c r="D43" s="143" t="s">
        <v>74</v>
      </c>
      <c r="E43" s="154" t="s">
        <v>75</v>
      </c>
      <c r="F43" s="143" t="s">
        <v>32</v>
      </c>
      <c r="G43" s="143" t="s">
        <v>76</v>
      </c>
    </row>
    <row r="44" spans="1:8" x14ac:dyDescent="0.25">
      <c r="A44" s="166" t="s">
        <v>40</v>
      </c>
      <c r="B44" s="167">
        <v>13500</v>
      </c>
      <c r="C44" s="167">
        <v>1</v>
      </c>
      <c r="D44" s="167">
        <v>13500</v>
      </c>
      <c r="E44" s="167">
        <v>0</v>
      </c>
      <c r="F44" s="167">
        <v>0</v>
      </c>
      <c r="G44" s="168">
        <v>0</v>
      </c>
    </row>
    <row r="45" spans="1:8" x14ac:dyDescent="0.25">
      <c r="A45" s="166" t="s">
        <v>41</v>
      </c>
      <c r="B45" s="167">
        <v>21000</v>
      </c>
      <c r="C45" s="167">
        <v>2</v>
      </c>
      <c r="D45" s="167">
        <v>10500</v>
      </c>
      <c r="E45" s="167">
        <v>21000</v>
      </c>
      <c r="F45" s="167">
        <v>2</v>
      </c>
      <c r="G45" s="168">
        <v>10500</v>
      </c>
    </row>
    <row r="46" spans="1:8" x14ac:dyDescent="0.25">
      <c r="A46" s="166" t="s">
        <v>44</v>
      </c>
      <c r="B46" s="167">
        <v>55500</v>
      </c>
      <c r="C46" s="167">
        <v>4</v>
      </c>
      <c r="D46" s="167">
        <v>13875</v>
      </c>
      <c r="E46" s="167">
        <v>38700</v>
      </c>
      <c r="F46" s="167">
        <v>3</v>
      </c>
      <c r="G46" s="168">
        <v>12900</v>
      </c>
    </row>
    <row r="47" spans="1:8" x14ac:dyDescent="0.25">
      <c r="A47" s="166" t="s">
        <v>45</v>
      </c>
      <c r="B47" s="167">
        <v>40900</v>
      </c>
      <c r="C47" s="167">
        <v>6</v>
      </c>
      <c r="D47" s="167">
        <v>6816.666666666667</v>
      </c>
      <c r="E47" s="167">
        <v>40900</v>
      </c>
      <c r="F47" s="167">
        <v>6</v>
      </c>
      <c r="G47" s="168">
        <v>6816.666666666667</v>
      </c>
    </row>
    <row r="48" spans="1:8" x14ac:dyDescent="0.25">
      <c r="A48" s="166" t="s">
        <v>46</v>
      </c>
      <c r="B48" s="167">
        <v>4200</v>
      </c>
      <c r="C48" s="167">
        <v>1</v>
      </c>
      <c r="D48" s="167">
        <v>4200</v>
      </c>
      <c r="E48" s="167">
        <v>4200</v>
      </c>
      <c r="F48" s="167">
        <v>1</v>
      </c>
      <c r="G48" s="168">
        <v>4200</v>
      </c>
    </row>
    <row r="49" spans="1:7" x14ac:dyDescent="0.25">
      <c r="A49" s="166" t="s">
        <v>48</v>
      </c>
      <c r="B49" s="167">
        <v>5600</v>
      </c>
      <c r="C49" s="167">
        <v>1</v>
      </c>
      <c r="D49" s="167">
        <v>5600</v>
      </c>
      <c r="E49" s="167">
        <v>5600</v>
      </c>
      <c r="F49" s="167">
        <v>1</v>
      </c>
      <c r="G49" s="168">
        <v>5600</v>
      </c>
    </row>
    <row r="50" spans="1:7" x14ac:dyDescent="0.25">
      <c r="A50" s="166" t="s">
        <v>49</v>
      </c>
      <c r="B50" s="167">
        <v>40500</v>
      </c>
      <c r="C50" s="167">
        <v>7</v>
      </c>
      <c r="D50" s="167">
        <v>5785.7142857142853</v>
      </c>
      <c r="E50" s="167">
        <v>27900</v>
      </c>
      <c r="F50" s="167">
        <v>4</v>
      </c>
      <c r="G50" s="168">
        <v>6975</v>
      </c>
    </row>
    <row r="51" spans="1:7" ht="15.75" thickBot="1" x14ac:dyDescent="0.3">
      <c r="A51" s="166" t="s">
        <v>50</v>
      </c>
      <c r="B51" s="167">
        <v>12600</v>
      </c>
      <c r="C51" s="167">
        <v>3</v>
      </c>
      <c r="D51" s="167">
        <v>4200</v>
      </c>
      <c r="E51" s="167">
        <v>12600</v>
      </c>
      <c r="F51" s="167">
        <v>3</v>
      </c>
      <c r="G51" s="168">
        <v>4200</v>
      </c>
    </row>
    <row r="52" spans="1:7" ht="15.75" thickTop="1" x14ac:dyDescent="0.25">
      <c r="A52" s="169" t="s">
        <v>78</v>
      </c>
      <c r="B52" s="170">
        <v>193800</v>
      </c>
      <c r="C52" s="170">
        <v>25</v>
      </c>
      <c r="D52" s="171"/>
      <c r="E52" s="170">
        <v>150900</v>
      </c>
      <c r="F52" s="170">
        <v>20</v>
      </c>
      <c r="G52" s="172"/>
    </row>
    <row r="53" spans="1:7" x14ac:dyDescent="0.25">
      <c r="B53" s="156"/>
      <c r="C53" s="156"/>
      <c r="D53" s="156"/>
      <c r="E53" s="156"/>
      <c r="F53" s="156"/>
      <c r="G53" s="156"/>
    </row>
    <row r="54" spans="1:7" x14ac:dyDescent="0.25">
      <c r="B54" s="156"/>
      <c r="C54" s="156"/>
      <c r="D54" s="156"/>
      <c r="E54" s="156"/>
      <c r="F54" s="156"/>
      <c r="G54" s="156"/>
    </row>
    <row r="55" spans="1:7" ht="19.5" thickBot="1" x14ac:dyDescent="0.35">
      <c r="A55" s="79" t="s">
        <v>82</v>
      </c>
    </row>
    <row r="56" spans="1:7" ht="15.75" thickBot="1" x14ac:dyDescent="0.3">
      <c r="A56" s="325" t="s">
        <v>83</v>
      </c>
      <c r="B56" s="80" t="s">
        <v>18</v>
      </c>
      <c r="C56" s="81"/>
      <c r="D56" s="82"/>
      <c r="E56" s="81" t="s">
        <v>31</v>
      </c>
      <c r="F56" s="81"/>
      <c r="G56" s="82"/>
    </row>
    <row r="57" spans="1:7" ht="30.75" thickBot="1" x14ac:dyDescent="0.3">
      <c r="A57" s="326"/>
      <c r="B57" s="143" t="s">
        <v>63</v>
      </c>
      <c r="C57" s="143" t="s">
        <v>20</v>
      </c>
      <c r="D57" s="143" t="s">
        <v>74</v>
      </c>
      <c r="E57" s="154" t="s">
        <v>75</v>
      </c>
      <c r="F57" s="143" t="s">
        <v>32</v>
      </c>
      <c r="G57" s="143" t="s">
        <v>76</v>
      </c>
    </row>
    <row r="58" spans="1:7" x14ac:dyDescent="0.25">
      <c r="A58" s="166" t="s">
        <v>24</v>
      </c>
      <c r="B58" s="167">
        <v>19800</v>
      </c>
      <c r="C58" s="167">
        <v>4</v>
      </c>
      <c r="D58" s="167">
        <v>4950</v>
      </c>
      <c r="E58" s="167">
        <v>15600</v>
      </c>
      <c r="F58" s="167">
        <v>3</v>
      </c>
      <c r="G58" s="168">
        <v>5200</v>
      </c>
    </row>
    <row r="59" spans="1:7" ht="15.75" thickBot="1" x14ac:dyDescent="0.3">
      <c r="A59" s="173" t="s">
        <v>84</v>
      </c>
      <c r="B59" s="167">
        <v>174000</v>
      </c>
      <c r="C59" s="167">
        <v>21</v>
      </c>
      <c r="D59" s="167">
        <v>8285.7142857142862</v>
      </c>
      <c r="E59" s="167">
        <v>135300</v>
      </c>
      <c r="F59" s="167">
        <v>17</v>
      </c>
      <c r="G59" s="168">
        <v>7958.8235294117649</v>
      </c>
    </row>
    <row r="60" spans="1:7" ht="15.75" thickTop="1" x14ac:dyDescent="0.25">
      <c r="A60" s="175" t="s">
        <v>78</v>
      </c>
      <c r="B60" s="170">
        <v>193800</v>
      </c>
      <c r="C60" s="170">
        <v>25</v>
      </c>
      <c r="D60" s="171"/>
      <c r="E60" s="170">
        <v>150900</v>
      </c>
      <c r="F60" s="170">
        <v>20</v>
      </c>
      <c r="G60" s="172"/>
    </row>
    <row r="61" spans="1:7" x14ac:dyDescent="0.25">
      <c r="B61" s="156"/>
      <c r="C61" s="156"/>
      <c r="E61" s="156"/>
      <c r="F61" s="156"/>
    </row>
    <row r="62" spans="1:7" x14ac:dyDescent="0.25">
      <c r="A62" s="189"/>
      <c r="B62" s="156"/>
      <c r="C62" s="156"/>
      <c r="D62" s="156"/>
      <c r="E62" s="156"/>
      <c r="F62" s="156"/>
      <c r="G62" s="156"/>
    </row>
    <row r="63" spans="1:7" ht="19.5" thickBot="1" x14ac:dyDescent="0.35">
      <c r="A63" s="79" t="s">
        <v>85</v>
      </c>
    </row>
    <row r="64" spans="1:7" ht="15.75" thickBot="1" x14ac:dyDescent="0.3">
      <c r="A64" s="325" t="s">
        <v>86</v>
      </c>
      <c r="B64" s="80" t="s">
        <v>18</v>
      </c>
      <c r="C64" s="81"/>
      <c r="D64" s="82"/>
      <c r="E64" s="81" t="s">
        <v>31</v>
      </c>
      <c r="F64" s="81"/>
      <c r="G64" s="82"/>
    </row>
    <row r="65" spans="1:7" ht="30.75" thickBot="1" x14ac:dyDescent="0.3">
      <c r="A65" s="338"/>
      <c r="B65" s="143" t="s">
        <v>63</v>
      </c>
      <c r="C65" s="143" t="s">
        <v>20</v>
      </c>
      <c r="D65" s="143" t="s">
        <v>74</v>
      </c>
      <c r="E65" s="154" t="s">
        <v>75</v>
      </c>
      <c r="F65" s="143" t="s">
        <v>32</v>
      </c>
      <c r="G65" s="143" t="s">
        <v>76</v>
      </c>
    </row>
    <row r="66" spans="1:7" x14ac:dyDescent="0.25">
      <c r="A66" s="166" t="s">
        <v>90</v>
      </c>
      <c r="B66" s="167">
        <v>4500</v>
      </c>
      <c r="C66" s="167">
        <v>1</v>
      </c>
      <c r="D66" s="167">
        <v>4500</v>
      </c>
      <c r="E66" s="167">
        <v>4500</v>
      </c>
      <c r="F66" s="167">
        <v>1</v>
      </c>
      <c r="G66" s="168">
        <v>4500</v>
      </c>
    </row>
    <row r="67" spans="1:7" x14ac:dyDescent="0.25">
      <c r="A67" s="173" t="s">
        <v>91</v>
      </c>
      <c r="B67" s="167">
        <v>89600</v>
      </c>
      <c r="C67" s="167">
        <v>9</v>
      </c>
      <c r="D67" s="167">
        <v>9955.5555555555547</v>
      </c>
      <c r="E67" s="167">
        <v>89600</v>
      </c>
      <c r="F67" s="167">
        <v>9</v>
      </c>
      <c r="G67" s="168">
        <v>9955.5555555555547</v>
      </c>
    </row>
    <row r="68" spans="1:7" x14ac:dyDescent="0.25">
      <c r="A68" s="173" t="s">
        <v>92</v>
      </c>
      <c r="B68" s="167">
        <v>93200</v>
      </c>
      <c r="C68" s="167">
        <v>13</v>
      </c>
      <c r="D68" s="167">
        <v>7169.2307692307695</v>
      </c>
      <c r="E68" s="167">
        <v>54500</v>
      </c>
      <c r="F68" s="167">
        <v>9</v>
      </c>
      <c r="G68" s="168">
        <v>6055.5555555555557</v>
      </c>
    </row>
    <row r="69" spans="1:7" x14ac:dyDescent="0.25">
      <c r="A69" s="173" t="s">
        <v>93</v>
      </c>
      <c r="B69" s="174">
        <v>2300</v>
      </c>
      <c r="C69" s="174">
        <v>1</v>
      </c>
      <c r="D69" s="167">
        <v>2300</v>
      </c>
      <c r="E69" s="174">
        <v>2300</v>
      </c>
      <c r="F69" s="174">
        <v>1</v>
      </c>
      <c r="G69" s="96">
        <v>2300</v>
      </c>
    </row>
    <row r="70" spans="1:7" ht="15.75" thickBot="1" x14ac:dyDescent="0.3">
      <c r="A70" s="173" t="s">
        <v>103</v>
      </c>
      <c r="B70" s="167">
        <v>4200</v>
      </c>
      <c r="C70" s="167">
        <v>1</v>
      </c>
      <c r="D70" s="167">
        <v>4200</v>
      </c>
      <c r="E70" s="167">
        <v>0</v>
      </c>
      <c r="F70" s="167">
        <v>0</v>
      </c>
      <c r="G70" s="168">
        <v>0</v>
      </c>
    </row>
    <row r="71" spans="1:7" ht="15.75" thickTop="1" x14ac:dyDescent="0.25">
      <c r="A71" s="175" t="s">
        <v>78</v>
      </c>
      <c r="B71" s="170">
        <v>193800</v>
      </c>
      <c r="C71" s="170">
        <v>25</v>
      </c>
      <c r="D71" s="171"/>
      <c r="E71" s="170">
        <v>150900</v>
      </c>
      <c r="F71" s="170">
        <v>20</v>
      </c>
      <c r="G71" s="172"/>
    </row>
    <row r="72" spans="1:7" x14ac:dyDescent="0.25">
      <c r="B72" s="156"/>
      <c r="C72" s="156"/>
      <c r="D72" s="156"/>
      <c r="E72" s="156"/>
      <c r="F72" s="156"/>
      <c r="G72" s="156"/>
    </row>
    <row r="73" spans="1:7" x14ac:dyDescent="0.25">
      <c r="B73" s="156"/>
      <c r="C73" s="156"/>
      <c r="D73" s="156"/>
      <c r="E73" s="156"/>
      <c r="F73" s="156"/>
      <c r="G73" s="156"/>
    </row>
    <row r="74" spans="1:7" ht="19.5" thickBot="1" x14ac:dyDescent="0.35">
      <c r="A74" s="157" t="s">
        <v>95</v>
      </c>
    </row>
    <row r="75" spans="1:7" ht="15.75" thickBot="1" x14ac:dyDescent="0.3">
      <c r="A75" s="325" t="s">
        <v>80</v>
      </c>
      <c r="B75" s="80" t="s">
        <v>18</v>
      </c>
      <c r="C75" s="81"/>
      <c r="D75" s="82"/>
      <c r="E75" s="81" t="s">
        <v>31</v>
      </c>
      <c r="F75" s="81"/>
      <c r="G75" s="82"/>
    </row>
    <row r="76" spans="1:7" ht="30.75" thickBot="1" x14ac:dyDescent="0.3">
      <c r="A76" s="326"/>
      <c r="B76" s="143" t="s">
        <v>63</v>
      </c>
      <c r="C76" s="143" t="s">
        <v>20</v>
      </c>
      <c r="D76" s="143" t="s">
        <v>74</v>
      </c>
      <c r="E76" s="154" t="s">
        <v>75</v>
      </c>
      <c r="F76" s="143" t="s">
        <v>32</v>
      </c>
      <c r="G76" s="143" t="s">
        <v>76</v>
      </c>
    </row>
    <row r="77" spans="1:7" x14ac:dyDescent="0.25">
      <c r="A77" s="166" t="s">
        <v>44</v>
      </c>
      <c r="B77" s="167">
        <v>44800</v>
      </c>
      <c r="C77" s="167">
        <v>2</v>
      </c>
      <c r="D77" s="167">
        <v>22400</v>
      </c>
      <c r="E77" s="167">
        <v>28000</v>
      </c>
      <c r="F77" s="167">
        <v>1</v>
      </c>
      <c r="G77" s="168">
        <v>28000</v>
      </c>
    </row>
    <row r="78" spans="1:7" ht="15.75" thickBot="1" x14ac:dyDescent="0.3">
      <c r="A78" s="173" t="s">
        <v>49</v>
      </c>
      <c r="B78" s="167">
        <v>40500</v>
      </c>
      <c r="C78" s="167">
        <v>7</v>
      </c>
      <c r="D78" s="167">
        <v>5785.7142857142853</v>
      </c>
      <c r="E78" s="167">
        <v>27900</v>
      </c>
      <c r="F78" s="167">
        <v>4</v>
      </c>
      <c r="G78" s="168">
        <v>6975</v>
      </c>
    </row>
    <row r="79" spans="1:7" ht="15.75" thickTop="1" x14ac:dyDescent="0.25">
      <c r="A79" s="175" t="s">
        <v>78</v>
      </c>
      <c r="B79" s="170">
        <v>85300</v>
      </c>
      <c r="C79" s="170">
        <v>9</v>
      </c>
      <c r="D79" s="171"/>
      <c r="E79" s="170">
        <v>55900</v>
      </c>
      <c r="F79" s="170">
        <v>5</v>
      </c>
      <c r="G79" s="172"/>
    </row>
    <row r="80" spans="1:7" x14ac:dyDescent="0.25">
      <c r="B80" s="156"/>
      <c r="C80" s="156"/>
      <c r="D80" s="156"/>
      <c r="E80" s="156"/>
      <c r="F80" s="156"/>
      <c r="G80" s="156"/>
    </row>
    <row r="81" spans="2:7" x14ac:dyDescent="0.25">
      <c r="B81" s="156"/>
      <c r="C81" s="156"/>
      <c r="D81" s="156"/>
      <c r="E81" s="156"/>
      <c r="F81" s="156"/>
      <c r="G81" s="156"/>
    </row>
  </sheetData>
  <protectedRanges>
    <protectedRange sqref="B3" name="Bereich1"/>
  </protectedRanges>
  <mergeCells count="12">
    <mergeCell ref="A32:A33"/>
    <mergeCell ref="A42:A43"/>
    <mergeCell ref="A56:A57"/>
    <mergeCell ref="A64:A65"/>
    <mergeCell ref="A75:A76"/>
    <mergeCell ref="A25:A26"/>
    <mergeCell ref="B25:B26"/>
    <mergeCell ref="A1:F1"/>
    <mergeCell ref="A11:A12"/>
    <mergeCell ref="B11:B12"/>
    <mergeCell ref="A16:A17"/>
    <mergeCell ref="B16:B17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'K:\Referatslaufwerk\EEG\8175 Ausschreibungen\8175-00 Allgemein\Statistik_Veröffentlichung\[Statistik_Veröffentlichung_Wind.xlsm]Gebotstermine'!#REF!</xm:f>
          </x14:formula1>
          <xm:sqref>I3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57">
    <tabColor rgb="FF0070C0"/>
  </sheetPr>
  <dimension ref="A1:H86"/>
  <sheetViews>
    <sheetView showGridLines="0" topLeftCell="A61" zoomScaleNormal="100" workbookViewId="0">
      <selection activeCell="A88" sqref="A88"/>
    </sheetView>
  </sheetViews>
  <sheetFormatPr defaultColWidth="9.140625" defaultRowHeight="15" x14ac:dyDescent="0.25"/>
  <cols>
    <col min="1" max="1" width="47.5703125" style="180" customWidth="1"/>
    <col min="2" max="43" width="19.28515625" style="180" customWidth="1"/>
    <col min="44" max="16384" width="9.140625" style="180"/>
  </cols>
  <sheetData>
    <row r="1" spans="1:8" s="191" customFormat="1" ht="54.75" customHeight="1" x14ac:dyDescent="0.25">
      <c r="A1" s="339" t="s">
        <v>64</v>
      </c>
      <c r="B1" s="340"/>
      <c r="C1" s="340"/>
      <c r="D1" s="340"/>
      <c r="E1" s="340"/>
      <c r="F1" s="340"/>
      <c r="H1" s="136" t="s">
        <v>111</v>
      </c>
    </row>
    <row r="2" spans="1:8" s="191" customFormat="1" ht="23.25" x14ac:dyDescent="0.25">
      <c r="A2" s="181"/>
    </row>
    <row r="3" spans="1:8" x14ac:dyDescent="0.25">
      <c r="A3" s="137" t="s">
        <v>1</v>
      </c>
      <c r="B3" s="138">
        <v>43862</v>
      </c>
      <c r="C3" s="139" t="e">
        <f ca="1">OFFSET([3]!Gebotstermine[[#Headers],[terGebotsterminID]],MATCH(Gebotstermin,[3]!Gebotstermine[terGebotstermin],0),,,)</f>
        <v>#REF!</v>
      </c>
    </row>
    <row r="4" spans="1:8" x14ac:dyDescent="0.25">
      <c r="A4" s="140"/>
      <c r="B4" s="141"/>
    </row>
    <row r="6" spans="1:8" ht="19.5" thickBot="1" x14ac:dyDescent="0.35">
      <c r="A6" s="142" t="s">
        <v>2</v>
      </c>
    </row>
    <row r="7" spans="1:8" ht="45.75" thickBot="1" x14ac:dyDescent="0.3">
      <c r="A7" s="143" t="s">
        <v>3</v>
      </c>
      <c r="B7" s="143" t="s">
        <v>4</v>
      </c>
      <c r="F7" s="144"/>
      <c r="G7" s="145"/>
      <c r="H7" s="145"/>
    </row>
    <row r="8" spans="1:8" x14ac:dyDescent="0.25">
      <c r="A8" s="133">
        <v>900000</v>
      </c>
      <c r="B8" s="146">
        <v>6.1999998092651367</v>
      </c>
    </row>
    <row r="9" spans="1:8" x14ac:dyDescent="0.25">
      <c r="A9" s="194"/>
      <c r="B9" s="146"/>
    </row>
    <row r="10" spans="1:8" ht="18.75" x14ac:dyDescent="0.3">
      <c r="A10" s="142"/>
    </row>
    <row r="11" spans="1:8" ht="15.75" thickBot="1" x14ac:dyDescent="0.3">
      <c r="A11" s="147" t="s">
        <v>18</v>
      </c>
    </row>
    <row r="12" spans="1:8" ht="15.75" customHeight="1" thickBot="1" x14ac:dyDescent="0.3">
      <c r="A12" s="331" t="s">
        <v>5</v>
      </c>
      <c r="B12" s="331" t="s">
        <v>6</v>
      </c>
      <c r="C12" s="11" t="s">
        <v>7</v>
      </c>
      <c r="D12" s="12"/>
      <c r="E12" s="13"/>
      <c r="F12" s="11" t="s">
        <v>8</v>
      </c>
      <c r="G12" s="12"/>
      <c r="H12" s="13"/>
    </row>
    <row r="13" spans="1:8" ht="15.75" thickBot="1" x14ac:dyDescent="0.3">
      <c r="A13" s="332"/>
      <c r="B13" s="332"/>
      <c r="C13" s="148" t="s">
        <v>9</v>
      </c>
      <c r="D13" s="148" t="s">
        <v>10</v>
      </c>
      <c r="E13" s="148" t="s">
        <v>11</v>
      </c>
      <c r="F13" s="148" t="s">
        <v>9</v>
      </c>
      <c r="G13" s="148" t="s">
        <v>10</v>
      </c>
      <c r="H13" s="149" t="s">
        <v>12</v>
      </c>
    </row>
    <row r="14" spans="1:8" x14ac:dyDescent="0.25">
      <c r="A14" s="132">
        <v>526550</v>
      </c>
      <c r="B14" s="131">
        <v>67</v>
      </c>
      <c r="C14" s="130">
        <v>800</v>
      </c>
      <c r="D14" s="129">
        <v>31800</v>
      </c>
      <c r="E14" s="128">
        <v>7858.9552238805973</v>
      </c>
      <c r="F14" s="127">
        <v>5.76</v>
      </c>
      <c r="G14" s="126">
        <v>6.2</v>
      </c>
      <c r="H14" s="125">
        <v>6.1763773620738771</v>
      </c>
    </row>
    <row r="15" spans="1:8" ht="4.5" customHeight="1" x14ac:dyDescent="0.25">
      <c r="A15" s="182"/>
      <c r="B15" s="182"/>
      <c r="C15" s="182"/>
      <c r="D15" s="182"/>
      <c r="E15" s="182"/>
      <c r="F15" s="182"/>
      <c r="G15" s="182"/>
      <c r="H15" s="182"/>
    </row>
    <row r="16" spans="1:8" ht="15.75" thickBot="1" x14ac:dyDescent="0.3">
      <c r="A16" s="147" t="s">
        <v>65</v>
      </c>
      <c r="B16" s="151"/>
      <c r="C16" s="151"/>
      <c r="D16" s="151"/>
      <c r="E16" s="151"/>
      <c r="F16" s="146"/>
      <c r="G16" s="146"/>
      <c r="H16" s="146"/>
    </row>
    <row r="17" spans="1:8" ht="15.75" customHeight="1" thickBot="1" x14ac:dyDescent="0.3">
      <c r="A17" s="331" t="s">
        <v>66</v>
      </c>
      <c r="B17" s="331" t="s">
        <v>67</v>
      </c>
      <c r="C17" s="11" t="s">
        <v>15</v>
      </c>
      <c r="D17" s="12"/>
      <c r="E17" s="13"/>
      <c r="F17" s="11" t="s">
        <v>16</v>
      </c>
      <c r="G17" s="12"/>
      <c r="H17" s="13"/>
    </row>
    <row r="18" spans="1:8" ht="15.75" thickBot="1" x14ac:dyDescent="0.3">
      <c r="A18" s="332"/>
      <c r="B18" s="332"/>
      <c r="C18" s="148" t="s">
        <v>9</v>
      </c>
      <c r="D18" s="148" t="s">
        <v>10</v>
      </c>
      <c r="E18" s="148" t="s">
        <v>11</v>
      </c>
      <c r="F18" s="148" t="s">
        <v>9</v>
      </c>
      <c r="G18" s="148" t="s">
        <v>10</v>
      </c>
      <c r="H18" s="148" t="s">
        <v>12</v>
      </c>
    </row>
    <row r="19" spans="1:8" x14ac:dyDescent="0.25">
      <c r="A19" s="120">
        <v>523050</v>
      </c>
      <c r="B19" s="119">
        <v>66</v>
      </c>
      <c r="C19" s="124">
        <v>800</v>
      </c>
      <c r="D19" s="32">
        <v>31800</v>
      </c>
      <c r="E19" s="33">
        <v>7925</v>
      </c>
      <c r="F19" s="123">
        <v>5.7600002288818359</v>
      </c>
      <c r="G19" s="122">
        <v>6.1999998092651367</v>
      </c>
      <c r="H19" s="121">
        <v>6.1764218909097055</v>
      </c>
    </row>
    <row r="20" spans="1:8" ht="4.5" customHeight="1" x14ac:dyDescent="0.25">
      <c r="A20" s="182"/>
      <c r="B20" s="182"/>
      <c r="C20" s="182"/>
      <c r="D20" s="182"/>
      <c r="E20" s="182"/>
      <c r="F20" s="182"/>
      <c r="G20" s="182"/>
      <c r="H20" s="182"/>
    </row>
    <row r="21" spans="1:8" ht="16.5" thickBot="1" x14ac:dyDescent="0.3">
      <c r="A21" s="152" t="s">
        <v>68</v>
      </c>
      <c r="B21" s="151"/>
      <c r="C21" s="151"/>
      <c r="D21" s="151"/>
      <c r="E21" s="151"/>
      <c r="F21" s="146"/>
      <c r="G21" s="146"/>
      <c r="H21" s="146"/>
    </row>
    <row r="22" spans="1:8" ht="30" x14ac:dyDescent="0.25">
      <c r="A22" s="190" t="s">
        <v>66</v>
      </c>
      <c r="B22" s="190" t="s">
        <v>14</v>
      </c>
      <c r="C22" s="151"/>
      <c r="D22" s="151"/>
      <c r="E22" s="151"/>
      <c r="F22" s="146"/>
      <c r="G22" s="146"/>
      <c r="H22" s="146"/>
    </row>
    <row r="23" spans="1:8" x14ac:dyDescent="0.25">
      <c r="A23" s="120">
        <v>523050</v>
      </c>
      <c r="B23" s="119">
        <v>66</v>
      </c>
    </row>
    <row r="24" spans="1:8" ht="4.5" customHeight="1" x14ac:dyDescent="0.25">
      <c r="A24" s="182"/>
      <c r="B24" s="182"/>
      <c r="C24" s="151"/>
      <c r="D24" s="151"/>
      <c r="E24" s="151"/>
      <c r="F24" s="146"/>
      <c r="G24" s="146"/>
      <c r="H24" s="146"/>
    </row>
    <row r="25" spans="1:8" ht="15.75" thickBot="1" x14ac:dyDescent="0.3">
      <c r="A25" s="147" t="s">
        <v>69</v>
      </c>
      <c r="B25" s="151"/>
      <c r="C25" s="151"/>
      <c r="D25" s="151"/>
      <c r="E25" s="151"/>
      <c r="F25" s="146"/>
      <c r="G25" s="146"/>
      <c r="H25" s="146"/>
    </row>
    <row r="26" spans="1:8" ht="15" customHeight="1" x14ac:dyDescent="0.25">
      <c r="A26" s="331" t="s">
        <v>70</v>
      </c>
      <c r="B26" s="331" t="s">
        <v>71</v>
      </c>
    </row>
    <row r="27" spans="1:8" ht="15.75" thickBot="1" x14ac:dyDescent="0.3">
      <c r="A27" s="332"/>
      <c r="B27" s="332"/>
    </row>
    <row r="28" spans="1:8" ht="15.75" thickBot="1" x14ac:dyDescent="0.3">
      <c r="A28" s="118">
        <v>3500</v>
      </c>
      <c r="B28" s="117">
        <v>1</v>
      </c>
    </row>
    <row r="29" spans="1:8" ht="15.75" x14ac:dyDescent="0.25">
      <c r="A29" s="153" t="s">
        <v>100</v>
      </c>
    </row>
    <row r="30" spans="1:8" x14ac:dyDescent="0.25">
      <c r="A30" s="153"/>
    </row>
    <row r="32" spans="1:8" ht="19.5" thickBot="1" x14ac:dyDescent="0.35">
      <c r="A32" s="79" t="s">
        <v>73</v>
      </c>
    </row>
    <row r="33" spans="1:8" ht="15.75" thickBot="1" x14ac:dyDescent="0.3">
      <c r="A33" s="325" t="s">
        <v>23</v>
      </c>
      <c r="B33" s="80" t="s">
        <v>18</v>
      </c>
      <c r="C33" s="81"/>
      <c r="D33" s="82"/>
      <c r="E33" s="81" t="s">
        <v>31</v>
      </c>
      <c r="F33" s="81"/>
      <c r="G33" s="82"/>
      <c r="H33" s="144"/>
    </row>
    <row r="34" spans="1:8" ht="30.75" thickBot="1" x14ac:dyDescent="0.3">
      <c r="A34" s="326"/>
      <c r="B34" s="143" t="s">
        <v>63</v>
      </c>
      <c r="C34" s="143" t="s">
        <v>20</v>
      </c>
      <c r="D34" s="143" t="s">
        <v>74</v>
      </c>
      <c r="E34" s="154" t="s">
        <v>75</v>
      </c>
      <c r="F34" s="143" t="s">
        <v>32</v>
      </c>
      <c r="G34" s="143" t="s">
        <v>76</v>
      </c>
      <c r="H34" s="144"/>
    </row>
    <row r="35" spans="1:8" x14ac:dyDescent="0.25">
      <c r="A35" s="116" t="s">
        <v>26</v>
      </c>
      <c r="B35" s="145">
        <v>183050</v>
      </c>
      <c r="C35" s="145">
        <v>45</v>
      </c>
      <c r="D35" s="145">
        <v>4067.7777777777778</v>
      </c>
      <c r="E35" s="145">
        <v>179550</v>
      </c>
      <c r="F35" s="145">
        <v>44</v>
      </c>
      <c r="G35" s="145">
        <v>4080.681818181818</v>
      </c>
      <c r="H35" s="144"/>
    </row>
    <row r="36" spans="1:8" x14ac:dyDescent="0.25">
      <c r="A36" s="116" t="s">
        <v>27</v>
      </c>
      <c r="B36" s="145">
        <v>82800</v>
      </c>
      <c r="C36" s="145">
        <v>10</v>
      </c>
      <c r="D36" s="145">
        <v>8280</v>
      </c>
      <c r="E36" s="145">
        <v>82800</v>
      </c>
      <c r="F36" s="145">
        <v>10</v>
      </c>
      <c r="G36" s="145">
        <v>8280</v>
      </c>
      <c r="H36" s="144"/>
    </row>
    <row r="37" spans="1:8" x14ac:dyDescent="0.25">
      <c r="A37" s="116" t="s">
        <v>28</v>
      </c>
      <c r="B37" s="145">
        <v>76800</v>
      </c>
      <c r="C37" s="145">
        <v>5</v>
      </c>
      <c r="D37" s="145">
        <v>15360</v>
      </c>
      <c r="E37" s="145">
        <v>76800</v>
      </c>
      <c r="F37" s="145">
        <v>5</v>
      </c>
      <c r="G37" s="145">
        <v>15360</v>
      </c>
      <c r="H37" s="144"/>
    </row>
    <row r="38" spans="1:8" x14ac:dyDescent="0.25">
      <c r="A38" s="116" t="s">
        <v>77</v>
      </c>
      <c r="B38" s="145">
        <v>183900</v>
      </c>
      <c r="C38" s="145">
        <v>7</v>
      </c>
      <c r="D38" s="145">
        <v>26271.428571428572</v>
      </c>
      <c r="E38" s="145">
        <v>183900</v>
      </c>
      <c r="F38" s="145">
        <v>7</v>
      </c>
      <c r="G38" s="145">
        <v>26271.428571428572</v>
      </c>
      <c r="H38" s="144"/>
    </row>
    <row r="39" spans="1:8" x14ac:dyDescent="0.25">
      <c r="A39" s="189" t="s">
        <v>78</v>
      </c>
      <c r="B39" s="156">
        <f>SUBTOTAL(109,Tabelle_PV_FFA_Datenbank_FE.accdb21338[Gebotsmenge])</f>
        <v>526550</v>
      </c>
      <c r="C39" s="156">
        <f>SUBTOTAL(109,Tabelle_PV_FFA_Datenbank_FE.accdb21338[Anzahl Gebote])</f>
        <v>67</v>
      </c>
      <c r="E39" s="156">
        <f>SUBTOTAL(109,Tabelle_PV_FFA_Datenbank_FE.accdb21338[Zuschlagsmenge])</f>
        <v>523050</v>
      </c>
      <c r="F39" s="156">
        <f>SUBTOTAL(109,Tabelle_PV_FFA_Datenbank_FE.accdb21338[Anzahl Zuschläge])</f>
        <v>66</v>
      </c>
      <c r="G39" s="156"/>
      <c r="H39" s="144"/>
    </row>
    <row r="40" spans="1:8" x14ac:dyDescent="0.25">
      <c r="A40" s="189"/>
      <c r="B40" s="156"/>
      <c r="C40" s="156"/>
      <c r="E40" s="156"/>
      <c r="F40" s="156"/>
      <c r="G40" s="156"/>
      <c r="H40" s="144"/>
    </row>
    <row r="41" spans="1:8" x14ac:dyDescent="0.25">
      <c r="A41" s="189"/>
      <c r="B41" s="156"/>
      <c r="C41" s="156"/>
      <c r="E41" s="156"/>
      <c r="F41" s="156"/>
      <c r="G41" s="156"/>
      <c r="H41" s="144"/>
    </row>
    <row r="42" spans="1:8" ht="19.5" thickBot="1" x14ac:dyDescent="0.35">
      <c r="A42" s="157" t="s">
        <v>79</v>
      </c>
    </row>
    <row r="43" spans="1:8" ht="15.75" thickBot="1" x14ac:dyDescent="0.3">
      <c r="A43" s="325" t="s">
        <v>80</v>
      </c>
      <c r="B43" s="80" t="s">
        <v>18</v>
      </c>
      <c r="C43" s="81"/>
      <c r="D43" s="82"/>
      <c r="E43" s="81" t="s">
        <v>31</v>
      </c>
      <c r="F43" s="81"/>
      <c r="G43" s="82"/>
    </row>
    <row r="44" spans="1:8" ht="30.75" thickBot="1" x14ac:dyDescent="0.3">
      <c r="A44" s="326"/>
      <c r="B44" s="143" t="s">
        <v>63</v>
      </c>
      <c r="C44" s="143" t="s">
        <v>20</v>
      </c>
      <c r="D44" s="143" t="s">
        <v>74</v>
      </c>
      <c r="E44" s="154" t="s">
        <v>75</v>
      </c>
      <c r="F44" s="143" t="s">
        <v>32</v>
      </c>
      <c r="G44" s="143" t="s">
        <v>76</v>
      </c>
    </row>
    <row r="45" spans="1:8" x14ac:dyDescent="0.25">
      <c r="A45" s="116" t="s">
        <v>39</v>
      </c>
      <c r="B45" s="145">
        <v>38700</v>
      </c>
      <c r="C45" s="145">
        <v>3</v>
      </c>
      <c r="D45" s="145">
        <v>12900</v>
      </c>
      <c r="E45" s="145">
        <v>38700</v>
      </c>
      <c r="F45" s="145">
        <v>3</v>
      </c>
      <c r="G45" s="145">
        <v>12900</v>
      </c>
    </row>
    <row r="46" spans="1:8" x14ac:dyDescent="0.25">
      <c r="A46" s="116" t="s">
        <v>41</v>
      </c>
      <c r="B46" s="145">
        <v>59500</v>
      </c>
      <c r="C46" s="145">
        <v>6</v>
      </c>
      <c r="D46" s="145">
        <v>9916.6666666666661</v>
      </c>
      <c r="E46" s="145">
        <v>59500</v>
      </c>
      <c r="F46" s="145">
        <v>6</v>
      </c>
      <c r="G46" s="145">
        <v>9916.6666666666661</v>
      </c>
    </row>
    <row r="47" spans="1:8" x14ac:dyDescent="0.25">
      <c r="A47" s="189" t="s">
        <v>42</v>
      </c>
      <c r="B47" s="156">
        <v>22000</v>
      </c>
      <c r="C47" s="156">
        <v>2</v>
      </c>
      <c r="D47" s="156">
        <v>11000</v>
      </c>
      <c r="E47" s="156">
        <v>22000</v>
      </c>
      <c r="F47" s="156">
        <v>2</v>
      </c>
      <c r="G47" s="156">
        <v>11000</v>
      </c>
    </row>
    <row r="48" spans="1:8" x14ac:dyDescent="0.25">
      <c r="A48" s="189" t="s">
        <v>43</v>
      </c>
      <c r="B48" s="156">
        <v>11400</v>
      </c>
      <c r="C48" s="156">
        <v>2</v>
      </c>
      <c r="D48" s="156">
        <v>5700</v>
      </c>
      <c r="E48" s="156">
        <v>11400</v>
      </c>
      <c r="F48" s="156">
        <v>2</v>
      </c>
      <c r="G48" s="156">
        <v>5700</v>
      </c>
    </row>
    <row r="49" spans="1:7" x14ac:dyDescent="0.25">
      <c r="A49" s="189" t="s">
        <v>44</v>
      </c>
      <c r="B49" s="156">
        <v>55850</v>
      </c>
      <c r="C49" s="156">
        <v>6</v>
      </c>
      <c r="D49" s="156">
        <v>9308.3333333333339</v>
      </c>
      <c r="E49" s="156">
        <v>55850</v>
      </c>
      <c r="F49" s="156">
        <v>6</v>
      </c>
      <c r="G49" s="156">
        <v>9308.3333333333339</v>
      </c>
    </row>
    <row r="50" spans="1:7" x14ac:dyDescent="0.25">
      <c r="A50" s="189" t="s">
        <v>45</v>
      </c>
      <c r="B50" s="156">
        <v>100850</v>
      </c>
      <c r="C50" s="156">
        <v>15</v>
      </c>
      <c r="D50" s="156">
        <v>6723.333333333333</v>
      </c>
      <c r="E50" s="156">
        <v>97350</v>
      </c>
      <c r="F50" s="156">
        <v>14</v>
      </c>
      <c r="G50" s="156">
        <v>6953.5714285714284</v>
      </c>
    </row>
    <row r="51" spans="1:7" x14ac:dyDescent="0.25">
      <c r="A51" s="189" t="s">
        <v>46</v>
      </c>
      <c r="B51" s="156">
        <v>45800</v>
      </c>
      <c r="C51" s="156">
        <v>6</v>
      </c>
      <c r="D51" s="156">
        <v>7633.333333333333</v>
      </c>
      <c r="E51" s="156">
        <v>45800</v>
      </c>
      <c r="F51" s="156">
        <v>6</v>
      </c>
      <c r="G51" s="156">
        <v>7633.333333333333</v>
      </c>
    </row>
    <row r="52" spans="1:7" x14ac:dyDescent="0.25">
      <c r="A52" s="189" t="s">
        <v>48</v>
      </c>
      <c r="B52" s="156">
        <v>33600</v>
      </c>
      <c r="C52" s="156">
        <v>2</v>
      </c>
      <c r="D52" s="156">
        <v>16800</v>
      </c>
      <c r="E52" s="156">
        <v>33600</v>
      </c>
      <c r="F52" s="156">
        <v>2</v>
      </c>
      <c r="G52" s="156">
        <v>16800</v>
      </c>
    </row>
    <row r="53" spans="1:7" x14ac:dyDescent="0.25">
      <c r="A53" s="180" t="s">
        <v>49</v>
      </c>
      <c r="B53" s="156">
        <v>102750</v>
      </c>
      <c r="C53" s="156">
        <v>14</v>
      </c>
      <c r="D53" s="156">
        <v>7339.2857142857147</v>
      </c>
      <c r="E53" s="156">
        <v>102750</v>
      </c>
      <c r="F53" s="156">
        <v>14</v>
      </c>
      <c r="G53" s="156">
        <v>7339.2857142857147</v>
      </c>
    </row>
    <row r="54" spans="1:7" x14ac:dyDescent="0.25">
      <c r="A54" s="180" t="s">
        <v>50</v>
      </c>
      <c r="B54" s="156">
        <v>56100</v>
      </c>
      <c r="C54" s="156">
        <v>11</v>
      </c>
      <c r="D54" s="156">
        <v>5100</v>
      </c>
      <c r="E54" s="156">
        <v>56100</v>
      </c>
      <c r="F54" s="156">
        <v>11</v>
      </c>
      <c r="G54" s="156">
        <v>5100</v>
      </c>
    </row>
    <row r="55" spans="1:7" x14ac:dyDescent="0.25">
      <c r="A55" s="189" t="s">
        <v>78</v>
      </c>
      <c r="B55" s="156">
        <f>SUBTOTAL(109,Tabelle_PV_FFA_Datenbank_FE.accdb245671840[Gebotsmenge])</f>
        <v>526550</v>
      </c>
      <c r="C55" s="156">
        <f>SUBTOTAL(109,Tabelle_PV_FFA_Datenbank_FE.accdb245671840[Anzahl Gebote])</f>
        <v>67</v>
      </c>
      <c r="E55" s="156">
        <f>SUBTOTAL(109,Tabelle_PV_FFA_Datenbank_FE.accdb245671840[Zuschlagsmenge])</f>
        <v>523050</v>
      </c>
      <c r="F55" s="156">
        <f>SUBTOTAL(109,Tabelle_PV_FFA_Datenbank_FE.accdb245671840[Anzahl Zuschläge])</f>
        <v>66</v>
      </c>
      <c r="G55" s="156"/>
    </row>
    <row r="56" spans="1:7" x14ac:dyDescent="0.25">
      <c r="B56" s="156"/>
      <c r="C56" s="156"/>
      <c r="D56" s="156"/>
      <c r="E56" s="156"/>
      <c r="F56" s="156"/>
      <c r="G56" s="156"/>
    </row>
    <row r="57" spans="1:7" ht="15" customHeight="1" x14ac:dyDescent="0.25">
      <c r="B57" s="156"/>
      <c r="C57" s="156"/>
      <c r="D57" s="156"/>
      <c r="E57" s="156"/>
      <c r="F57" s="156"/>
      <c r="G57" s="156"/>
    </row>
    <row r="58" spans="1:7" ht="19.5" thickBot="1" x14ac:dyDescent="0.35">
      <c r="A58" s="79" t="s">
        <v>82</v>
      </c>
    </row>
    <row r="59" spans="1:7" ht="15.75" thickBot="1" x14ac:dyDescent="0.3">
      <c r="A59" s="325" t="s">
        <v>83</v>
      </c>
      <c r="B59" s="80" t="s">
        <v>18</v>
      </c>
      <c r="C59" s="81"/>
      <c r="D59" s="82"/>
      <c r="E59" s="81" t="s">
        <v>31</v>
      </c>
      <c r="F59" s="81"/>
      <c r="G59" s="82"/>
    </row>
    <row r="60" spans="1:7" ht="30.75" thickBot="1" x14ac:dyDescent="0.3">
      <c r="A60" s="326"/>
      <c r="B60" s="143" t="s">
        <v>63</v>
      </c>
      <c r="C60" s="143" t="s">
        <v>20</v>
      </c>
      <c r="D60" s="143" t="s">
        <v>74</v>
      </c>
      <c r="E60" s="154" t="s">
        <v>75</v>
      </c>
      <c r="F60" s="143" t="s">
        <v>32</v>
      </c>
      <c r="G60" s="143" t="s">
        <v>76</v>
      </c>
    </row>
    <row r="61" spans="1:7" x14ac:dyDescent="0.25">
      <c r="A61" s="116" t="s">
        <v>24</v>
      </c>
      <c r="B61" s="145">
        <v>5300</v>
      </c>
      <c r="C61" s="145">
        <v>1</v>
      </c>
      <c r="D61" s="145">
        <v>5300</v>
      </c>
      <c r="E61" s="145">
        <v>5300</v>
      </c>
      <c r="F61" s="145">
        <v>1</v>
      </c>
      <c r="G61" s="145">
        <v>5300</v>
      </c>
    </row>
    <row r="62" spans="1:7" x14ac:dyDescent="0.25">
      <c r="A62" s="180" t="s">
        <v>84</v>
      </c>
      <c r="B62" s="156">
        <v>521250</v>
      </c>
      <c r="C62" s="156">
        <v>66</v>
      </c>
      <c r="D62" s="156">
        <v>7897.727272727273</v>
      </c>
      <c r="E62" s="156">
        <v>517750</v>
      </c>
      <c r="F62" s="156">
        <v>65</v>
      </c>
      <c r="G62" s="156">
        <v>7965.3846153846152</v>
      </c>
    </row>
    <row r="63" spans="1:7" x14ac:dyDescent="0.25">
      <c r="A63" s="180" t="s">
        <v>78</v>
      </c>
      <c r="B63" s="156">
        <f>SUBTOTAL(109,Tabelle_PV_FFA_Datenbank_FE.accdb24561642[Gebotsmenge])</f>
        <v>526550</v>
      </c>
      <c r="C63" s="156">
        <f>SUBTOTAL(109,Tabelle_PV_FFA_Datenbank_FE.accdb24561642[Anzahl Gebote])</f>
        <v>67</v>
      </c>
      <c r="E63" s="156">
        <f>SUBTOTAL(109,Tabelle_PV_FFA_Datenbank_FE.accdb24561642[Zuschlagsmenge])</f>
        <v>523050</v>
      </c>
      <c r="F63" s="156">
        <f>SUBTOTAL(109,Tabelle_PV_FFA_Datenbank_FE.accdb24561642[Anzahl Zuschläge])</f>
        <v>66</v>
      </c>
      <c r="G63" s="156"/>
    </row>
    <row r="64" spans="1:7" x14ac:dyDescent="0.25">
      <c r="B64" s="156"/>
      <c r="C64" s="156"/>
      <c r="E64" s="156"/>
      <c r="F64" s="156"/>
    </row>
    <row r="65" spans="1:7" x14ac:dyDescent="0.25">
      <c r="A65" s="189"/>
      <c r="B65" s="156"/>
      <c r="C65" s="156"/>
      <c r="D65" s="156"/>
      <c r="E65" s="156"/>
      <c r="F65" s="156"/>
      <c r="G65" s="156"/>
    </row>
    <row r="66" spans="1:7" ht="19.5" thickBot="1" x14ac:dyDescent="0.35">
      <c r="A66" s="79" t="s">
        <v>85</v>
      </c>
    </row>
    <row r="67" spans="1:7" ht="15.75" thickBot="1" x14ac:dyDescent="0.3">
      <c r="A67" s="325" t="s">
        <v>86</v>
      </c>
      <c r="B67" s="80" t="s">
        <v>18</v>
      </c>
      <c r="C67" s="81"/>
      <c r="D67" s="82"/>
      <c r="E67" s="81" t="s">
        <v>31</v>
      </c>
      <c r="F67" s="81"/>
      <c r="G67" s="82"/>
    </row>
    <row r="68" spans="1:7" ht="30.75" thickBot="1" x14ac:dyDescent="0.3">
      <c r="A68" s="338"/>
      <c r="B68" s="143" t="s">
        <v>63</v>
      </c>
      <c r="C68" s="143" t="s">
        <v>20</v>
      </c>
      <c r="D68" s="143" t="s">
        <v>74</v>
      </c>
      <c r="E68" s="154" t="s">
        <v>75</v>
      </c>
      <c r="F68" s="143" t="s">
        <v>32</v>
      </c>
      <c r="G68" s="143" t="s">
        <v>76</v>
      </c>
    </row>
    <row r="69" spans="1:7" x14ac:dyDescent="0.25">
      <c r="A69" s="116" t="s">
        <v>87</v>
      </c>
      <c r="B69" s="145">
        <v>41000</v>
      </c>
      <c r="C69" s="145">
        <v>3</v>
      </c>
      <c r="D69" s="145">
        <v>13666.666666666666</v>
      </c>
      <c r="E69" s="145">
        <v>41000</v>
      </c>
      <c r="F69" s="145">
        <v>3</v>
      </c>
      <c r="G69" s="145">
        <v>13666.666666666666</v>
      </c>
    </row>
    <row r="70" spans="1:7" x14ac:dyDescent="0.25">
      <c r="A70" s="180" t="s">
        <v>90</v>
      </c>
      <c r="B70" s="156">
        <v>16000</v>
      </c>
      <c r="C70" s="156">
        <v>2</v>
      </c>
      <c r="D70" s="156">
        <v>8000</v>
      </c>
      <c r="E70" s="156">
        <v>16000</v>
      </c>
      <c r="F70" s="156">
        <v>2</v>
      </c>
      <c r="G70" s="156">
        <v>8000</v>
      </c>
    </row>
    <row r="71" spans="1:7" x14ac:dyDescent="0.25">
      <c r="A71" s="180" t="s">
        <v>91</v>
      </c>
      <c r="B71" s="156">
        <v>108550</v>
      </c>
      <c r="C71" s="156">
        <v>19</v>
      </c>
      <c r="D71" s="156">
        <v>5713.1578947368425</v>
      </c>
      <c r="E71" s="156">
        <v>105050</v>
      </c>
      <c r="F71" s="156">
        <v>18</v>
      </c>
      <c r="G71" s="156">
        <v>5836.1111111111113</v>
      </c>
    </row>
    <row r="72" spans="1:7" x14ac:dyDescent="0.25">
      <c r="A72" s="180" t="s">
        <v>92</v>
      </c>
      <c r="B72" s="156">
        <v>348550</v>
      </c>
      <c r="C72" s="180">
        <v>39</v>
      </c>
      <c r="D72" s="156">
        <v>8937.1794871794864</v>
      </c>
      <c r="E72" s="180">
        <v>348550</v>
      </c>
      <c r="F72" s="180">
        <v>39</v>
      </c>
      <c r="G72" s="180">
        <v>8937.1794871794864</v>
      </c>
    </row>
    <row r="73" spans="1:7" x14ac:dyDescent="0.25">
      <c r="A73" s="180" t="s">
        <v>93</v>
      </c>
      <c r="B73" s="156">
        <v>3150</v>
      </c>
      <c r="C73" s="156">
        <v>2</v>
      </c>
      <c r="D73" s="156">
        <v>1575</v>
      </c>
      <c r="E73" s="156">
        <v>3150</v>
      </c>
      <c r="F73" s="156">
        <v>2</v>
      </c>
      <c r="G73" s="156">
        <v>1575</v>
      </c>
    </row>
    <row r="74" spans="1:7" x14ac:dyDescent="0.25">
      <c r="A74" s="180" t="s">
        <v>110</v>
      </c>
      <c r="B74" s="156">
        <v>5300</v>
      </c>
      <c r="C74" s="156">
        <v>1</v>
      </c>
      <c r="D74" s="156">
        <v>5300</v>
      </c>
      <c r="E74" s="156">
        <v>5300</v>
      </c>
      <c r="F74" s="156">
        <v>1</v>
      </c>
      <c r="G74" s="156">
        <v>5300</v>
      </c>
    </row>
    <row r="75" spans="1:7" x14ac:dyDescent="0.25">
      <c r="A75" s="180" t="s">
        <v>94</v>
      </c>
      <c r="B75" s="156">
        <v>4000</v>
      </c>
      <c r="C75" s="156">
        <v>1</v>
      </c>
      <c r="D75" s="156">
        <v>4000</v>
      </c>
      <c r="E75" s="156">
        <v>4000</v>
      </c>
      <c r="F75" s="156">
        <v>1</v>
      </c>
      <c r="G75" s="156">
        <v>4000</v>
      </c>
    </row>
    <row r="76" spans="1:7" x14ac:dyDescent="0.25">
      <c r="A76" s="180" t="s">
        <v>78</v>
      </c>
      <c r="B76" s="156">
        <f>SUBTOTAL(109,Tabelle_PV_FFA_Datenbank_FE.accdb241239[Gebotsmenge])</f>
        <v>526550</v>
      </c>
      <c r="C76" s="156">
        <f>SUBTOTAL(109,Tabelle_PV_FFA_Datenbank_FE.accdb241239[Anzahl Gebote])</f>
        <v>67</v>
      </c>
      <c r="E76" s="156">
        <f>SUBTOTAL(109,Tabelle_PV_FFA_Datenbank_FE.accdb241239[Zuschlagsmenge])</f>
        <v>523050</v>
      </c>
      <c r="F76" s="156">
        <f>SUBTOTAL(109,Tabelle_PV_FFA_Datenbank_FE.accdb241239[Anzahl Zuschläge])</f>
        <v>66</v>
      </c>
      <c r="G76" s="156"/>
    </row>
    <row r="77" spans="1:7" x14ac:dyDescent="0.25">
      <c r="B77" s="156"/>
      <c r="C77" s="156"/>
      <c r="D77" s="156"/>
      <c r="E77" s="156"/>
      <c r="F77" s="156"/>
      <c r="G77" s="156"/>
    </row>
    <row r="78" spans="1:7" x14ac:dyDescent="0.25">
      <c r="B78" s="156"/>
      <c r="C78" s="156"/>
      <c r="D78" s="156"/>
      <c r="E78" s="156"/>
      <c r="F78" s="156"/>
      <c r="G78" s="156"/>
    </row>
    <row r="79" spans="1:7" ht="19.5" thickBot="1" x14ac:dyDescent="0.35">
      <c r="A79" s="157" t="s">
        <v>95</v>
      </c>
    </row>
    <row r="80" spans="1:7" ht="15.75" thickBot="1" x14ac:dyDescent="0.3">
      <c r="A80" s="325" t="s">
        <v>80</v>
      </c>
      <c r="B80" s="80" t="s">
        <v>18</v>
      </c>
      <c r="C80" s="81"/>
      <c r="D80" s="82"/>
      <c r="E80" s="81" t="s">
        <v>31</v>
      </c>
      <c r="F80" s="81"/>
      <c r="G80" s="82"/>
    </row>
    <row r="81" spans="1:7" ht="30.75" thickBot="1" x14ac:dyDescent="0.3">
      <c r="A81" s="326"/>
      <c r="B81" s="143" t="s">
        <v>63</v>
      </c>
      <c r="C81" s="143" t="s">
        <v>20</v>
      </c>
      <c r="D81" s="143" t="s">
        <v>74</v>
      </c>
      <c r="E81" s="154" t="s">
        <v>75</v>
      </c>
      <c r="F81" s="143" t="s">
        <v>32</v>
      </c>
      <c r="G81" s="143" t="s">
        <v>76</v>
      </c>
    </row>
    <row r="82" spans="1:7" x14ac:dyDescent="0.25">
      <c r="A82" s="189" t="s">
        <v>43</v>
      </c>
      <c r="B82" s="156">
        <v>11400</v>
      </c>
      <c r="C82" s="156">
        <v>2</v>
      </c>
      <c r="D82" s="156">
        <v>5700</v>
      </c>
      <c r="E82" s="156">
        <v>11400</v>
      </c>
      <c r="F82" s="156">
        <v>2</v>
      </c>
      <c r="G82" s="156">
        <v>5700</v>
      </c>
    </row>
    <row r="83" spans="1:7" x14ac:dyDescent="0.25">
      <c r="A83" s="180" t="s">
        <v>44</v>
      </c>
      <c r="B83" s="156">
        <v>800</v>
      </c>
      <c r="C83" s="156">
        <v>1</v>
      </c>
      <c r="D83" s="156">
        <v>800</v>
      </c>
      <c r="E83" s="156">
        <v>800</v>
      </c>
      <c r="F83" s="156">
        <v>1</v>
      </c>
      <c r="G83" s="156">
        <v>800</v>
      </c>
    </row>
    <row r="84" spans="1:7" x14ac:dyDescent="0.25">
      <c r="A84" s="180" t="s">
        <v>49</v>
      </c>
      <c r="B84" s="156">
        <v>102750</v>
      </c>
      <c r="C84" s="156">
        <v>14</v>
      </c>
      <c r="D84" s="156">
        <v>7339.2857142857147</v>
      </c>
      <c r="E84" s="156">
        <v>102750</v>
      </c>
      <c r="F84" s="156">
        <v>14</v>
      </c>
      <c r="G84" s="156">
        <v>7339.2857142857147</v>
      </c>
    </row>
    <row r="85" spans="1:7" x14ac:dyDescent="0.25">
      <c r="A85" s="180" t="s">
        <v>78</v>
      </c>
      <c r="B85" s="156">
        <f>SUBTOTAL(109,Tabelle_PV_FFA_Datenbank_FE.accdb2456792041[Gebotsmenge])</f>
        <v>114950</v>
      </c>
      <c r="C85" s="156">
        <f>SUBTOTAL(109,Tabelle_PV_FFA_Datenbank_FE.accdb2456792041[Anzahl Gebote])</f>
        <v>17</v>
      </c>
      <c r="E85" s="156">
        <f>SUBTOTAL(109,Tabelle_PV_FFA_Datenbank_FE.accdb2456792041[Zuschlagsmenge])</f>
        <v>114950</v>
      </c>
      <c r="F85" s="156">
        <f>SUBTOTAL(109,Tabelle_PV_FFA_Datenbank_FE.accdb2456792041[Anzahl Zuschläge])</f>
        <v>17</v>
      </c>
      <c r="G85" s="156"/>
    </row>
    <row r="86" spans="1:7" x14ac:dyDescent="0.25">
      <c r="B86" s="156"/>
      <c r="C86" s="156"/>
      <c r="D86" s="156"/>
      <c r="E86" s="156"/>
      <c r="F86" s="156"/>
      <c r="G86" s="156"/>
    </row>
  </sheetData>
  <protectedRanges>
    <protectedRange sqref="B3" name="Bereich1"/>
  </protectedRanges>
  <mergeCells count="12">
    <mergeCell ref="B26:B27"/>
    <mergeCell ref="A1:F1"/>
    <mergeCell ref="A12:A13"/>
    <mergeCell ref="B12:B13"/>
    <mergeCell ref="A17:A18"/>
    <mergeCell ref="B17:B18"/>
    <mergeCell ref="A26:A27"/>
    <mergeCell ref="A67:A68"/>
    <mergeCell ref="A80:A81"/>
    <mergeCell ref="A33:A34"/>
    <mergeCell ref="A43:A44"/>
    <mergeCell ref="A59:A60"/>
  </mergeCells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custom" allowBlank="1" showInputMessage="1" showErrorMessage="1" xr:uid="{00000000-0002-0000-0D00-000000000000}">
          <x14:formula1>
            <xm:f>VLOOKUP(C3,'\\ITBONN01F035\Ref_605$\Referatslaufwerk\EEG\8175 Ausschreibungen\8175-00 Allgemein\Statistik_Veröffentlichung\[Statistik_Veröffentlichung_Wind.xlsm]Gebotstermine'!#REF!,2,FALSE)</xm:f>
          </x14:formula1>
          <xm:sqref>D3</xm:sqref>
        </x14:dataValidation>
        <x14:dataValidation type="list" showInputMessage="1" showErrorMessage="1" xr:uid="{00000000-0002-0000-0D00-000001000000}">
          <x14:formula1>
            <xm:f>'\\ITBONN01F035\Ref_605$\Referatslaufwerk\EEG\8175 Ausschreibungen\8175-00 Allgemein\Statistik_Veröffentlichung\[Statistik_Veröffentlichung_Wind.xlsm]Gebotstermine'!#REF!</xm:f>
          </x14:formula1>
          <xm:sqref>B3</xm:sqref>
        </x14:dataValidation>
        <x14:dataValidation type="list" allowBlank="1" showInputMessage="1" showErrorMessage="1" xr:uid="{00000000-0002-0000-0D00-000002000000}">
          <x14:formula1>
            <xm:f>'\\ITBONN01F035\Ref_605$\Referatslaufwerk\EEG\8175 Ausschreibungen\8175-00 Allgemein\Statistik_Veröffentlichung\[Statistik_Veröffentlichung_Wind.xlsm]Gebotstermine'!#REF!</xm:f>
          </x14:formula1>
          <xm:sqref>I3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58">
    <tabColor rgb="FF0070C0"/>
  </sheetPr>
  <dimension ref="A1:H88"/>
  <sheetViews>
    <sheetView showGridLines="0" topLeftCell="A43" zoomScaleNormal="100" workbookViewId="0">
      <selection activeCell="J60" sqref="J60"/>
    </sheetView>
  </sheetViews>
  <sheetFormatPr defaultColWidth="9.140625" defaultRowHeight="15" x14ac:dyDescent="0.25"/>
  <cols>
    <col min="1" max="1" width="47.5703125" style="180" customWidth="1"/>
    <col min="2" max="43" width="19.28515625" style="180" customWidth="1"/>
    <col min="44" max="16384" width="9.140625" style="180"/>
  </cols>
  <sheetData>
    <row r="1" spans="1:8" s="188" customFormat="1" ht="48" customHeight="1" x14ac:dyDescent="0.25">
      <c r="A1" s="339" t="s">
        <v>64</v>
      </c>
      <c r="B1" s="340"/>
      <c r="C1" s="340"/>
      <c r="D1" s="340"/>
      <c r="E1" s="340"/>
      <c r="F1" s="340"/>
      <c r="H1" s="136" t="s">
        <v>109</v>
      </c>
    </row>
    <row r="2" spans="1:8" s="188" customFormat="1" ht="5.25" customHeight="1" x14ac:dyDescent="0.25">
      <c r="A2" s="181"/>
    </row>
    <row r="3" spans="1:8" x14ac:dyDescent="0.25">
      <c r="A3" s="137" t="s">
        <v>1</v>
      </c>
      <c r="B3" s="138">
        <v>43800</v>
      </c>
      <c r="C3" s="139" t="e">
        <f ca="1">OFFSET([8]!Gebotstermine[[#Headers],[terGebotsterminID]],MATCH(Gebotstermin,[8]!Gebotstermine[terGebotstermin],0),,,)</f>
        <v>#REF!</v>
      </c>
    </row>
    <row r="4" spans="1:8" x14ac:dyDescent="0.25">
      <c r="A4" s="140"/>
      <c r="B4" s="141"/>
    </row>
    <row r="6" spans="1:8" ht="19.5" thickBot="1" x14ac:dyDescent="0.35">
      <c r="A6" s="142" t="s">
        <v>2</v>
      </c>
    </row>
    <row r="7" spans="1:8" ht="30.75" customHeight="1" thickBot="1" x14ac:dyDescent="0.3">
      <c r="A7" s="143" t="s">
        <v>3</v>
      </c>
      <c r="B7" s="143" t="s">
        <v>4</v>
      </c>
      <c r="F7" s="144"/>
      <c r="G7" s="145"/>
      <c r="H7" s="145"/>
    </row>
    <row r="8" spans="1:8" x14ac:dyDescent="0.25">
      <c r="A8" s="133">
        <v>500000</v>
      </c>
      <c r="B8" s="146">
        <v>6.1999998092651367</v>
      </c>
    </row>
    <row r="9" spans="1:8" ht="15" customHeight="1" x14ac:dyDescent="0.3">
      <c r="A9" s="142"/>
    </row>
    <row r="10" spans="1:8" ht="18" customHeight="1" thickBot="1" x14ac:dyDescent="0.3">
      <c r="A10" s="147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11" t="s">
        <v>7</v>
      </c>
      <c r="D11" s="12"/>
      <c r="E11" s="13"/>
      <c r="F11" s="11" t="s">
        <v>8</v>
      </c>
      <c r="G11" s="12"/>
      <c r="H11" s="13"/>
    </row>
    <row r="12" spans="1:8" ht="15.75" thickBot="1" x14ac:dyDescent="0.3">
      <c r="A12" s="332"/>
      <c r="B12" s="332"/>
      <c r="C12" s="148" t="s">
        <v>9</v>
      </c>
      <c r="D12" s="148" t="s">
        <v>10</v>
      </c>
      <c r="E12" s="148" t="s">
        <v>11</v>
      </c>
      <c r="F12" s="148" t="s">
        <v>9</v>
      </c>
      <c r="G12" s="148" t="s">
        <v>10</v>
      </c>
      <c r="H12" s="149" t="s">
        <v>12</v>
      </c>
    </row>
    <row r="13" spans="1:8" x14ac:dyDescent="0.25">
      <c r="A13" s="132">
        <v>685840</v>
      </c>
      <c r="B13" s="131">
        <v>76</v>
      </c>
      <c r="C13" s="130">
        <v>800</v>
      </c>
      <c r="D13" s="129">
        <v>56000</v>
      </c>
      <c r="E13" s="128">
        <v>9024.21052631579</v>
      </c>
      <c r="F13" s="127">
        <v>5.74</v>
      </c>
      <c r="G13" s="126">
        <v>6.2</v>
      </c>
      <c r="H13" s="125">
        <v>6.110253703487694</v>
      </c>
    </row>
    <row r="14" spans="1:8" ht="4.5" customHeight="1" x14ac:dyDescent="0.25">
      <c r="A14" s="182"/>
      <c r="B14" s="182"/>
      <c r="C14" s="182"/>
      <c r="D14" s="182"/>
      <c r="E14" s="182"/>
      <c r="F14" s="182"/>
      <c r="G14" s="182"/>
      <c r="H14" s="182"/>
    </row>
    <row r="15" spans="1:8" ht="18" customHeight="1" thickBot="1" x14ac:dyDescent="0.3">
      <c r="A15" s="147" t="s">
        <v>65</v>
      </c>
      <c r="B15" s="151"/>
      <c r="C15" s="151"/>
      <c r="D15" s="151"/>
      <c r="E15" s="151"/>
      <c r="F15" s="146"/>
      <c r="G15" s="146"/>
      <c r="H15" s="146"/>
    </row>
    <row r="16" spans="1:8" ht="15.75" customHeight="1" thickBot="1" x14ac:dyDescent="0.3">
      <c r="A16" s="331" t="s">
        <v>66</v>
      </c>
      <c r="B16" s="331" t="s">
        <v>67</v>
      </c>
      <c r="C16" s="11" t="s">
        <v>15</v>
      </c>
      <c r="D16" s="12"/>
      <c r="E16" s="13"/>
      <c r="F16" s="11" t="s">
        <v>16</v>
      </c>
      <c r="G16" s="12"/>
      <c r="H16" s="13"/>
    </row>
    <row r="17" spans="1:8" ht="15.75" thickBot="1" x14ac:dyDescent="0.3">
      <c r="A17" s="332"/>
      <c r="B17" s="332"/>
      <c r="C17" s="148" t="s">
        <v>9</v>
      </c>
      <c r="D17" s="148" t="s">
        <v>10</v>
      </c>
      <c r="E17" s="148" t="s">
        <v>11</v>
      </c>
      <c r="F17" s="148" t="s">
        <v>9</v>
      </c>
      <c r="G17" s="148" t="s">
        <v>10</v>
      </c>
      <c r="H17" s="148" t="s">
        <v>12</v>
      </c>
    </row>
    <row r="18" spans="1:8" x14ac:dyDescent="0.25">
      <c r="A18" s="120">
        <v>509040</v>
      </c>
      <c r="B18" s="119">
        <v>56</v>
      </c>
      <c r="C18" s="124">
        <v>2350</v>
      </c>
      <c r="D18" s="32">
        <v>56000</v>
      </c>
      <c r="E18" s="33">
        <v>9090</v>
      </c>
      <c r="F18" s="123">
        <v>5.9499998092651367</v>
      </c>
      <c r="G18" s="122">
        <v>6.179999828338623</v>
      </c>
      <c r="H18" s="121">
        <v>6.1132374064232522</v>
      </c>
    </row>
    <row r="19" spans="1:8" ht="4.5" customHeight="1" x14ac:dyDescent="0.25">
      <c r="A19" s="182"/>
      <c r="B19" s="182"/>
      <c r="C19" s="182"/>
      <c r="D19" s="182"/>
      <c r="E19" s="182"/>
      <c r="F19" s="182"/>
      <c r="G19" s="182"/>
      <c r="H19" s="182"/>
    </row>
    <row r="20" spans="1:8" ht="18" customHeight="1" thickBot="1" x14ac:dyDescent="0.3">
      <c r="A20" s="152" t="s">
        <v>68</v>
      </c>
      <c r="B20" s="151"/>
      <c r="C20" s="151"/>
      <c r="D20" s="151"/>
      <c r="E20" s="151"/>
      <c r="F20" s="146"/>
      <c r="G20" s="146"/>
      <c r="H20" s="146"/>
    </row>
    <row r="21" spans="1:8" ht="30.75" customHeight="1" x14ac:dyDescent="0.25">
      <c r="A21" s="187" t="s">
        <v>66</v>
      </c>
      <c r="B21" s="187" t="s">
        <v>14</v>
      </c>
      <c r="C21" s="151"/>
      <c r="D21" s="151"/>
      <c r="E21" s="151"/>
      <c r="F21" s="146"/>
      <c r="G21" s="146"/>
      <c r="H21" s="146"/>
    </row>
    <row r="22" spans="1:8" x14ac:dyDescent="0.25">
      <c r="A22" s="120">
        <v>509040</v>
      </c>
      <c r="B22" s="119">
        <v>56</v>
      </c>
    </row>
    <row r="23" spans="1:8" ht="4.5" customHeight="1" x14ac:dyDescent="0.25">
      <c r="A23" s="182"/>
      <c r="B23" s="182"/>
      <c r="C23" s="151"/>
      <c r="D23" s="151"/>
      <c r="E23" s="151"/>
      <c r="F23" s="146"/>
      <c r="G23" s="146"/>
      <c r="H23" s="146"/>
    </row>
    <row r="24" spans="1:8" ht="18" customHeight="1" thickBot="1" x14ac:dyDescent="0.3">
      <c r="A24" s="147" t="s">
        <v>69</v>
      </c>
      <c r="B24" s="151"/>
      <c r="C24" s="151"/>
      <c r="D24" s="151"/>
      <c r="E24" s="151"/>
      <c r="F24" s="146"/>
      <c r="G24" s="146"/>
      <c r="H24" s="146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118">
        <v>28800</v>
      </c>
      <c r="B27" s="117">
        <v>2</v>
      </c>
    </row>
    <row r="29" spans="1:8" ht="15.75" x14ac:dyDescent="0.25">
      <c r="A29" s="153" t="s">
        <v>100</v>
      </c>
    </row>
    <row r="31" spans="1:8" ht="19.5" thickBot="1" x14ac:dyDescent="0.35">
      <c r="A31" s="79" t="s">
        <v>73</v>
      </c>
    </row>
    <row r="32" spans="1:8" ht="15.75" thickBot="1" x14ac:dyDescent="0.3">
      <c r="A32" s="325" t="s">
        <v>23</v>
      </c>
      <c r="B32" s="80" t="s">
        <v>18</v>
      </c>
      <c r="C32" s="81"/>
      <c r="D32" s="82"/>
      <c r="E32" s="81" t="s">
        <v>31</v>
      </c>
      <c r="F32" s="81"/>
      <c r="G32" s="82"/>
      <c r="H32" s="144"/>
    </row>
    <row r="33" spans="1:8" ht="30.75" thickBot="1" x14ac:dyDescent="0.3">
      <c r="A33" s="326"/>
      <c r="B33" s="143" t="s">
        <v>63</v>
      </c>
      <c r="C33" s="143" t="s">
        <v>20</v>
      </c>
      <c r="D33" s="143" t="s">
        <v>74</v>
      </c>
      <c r="E33" s="154" t="s">
        <v>75</v>
      </c>
      <c r="F33" s="143" t="s">
        <v>32</v>
      </c>
      <c r="G33" s="143" t="s">
        <v>76</v>
      </c>
      <c r="H33" s="144"/>
    </row>
    <row r="34" spans="1:8" x14ac:dyDescent="0.25">
      <c r="A34" s="116" t="s">
        <v>26</v>
      </c>
      <c r="B34" s="145">
        <v>161130</v>
      </c>
      <c r="C34" s="145">
        <v>40</v>
      </c>
      <c r="D34" s="145">
        <v>4028.25</v>
      </c>
      <c r="E34" s="145">
        <v>118430</v>
      </c>
      <c r="F34" s="145">
        <v>28</v>
      </c>
      <c r="G34" s="145">
        <v>4229.6428571428569</v>
      </c>
      <c r="H34" s="144"/>
    </row>
    <row r="35" spans="1:8" x14ac:dyDescent="0.25">
      <c r="A35" s="116" t="s">
        <v>27</v>
      </c>
      <c r="B35" s="145">
        <v>206360</v>
      </c>
      <c r="C35" s="145">
        <v>23</v>
      </c>
      <c r="D35" s="145">
        <v>8972.173913043478</v>
      </c>
      <c r="E35" s="145">
        <v>173060</v>
      </c>
      <c r="F35" s="145">
        <v>19</v>
      </c>
      <c r="G35" s="145">
        <v>9108.4210526315783</v>
      </c>
      <c r="H35" s="144"/>
    </row>
    <row r="36" spans="1:8" x14ac:dyDescent="0.25">
      <c r="A36" s="116" t="s">
        <v>28</v>
      </c>
      <c r="B36" s="145">
        <v>79800</v>
      </c>
      <c r="C36" s="145">
        <v>5</v>
      </c>
      <c r="D36" s="145">
        <v>15960</v>
      </c>
      <c r="E36" s="145">
        <v>63000</v>
      </c>
      <c r="F36" s="145">
        <v>4</v>
      </c>
      <c r="G36" s="145">
        <v>15750</v>
      </c>
      <c r="H36" s="144"/>
    </row>
    <row r="37" spans="1:8" x14ac:dyDescent="0.25">
      <c r="A37" s="116" t="s">
        <v>77</v>
      </c>
      <c r="B37" s="145">
        <v>238550</v>
      </c>
      <c r="C37" s="145">
        <v>8</v>
      </c>
      <c r="D37" s="145">
        <v>29818.75</v>
      </c>
      <c r="E37" s="145">
        <v>154550</v>
      </c>
      <c r="F37" s="145">
        <v>5</v>
      </c>
      <c r="G37" s="145">
        <v>30910</v>
      </c>
      <c r="H37" s="144"/>
    </row>
    <row r="38" spans="1:8" x14ac:dyDescent="0.25">
      <c r="A38" s="186" t="s">
        <v>78</v>
      </c>
      <c r="B38" s="156">
        <f>SUBTOTAL(109,Tabelle_PV_FFA_Datenbank_FE.accdb21328[Gebotsmenge])</f>
        <v>685840</v>
      </c>
      <c r="C38" s="156">
        <f>SUBTOTAL(109,Tabelle_PV_FFA_Datenbank_FE.accdb21328[Anzahl Gebote])</f>
        <v>76</v>
      </c>
      <c r="E38" s="156">
        <f>SUBTOTAL(109,Tabelle_PV_FFA_Datenbank_FE.accdb21328[Zuschlagsmenge])</f>
        <v>509040</v>
      </c>
      <c r="F38" s="156">
        <f>SUBTOTAL(109,Tabelle_PV_FFA_Datenbank_FE.accdb21328[Anzahl Zuschläge])</f>
        <v>56</v>
      </c>
      <c r="G38" s="156"/>
      <c r="H38" s="144"/>
    </row>
    <row r="39" spans="1:8" x14ac:dyDescent="0.25">
      <c r="A39" s="186"/>
      <c r="B39" s="156"/>
      <c r="C39" s="156"/>
      <c r="E39" s="156"/>
      <c r="F39" s="156"/>
      <c r="G39" s="156"/>
      <c r="H39" s="144"/>
    </row>
    <row r="40" spans="1:8" x14ac:dyDescent="0.25">
      <c r="A40" s="186"/>
      <c r="B40" s="156"/>
      <c r="C40" s="156"/>
      <c r="E40" s="156"/>
      <c r="F40" s="156"/>
      <c r="G40" s="156"/>
      <c r="H40" s="144"/>
    </row>
    <row r="41" spans="1:8" ht="19.5" thickBot="1" x14ac:dyDescent="0.35">
      <c r="A41" s="157" t="s">
        <v>79</v>
      </c>
    </row>
    <row r="42" spans="1:8" ht="15.75" thickBot="1" x14ac:dyDescent="0.3">
      <c r="A42" s="325" t="s">
        <v>80</v>
      </c>
      <c r="B42" s="80" t="s">
        <v>18</v>
      </c>
      <c r="C42" s="81"/>
      <c r="D42" s="82"/>
      <c r="E42" s="81" t="s">
        <v>31</v>
      </c>
      <c r="F42" s="81"/>
      <c r="G42" s="82"/>
    </row>
    <row r="43" spans="1:8" ht="30.75" thickBot="1" x14ac:dyDescent="0.3">
      <c r="A43" s="326"/>
      <c r="B43" s="143" t="s">
        <v>63</v>
      </c>
      <c r="C43" s="143" t="s">
        <v>20</v>
      </c>
      <c r="D43" s="143" t="s">
        <v>74</v>
      </c>
      <c r="E43" s="154" t="s">
        <v>75</v>
      </c>
      <c r="F43" s="143" t="s">
        <v>32</v>
      </c>
      <c r="G43" s="143" t="s">
        <v>76</v>
      </c>
    </row>
    <row r="44" spans="1:8" x14ac:dyDescent="0.25">
      <c r="A44" s="116" t="s">
        <v>39</v>
      </c>
      <c r="B44" s="145">
        <v>21000</v>
      </c>
      <c r="C44" s="145">
        <v>2</v>
      </c>
      <c r="D44" s="145">
        <v>10500</v>
      </c>
      <c r="E44" s="145">
        <v>4200</v>
      </c>
      <c r="F44" s="145">
        <v>1</v>
      </c>
      <c r="G44" s="145">
        <v>4200</v>
      </c>
    </row>
    <row r="45" spans="1:8" x14ac:dyDescent="0.25">
      <c r="A45" s="116" t="s">
        <v>40</v>
      </c>
      <c r="B45" s="145">
        <v>15600</v>
      </c>
      <c r="C45" s="145">
        <v>3</v>
      </c>
      <c r="D45" s="145">
        <v>5200</v>
      </c>
      <c r="E45" s="145">
        <v>12000</v>
      </c>
      <c r="F45" s="145">
        <v>2</v>
      </c>
      <c r="G45" s="145">
        <v>6000</v>
      </c>
    </row>
    <row r="46" spans="1:8" x14ac:dyDescent="0.25">
      <c r="A46" s="186" t="s">
        <v>41</v>
      </c>
      <c r="B46" s="156">
        <v>209960</v>
      </c>
      <c r="C46" s="156">
        <v>19</v>
      </c>
      <c r="D46" s="156">
        <v>11050.526315789473</v>
      </c>
      <c r="E46" s="156">
        <v>174260</v>
      </c>
      <c r="F46" s="156">
        <v>17</v>
      </c>
      <c r="G46" s="156">
        <v>10250.588235294117</v>
      </c>
    </row>
    <row r="47" spans="1:8" x14ac:dyDescent="0.25">
      <c r="A47" s="186" t="s">
        <v>42</v>
      </c>
      <c r="B47" s="156">
        <v>34800</v>
      </c>
      <c r="C47" s="156">
        <v>8</v>
      </c>
      <c r="D47" s="156">
        <v>4350</v>
      </c>
      <c r="E47" s="156">
        <v>34800</v>
      </c>
      <c r="F47" s="156">
        <v>8</v>
      </c>
      <c r="G47" s="156">
        <v>4350</v>
      </c>
    </row>
    <row r="48" spans="1:8" x14ac:dyDescent="0.25">
      <c r="A48" s="186" t="s">
        <v>43</v>
      </c>
      <c r="B48" s="156">
        <v>37800</v>
      </c>
      <c r="C48" s="156">
        <v>2</v>
      </c>
      <c r="D48" s="156">
        <v>18900</v>
      </c>
      <c r="E48" s="156">
        <v>37800</v>
      </c>
      <c r="F48" s="156">
        <v>2</v>
      </c>
      <c r="G48" s="156">
        <v>18900</v>
      </c>
    </row>
    <row r="49" spans="1:7" x14ac:dyDescent="0.25">
      <c r="A49" s="186" t="s">
        <v>44</v>
      </c>
      <c r="B49" s="156">
        <v>110050</v>
      </c>
      <c r="C49" s="156">
        <v>6</v>
      </c>
      <c r="D49" s="156">
        <v>18341.666666666668</v>
      </c>
      <c r="E49" s="156">
        <v>73250</v>
      </c>
      <c r="F49" s="156">
        <v>3</v>
      </c>
      <c r="G49" s="156">
        <v>24416.666666666668</v>
      </c>
    </row>
    <row r="50" spans="1:7" x14ac:dyDescent="0.25">
      <c r="A50" s="186" t="s">
        <v>45</v>
      </c>
      <c r="B50" s="156">
        <v>110030</v>
      </c>
      <c r="C50" s="156">
        <v>15</v>
      </c>
      <c r="D50" s="156">
        <v>7335.333333333333</v>
      </c>
      <c r="E50" s="156">
        <v>72630</v>
      </c>
      <c r="F50" s="156">
        <v>11</v>
      </c>
      <c r="G50" s="156">
        <v>6602.727272727273</v>
      </c>
    </row>
    <row r="51" spans="1:7" x14ac:dyDescent="0.25">
      <c r="A51" s="186" t="s">
        <v>46</v>
      </c>
      <c r="B51" s="156">
        <v>24000</v>
      </c>
      <c r="C51" s="156">
        <v>3</v>
      </c>
      <c r="D51" s="156">
        <v>8000</v>
      </c>
      <c r="E51" s="156">
        <v>24000</v>
      </c>
      <c r="F51" s="156">
        <v>3</v>
      </c>
      <c r="G51" s="156">
        <v>8000</v>
      </c>
    </row>
    <row r="52" spans="1:7" x14ac:dyDescent="0.25">
      <c r="A52" s="180" t="s">
        <v>98</v>
      </c>
      <c r="B52" s="156">
        <v>16500</v>
      </c>
      <c r="C52" s="156">
        <v>2</v>
      </c>
      <c r="D52" s="156">
        <v>8250</v>
      </c>
      <c r="E52" s="156">
        <v>16500</v>
      </c>
      <c r="F52" s="156">
        <v>2</v>
      </c>
      <c r="G52" s="156">
        <v>8250</v>
      </c>
    </row>
    <row r="53" spans="1:7" x14ac:dyDescent="0.25">
      <c r="A53" s="180" t="s">
        <v>48</v>
      </c>
      <c r="B53" s="156">
        <v>7200</v>
      </c>
      <c r="C53" s="156">
        <v>1</v>
      </c>
      <c r="D53" s="156">
        <v>7200</v>
      </c>
      <c r="E53" s="156">
        <v>0</v>
      </c>
      <c r="F53" s="156">
        <v>0</v>
      </c>
      <c r="G53" s="156">
        <v>0</v>
      </c>
    </row>
    <row r="54" spans="1:7" x14ac:dyDescent="0.25">
      <c r="A54" s="180" t="s">
        <v>49</v>
      </c>
      <c r="B54" s="156">
        <v>55500</v>
      </c>
      <c r="C54" s="156">
        <v>8</v>
      </c>
      <c r="D54" s="156">
        <v>6937.5</v>
      </c>
      <c r="E54" s="156">
        <v>48600</v>
      </c>
      <c r="F54" s="156">
        <v>6</v>
      </c>
      <c r="G54" s="156">
        <v>8100</v>
      </c>
    </row>
    <row r="55" spans="1:7" x14ac:dyDescent="0.25">
      <c r="A55" s="180" t="s">
        <v>50</v>
      </c>
      <c r="B55" s="156">
        <v>43400</v>
      </c>
      <c r="C55" s="156">
        <v>7</v>
      </c>
      <c r="D55" s="156">
        <v>6200</v>
      </c>
      <c r="E55" s="156">
        <v>11000</v>
      </c>
      <c r="F55" s="156">
        <v>1</v>
      </c>
      <c r="G55" s="156">
        <v>11000</v>
      </c>
    </row>
    <row r="56" spans="1:7" x14ac:dyDescent="0.25">
      <c r="A56" s="180" t="s">
        <v>78</v>
      </c>
      <c r="B56" s="156">
        <f>SUBTOTAL(109,Tabelle_PV_FFA_Datenbank_FE.accdb245671830[Gebotsmenge])</f>
        <v>685840</v>
      </c>
      <c r="C56" s="156">
        <f>SUBTOTAL(109,Tabelle_PV_FFA_Datenbank_FE.accdb245671830[Anzahl Gebote])</f>
        <v>76</v>
      </c>
      <c r="E56" s="156">
        <f>SUBTOTAL(109,Tabelle_PV_FFA_Datenbank_FE.accdb245671830[Zuschlagsmenge])</f>
        <v>509040</v>
      </c>
      <c r="F56" s="156">
        <f>SUBTOTAL(109,Tabelle_PV_FFA_Datenbank_FE.accdb245671830[Anzahl Zuschläge])</f>
        <v>56</v>
      </c>
      <c r="G56" s="156"/>
    </row>
    <row r="57" spans="1:7" x14ac:dyDescent="0.25">
      <c r="B57" s="156"/>
      <c r="C57" s="156"/>
      <c r="D57" s="156"/>
      <c r="E57" s="156"/>
      <c r="F57" s="156"/>
      <c r="G57" s="156"/>
    </row>
    <row r="58" spans="1:7" ht="15" customHeight="1" x14ac:dyDescent="0.25">
      <c r="B58" s="156"/>
      <c r="C58" s="156"/>
      <c r="D58" s="156"/>
      <c r="E58" s="156"/>
      <c r="F58" s="156"/>
      <c r="G58" s="156"/>
    </row>
    <row r="59" spans="1:7" ht="19.5" thickBot="1" x14ac:dyDescent="0.35">
      <c r="A59" s="79" t="s">
        <v>82</v>
      </c>
    </row>
    <row r="60" spans="1:7" ht="15.75" thickBot="1" x14ac:dyDescent="0.3">
      <c r="A60" s="325" t="s">
        <v>83</v>
      </c>
      <c r="B60" s="80" t="s">
        <v>18</v>
      </c>
      <c r="C60" s="81"/>
      <c r="D60" s="82"/>
      <c r="E60" s="81" t="s">
        <v>31</v>
      </c>
      <c r="F60" s="81"/>
      <c r="G60" s="82"/>
    </row>
    <row r="61" spans="1:7" ht="30.75" thickBot="1" x14ac:dyDescent="0.3">
      <c r="A61" s="326"/>
      <c r="B61" s="143" t="s">
        <v>63</v>
      </c>
      <c r="C61" s="143" t="s">
        <v>20</v>
      </c>
      <c r="D61" s="143" t="s">
        <v>74</v>
      </c>
      <c r="E61" s="154" t="s">
        <v>75</v>
      </c>
      <c r="F61" s="143" t="s">
        <v>32</v>
      </c>
      <c r="G61" s="143" t="s">
        <v>76</v>
      </c>
    </row>
    <row r="62" spans="1:7" x14ac:dyDescent="0.25">
      <c r="A62" s="116" t="s">
        <v>24</v>
      </c>
      <c r="B62" s="145">
        <v>60010</v>
      </c>
      <c r="C62" s="145">
        <v>8</v>
      </c>
      <c r="D62" s="145">
        <v>7501.25</v>
      </c>
      <c r="E62" s="145">
        <v>60010</v>
      </c>
      <c r="F62" s="145">
        <v>8</v>
      </c>
      <c r="G62" s="145">
        <v>7501.25</v>
      </c>
    </row>
    <row r="63" spans="1:7" x14ac:dyDescent="0.25">
      <c r="A63" s="180" t="s">
        <v>84</v>
      </c>
      <c r="B63" s="156">
        <v>625830</v>
      </c>
      <c r="C63" s="156">
        <v>68</v>
      </c>
      <c r="D63" s="156">
        <v>9203.3823529411766</v>
      </c>
      <c r="E63" s="156">
        <v>449030</v>
      </c>
      <c r="F63" s="156">
        <v>48</v>
      </c>
      <c r="G63" s="156">
        <v>9354.7916666666661</v>
      </c>
    </row>
    <row r="64" spans="1:7" x14ac:dyDescent="0.25">
      <c r="A64" s="180" t="s">
        <v>78</v>
      </c>
      <c r="B64" s="156">
        <f>SUBTOTAL(109,Tabelle_PV_FFA_Datenbank_FE.accdb24561632[Gebotsmenge])</f>
        <v>685840</v>
      </c>
      <c r="C64" s="156">
        <f>SUBTOTAL(109,Tabelle_PV_FFA_Datenbank_FE.accdb24561632[Anzahl Gebote])</f>
        <v>76</v>
      </c>
      <c r="E64" s="156">
        <f>SUBTOTAL(109,Tabelle_PV_FFA_Datenbank_FE.accdb24561632[Zuschlagsmenge])</f>
        <v>509040</v>
      </c>
      <c r="F64" s="156">
        <f>SUBTOTAL(109,Tabelle_PV_FFA_Datenbank_FE.accdb24561632[Anzahl Zuschläge])</f>
        <v>56</v>
      </c>
      <c r="G64" s="156"/>
    </row>
    <row r="65" spans="1:7" x14ac:dyDescent="0.25">
      <c r="B65" s="156"/>
      <c r="C65" s="156"/>
      <c r="E65" s="156"/>
      <c r="F65" s="156"/>
    </row>
    <row r="66" spans="1:7" x14ac:dyDescent="0.25">
      <c r="A66" s="186"/>
      <c r="B66" s="156"/>
      <c r="C66" s="156"/>
      <c r="D66" s="156"/>
      <c r="E66" s="156"/>
      <c r="F66" s="156"/>
      <c r="G66" s="156"/>
    </row>
    <row r="67" spans="1:7" ht="19.5" thickBot="1" x14ac:dyDescent="0.35">
      <c r="A67" s="79" t="s">
        <v>85</v>
      </c>
    </row>
    <row r="68" spans="1:7" ht="15.75" thickBot="1" x14ac:dyDescent="0.3">
      <c r="A68" s="325" t="s">
        <v>86</v>
      </c>
      <c r="B68" s="80" t="s">
        <v>18</v>
      </c>
      <c r="C68" s="81"/>
      <c r="D68" s="82"/>
      <c r="E68" s="81" t="s">
        <v>31</v>
      </c>
      <c r="F68" s="81"/>
      <c r="G68" s="82"/>
    </row>
    <row r="69" spans="1:7" ht="30.75" thickBot="1" x14ac:dyDescent="0.3">
      <c r="A69" s="338"/>
      <c r="B69" s="143" t="s">
        <v>63</v>
      </c>
      <c r="C69" s="143" t="s">
        <v>20</v>
      </c>
      <c r="D69" s="143" t="s">
        <v>74</v>
      </c>
      <c r="E69" s="154" t="s">
        <v>75</v>
      </c>
      <c r="F69" s="143" t="s">
        <v>32</v>
      </c>
      <c r="G69" s="143" t="s">
        <v>76</v>
      </c>
    </row>
    <row r="70" spans="1:7" x14ac:dyDescent="0.25">
      <c r="A70" s="116" t="s">
        <v>87</v>
      </c>
      <c r="B70" s="145">
        <v>95600</v>
      </c>
      <c r="C70" s="145">
        <v>11</v>
      </c>
      <c r="D70" s="145">
        <v>8690.9090909090901</v>
      </c>
      <c r="E70" s="145">
        <v>63800</v>
      </c>
      <c r="F70" s="145">
        <v>10</v>
      </c>
      <c r="G70" s="145">
        <v>6380</v>
      </c>
    </row>
    <row r="71" spans="1:7" x14ac:dyDescent="0.25">
      <c r="A71" s="180" t="s">
        <v>88</v>
      </c>
      <c r="B71" s="156">
        <v>4200</v>
      </c>
      <c r="C71" s="156">
        <v>1</v>
      </c>
      <c r="D71" s="156">
        <v>4200</v>
      </c>
      <c r="E71" s="156">
        <v>4200</v>
      </c>
      <c r="F71" s="156">
        <v>1</v>
      </c>
      <c r="G71" s="156">
        <v>4200</v>
      </c>
    </row>
    <row r="72" spans="1:7" x14ac:dyDescent="0.25">
      <c r="A72" s="180" t="s">
        <v>89</v>
      </c>
      <c r="B72" s="156">
        <v>3600</v>
      </c>
      <c r="C72" s="156">
        <v>1</v>
      </c>
      <c r="D72" s="156">
        <v>3600</v>
      </c>
      <c r="E72" s="156">
        <v>3600</v>
      </c>
      <c r="F72" s="156">
        <v>1</v>
      </c>
      <c r="G72" s="156">
        <v>3600</v>
      </c>
    </row>
    <row r="73" spans="1:7" x14ac:dyDescent="0.25">
      <c r="A73" s="180" t="s">
        <v>90</v>
      </c>
      <c r="B73" s="180">
        <v>6000</v>
      </c>
      <c r="C73" s="180">
        <v>1</v>
      </c>
      <c r="D73" s="156">
        <v>6000</v>
      </c>
      <c r="E73" s="180">
        <v>0</v>
      </c>
      <c r="F73" s="180">
        <v>0</v>
      </c>
      <c r="G73" s="180">
        <v>0</v>
      </c>
    </row>
    <row r="74" spans="1:7" x14ac:dyDescent="0.25">
      <c r="A74" s="180" t="s">
        <v>91</v>
      </c>
      <c r="B74" s="156">
        <v>103350</v>
      </c>
      <c r="C74" s="156">
        <v>16</v>
      </c>
      <c r="D74" s="156">
        <v>6459.375</v>
      </c>
      <c r="E74" s="156">
        <v>68050</v>
      </c>
      <c r="F74" s="156">
        <v>8</v>
      </c>
      <c r="G74" s="156">
        <v>8506.25</v>
      </c>
    </row>
    <row r="75" spans="1:7" x14ac:dyDescent="0.25">
      <c r="A75" s="180" t="s">
        <v>92</v>
      </c>
      <c r="B75" s="156">
        <v>427680</v>
      </c>
      <c r="C75" s="156">
        <v>41</v>
      </c>
      <c r="D75" s="156">
        <v>10431.219512195123</v>
      </c>
      <c r="E75" s="156">
        <v>324780</v>
      </c>
      <c r="F75" s="156">
        <v>32</v>
      </c>
      <c r="G75" s="156">
        <v>10149.375</v>
      </c>
    </row>
    <row r="76" spans="1:7" x14ac:dyDescent="0.25">
      <c r="A76" s="180" t="s">
        <v>93</v>
      </c>
      <c r="B76" s="156">
        <v>800</v>
      </c>
      <c r="C76" s="156">
        <v>1</v>
      </c>
      <c r="D76" s="156">
        <v>800</v>
      </c>
      <c r="E76" s="156">
        <v>0</v>
      </c>
      <c r="F76" s="156">
        <v>0</v>
      </c>
      <c r="G76" s="156">
        <v>0</v>
      </c>
    </row>
    <row r="77" spans="1:7" x14ac:dyDescent="0.25">
      <c r="A77" s="180" t="s">
        <v>94</v>
      </c>
      <c r="B77" s="156">
        <v>44610</v>
      </c>
      <c r="C77" s="156">
        <v>4</v>
      </c>
      <c r="D77" s="156">
        <v>11152.5</v>
      </c>
      <c r="E77" s="156">
        <v>44610</v>
      </c>
      <c r="F77" s="156">
        <v>4</v>
      </c>
      <c r="G77" s="156">
        <v>11152.5</v>
      </c>
    </row>
    <row r="78" spans="1:7" x14ac:dyDescent="0.25">
      <c r="A78" s="180" t="s">
        <v>78</v>
      </c>
      <c r="B78" s="156">
        <f>SUBTOTAL(109,Tabelle_PV_FFA_Datenbank_FE.accdb241229[Gebotsmenge])</f>
        <v>685840</v>
      </c>
      <c r="C78" s="156">
        <f>SUBTOTAL(109,Tabelle_PV_FFA_Datenbank_FE.accdb241229[Anzahl Gebote])</f>
        <v>76</v>
      </c>
      <c r="E78" s="156">
        <f>SUBTOTAL(109,Tabelle_PV_FFA_Datenbank_FE.accdb241229[Zuschlagsmenge])</f>
        <v>509040</v>
      </c>
      <c r="F78" s="156">
        <f>SUBTOTAL(109,Tabelle_PV_FFA_Datenbank_FE.accdb241229[Anzahl Zuschläge])</f>
        <v>56</v>
      </c>
      <c r="G78" s="156"/>
    </row>
    <row r="79" spans="1:7" x14ac:dyDescent="0.25">
      <c r="B79" s="156"/>
      <c r="C79" s="156"/>
      <c r="D79" s="156"/>
      <c r="E79" s="156"/>
      <c r="F79" s="156"/>
      <c r="G79" s="156"/>
    </row>
    <row r="80" spans="1:7" x14ac:dyDescent="0.25">
      <c r="B80" s="156"/>
      <c r="C80" s="156"/>
      <c r="D80" s="156"/>
      <c r="E80" s="156"/>
      <c r="F80" s="156"/>
      <c r="G80" s="156"/>
    </row>
    <row r="81" spans="1:7" ht="19.5" thickBot="1" x14ac:dyDescent="0.35">
      <c r="A81" s="157" t="s">
        <v>95</v>
      </c>
    </row>
    <row r="82" spans="1:7" ht="15.75" thickBot="1" x14ac:dyDescent="0.3">
      <c r="A82" s="325" t="s">
        <v>80</v>
      </c>
      <c r="B82" s="80" t="s">
        <v>18</v>
      </c>
      <c r="C82" s="81"/>
      <c r="D82" s="82"/>
      <c r="E82" s="81" t="s">
        <v>31</v>
      </c>
      <c r="F82" s="81"/>
      <c r="G82" s="82"/>
    </row>
    <row r="83" spans="1:7" ht="30.75" thickBot="1" x14ac:dyDescent="0.3">
      <c r="A83" s="326"/>
      <c r="B83" s="143" t="s">
        <v>63</v>
      </c>
      <c r="C83" s="143" t="s">
        <v>20</v>
      </c>
      <c r="D83" s="143" t="s">
        <v>74</v>
      </c>
      <c r="E83" s="154" t="s">
        <v>75</v>
      </c>
      <c r="F83" s="143" t="s">
        <v>32</v>
      </c>
      <c r="G83" s="143" t="s">
        <v>76</v>
      </c>
    </row>
    <row r="84" spans="1:7" x14ac:dyDescent="0.25">
      <c r="A84" s="186" t="s">
        <v>43</v>
      </c>
      <c r="B84" s="156">
        <v>37800</v>
      </c>
      <c r="C84" s="156">
        <v>2</v>
      </c>
      <c r="D84" s="156">
        <v>18900</v>
      </c>
      <c r="E84" s="156">
        <v>37800</v>
      </c>
      <c r="F84" s="156">
        <v>2</v>
      </c>
      <c r="G84" s="156">
        <v>18900</v>
      </c>
    </row>
    <row r="85" spans="1:7" x14ac:dyDescent="0.25">
      <c r="A85" s="180" t="s">
        <v>44</v>
      </c>
      <c r="B85" s="156">
        <v>11150</v>
      </c>
      <c r="C85" s="156">
        <v>2</v>
      </c>
      <c r="D85" s="156">
        <v>5575</v>
      </c>
      <c r="E85" s="156">
        <v>10350</v>
      </c>
      <c r="F85" s="156">
        <v>1</v>
      </c>
      <c r="G85" s="156">
        <v>10350</v>
      </c>
    </row>
    <row r="86" spans="1:7" x14ac:dyDescent="0.25">
      <c r="A86" s="180" t="s">
        <v>49</v>
      </c>
      <c r="B86" s="156">
        <v>55500</v>
      </c>
      <c r="C86" s="156">
        <v>8</v>
      </c>
      <c r="D86" s="156">
        <v>6937.5</v>
      </c>
      <c r="E86" s="156">
        <v>48600</v>
      </c>
      <c r="F86" s="156">
        <v>6</v>
      </c>
      <c r="G86" s="156">
        <v>8100</v>
      </c>
    </row>
    <row r="87" spans="1:7" x14ac:dyDescent="0.25">
      <c r="A87" s="180" t="s">
        <v>78</v>
      </c>
      <c r="B87" s="156">
        <f>SUBTOTAL(109,Tabelle_PV_FFA_Datenbank_FE.accdb2456792031[Gebotsmenge])</f>
        <v>104450</v>
      </c>
      <c r="C87" s="156">
        <f>SUBTOTAL(109,Tabelle_PV_FFA_Datenbank_FE.accdb2456792031[Anzahl Gebote])</f>
        <v>12</v>
      </c>
      <c r="E87" s="156">
        <f>SUBTOTAL(109,Tabelle_PV_FFA_Datenbank_FE.accdb2456792031[Zuschlagsmenge])</f>
        <v>96750</v>
      </c>
      <c r="F87" s="156">
        <f>SUBTOTAL(109,Tabelle_PV_FFA_Datenbank_FE.accdb2456792031[Anzahl Zuschläge])</f>
        <v>9</v>
      </c>
      <c r="G87" s="156"/>
    </row>
    <row r="88" spans="1:7" x14ac:dyDescent="0.25">
      <c r="B88" s="156"/>
      <c r="C88" s="156"/>
      <c r="D88" s="156"/>
      <c r="E88" s="156"/>
      <c r="F88" s="156"/>
      <c r="G88" s="156"/>
    </row>
  </sheetData>
  <protectedRanges>
    <protectedRange sqref="B3" name="Bereich1"/>
  </protectedRanges>
  <mergeCells count="12">
    <mergeCell ref="A25:A26"/>
    <mergeCell ref="B25:B26"/>
    <mergeCell ref="A1:F1"/>
    <mergeCell ref="A11:A12"/>
    <mergeCell ref="B11:B12"/>
    <mergeCell ref="A16:A17"/>
    <mergeCell ref="B16:B17"/>
    <mergeCell ref="A32:A33"/>
    <mergeCell ref="A42:A43"/>
    <mergeCell ref="A60:A61"/>
    <mergeCell ref="A68:A69"/>
    <mergeCell ref="A82:A83"/>
  </mergeCells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custom" allowBlank="1" showInputMessage="1" showErrorMessage="1" xr:uid="{00000000-0002-0000-0E00-000000000000}">
          <x14:formula1>
            <xm:f>VLOOKUP(C3,'K:\Referatslaufwerk\EEG\8175 Ausschreibungen\8175-00 Allgemein\Statistik_Veröffentlichung\[191220_Statistik_Veröffentlichung_Wind_Deztermin19xlsm.xlsm]Gebotstermine'!#REF!,2,FALSE)</xm:f>
          </x14:formula1>
          <xm:sqref>D3</xm:sqref>
        </x14:dataValidation>
        <x14:dataValidation type="list" showInputMessage="1" showErrorMessage="1" xr:uid="{00000000-0002-0000-0E00-000001000000}">
          <x14:formula1>
            <xm:f>'K:\Referatslaufwerk\EEG\8175 Ausschreibungen\8175-00 Allgemein\Statistik_Veröffentlichung\[191220_Statistik_Veröffentlichung_Wind_Deztermin19xlsm.xlsm]Gebotstermine'!#REF!</xm:f>
          </x14:formula1>
          <xm:sqref>B3</xm:sqref>
        </x14:dataValidation>
        <x14:dataValidation type="list" allowBlank="1" showInputMessage="1" showErrorMessage="1" xr:uid="{00000000-0002-0000-0E00-000002000000}">
          <x14:formula1>
            <xm:f>'K:\Referatslaufwerk\EEG\8175 Ausschreibungen\8175-00 Allgemein\Statistik_Veröffentlichung\[191220_Statistik_Veröffentlichung_Wind_Deztermin19xlsm.xlsm]Gebotstermine'!#REF!</xm:f>
          </x14:formula1>
          <xm:sqref>I3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3">
    <tabColor rgb="FF0070C0"/>
  </sheetPr>
  <dimension ref="A1:H81"/>
  <sheetViews>
    <sheetView showGridLines="0" workbookViewId="0">
      <selection activeCell="B78" sqref="B78"/>
    </sheetView>
  </sheetViews>
  <sheetFormatPr defaultColWidth="11.42578125" defaultRowHeight="15" x14ac:dyDescent="0.25"/>
  <cols>
    <col min="1" max="1" width="31.5703125" style="134" customWidth="1"/>
    <col min="2" max="2" width="21.7109375" style="134" customWidth="1"/>
    <col min="3" max="3" width="22.140625" style="134" customWidth="1"/>
    <col min="4" max="4" width="13.42578125" style="134" customWidth="1"/>
    <col min="5" max="5" width="21.5703125" style="134" customWidth="1"/>
    <col min="6" max="6" width="19" style="134" customWidth="1"/>
    <col min="7" max="7" width="17" style="134" customWidth="1"/>
    <col min="8" max="8" width="26.5703125" style="134" customWidth="1"/>
    <col min="9" max="16384" width="11.42578125" style="134"/>
  </cols>
  <sheetData>
    <row r="1" spans="1:8" ht="30" customHeight="1" x14ac:dyDescent="0.25">
      <c r="A1" s="341" t="s">
        <v>64</v>
      </c>
      <c r="B1" s="341"/>
      <c r="C1" s="341"/>
      <c r="D1" s="341"/>
      <c r="E1" s="341"/>
      <c r="F1" s="341"/>
      <c r="G1" s="341"/>
      <c r="H1" s="136" t="s">
        <v>108</v>
      </c>
    </row>
    <row r="2" spans="1:8" ht="23.25" customHeight="1" x14ac:dyDescent="0.25">
      <c r="A2" s="341"/>
      <c r="B2" s="341"/>
      <c r="C2" s="341"/>
      <c r="D2" s="341"/>
      <c r="E2" s="341"/>
      <c r="F2" s="341"/>
      <c r="G2" s="341"/>
      <c r="H2" s="135"/>
    </row>
    <row r="3" spans="1:8" x14ac:dyDescent="0.25">
      <c r="A3" s="137" t="s">
        <v>1</v>
      </c>
      <c r="B3" s="138">
        <v>43739</v>
      </c>
      <c r="C3" s="139">
        <v>34</v>
      </c>
    </row>
    <row r="4" spans="1:8" x14ac:dyDescent="0.25">
      <c r="A4" s="140"/>
      <c r="B4" s="141"/>
    </row>
    <row r="6" spans="1:8" ht="19.5" thickBot="1" x14ac:dyDescent="0.35">
      <c r="A6" s="142" t="s">
        <v>2</v>
      </c>
    </row>
    <row r="7" spans="1:8" ht="30.75" thickBot="1" x14ac:dyDescent="0.3">
      <c r="A7" s="143" t="s">
        <v>3</v>
      </c>
      <c r="B7" s="143" t="s">
        <v>4</v>
      </c>
      <c r="F7" s="144"/>
      <c r="G7" s="145"/>
      <c r="H7" s="145"/>
    </row>
    <row r="8" spans="1:8" ht="15.75" thickBot="1" x14ac:dyDescent="0.3">
      <c r="A8" s="158">
        <v>675000</v>
      </c>
      <c r="B8" s="165">
        <v>6.1999998092651367</v>
      </c>
    </row>
    <row r="9" spans="1:8" ht="18.75" x14ac:dyDescent="0.3">
      <c r="A9" s="142"/>
    </row>
    <row r="10" spans="1:8" ht="15.75" thickBot="1" x14ac:dyDescent="0.3">
      <c r="A10" s="147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333" t="s">
        <v>7</v>
      </c>
      <c r="D11" s="334"/>
      <c r="E11" s="335"/>
      <c r="F11" s="333" t="s">
        <v>8</v>
      </c>
      <c r="G11" s="334"/>
      <c r="H11" s="335"/>
    </row>
    <row r="12" spans="1:8" ht="15.75" thickBot="1" x14ac:dyDescent="0.3">
      <c r="A12" s="332"/>
      <c r="B12" s="332"/>
      <c r="C12" s="148" t="s">
        <v>9</v>
      </c>
      <c r="D12" s="148" t="s">
        <v>10</v>
      </c>
      <c r="E12" s="148" t="s">
        <v>11</v>
      </c>
      <c r="F12" s="148" t="s">
        <v>9</v>
      </c>
      <c r="G12" s="148" t="s">
        <v>10</v>
      </c>
      <c r="H12" s="149" t="s">
        <v>12</v>
      </c>
    </row>
    <row r="13" spans="1:8" ht="15.75" thickBot="1" x14ac:dyDescent="0.3">
      <c r="A13" s="158">
        <v>204070</v>
      </c>
      <c r="B13" s="159">
        <v>25</v>
      </c>
      <c r="C13" s="159">
        <v>2350</v>
      </c>
      <c r="D13" s="160">
        <v>24500</v>
      </c>
      <c r="E13" s="160">
        <v>8162.8</v>
      </c>
      <c r="F13" s="161">
        <v>6.19</v>
      </c>
      <c r="G13" s="162">
        <v>6.2</v>
      </c>
      <c r="H13" s="163">
        <v>6.1998039888273633</v>
      </c>
    </row>
    <row r="14" spans="1:8" x14ac:dyDescent="0.25">
      <c r="A14" s="150"/>
      <c r="B14" s="150"/>
      <c r="C14" s="150"/>
      <c r="D14" s="150"/>
      <c r="E14" s="150"/>
      <c r="F14" s="150"/>
      <c r="G14" s="150"/>
      <c r="H14" s="150"/>
    </row>
    <row r="15" spans="1:8" ht="15.75" thickBot="1" x14ac:dyDescent="0.3">
      <c r="A15" s="147" t="s">
        <v>65</v>
      </c>
      <c r="B15" s="151"/>
      <c r="C15" s="151"/>
      <c r="D15" s="151"/>
      <c r="E15" s="151"/>
      <c r="F15" s="146"/>
      <c r="G15" s="146"/>
      <c r="H15" s="146"/>
    </row>
    <row r="16" spans="1:8" ht="15.75" customHeight="1" thickBot="1" x14ac:dyDescent="0.3">
      <c r="A16" s="331" t="s">
        <v>66</v>
      </c>
      <c r="B16" s="331" t="s">
        <v>67</v>
      </c>
      <c r="C16" s="333" t="s">
        <v>15</v>
      </c>
      <c r="D16" s="334"/>
      <c r="E16" s="335"/>
      <c r="F16" s="333" t="s">
        <v>16</v>
      </c>
      <c r="G16" s="334"/>
      <c r="H16" s="335"/>
    </row>
    <row r="17" spans="1:8" ht="15.75" thickBot="1" x14ac:dyDescent="0.3">
      <c r="A17" s="332"/>
      <c r="B17" s="332"/>
      <c r="C17" s="148" t="s">
        <v>9</v>
      </c>
      <c r="D17" s="148" t="s">
        <v>10</v>
      </c>
      <c r="E17" s="148" t="s">
        <v>11</v>
      </c>
      <c r="F17" s="148" t="s">
        <v>9</v>
      </c>
      <c r="G17" s="148" t="s">
        <v>10</v>
      </c>
      <c r="H17" s="148" t="s">
        <v>12</v>
      </c>
    </row>
    <row r="18" spans="1:8" ht="15.75" thickBot="1" x14ac:dyDescent="0.3">
      <c r="A18" s="158">
        <v>204070</v>
      </c>
      <c r="B18" s="159">
        <v>25</v>
      </c>
      <c r="C18" s="159">
        <v>2350</v>
      </c>
      <c r="D18" s="160">
        <v>24500</v>
      </c>
      <c r="E18" s="160">
        <v>8162.8</v>
      </c>
      <c r="F18" s="161">
        <v>6.190000057220459</v>
      </c>
      <c r="G18" s="162">
        <v>6.1999998092651367</v>
      </c>
      <c r="H18" s="163">
        <v>6.1998038029527009</v>
      </c>
    </row>
    <row r="19" spans="1:8" x14ac:dyDescent="0.25">
      <c r="A19" s="150"/>
      <c r="B19" s="150"/>
      <c r="C19" s="150"/>
      <c r="D19" s="150"/>
      <c r="E19" s="150"/>
      <c r="F19" s="150"/>
      <c r="G19" s="150"/>
      <c r="H19" s="150"/>
    </row>
    <row r="20" spans="1:8" ht="16.5" thickBot="1" x14ac:dyDescent="0.3">
      <c r="A20" s="152" t="s">
        <v>68</v>
      </c>
      <c r="B20" s="151"/>
      <c r="C20" s="151"/>
      <c r="D20" s="151"/>
      <c r="E20" s="151"/>
      <c r="F20" s="146"/>
      <c r="G20" s="146"/>
      <c r="H20" s="146"/>
    </row>
    <row r="21" spans="1:8" ht="30.75" thickBot="1" x14ac:dyDescent="0.3">
      <c r="A21" s="179" t="s">
        <v>66</v>
      </c>
      <c r="B21" s="179" t="s">
        <v>14</v>
      </c>
      <c r="C21" s="151"/>
      <c r="D21" s="151"/>
      <c r="E21" s="151"/>
      <c r="F21" s="146"/>
      <c r="G21" s="146"/>
      <c r="H21" s="146"/>
    </row>
    <row r="22" spans="1:8" ht="15.75" thickBot="1" x14ac:dyDescent="0.3">
      <c r="A22" s="158">
        <v>204070</v>
      </c>
      <c r="B22" s="164">
        <v>25</v>
      </c>
    </row>
    <row r="23" spans="1:8" x14ac:dyDescent="0.25">
      <c r="A23" s="150"/>
      <c r="B23" s="150"/>
      <c r="C23" s="151"/>
      <c r="D23" s="151"/>
      <c r="E23" s="151"/>
      <c r="F23" s="146"/>
      <c r="G23" s="146"/>
      <c r="H23" s="146"/>
    </row>
    <row r="24" spans="1:8" ht="15.75" thickBot="1" x14ac:dyDescent="0.3">
      <c r="A24" s="147" t="s">
        <v>69</v>
      </c>
      <c r="B24" s="151"/>
      <c r="C24" s="151"/>
      <c r="D24" s="151"/>
      <c r="E24" s="151"/>
      <c r="F24" s="146"/>
      <c r="G24" s="146"/>
      <c r="H24" s="146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158">
        <v>0</v>
      </c>
      <c r="B27" s="164">
        <v>0</v>
      </c>
    </row>
    <row r="29" spans="1:8" ht="15.75" x14ac:dyDescent="0.25">
      <c r="A29" s="153" t="s">
        <v>100</v>
      </c>
    </row>
    <row r="32" spans="1:8" ht="19.5" thickBot="1" x14ac:dyDescent="0.3">
      <c r="A32" s="342" t="s">
        <v>73</v>
      </c>
      <c r="B32" s="342"/>
      <c r="C32" s="342"/>
      <c r="D32" s="342"/>
      <c r="E32" s="342"/>
      <c r="F32" s="342"/>
      <c r="G32" s="342"/>
    </row>
    <row r="33" spans="1:8" ht="15.75" customHeight="1" thickBot="1" x14ac:dyDescent="0.3">
      <c r="A33" s="325" t="s">
        <v>23</v>
      </c>
      <c r="B33" s="327" t="s">
        <v>18</v>
      </c>
      <c r="C33" s="328"/>
      <c r="D33" s="329"/>
      <c r="E33" s="327" t="s">
        <v>31</v>
      </c>
      <c r="F33" s="328"/>
      <c r="G33" s="329"/>
      <c r="H33" s="144"/>
    </row>
    <row r="34" spans="1:8" ht="45.75" thickBot="1" x14ac:dyDescent="0.3">
      <c r="A34" s="338"/>
      <c r="B34" s="143" t="s">
        <v>63</v>
      </c>
      <c r="C34" s="143" t="s">
        <v>20</v>
      </c>
      <c r="D34" s="143" t="s">
        <v>74</v>
      </c>
      <c r="E34" s="154" t="s">
        <v>75</v>
      </c>
      <c r="F34" s="143" t="s">
        <v>32</v>
      </c>
      <c r="G34" s="143" t="s">
        <v>76</v>
      </c>
      <c r="H34" s="144"/>
    </row>
    <row r="35" spans="1:8" x14ac:dyDescent="0.25">
      <c r="A35" s="166" t="s">
        <v>26</v>
      </c>
      <c r="B35" s="167">
        <v>63350</v>
      </c>
      <c r="C35" s="167">
        <v>15</v>
      </c>
      <c r="D35" s="167">
        <v>4223.333333333333</v>
      </c>
      <c r="E35" s="167">
        <v>63350</v>
      </c>
      <c r="F35" s="167">
        <v>15</v>
      </c>
      <c r="G35" s="168">
        <v>4223.333333333333</v>
      </c>
      <c r="H35" s="144"/>
    </row>
    <row r="36" spans="1:8" x14ac:dyDescent="0.25">
      <c r="A36" s="166" t="s">
        <v>27</v>
      </c>
      <c r="B36" s="167">
        <v>47400</v>
      </c>
      <c r="C36" s="167">
        <v>5</v>
      </c>
      <c r="D36" s="167">
        <v>9480</v>
      </c>
      <c r="E36" s="167">
        <v>47400</v>
      </c>
      <c r="F36" s="167">
        <v>5</v>
      </c>
      <c r="G36" s="168">
        <v>9480</v>
      </c>
      <c r="H36" s="144"/>
    </row>
    <row r="37" spans="1:8" x14ac:dyDescent="0.25">
      <c r="A37" s="166" t="s">
        <v>28</v>
      </c>
      <c r="B37" s="167">
        <v>48820</v>
      </c>
      <c r="C37" s="167">
        <v>3</v>
      </c>
      <c r="D37" s="167">
        <v>16273.333333333334</v>
      </c>
      <c r="E37" s="167">
        <v>48820</v>
      </c>
      <c r="F37" s="167">
        <v>3</v>
      </c>
      <c r="G37" s="168">
        <v>16273.333333333334</v>
      </c>
      <c r="H37" s="144"/>
    </row>
    <row r="38" spans="1:8" ht="15.75" thickBot="1" x14ac:dyDescent="0.3">
      <c r="A38" s="166" t="s">
        <v>77</v>
      </c>
      <c r="B38" s="167">
        <v>44500</v>
      </c>
      <c r="C38" s="167">
        <v>2</v>
      </c>
      <c r="D38" s="167">
        <v>22250</v>
      </c>
      <c r="E38" s="167">
        <v>44500</v>
      </c>
      <c r="F38" s="167">
        <v>2</v>
      </c>
      <c r="G38" s="168">
        <v>22250</v>
      </c>
      <c r="H38" s="144"/>
    </row>
    <row r="39" spans="1:8" ht="15.75" thickTop="1" x14ac:dyDescent="0.25">
      <c r="A39" s="169" t="s">
        <v>78</v>
      </c>
      <c r="B39" s="170">
        <v>204070</v>
      </c>
      <c r="C39" s="170">
        <v>25</v>
      </c>
      <c r="D39" s="171"/>
      <c r="E39" s="170">
        <v>204070</v>
      </c>
      <c r="F39" s="170">
        <v>25</v>
      </c>
      <c r="G39" s="172"/>
      <c r="H39" s="144"/>
    </row>
    <row r="40" spans="1:8" x14ac:dyDescent="0.25">
      <c r="A40" s="155"/>
      <c r="B40" s="156"/>
      <c r="C40" s="156"/>
      <c r="E40" s="156"/>
      <c r="F40" s="156"/>
      <c r="G40" s="156"/>
      <c r="H40" s="144"/>
    </row>
    <row r="41" spans="1:8" x14ac:dyDescent="0.25">
      <c r="A41" s="155"/>
      <c r="B41" s="156"/>
      <c r="C41" s="156"/>
      <c r="E41" s="156"/>
      <c r="F41" s="156"/>
      <c r="G41" s="156"/>
      <c r="H41" s="144"/>
    </row>
    <row r="42" spans="1:8" ht="19.5" thickBot="1" x14ac:dyDescent="0.35">
      <c r="A42" s="157" t="s">
        <v>79</v>
      </c>
    </row>
    <row r="43" spans="1:8" ht="15.75" thickBot="1" x14ac:dyDescent="0.3">
      <c r="A43" s="325" t="s">
        <v>80</v>
      </c>
      <c r="B43" s="327" t="s">
        <v>18</v>
      </c>
      <c r="C43" s="328"/>
      <c r="D43" s="329"/>
      <c r="E43" s="327" t="s">
        <v>31</v>
      </c>
      <c r="F43" s="328"/>
      <c r="G43" s="329"/>
    </row>
    <row r="44" spans="1:8" ht="45.75" thickBot="1" x14ac:dyDescent="0.3">
      <c r="A44" s="338"/>
      <c r="B44" s="143" t="s">
        <v>63</v>
      </c>
      <c r="C44" s="143" t="s">
        <v>20</v>
      </c>
      <c r="D44" s="143" t="s">
        <v>74</v>
      </c>
      <c r="E44" s="154" t="s">
        <v>75</v>
      </c>
      <c r="F44" s="143" t="s">
        <v>32</v>
      </c>
      <c r="G44" s="143" t="s">
        <v>76</v>
      </c>
    </row>
    <row r="45" spans="1:8" x14ac:dyDescent="0.25">
      <c r="A45" s="166" t="s">
        <v>40</v>
      </c>
      <c r="B45" s="167">
        <v>3000</v>
      </c>
      <c r="C45" s="167">
        <v>1</v>
      </c>
      <c r="D45" s="167">
        <v>3000</v>
      </c>
      <c r="E45" s="167">
        <v>3000</v>
      </c>
      <c r="F45" s="167">
        <v>1</v>
      </c>
      <c r="G45" s="168">
        <v>3000</v>
      </c>
    </row>
    <row r="46" spans="1:8" x14ac:dyDescent="0.25">
      <c r="A46" s="166" t="s">
        <v>41</v>
      </c>
      <c r="B46" s="167">
        <v>74020</v>
      </c>
      <c r="C46" s="167">
        <v>9</v>
      </c>
      <c r="D46" s="167">
        <v>8224.4444444444453</v>
      </c>
      <c r="E46" s="167">
        <v>74020</v>
      </c>
      <c r="F46" s="167">
        <v>9</v>
      </c>
      <c r="G46" s="168">
        <v>8224.4444444444453</v>
      </c>
    </row>
    <row r="47" spans="1:8" x14ac:dyDescent="0.25">
      <c r="A47" s="166" t="s">
        <v>45</v>
      </c>
      <c r="B47" s="167">
        <v>51450</v>
      </c>
      <c r="C47" s="167">
        <v>6</v>
      </c>
      <c r="D47" s="167">
        <v>8575</v>
      </c>
      <c r="E47" s="167">
        <v>51450</v>
      </c>
      <c r="F47" s="167">
        <v>6</v>
      </c>
      <c r="G47" s="168">
        <v>8575</v>
      </c>
    </row>
    <row r="48" spans="1:8" x14ac:dyDescent="0.25">
      <c r="A48" s="166" t="s">
        <v>48</v>
      </c>
      <c r="B48" s="167">
        <v>42000</v>
      </c>
      <c r="C48" s="167">
        <v>2</v>
      </c>
      <c r="D48" s="167">
        <v>21000</v>
      </c>
      <c r="E48" s="167">
        <v>42000</v>
      </c>
      <c r="F48" s="167">
        <v>2</v>
      </c>
      <c r="G48" s="168">
        <v>21000</v>
      </c>
    </row>
    <row r="49" spans="1:7" x14ac:dyDescent="0.25">
      <c r="A49" s="166" t="s">
        <v>49</v>
      </c>
      <c r="B49" s="167">
        <v>28800</v>
      </c>
      <c r="C49" s="167">
        <v>6</v>
      </c>
      <c r="D49" s="167">
        <v>4800</v>
      </c>
      <c r="E49" s="167">
        <v>28800</v>
      </c>
      <c r="F49" s="167">
        <v>6</v>
      </c>
      <c r="G49" s="168">
        <v>4800</v>
      </c>
    </row>
    <row r="50" spans="1:7" ht="15.75" thickBot="1" x14ac:dyDescent="0.3">
      <c r="A50" s="166" t="s">
        <v>50</v>
      </c>
      <c r="B50" s="167">
        <v>4800</v>
      </c>
      <c r="C50" s="167">
        <v>1</v>
      </c>
      <c r="D50" s="167">
        <v>4800</v>
      </c>
      <c r="E50" s="167">
        <v>4800</v>
      </c>
      <c r="F50" s="167">
        <v>1</v>
      </c>
      <c r="G50" s="168">
        <v>4800</v>
      </c>
    </row>
    <row r="51" spans="1:7" ht="15.75" thickTop="1" x14ac:dyDescent="0.25">
      <c r="A51" s="169" t="s">
        <v>78</v>
      </c>
      <c r="B51" s="170">
        <v>204070</v>
      </c>
      <c r="C51" s="170">
        <v>25</v>
      </c>
      <c r="D51" s="171"/>
      <c r="E51" s="170">
        <v>204070</v>
      </c>
      <c r="F51" s="170">
        <v>25</v>
      </c>
      <c r="G51" s="172"/>
    </row>
    <row r="52" spans="1:7" s="180" customFormat="1" x14ac:dyDescent="0.25">
      <c r="A52" s="183"/>
      <c r="B52" s="184"/>
      <c r="C52" s="184"/>
      <c r="D52" s="185"/>
      <c r="E52" s="184"/>
      <c r="F52" s="184"/>
      <c r="G52" s="184"/>
    </row>
    <row r="53" spans="1:7" x14ac:dyDescent="0.25">
      <c r="A53" s="155"/>
      <c r="B53" s="156"/>
      <c r="C53" s="156"/>
      <c r="D53" s="156"/>
      <c r="E53" s="156"/>
      <c r="F53" s="156"/>
      <c r="G53" s="156"/>
    </row>
    <row r="54" spans="1:7" ht="19.5" thickBot="1" x14ac:dyDescent="0.3">
      <c r="A54" s="342" t="s">
        <v>82</v>
      </c>
      <c r="B54" s="342"/>
      <c r="C54" s="342"/>
    </row>
    <row r="55" spans="1:7" ht="15.75" thickBot="1" x14ac:dyDescent="0.3">
      <c r="A55" s="325" t="s">
        <v>83</v>
      </c>
      <c r="B55" s="327" t="s">
        <v>18</v>
      </c>
      <c r="C55" s="328"/>
      <c r="D55" s="329"/>
      <c r="E55" s="327" t="s">
        <v>31</v>
      </c>
      <c r="F55" s="328"/>
      <c r="G55" s="329"/>
    </row>
    <row r="56" spans="1:7" ht="45.75" thickBot="1" x14ac:dyDescent="0.3">
      <c r="A56" s="338"/>
      <c r="B56" s="143" t="s">
        <v>63</v>
      </c>
      <c r="C56" s="143" t="s">
        <v>20</v>
      </c>
      <c r="D56" s="143" t="s">
        <v>74</v>
      </c>
      <c r="E56" s="154" t="s">
        <v>75</v>
      </c>
      <c r="F56" s="143" t="s">
        <v>32</v>
      </c>
      <c r="G56" s="143" t="s">
        <v>76</v>
      </c>
    </row>
    <row r="57" spans="1:7" x14ac:dyDescent="0.25">
      <c r="A57" s="166" t="s">
        <v>24</v>
      </c>
      <c r="B57" s="167">
        <v>5300</v>
      </c>
      <c r="C57" s="167">
        <v>1</v>
      </c>
      <c r="D57" s="167">
        <v>5300</v>
      </c>
      <c r="E57" s="167">
        <v>5300</v>
      </c>
      <c r="F57" s="167">
        <v>1</v>
      </c>
      <c r="G57" s="168">
        <v>5300</v>
      </c>
    </row>
    <row r="58" spans="1:7" ht="15.75" thickBot="1" x14ac:dyDescent="0.3">
      <c r="A58" s="173" t="s">
        <v>84</v>
      </c>
      <c r="B58" s="167">
        <v>198770</v>
      </c>
      <c r="C58" s="167">
        <v>24</v>
      </c>
      <c r="D58" s="167">
        <v>8282.0833333333339</v>
      </c>
      <c r="E58" s="167">
        <v>198770</v>
      </c>
      <c r="F58" s="167">
        <v>24</v>
      </c>
      <c r="G58" s="168">
        <v>8282.0833333333339</v>
      </c>
    </row>
    <row r="59" spans="1:7" ht="15.75" thickTop="1" x14ac:dyDescent="0.25">
      <c r="A59" s="175" t="s">
        <v>78</v>
      </c>
      <c r="B59" s="170">
        <v>204070</v>
      </c>
      <c r="C59" s="170">
        <v>25</v>
      </c>
      <c r="D59" s="171"/>
      <c r="E59" s="170">
        <v>204070</v>
      </c>
      <c r="F59" s="170">
        <v>25</v>
      </c>
      <c r="G59" s="172"/>
    </row>
    <row r="60" spans="1:7" x14ac:dyDescent="0.25">
      <c r="B60" s="156"/>
      <c r="C60" s="156"/>
      <c r="E60" s="156"/>
      <c r="F60" s="156"/>
    </row>
    <row r="61" spans="1:7" x14ac:dyDescent="0.25">
      <c r="A61" s="155"/>
      <c r="B61" s="156"/>
      <c r="C61" s="156"/>
      <c r="D61" s="156"/>
      <c r="E61" s="156"/>
      <c r="F61" s="156"/>
      <c r="G61" s="156"/>
    </row>
    <row r="62" spans="1:7" ht="19.5" thickBot="1" x14ac:dyDescent="0.3">
      <c r="A62" s="342" t="s">
        <v>85</v>
      </c>
      <c r="B62" s="342"/>
      <c r="C62" s="342"/>
      <c r="D62" s="342"/>
    </row>
    <row r="63" spans="1:7" ht="15.75" thickBot="1" x14ac:dyDescent="0.3">
      <c r="A63" s="325" t="s">
        <v>86</v>
      </c>
      <c r="B63" s="176" t="s">
        <v>18</v>
      </c>
      <c r="C63" s="177"/>
      <c r="D63" s="178"/>
      <c r="E63" s="177" t="s">
        <v>31</v>
      </c>
      <c r="F63" s="177"/>
      <c r="G63" s="178"/>
    </row>
    <row r="64" spans="1:7" ht="45.75" thickBot="1" x14ac:dyDescent="0.3">
      <c r="A64" s="338"/>
      <c r="B64" s="143" t="s">
        <v>63</v>
      </c>
      <c r="C64" s="143" t="s">
        <v>20</v>
      </c>
      <c r="D64" s="143" t="s">
        <v>74</v>
      </c>
      <c r="E64" s="154" t="s">
        <v>75</v>
      </c>
      <c r="F64" s="143" t="s">
        <v>32</v>
      </c>
      <c r="G64" s="143" t="s">
        <v>76</v>
      </c>
    </row>
    <row r="65" spans="1:7" x14ac:dyDescent="0.25">
      <c r="A65" s="166" t="s">
        <v>87</v>
      </c>
      <c r="B65" s="167">
        <v>15200</v>
      </c>
      <c r="C65" s="167">
        <v>2</v>
      </c>
      <c r="D65" s="167">
        <v>7600</v>
      </c>
      <c r="E65" s="167">
        <v>15200</v>
      </c>
      <c r="F65" s="167">
        <v>2</v>
      </c>
      <c r="G65" s="168">
        <v>7600</v>
      </c>
    </row>
    <row r="66" spans="1:7" x14ac:dyDescent="0.25">
      <c r="A66" s="173" t="s">
        <v>90</v>
      </c>
      <c r="B66" s="167">
        <v>21000</v>
      </c>
      <c r="C66" s="167">
        <v>2</v>
      </c>
      <c r="D66" s="167">
        <v>10500</v>
      </c>
      <c r="E66" s="167">
        <v>21000</v>
      </c>
      <c r="F66" s="167">
        <v>2</v>
      </c>
      <c r="G66" s="168">
        <v>10500</v>
      </c>
    </row>
    <row r="67" spans="1:7" x14ac:dyDescent="0.25">
      <c r="A67" s="173" t="s">
        <v>91</v>
      </c>
      <c r="B67" s="167">
        <v>45700</v>
      </c>
      <c r="C67" s="167">
        <v>8</v>
      </c>
      <c r="D67" s="167">
        <v>5712.5</v>
      </c>
      <c r="E67" s="167">
        <v>45700</v>
      </c>
      <c r="F67" s="167">
        <v>8</v>
      </c>
      <c r="G67" s="168">
        <v>5712.5</v>
      </c>
    </row>
    <row r="68" spans="1:7" x14ac:dyDescent="0.25">
      <c r="A68" s="173" t="s">
        <v>92</v>
      </c>
      <c r="B68" s="167">
        <v>109170</v>
      </c>
      <c r="C68" s="174">
        <v>10</v>
      </c>
      <c r="D68" s="167">
        <v>10917</v>
      </c>
      <c r="E68" s="167">
        <v>109170</v>
      </c>
      <c r="F68" s="174">
        <v>10</v>
      </c>
      <c r="G68" s="168">
        <v>10917</v>
      </c>
    </row>
    <row r="69" spans="1:7" x14ac:dyDescent="0.25">
      <c r="A69" s="173" t="s">
        <v>99</v>
      </c>
      <c r="B69" s="167">
        <v>4000</v>
      </c>
      <c r="C69" s="167">
        <v>1</v>
      </c>
      <c r="D69" s="167">
        <v>4000</v>
      </c>
      <c r="E69" s="167">
        <v>4000</v>
      </c>
      <c r="F69" s="167">
        <v>1</v>
      </c>
      <c r="G69" s="168">
        <v>4000</v>
      </c>
    </row>
    <row r="70" spans="1:7" ht="15.75" thickBot="1" x14ac:dyDescent="0.3">
      <c r="A70" s="173" t="s">
        <v>94</v>
      </c>
      <c r="B70" s="167">
        <v>9000</v>
      </c>
      <c r="C70" s="167">
        <v>2</v>
      </c>
      <c r="D70" s="167">
        <v>4500</v>
      </c>
      <c r="E70" s="167">
        <v>9000</v>
      </c>
      <c r="F70" s="167">
        <v>2</v>
      </c>
      <c r="G70" s="168">
        <v>4500</v>
      </c>
    </row>
    <row r="71" spans="1:7" ht="15.75" thickTop="1" x14ac:dyDescent="0.25">
      <c r="A71" s="175" t="s">
        <v>78</v>
      </c>
      <c r="B71" s="170">
        <v>204070</v>
      </c>
      <c r="C71" s="170">
        <v>25</v>
      </c>
      <c r="D71" s="171"/>
      <c r="E71" s="170">
        <v>204070</v>
      </c>
      <c r="F71" s="170">
        <v>25</v>
      </c>
      <c r="G71" s="172"/>
    </row>
    <row r="72" spans="1:7" x14ac:dyDescent="0.25">
      <c r="B72" s="156"/>
      <c r="C72" s="156"/>
      <c r="D72" s="156"/>
      <c r="E72" s="156"/>
      <c r="F72" s="156"/>
      <c r="G72" s="156"/>
    </row>
    <row r="73" spans="1:7" x14ac:dyDescent="0.25">
      <c r="B73" s="156"/>
      <c r="C73" s="156"/>
      <c r="D73" s="156"/>
      <c r="E73" s="156"/>
      <c r="F73" s="156"/>
      <c r="G73" s="156"/>
    </row>
    <row r="74" spans="1:7" ht="19.5" thickBot="1" x14ac:dyDescent="0.35">
      <c r="A74" s="157" t="s">
        <v>95</v>
      </c>
    </row>
    <row r="75" spans="1:7" ht="15.75" thickBot="1" x14ac:dyDescent="0.3">
      <c r="A75" s="325" t="s">
        <v>80</v>
      </c>
      <c r="B75" s="176" t="s">
        <v>18</v>
      </c>
      <c r="C75" s="177"/>
      <c r="D75" s="178"/>
      <c r="E75" s="177" t="s">
        <v>31</v>
      </c>
      <c r="F75" s="177"/>
      <c r="G75" s="178"/>
    </row>
    <row r="76" spans="1:7" ht="45.75" thickBot="1" x14ac:dyDescent="0.3">
      <c r="A76" s="338"/>
      <c r="B76" s="143" t="s">
        <v>63</v>
      </c>
      <c r="C76" s="143" t="s">
        <v>20</v>
      </c>
      <c r="D76" s="143" t="s">
        <v>74</v>
      </c>
      <c r="E76" s="154" t="s">
        <v>75</v>
      </c>
      <c r="F76" s="143" t="s">
        <v>32</v>
      </c>
      <c r="G76" s="143" t="s">
        <v>76</v>
      </c>
    </row>
    <row r="77" spans="1:7" ht="15.75" thickBot="1" x14ac:dyDescent="0.3">
      <c r="A77" s="166" t="s">
        <v>49</v>
      </c>
      <c r="B77" s="167">
        <v>28800</v>
      </c>
      <c r="C77" s="167">
        <v>6</v>
      </c>
      <c r="D77" s="167">
        <v>4800</v>
      </c>
      <c r="E77" s="167">
        <v>28800</v>
      </c>
      <c r="F77" s="167">
        <v>6</v>
      </c>
      <c r="G77" s="168">
        <v>4800</v>
      </c>
    </row>
    <row r="78" spans="1:7" ht="15.75" thickTop="1" x14ac:dyDescent="0.25">
      <c r="A78" s="169" t="s">
        <v>78</v>
      </c>
      <c r="B78" s="170">
        <v>28800</v>
      </c>
      <c r="C78" s="170">
        <v>6</v>
      </c>
      <c r="D78" s="171"/>
      <c r="E78" s="170">
        <v>28800</v>
      </c>
      <c r="F78" s="170">
        <v>6</v>
      </c>
      <c r="G78" s="172"/>
    </row>
    <row r="79" spans="1:7" x14ac:dyDescent="0.25">
      <c r="B79" s="156"/>
      <c r="C79" s="156"/>
      <c r="D79" s="156"/>
      <c r="E79" s="156"/>
      <c r="F79" s="156"/>
      <c r="G79" s="156"/>
    </row>
    <row r="80" spans="1:7" x14ac:dyDescent="0.25">
      <c r="B80" s="156"/>
      <c r="C80" s="156"/>
      <c r="D80" s="156"/>
      <c r="E80" s="156"/>
      <c r="F80" s="156"/>
      <c r="G80" s="156"/>
    </row>
    <row r="81" spans="2:7" x14ac:dyDescent="0.25">
      <c r="B81" s="156"/>
      <c r="C81" s="156"/>
      <c r="D81" s="156"/>
      <c r="E81" s="156"/>
      <c r="F81" s="156"/>
      <c r="G81" s="156"/>
    </row>
  </sheetData>
  <mergeCells count="25">
    <mergeCell ref="A63:A64"/>
    <mergeCell ref="A75:A76"/>
    <mergeCell ref="A25:A26"/>
    <mergeCell ref="B25:B26"/>
    <mergeCell ref="A33:A34"/>
    <mergeCell ref="A43:A44"/>
    <mergeCell ref="A55:A56"/>
    <mergeCell ref="A32:G32"/>
    <mergeCell ref="B55:D55"/>
    <mergeCell ref="E55:G55"/>
    <mergeCell ref="A62:D62"/>
    <mergeCell ref="B33:D33"/>
    <mergeCell ref="E33:G33"/>
    <mergeCell ref="B43:D43"/>
    <mergeCell ref="E43:G43"/>
    <mergeCell ref="A54:C54"/>
    <mergeCell ref="A1:G2"/>
    <mergeCell ref="F11:H11"/>
    <mergeCell ref="C11:E11"/>
    <mergeCell ref="C16:E16"/>
    <mergeCell ref="F16:H16"/>
    <mergeCell ref="A11:A12"/>
    <mergeCell ref="B11:B12"/>
    <mergeCell ref="A16:A17"/>
    <mergeCell ref="B16:B1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59">
    <tabColor rgb="FF0070C0"/>
  </sheetPr>
  <dimension ref="A1:H80"/>
  <sheetViews>
    <sheetView showGridLines="0" zoomScaleNormal="100" workbookViewId="0">
      <selection activeCell="B78" sqref="B78"/>
    </sheetView>
  </sheetViews>
  <sheetFormatPr defaultColWidth="9.140625" defaultRowHeight="15" x14ac:dyDescent="0.25"/>
  <cols>
    <col min="1" max="1" width="47.5703125" customWidth="1"/>
    <col min="2" max="43" width="19.28515625" customWidth="1"/>
  </cols>
  <sheetData>
    <row r="1" spans="1:8" s="114" customFormat="1" x14ac:dyDescent="0.25">
      <c r="A1" s="339" t="s">
        <v>64</v>
      </c>
      <c r="B1" s="340"/>
      <c r="C1" s="340"/>
      <c r="D1" s="340"/>
      <c r="E1" s="340"/>
      <c r="F1" s="340"/>
      <c r="H1" s="64" t="s">
        <v>107</v>
      </c>
    </row>
    <row r="2" spans="1:8" s="114" customFormat="1" ht="23.25" x14ac:dyDescent="0.25">
      <c r="A2" s="1"/>
    </row>
    <row r="3" spans="1:8" x14ac:dyDescent="0.25">
      <c r="A3" s="3" t="s">
        <v>1</v>
      </c>
      <c r="B3" s="4">
        <v>43710</v>
      </c>
      <c r="C3" s="5" t="e">
        <f ca="1">OFFSET([7]!Gebotstermine[[#Headers],[terGebotsterminID]],MATCH(Gebotstermin,[7]!Gebotstermine[terGebotstermin],0),,,)</f>
        <v>#REF!</v>
      </c>
    </row>
    <row r="4" spans="1:8" x14ac:dyDescent="0.25">
      <c r="A4" s="6"/>
      <c r="B4" s="7"/>
    </row>
    <row r="6" spans="1:8" ht="19.5" thickBot="1" x14ac:dyDescent="0.35">
      <c r="A6" s="8" t="s">
        <v>2</v>
      </c>
    </row>
    <row r="7" spans="1:8" ht="45.75" thickBot="1" x14ac:dyDescent="0.3">
      <c r="A7" s="9" t="s">
        <v>3</v>
      </c>
      <c r="B7" s="9" t="s">
        <v>4</v>
      </c>
      <c r="F7" s="16"/>
      <c r="G7" s="65"/>
      <c r="H7" s="65"/>
    </row>
    <row r="8" spans="1:8" x14ac:dyDescent="0.25">
      <c r="A8" s="133">
        <v>500000</v>
      </c>
      <c r="B8" s="62">
        <v>6.1999998092651367</v>
      </c>
    </row>
    <row r="9" spans="1:8" ht="18.75" x14ac:dyDescent="0.3">
      <c r="A9" s="8"/>
    </row>
    <row r="10" spans="1:8" ht="15.75" thickBot="1" x14ac:dyDescent="0.3">
      <c r="A10" s="68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11" t="s">
        <v>7</v>
      </c>
      <c r="D11" s="12"/>
      <c r="E11" s="13"/>
      <c r="F11" s="11" t="s">
        <v>8</v>
      </c>
      <c r="G11" s="12"/>
      <c r="H11" s="13"/>
    </row>
    <row r="12" spans="1:8" ht="15.75" thickBot="1" x14ac:dyDescent="0.3">
      <c r="A12" s="332"/>
      <c r="B12" s="332"/>
      <c r="C12" s="14" t="s">
        <v>9</v>
      </c>
      <c r="D12" s="14" t="s">
        <v>10</v>
      </c>
      <c r="E12" s="14" t="s">
        <v>11</v>
      </c>
      <c r="F12" s="14" t="s">
        <v>9</v>
      </c>
      <c r="G12" s="14" t="s">
        <v>10</v>
      </c>
      <c r="H12" s="70" t="s">
        <v>12</v>
      </c>
    </row>
    <row r="13" spans="1:8" x14ac:dyDescent="0.25">
      <c r="A13" s="132">
        <v>187810</v>
      </c>
      <c r="B13" s="131">
        <v>22</v>
      </c>
      <c r="C13" s="130">
        <v>800</v>
      </c>
      <c r="D13" s="129">
        <v>36900</v>
      </c>
      <c r="E13" s="128">
        <v>8536.818181818182</v>
      </c>
      <c r="F13" s="127">
        <v>6.19</v>
      </c>
      <c r="G13" s="126">
        <v>6.2</v>
      </c>
      <c r="H13" s="125">
        <v>6.195088120973324</v>
      </c>
    </row>
    <row r="14" spans="1:8" ht="4.5" customHeight="1" x14ac:dyDescent="0.25">
      <c r="A14" s="61"/>
      <c r="B14" s="61"/>
      <c r="C14" s="61"/>
      <c r="D14" s="61"/>
      <c r="E14" s="61"/>
      <c r="F14" s="61"/>
      <c r="G14" s="61"/>
      <c r="H14" s="61"/>
    </row>
    <row r="15" spans="1:8" ht="15.75" thickBot="1" x14ac:dyDescent="0.3">
      <c r="A15" s="68" t="s">
        <v>65</v>
      </c>
      <c r="B15" s="34"/>
      <c r="C15" s="34"/>
      <c r="D15" s="34"/>
      <c r="E15" s="34"/>
      <c r="F15" s="62"/>
      <c r="G15" s="62"/>
      <c r="H15" s="62"/>
    </row>
    <row r="16" spans="1:8" ht="15.75" customHeight="1" thickBot="1" x14ac:dyDescent="0.3">
      <c r="A16" s="331" t="s">
        <v>66</v>
      </c>
      <c r="B16" s="331" t="s">
        <v>67</v>
      </c>
      <c r="C16" s="11" t="s">
        <v>15</v>
      </c>
      <c r="D16" s="12"/>
      <c r="E16" s="13"/>
      <c r="F16" s="11" t="s">
        <v>16</v>
      </c>
      <c r="G16" s="12"/>
      <c r="H16" s="13"/>
    </row>
    <row r="17" spans="1:8" ht="15.75" thickBot="1" x14ac:dyDescent="0.3">
      <c r="A17" s="332"/>
      <c r="B17" s="332"/>
      <c r="C17" s="14" t="s">
        <v>9</v>
      </c>
      <c r="D17" s="14" t="s">
        <v>10</v>
      </c>
      <c r="E17" s="14" t="s">
        <v>11</v>
      </c>
      <c r="F17" s="14" t="s">
        <v>9</v>
      </c>
      <c r="G17" s="14" t="s">
        <v>10</v>
      </c>
      <c r="H17" s="14" t="s">
        <v>12</v>
      </c>
    </row>
    <row r="18" spans="1:8" x14ac:dyDescent="0.25">
      <c r="A18" s="120">
        <v>179410</v>
      </c>
      <c r="B18" s="119">
        <v>21</v>
      </c>
      <c r="C18" s="124">
        <v>800</v>
      </c>
      <c r="D18" s="32">
        <v>36900</v>
      </c>
      <c r="E18" s="33">
        <v>8543.3333333333339</v>
      </c>
      <c r="F18" s="123">
        <v>6.190000057220459</v>
      </c>
      <c r="G18" s="122">
        <v>6.1999998092651367</v>
      </c>
      <c r="H18" s="121">
        <v>6.1948580829058395</v>
      </c>
    </row>
    <row r="19" spans="1:8" ht="4.5" customHeight="1" x14ac:dyDescent="0.25">
      <c r="A19" s="61"/>
      <c r="B19" s="61"/>
      <c r="C19" s="61"/>
      <c r="D19" s="61"/>
      <c r="E19" s="61"/>
      <c r="F19" s="61"/>
      <c r="G19" s="61"/>
      <c r="H19" s="61"/>
    </row>
    <row r="20" spans="1:8" ht="16.5" thickBot="1" x14ac:dyDescent="0.3">
      <c r="A20" s="76" t="s">
        <v>68</v>
      </c>
      <c r="B20" s="34"/>
      <c r="C20" s="34"/>
      <c r="D20" s="34"/>
      <c r="E20" s="34"/>
      <c r="F20" s="62"/>
      <c r="G20" s="62"/>
      <c r="H20" s="62"/>
    </row>
    <row r="21" spans="1:8" ht="30" x14ac:dyDescent="0.25">
      <c r="A21" s="115" t="s">
        <v>66</v>
      </c>
      <c r="B21" s="115" t="s">
        <v>14</v>
      </c>
      <c r="C21" s="34"/>
      <c r="D21" s="34"/>
      <c r="E21" s="34"/>
      <c r="F21" s="62"/>
      <c r="G21" s="62"/>
      <c r="H21" s="62"/>
    </row>
    <row r="22" spans="1:8" x14ac:dyDescent="0.25">
      <c r="A22" s="120">
        <v>179410</v>
      </c>
      <c r="B22" s="119">
        <v>21</v>
      </c>
    </row>
    <row r="23" spans="1:8" ht="4.5" customHeight="1" x14ac:dyDescent="0.25">
      <c r="A23" s="61"/>
      <c r="B23" s="61"/>
      <c r="C23" s="34"/>
      <c r="D23" s="34"/>
      <c r="E23" s="34"/>
      <c r="F23" s="62"/>
      <c r="G23" s="62"/>
      <c r="H23" s="62"/>
    </row>
    <row r="24" spans="1:8" ht="15.75" thickBot="1" x14ac:dyDescent="0.3">
      <c r="A24" s="68" t="s">
        <v>69</v>
      </c>
      <c r="B24" s="34"/>
      <c r="C24" s="34"/>
      <c r="D24" s="34"/>
      <c r="E24" s="34"/>
      <c r="F24" s="62"/>
      <c r="G24" s="62"/>
      <c r="H24" s="62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118">
        <v>8400</v>
      </c>
      <c r="B27" s="117">
        <v>1</v>
      </c>
    </row>
    <row r="28" spans="1:8" ht="15.75" x14ac:dyDescent="0.25">
      <c r="A28" s="78" t="s">
        <v>100</v>
      </c>
    </row>
    <row r="30" spans="1:8" ht="19.5" thickBot="1" x14ac:dyDescent="0.35">
      <c r="A30" s="79" t="s">
        <v>73</v>
      </c>
    </row>
    <row r="31" spans="1:8" ht="15.75" thickBot="1" x14ac:dyDescent="0.3">
      <c r="A31" s="325" t="s">
        <v>23</v>
      </c>
      <c r="B31" s="80" t="s">
        <v>18</v>
      </c>
      <c r="C31" s="81"/>
      <c r="D31" s="82"/>
      <c r="E31" s="81" t="s">
        <v>31</v>
      </c>
      <c r="F31" s="81"/>
      <c r="G31" s="82"/>
      <c r="H31" s="16"/>
    </row>
    <row r="32" spans="1:8" ht="30.75" thickBot="1" x14ac:dyDescent="0.3">
      <c r="A32" s="326"/>
      <c r="B32" s="9" t="s">
        <v>63</v>
      </c>
      <c r="C32" s="9" t="s">
        <v>20</v>
      </c>
      <c r="D32" s="9" t="s">
        <v>74</v>
      </c>
      <c r="E32" s="83" t="s">
        <v>75</v>
      </c>
      <c r="F32" s="9" t="s">
        <v>32</v>
      </c>
      <c r="G32" s="9" t="s">
        <v>76</v>
      </c>
      <c r="H32" s="16"/>
    </row>
    <row r="33" spans="1:8" x14ac:dyDescent="0.25">
      <c r="A33" s="116" t="s">
        <v>26</v>
      </c>
      <c r="B33" s="65">
        <v>53760</v>
      </c>
      <c r="C33" s="65">
        <v>14</v>
      </c>
      <c r="D33" s="65">
        <v>3840</v>
      </c>
      <c r="E33" s="65">
        <v>53760</v>
      </c>
      <c r="F33" s="65">
        <v>14</v>
      </c>
      <c r="G33" s="65">
        <v>3840</v>
      </c>
      <c r="H33" s="16"/>
    </row>
    <row r="34" spans="1:8" x14ac:dyDescent="0.25">
      <c r="A34" s="116" t="s">
        <v>27</v>
      </c>
      <c r="B34" s="65">
        <v>25400</v>
      </c>
      <c r="C34" s="65">
        <v>3</v>
      </c>
      <c r="D34" s="65">
        <v>8466.6666666666661</v>
      </c>
      <c r="E34" s="65">
        <v>17000</v>
      </c>
      <c r="F34" s="65">
        <v>2</v>
      </c>
      <c r="G34" s="65">
        <v>8500</v>
      </c>
      <c r="H34" s="16"/>
    </row>
    <row r="35" spans="1:8" x14ac:dyDescent="0.25">
      <c r="A35" s="116" t="s">
        <v>28</v>
      </c>
      <c r="B35" s="65">
        <v>40700</v>
      </c>
      <c r="C35" s="65">
        <v>3</v>
      </c>
      <c r="D35" s="65">
        <v>13566.666666666666</v>
      </c>
      <c r="E35" s="65">
        <v>40700</v>
      </c>
      <c r="F35" s="65">
        <v>3</v>
      </c>
      <c r="G35" s="65">
        <v>13566.666666666666</v>
      </c>
      <c r="H35" s="16"/>
    </row>
    <row r="36" spans="1:8" x14ac:dyDescent="0.25">
      <c r="A36" s="116" t="s">
        <v>77</v>
      </c>
      <c r="B36" s="65">
        <v>67950</v>
      </c>
      <c r="C36" s="65">
        <v>2</v>
      </c>
      <c r="D36" s="65">
        <v>33975</v>
      </c>
      <c r="E36" s="65">
        <v>67950</v>
      </c>
      <c r="F36" s="65">
        <v>2</v>
      </c>
      <c r="G36" s="65">
        <v>33975</v>
      </c>
      <c r="H36" s="16"/>
    </row>
    <row r="37" spans="1:8" x14ac:dyDescent="0.25">
      <c r="A37" s="113" t="s">
        <v>78</v>
      </c>
      <c r="B37" s="91">
        <f>SUBTOTAL(109,Tabelle_PV_FFA_Datenbank_FE.accdb21319[Gebotsmenge])</f>
        <v>187810</v>
      </c>
      <c r="C37" s="91">
        <f>SUBTOTAL(109,Tabelle_PV_FFA_Datenbank_FE.accdb21319[Anzahl Gebote])</f>
        <v>22</v>
      </c>
      <c r="E37" s="91">
        <f>SUBTOTAL(109,Tabelle_PV_FFA_Datenbank_FE.accdb21319[Zuschlagsmenge])</f>
        <v>179410</v>
      </c>
      <c r="F37" s="91">
        <f>SUBTOTAL(109,Tabelle_PV_FFA_Datenbank_FE.accdb21319[Anzahl Zuschläge])</f>
        <v>21</v>
      </c>
      <c r="G37" s="91"/>
      <c r="H37" s="16"/>
    </row>
    <row r="38" spans="1:8" x14ac:dyDescent="0.25">
      <c r="A38" s="113"/>
      <c r="B38" s="91"/>
      <c r="C38" s="91"/>
      <c r="E38" s="91"/>
      <c r="F38" s="91"/>
      <c r="G38" s="91"/>
      <c r="H38" s="16"/>
    </row>
    <row r="39" spans="1:8" x14ac:dyDescent="0.25">
      <c r="A39" s="113"/>
      <c r="B39" s="91"/>
      <c r="C39" s="91"/>
      <c r="E39" s="91"/>
      <c r="F39" s="91"/>
      <c r="G39" s="91"/>
      <c r="H39" s="16"/>
    </row>
    <row r="40" spans="1:8" ht="19.5" thickBot="1" x14ac:dyDescent="0.35">
      <c r="A40" s="92" t="s">
        <v>79</v>
      </c>
    </row>
    <row r="41" spans="1:8" ht="15.75" thickBot="1" x14ac:dyDescent="0.3">
      <c r="A41" s="325" t="s">
        <v>80</v>
      </c>
      <c r="B41" s="80" t="s">
        <v>18</v>
      </c>
      <c r="C41" s="81"/>
      <c r="D41" s="82"/>
      <c r="E41" s="81" t="s">
        <v>31</v>
      </c>
      <c r="F41" s="81"/>
      <c r="G41" s="82"/>
    </row>
    <row r="42" spans="1:8" ht="30.75" thickBot="1" x14ac:dyDescent="0.3">
      <c r="A42" s="326"/>
      <c r="B42" s="9" t="s">
        <v>63</v>
      </c>
      <c r="C42" s="9" t="s">
        <v>20</v>
      </c>
      <c r="D42" s="9" t="s">
        <v>74</v>
      </c>
      <c r="E42" s="83" t="s">
        <v>75</v>
      </c>
      <c r="F42" s="9" t="s">
        <v>32</v>
      </c>
      <c r="G42" s="9" t="s">
        <v>76</v>
      </c>
    </row>
    <row r="43" spans="1:8" x14ac:dyDescent="0.25">
      <c r="A43" s="116" t="s">
        <v>39</v>
      </c>
      <c r="B43" s="65">
        <v>11400</v>
      </c>
      <c r="C43" s="65">
        <v>2</v>
      </c>
      <c r="D43" s="65">
        <v>5700</v>
      </c>
      <c r="E43" s="65">
        <v>11400</v>
      </c>
      <c r="F43" s="65">
        <v>2</v>
      </c>
      <c r="G43" s="65">
        <v>5700</v>
      </c>
    </row>
    <row r="44" spans="1:8" x14ac:dyDescent="0.25">
      <c r="A44" s="116" t="s">
        <v>41</v>
      </c>
      <c r="B44" s="65">
        <v>31050</v>
      </c>
      <c r="C44" s="65">
        <v>1</v>
      </c>
      <c r="D44" s="65">
        <v>31050</v>
      </c>
      <c r="E44" s="65">
        <v>31050</v>
      </c>
      <c r="F44" s="65">
        <v>1</v>
      </c>
      <c r="G44" s="65">
        <v>31050</v>
      </c>
    </row>
    <row r="45" spans="1:8" x14ac:dyDescent="0.25">
      <c r="A45" s="113" t="s">
        <v>42</v>
      </c>
      <c r="B45" s="91">
        <v>8600</v>
      </c>
      <c r="C45" s="91">
        <v>1</v>
      </c>
      <c r="D45" s="91">
        <v>8600</v>
      </c>
      <c r="E45" s="91">
        <v>8600</v>
      </c>
      <c r="F45" s="91">
        <v>1</v>
      </c>
      <c r="G45" s="91">
        <v>8600</v>
      </c>
    </row>
    <row r="46" spans="1:8" x14ac:dyDescent="0.25">
      <c r="A46" s="113" t="s">
        <v>43</v>
      </c>
      <c r="B46" s="91">
        <v>6500</v>
      </c>
      <c r="C46" s="91">
        <v>2</v>
      </c>
      <c r="D46" s="91">
        <v>3250</v>
      </c>
      <c r="E46" s="91">
        <v>6500</v>
      </c>
      <c r="F46" s="91">
        <v>2</v>
      </c>
      <c r="G46" s="91">
        <v>3250</v>
      </c>
    </row>
    <row r="47" spans="1:8" x14ac:dyDescent="0.25">
      <c r="A47" s="113" t="s">
        <v>44</v>
      </c>
      <c r="B47" s="91">
        <v>17900</v>
      </c>
      <c r="C47" s="91">
        <v>2</v>
      </c>
      <c r="D47" s="91">
        <v>8950</v>
      </c>
      <c r="E47" s="91">
        <v>17900</v>
      </c>
      <c r="F47" s="91">
        <v>2</v>
      </c>
      <c r="G47" s="91">
        <v>8950</v>
      </c>
    </row>
    <row r="48" spans="1:8" x14ac:dyDescent="0.25">
      <c r="A48" s="113" t="s">
        <v>45</v>
      </c>
      <c r="B48" s="91">
        <v>64200</v>
      </c>
      <c r="C48" s="91">
        <v>4</v>
      </c>
      <c r="D48" s="91">
        <v>16050</v>
      </c>
      <c r="E48" s="91">
        <v>64200</v>
      </c>
      <c r="F48" s="91">
        <v>4</v>
      </c>
      <c r="G48" s="91">
        <v>16050</v>
      </c>
    </row>
    <row r="49" spans="1:7" x14ac:dyDescent="0.25">
      <c r="A49" s="113" t="s">
        <v>47</v>
      </c>
      <c r="B49" s="91">
        <v>800</v>
      </c>
      <c r="C49" s="91">
        <v>1</v>
      </c>
      <c r="D49" s="91">
        <v>800</v>
      </c>
      <c r="E49" s="91">
        <v>800</v>
      </c>
      <c r="F49" s="91">
        <v>1</v>
      </c>
      <c r="G49" s="91">
        <v>800</v>
      </c>
    </row>
    <row r="50" spans="1:7" x14ac:dyDescent="0.25">
      <c r="A50" s="113" t="s">
        <v>49</v>
      </c>
      <c r="B50" s="91">
        <v>38600</v>
      </c>
      <c r="C50" s="91">
        <v>7</v>
      </c>
      <c r="D50" s="91">
        <v>5514.2857142857147</v>
      </c>
      <c r="E50" s="91">
        <v>30200</v>
      </c>
      <c r="F50" s="91">
        <v>6</v>
      </c>
      <c r="G50" s="91">
        <v>5033.333333333333</v>
      </c>
    </row>
    <row r="51" spans="1:7" x14ac:dyDescent="0.25">
      <c r="A51" t="s">
        <v>50</v>
      </c>
      <c r="B51" s="91">
        <v>8760</v>
      </c>
      <c r="C51" s="91">
        <v>2</v>
      </c>
      <c r="D51" s="91">
        <v>4380</v>
      </c>
      <c r="E51" s="91">
        <v>8760</v>
      </c>
      <c r="F51" s="91">
        <v>2</v>
      </c>
      <c r="G51" s="91">
        <v>4380</v>
      </c>
    </row>
    <row r="52" spans="1:7" x14ac:dyDescent="0.25">
      <c r="A52" s="113" t="s">
        <v>78</v>
      </c>
      <c r="B52" s="91">
        <f>SUBTOTAL(109,Tabelle_PV_FFA_Datenbank_FE.accdb245671821[Gebotsmenge])</f>
        <v>187810</v>
      </c>
      <c r="C52" s="91">
        <f>SUBTOTAL(109,Tabelle_PV_FFA_Datenbank_FE.accdb245671821[Anzahl Gebote])</f>
        <v>22</v>
      </c>
      <c r="E52" s="91">
        <f>SUBTOTAL(109,Tabelle_PV_FFA_Datenbank_FE.accdb245671821[Zuschlagsmenge])</f>
        <v>179410</v>
      </c>
      <c r="F52" s="91">
        <f>SUBTOTAL(109,Tabelle_PV_FFA_Datenbank_FE.accdb245671821[Anzahl Zuschläge])</f>
        <v>21</v>
      </c>
      <c r="G52" s="91"/>
    </row>
    <row r="53" spans="1:7" x14ac:dyDescent="0.25">
      <c r="B53" s="91"/>
      <c r="C53" s="91"/>
      <c r="D53" s="91"/>
      <c r="E53" s="91"/>
      <c r="F53" s="91"/>
      <c r="G53" s="91"/>
    </row>
    <row r="54" spans="1:7" ht="15" customHeight="1" x14ac:dyDescent="0.25">
      <c r="B54" s="91"/>
      <c r="C54" s="91"/>
      <c r="D54" s="91"/>
      <c r="E54" s="91"/>
      <c r="F54" s="91"/>
      <c r="G54" s="91"/>
    </row>
    <row r="55" spans="1:7" ht="19.5" thickBot="1" x14ac:dyDescent="0.35">
      <c r="A55" s="79" t="s">
        <v>82</v>
      </c>
    </row>
    <row r="56" spans="1:7" ht="15.75" thickBot="1" x14ac:dyDescent="0.3">
      <c r="A56" s="325" t="s">
        <v>83</v>
      </c>
      <c r="B56" s="80" t="s">
        <v>18</v>
      </c>
      <c r="C56" s="81"/>
      <c r="D56" s="82"/>
      <c r="E56" s="81" t="s">
        <v>31</v>
      </c>
      <c r="F56" s="81"/>
      <c r="G56" s="82"/>
    </row>
    <row r="57" spans="1:7" ht="30.75" thickBot="1" x14ac:dyDescent="0.3">
      <c r="A57" s="326"/>
      <c r="B57" s="9" t="s">
        <v>63</v>
      </c>
      <c r="C57" s="9" t="s">
        <v>20</v>
      </c>
      <c r="D57" s="9" t="s">
        <v>74</v>
      </c>
      <c r="E57" s="83" t="s">
        <v>75</v>
      </c>
      <c r="F57" s="9" t="s">
        <v>32</v>
      </c>
      <c r="G57" s="9" t="s">
        <v>76</v>
      </c>
    </row>
    <row r="58" spans="1:7" x14ac:dyDescent="0.25">
      <c r="A58" s="116" t="s">
        <v>24</v>
      </c>
      <c r="B58" s="65">
        <v>5300</v>
      </c>
      <c r="C58" s="65">
        <v>1</v>
      </c>
      <c r="D58" s="65">
        <v>5300</v>
      </c>
      <c r="E58" s="65">
        <v>5300</v>
      </c>
      <c r="F58" s="65">
        <v>1</v>
      </c>
      <c r="G58" s="65">
        <v>5300</v>
      </c>
    </row>
    <row r="59" spans="1:7" x14ac:dyDescent="0.25">
      <c r="A59" t="s">
        <v>84</v>
      </c>
      <c r="B59" s="91">
        <v>182510</v>
      </c>
      <c r="C59" s="91">
        <v>21</v>
      </c>
      <c r="D59" s="91">
        <v>8690.9523809523816</v>
      </c>
      <c r="E59" s="91">
        <v>174110</v>
      </c>
      <c r="F59" s="91">
        <v>20</v>
      </c>
      <c r="G59" s="91">
        <v>8705.5</v>
      </c>
    </row>
    <row r="60" spans="1:7" x14ac:dyDescent="0.25">
      <c r="A60" t="s">
        <v>78</v>
      </c>
      <c r="B60" s="91">
        <f>SUBTOTAL(109,Tabelle_PV_FFA_Datenbank_FE.accdb24561623[Gebotsmenge])</f>
        <v>187810</v>
      </c>
      <c r="C60" s="91">
        <f>SUBTOTAL(109,Tabelle_PV_FFA_Datenbank_FE.accdb24561623[Anzahl Gebote])</f>
        <v>22</v>
      </c>
      <c r="E60" s="91">
        <f>SUBTOTAL(109,Tabelle_PV_FFA_Datenbank_FE.accdb24561623[Zuschlagsmenge])</f>
        <v>179410</v>
      </c>
      <c r="F60" s="91">
        <f>SUBTOTAL(109,Tabelle_PV_FFA_Datenbank_FE.accdb24561623[Anzahl Zuschläge])</f>
        <v>21</v>
      </c>
      <c r="G60" s="91"/>
    </row>
    <row r="61" spans="1:7" x14ac:dyDescent="0.25">
      <c r="B61" s="91"/>
      <c r="C61" s="91"/>
      <c r="E61" s="91"/>
      <c r="F61" s="91"/>
    </row>
    <row r="62" spans="1:7" x14ac:dyDescent="0.25">
      <c r="A62" s="113"/>
      <c r="B62" s="91"/>
      <c r="C62" s="91"/>
      <c r="D62" s="91"/>
      <c r="E62" s="91"/>
      <c r="F62" s="91"/>
      <c r="G62" s="91"/>
    </row>
    <row r="63" spans="1:7" ht="19.5" thickBot="1" x14ac:dyDescent="0.35">
      <c r="A63" s="79" t="s">
        <v>85</v>
      </c>
    </row>
    <row r="64" spans="1:7" ht="15.75" thickBot="1" x14ac:dyDescent="0.3">
      <c r="A64" s="325" t="s">
        <v>86</v>
      </c>
      <c r="B64" s="80" t="s">
        <v>18</v>
      </c>
      <c r="C64" s="81"/>
      <c r="D64" s="82"/>
      <c r="E64" s="81" t="s">
        <v>31</v>
      </c>
      <c r="F64" s="81"/>
      <c r="G64" s="82"/>
    </row>
    <row r="65" spans="1:7" ht="30.75" thickBot="1" x14ac:dyDescent="0.3">
      <c r="A65" s="338"/>
      <c r="B65" s="9" t="s">
        <v>63</v>
      </c>
      <c r="C65" s="9" t="s">
        <v>20</v>
      </c>
      <c r="D65" s="9" t="s">
        <v>74</v>
      </c>
      <c r="E65" s="83" t="s">
        <v>75</v>
      </c>
      <c r="F65" s="9" t="s">
        <v>32</v>
      </c>
      <c r="G65" s="9" t="s">
        <v>76</v>
      </c>
    </row>
    <row r="66" spans="1:7" x14ac:dyDescent="0.25">
      <c r="A66" s="116" t="s">
        <v>91</v>
      </c>
      <c r="B66" s="65">
        <v>54550</v>
      </c>
      <c r="C66" s="65">
        <v>4</v>
      </c>
      <c r="D66" s="65">
        <v>13637.5</v>
      </c>
      <c r="E66" s="65">
        <v>54550</v>
      </c>
      <c r="F66" s="65">
        <v>4</v>
      </c>
      <c r="G66" s="65">
        <v>13637.5</v>
      </c>
    </row>
    <row r="67" spans="1:7" x14ac:dyDescent="0.25">
      <c r="A67" t="s">
        <v>92</v>
      </c>
      <c r="B67" s="91">
        <v>124060</v>
      </c>
      <c r="C67" s="91">
        <v>15</v>
      </c>
      <c r="D67" s="91">
        <v>8270.6666666666661</v>
      </c>
      <c r="E67" s="91">
        <v>115660</v>
      </c>
      <c r="F67" s="91">
        <v>14</v>
      </c>
      <c r="G67" s="91">
        <v>8261.4285714285706</v>
      </c>
    </row>
    <row r="68" spans="1:7" x14ac:dyDescent="0.25">
      <c r="A68" t="s">
        <v>103</v>
      </c>
      <c r="B68" s="91">
        <v>800</v>
      </c>
      <c r="C68" s="91">
        <v>1</v>
      </c>
      <c r="D68" s="91">
        <v>800</v>
      </c>
      <c r="E68" s="91">
        <v>800</v>
      </c>
      <c r="F68" s="91">
        <v>1</v>
      </c>
      <c r="G68" s="91">
        <v>800</v>
      </c>
    </row>
    <row r="69" spans="1:7" x14ac:dyDescent="0.25">
      <c r="A69" t="s">
        <v>94</v>
      </c>
      <c r="B69">
        <v>8400</v>
      </c>
      <c r="C69">
        <v>2</v>
      </c>
      <c r="D69" s="91">
        <v>4200</v>
      </c>
      <c r="E69">
        <v>8400</v>
      </c>
      <c r="F69">
        <v>2</v>
      </c>
      <c r="G69">
        <v>4200</v>
      </c>
    </row>
    <row r="70" spans="1:7" x14ac:dyDescent="0.25">
      <c r="A70" t="s">
        <v>78</v>
      </c>
      <c r="B70" s="91">
        <f>SUBTOTAL(109,Tabelle_PV_FFA_Datenbank_FE.accdb241220[Gebotsmenge])</f>
        <v>187810</v>
      </c>
      <c r="C70" s="91">
        <f>SUBTOTAL(109,Tabelle_PV_FFA_Datenbank_FE.accdb241220[Anzahl Gebote])</f>
        <v>22</v>
      </c>
      <c r="E70" s="91">
        <f>SUBTOTAL(109,Tabelle_PV_FFA_Datenbank_FE.accdb241220[Zuschlagsmenge])</f>
        <v>179410</v>
      </c>
      <c r="F70" s="91">
        <f>SUBTOTAL(109,Tabelle_PV_FFA_Datenbank_FE.accdb241220[Anzahl Zuschläge])</f>
        <v>21</v>
      </c>
      <c r="G70" s="91"/>
    </row>
    <row r="71" spans="1:7" x14ac:dyDescent="0.25">
      <c r="B71" s="91"/>
      <c r="C71" s="91"/>
      <c r="D71" s="91"/>
      <c r="E71" s="91"/>
      <c r="F71" s="91"/>
      <c r="G71" s="91"/>
    </row>
    <row r="72" spans="1:7" x14ac:dyDescent="0.25">
      <c r="B72" s="91"/>
      <c r="C72" s="91"/>
      <c r="D72" s="91"/>
      <c r="E72" s="91"/>
      <c r="F72" s="91"/>
      <c r="G72" s="91"/>
    </row>
    <row r="73" spans="1:7" ht="19.5" thickBot="1" x14ac:dyDescent="0.35">
      <c r="A73" s="92" t="s">
        <v>95</v>
      </c>
    </row>
    <row r="74" spans="1:7" ht="15.75" thickBot="1" x14ac:dyDescent="0.3">
      <c r="A74" s="325" t="s">
        <v>80</v>
      </c>
      <c r="B74" s="80" t="s">
        <v>18</v>
      </c>
      <c r="C74" s="81"/>
      <c r="D74" s="82"/>
      <c r="E74" s="81" t="s">
        <v>31</v>
      </c>
      <c r="F74" s="81"/>
      <c r="G74" s="82"/>
    </row>
    <row r="75" spans="1:7" ht="30.75" thickBot="1" x14ac:dyDescent="0.3">
      <c r="A75" s="326"/>
      <c r="B75" s="9" t="s">
        <v>63</v>
      </c>
      <c r="C75" s="9" t="s">
        <v>20</v>
      </c>
      <c r="D75" s="9" t="s">
        <v>74</v>
      </c>
      <c r="E75" s="83" t="s">
        <v>75</v>
      </c>
      <c r="F75" s="9" t="s">
        <v>32</v>
      </c>
      <c r="G75" s="9" t="s">
        <v>76</v>
      </c>
    </row>
    <row r="76" spans="1:7" x14ac:dyDescent="0.25">
      <c r="A76" s="113" t="s">
        <v>43</v>
      </c>
      <c r="B76" s="91">
        <v>6500</v>
      </c>
      <c r="C76" s="91">
        <v>2</v>
      </c>
      <c r="D76" s="91">
        <v>3250</v>
      </c>
      <c r="E76" s="91">
        <v>6500</v>
      </c>
      <c r="F76" s="91">
        <v>2</v>
      </c>
      <c r="G76" s="91">
        <v>3250</v>
      </c>
    </row>
    <row r="77" spans="1:7" x14ac:dyDescent="0.25">
      <c r="A77" t="s">
        <v>49</v>
      </c>
      <c r="B77" s="91">
        <v>38600</v>
      </c>
      <c r="C77" s="91">
        <v>7</v>
      </c>
      <c r="D77" s="91">
        <v>5514.2857142857147</v>
      </c>
      <c r="E77" s="91">
        <v>30200</v>
      </c>
      <c r="F77" s="91">
        <v>6</v>
      </c>
      <c r="G77" s="91">
        <v>5033.333333333333</v>
      </c>
    </row>
    <row r="78" spans="1:7" x14ac:dyDescent="0.25">
      <c r="A78" t="s">
        <v>78</v>
      </c>
      <c r="B78" s="91">
        <f>SUBTOTAL(109,Tabelle_PV_FFA_Datenbank_FE.accdb2456792022[Gebotsmenge])</f>
        <v>45100</v>
      </c>
      <c r="C78" s="91">
        <f>SUBTOTAL(109,Tabelle_PV_FFA_Datenbank_FE.accdb2456792022[Anzahl Gebote])</f>
        <v>9</v>
      </c>
      <c r="E78" s="91">
        <f>SUBTOTAL(109,Tabelle_PV_FFA_Datenbank_FE.accdb2456792022[Zuschlagsmenge])</f>
        <v>36700</v>
      </c>
      <c r="F78" s="91">
        <f>SUBTOTAL(109,Tabelle_PV_FFA_Datenbank_FE.accdb2456792022[Anzahl Zuschläge])</f>
        <v>8</v>
      </c>
      <c r="G78" s="91"/>
    </row>
    <row r="79" spans="1:7" x14ac:dyDescent="0.25">
      <c r="B79" s="91"/>
      <c r="C79" s="91"/>
      <c r="D79" s="91"/>
      <c r="E79" s="91"/>
      <c r="F79" s="91"/>
      <c r="G79" s="91"/>
    </row>
    <row r="80" spans="1:7" x14ac:dyDescent="0.25">
      <c r="B80" s="91"/>
      <c r="C80" s="91"/>
      <c r="D80" s="91"/>
      <c r="E80" s="91"/>
      <c r="F80" s="91"/>
      <c r="G80" s="91"/>
    </row>
  </sheetData>
  <protectedRanges>
    <protectedRange sqref="B3" name="Bereich1"/>
  </protectedRanges>
  <mergeCells count="12">
    <mergeCell ref="B25:B26"/>
    <mergeCell ref="A1:F1"/>
    <mergeCell ref="A11:A12"/>
    <mergeCell ref="B11:B12"/>
    <mergeCell ref="A16:A17"/>
    <mergeCell ref="B16:B17"/>
    <mergeCell ref="A25:A26"/>
    <mergeCell ref="A64:A65"/>
    <mergeCell ref="A74:A75"/>
    <mergeCell ref="A31:A32"/>
    <mergeCell ref="A41:A42"/>
    <mergeCell ref="A56:A57"/>
  </mergeCells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custom" allowBlank="1" showInputMessage="1" showErrorMessage="1" xr:uid="{00000000-0002-0000-1000-000000000000}">
          <x14:formula1>
            <xm:f>VLOOKUP(C3,'K:\Referatslaufwerk\EEG\8175 Ausschreibungen\8175-00 Allgemein\Statistik_Veröffentlichung\[191220_Statistik_Veröffentlichung_Wind_Deztermin19xlsm.xlsm]Gebotstermine'!#REF!,2,FALSE)</xm:f>
          </x14:formula1>
          <xm:sqref>D3</xm:sqref>
        </x14:dataValidation>
        <x14:dataValidation type="list" showInputMessage="1" showErrorMessage="1" xr:uid="{00000000-0002-0000-1000-000001000000}">
          <x14:formula1>
            <xm:f>'K:\Referatslaufwerk\EEG\8175 Ausschreibungen\8175-00 Allgemein\Statistik_Veröffentlichung\[191220_Statistik_Veröffentlichung_Wind_Deztermin19xlsm.xlsm]Gebotstermine'!#REF!</xm:f>
          </x14:formula1>
          <xm:sqref>B3</xm:sqref>
        </x14:dataValidation>
        <x14:dataValidation type="list" allowBlank="1" showInputMessage="1" showErrorMessage="1" xr:uid="{00000000-0002-0000-1000-000002000000}">
          <x14:formula1>
            <xm:f>'K:\Referatslaufwerk\EEG\8175 Ausschreibungen\8175-00 Allgemein\Statistik_Veröffentlichung\[191220_Statistik_Veröffentlichung_Wind_Deztermin19xlsm.xlsm]Gebotstermine'!#REF!</xm:f>
          </x14:formula1>
          <xm:sqref>I3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510">
    <tabColor rgb="FF0070C0"/>
  </sheetPr>
  <dimension ref="A1:H79"/>
  <sheetViews>
    <sheetView showGridLines="0" topLeftCell="A58" zoomScaleNormal="100" workbookViewId="0">
      <selection activeCell="H61" sqref="H61"/>
    </sheetView>
  </sheetViews>
  <sheetFormatPr defaultColWidth="9.140625" defaultRowHeight="15" x14ac:dyDescent="0.25"/>
  <cols>
    <col min="1" max="1" width="47.5703125" customWidth="1"/>
    <col min="2" max="43" width="19.28515625" customWidth="1"/>
  </cols>
  <sheetData>
    <row r="1" spans="1:8" s="110" customFormat="1" ht="19.5" customHeight="1" x14ac:dyDescent="0.25">
      <c r="A1" s="339" t="s">
        <v>64</v>
      </c>
      <c r="B1" s="340"/>
      <c r="C1" s="340"/>
      <c r="D1" s="340"/>
      <c r="E1" s="340"/>
      <c r="F1" s="340"/>
      <c r="H1" s="64" t="s">
        <v>106</v>
      </c>
    </row>
    <row r="2" spans="1:8" s="110" customFormat="1" ht="23.25" x14ac:dyDescent="0.25">
      <c r="A2" s="1"/>
    </row>
    <row r="3" spans="1:8" x14ac:dyDescent="0.25">
      <c r="A3" s="3" t="s">
        <v>1</v>
      </c>
      <c r="B3" s="4">
        <v>43678</v>
      </c>
      <c r="C3" s="5" t="e">
        <f ca="1">OFFSET([7]!Gebotstermine[[#Headers],[terGebotsterminID]],MATCH(Gebotstermin,[7]!Gebotstermine[terGebotstermin],0),,,)</f>
        <v>#REF!</v>
      </c>
    </row>
    <row r="4" spans="1:8" x14ac:dyDescent="0.25">
      <c r="A4" s="6"/>
      <c r="B4" s="7"/>
    </row>
    <row r="6" spans="1:8" ht="19.5" thickBot="1" x14ac:dyDescent="0.35">
      <c r="A6" s="8" t="s">
        <v>2</v>
      </c>
    </row>
    <row r="7" spans="1:8" ht="45.75" thickBot="1" x14ac:dyDescent="0.3">
      <c r="A7" s="9" t="s">
        <v>3</v>
      </c>
      <c r="B7" s="9" t="s">
        <v>4</v>
      </c>
      <c r="F7" s="16"/>
      <c r="G7" s="65"/>
      <c r="H7" s="65"/>
    </row>
    <row r="8" spans="1:8" x14ac:dyDescent="0.25">
      <c r="A8" s="133">
        <v>650000</v>
      </c>
      <c r="B8" s="62">
        <v>6.1999998092651367</v>
      </c>
    </row>
    <row r="9" spans="1:8" ht="18.75" x14ac:dyDescent="0.3">
      <c r="A9" s="8"/>
    </row>
    <row r="10" spans="1:8" ht="15.75" thickBot="1" x14ac:dyDescent="0.3">
      <c r="A10" s="68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11" t="s">
        <v>7</v>
      </c>
      <c r="D11" s="12"/>
      <c r="E11" s="13"/>
      <c r="F11" s="11" t="s">
        <v>8</v>
      </c>
      <c r="G11" s="12"/>
      <c r="H11" s="13"/>
    </row>
    <row r="12" spans="1:8" ht="15.75" thickBot="1" x14ac:dyDescent="0.3">
      <c r="A12" s="332"/>
      <c r="B12" s="332"/>
      <c r="C12" s="14" t="s">
        <v>9</v>
      </c>
      <c r="D12" s="14" t="s">
        <v>10</v>
      </c>
      <c r="E12" s="14" t="s">
        <v>11</v>
      </c>
      <c r="F12" s="14" t="s">
        <v>9</v>
      </c>
      <c r="G12" s="14" t="s">
        <v>10</v>
      </c>
      <c r="H12" s="70" t="s">
        <v>12</v>
      </c>
    </row>
    <row r="13" spans="1:8" x14ac:dyDescent="0.25">
      <c r="A13" s="132">
        <v>239250</v>
      </c>
      <c r="B13" s="131">
        <v>33</v>
      </c>
      <c r="C13" s="130">
        <v>2300</v>
      </c>
      <c r="D13" s="129">
        <v>31050</v>
      </c>
      <c r="E13" s="128">
        <v>7250</v>
      </c>
      <c r="F13" s="127">
        <v>6.19</v>
      </c>
      <c r="G13" s="126">
        <v>6.2</v>
      </c>
      <c r="H13" s="125">
        <v>6.1979268547544413</v>
      </c>
    </row>
    <row r="14" spans="1:8" ht="4.5" customHeight="1" x14ac:dyDescent="0.25">
      <c r="A14" s="61"/>
      <c r="B14" s="61"/>
      <c r="C14" s="61"/>
      <c r="D14" s="61"/>
      <c r="E14" s="61"/>
      <c r="F14" s="61"/>
      <c r="G14" s="61"/>
      <c r="H14" s="61"/>
    </row>
    <row r="15" spans="1:8" ht="15.75" thickBot="1" x14ac:dyDescent="0.3">
      <c r="A15" s="68" t="s">
        <v>65</v>
      </c>
      <c r="B15" s="34"/>
      <c r="C15" s="34"/>
      <c r="D15" s="34"/>
      <c r="E15" s="34"/>
      <c r="F15" s="62"/>
      <c r="G15" s="62"/>
      <c r="H15" s="62"/>
    </row>
    <row r="16" spans="1:8" ht="15.75" customHeight="1" thickBot="1" x14ac:dyDescent="0.3">
      <c r="A16" s="331" t="s">
        <v>66</v>
      </c>
      <c r="B16" s="331" t="s">
        <v>67</v>
      </c>
      <c r="C16" s="11" t="s">
        <v>15</v>
      </c>
      <c r="D16" s="12"/>
      <c r="E16" s="13"/>
      <c r="F16" s="11" t="s">
        <v>16</v>
      </c>
      <c r="G16" s="12"/>
      <c r="H16" s="13"/>
    </row>
    <row r="17" spans="1:8" ht="15.75" thickBot="1" x14ac:dyDescent="0.3">
      <c r="A17" s="332"/>
      <c r="B17" s="332"/>
      <c r="C17" s="14" t="s">
        <v>9</v>
      </c>
      <c r="D17" s="14" t="s">
        <v>10</v>
      </c>
      <c r="E17" s="14" t="s">
        <v>11</v>
      </c>
      <c r="F17" s="14" t="s">
        <v>9</v>
      </c>
      <c r="G17" s="14" t="s">
        <v>10</v>
      </c>
      <c r="H17" s="14" t="s">
        <v>12</v>
      </c>
    </row>
    <row r="18" spans="1:8" x14ac:dyDescent="0.25">
      <c r="A18" s="120">
        <v>208200</v>
      </c>
      <c r="B18" s="119">
        <v>32</v>
      </c>
      <c r="C18" s="124">
        <v>2300</v>
      </c>
      <c r="D18" s="32">
        <v>21000</v>
      </c>
      <c r="E18" s="33">
        <v>6506.25</v>
      </c>
      <c r="F18" s="123">
        <v>6.190000057220459</v>
      </c>
      <c r="G18" s="122">
        <v>6.1999998092651367</v>
      </c>
      <c r="H18" s="121">
        <v>6.1976175436483452</v>
      </c>
    </row>
    <row r="19" spans="1:8" ht="4.5" customHeight="1" x14ac:dyDescent="0.25">
      <c r="A19" s="61"/>
      <c r="B19" s="61"/>
      <c r="C19" s="61"/>
      <c r="D19" s="61"/>
      <c r="E19" s="61"/>
      <c r="F19" s="61"/>
      <c r="G19" s="61"/>
      <c r="H19" s="61"/>
    </row>
    <row r="20" spans="1:8" ht="16.5" thickBot="1" x14ac:dyDescent="0.3">
      <c r="A20" s="76" t="s">
        <v>68</v>
      </c>
      <c r="B20" s="34"/>
      <c r="C20" s="34"/>
      <c r="D20" s="34"/>
      <c r="E20" s="34"/>
      <c r="F20" s="62"/>
      <c r="G20" s="62"/>
      <c r="H20" s="62"/>
    </row>
    <row r="21" spans="1:8" ht="30" x14ac:dyDescent="0.25">
      <c r="A21" s="112" t="s">
        <v>66</v>
      </c>
      <c r="B21" s="112" t="s">
        <v>14</v>
      </c>
      <c r="C21" s="34"/>
      <c r="D21" s="34"/>
      <c r="E21" s="34"/>
      <c r="F21" s="62"/>
      <c r="G21" s="62"/>
      <c r="H21" s="62"/>
    </row>
    <row r="22" spans="1:8" x14ac:dyDescent="0.25">
      <c r="A22" s="120">
        <v>208200</v>
      </c>
      <c r="B22" s="119">
        <v>32</v>
      </c>
    </row>
    <row r="23" spans="1:8" ht="4.5" customHeight="1" x14ac:dyDescent="0.25">
      <c r="A23" s="61"/>
      <c r="B23" s="61"/>
      <c r="C23" s="34"/>
      <c r="D23" s="34"/>
      <c r="E23" s="34"/>
      <c r="F23" s="62"/>
      <c r="G23" s="62"/>
      <c r="H23" s="62"/>
    </row>
    <row r="24" spans="1:8" ht="15.75" thickBot="1" x14ac:dyDescent="0.3">
      <c r="A24" s="68" t="s">
        <v>69</v>
      </c>
      <c r="B24" s="34"/>
      <c r="C24" s="34"/>
      <c r="D24" s="34"/>
      <c r="E24" s="34"/>
      <c r="F24" s="62"/>
      <c r="G24" s="62"/>
      <c r="H24" s="62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118">
        <v>31050</v>
      </c>
      <c r="B27" s="117">
        <v>1</v>
      </c>
    </row>
    <row r="29" spans="1:8" ht="15.75" x14ac:dyDescent="0.25">
      <c r="A29" s="78" t="s">
        <v>100</v>
      </c>
    </row>
    <row r="32" spans="1:8" ht="19.5" thickBot="1" x14ac:dyDescent="0.35">
      <c r="A32" s="79" t="s">
        <v>73</v>
      </c>
    </row>
    <row r="33" spans="1:8" ht="15.75" thickBot="1" x14ac:dyDescent="0.3">
      <c r="A33" s="325" t="s">
        <v>23</v>
      </c>
      <c r="B33" s="80" t="s">
        <v>18</v>
      </c>
      <c r="C33" s="81"/>
      <c r="D33" s="82"/>
      <c r="E33" s="81" t="s">
        <v>31</v>
      </c>
      <c r="F33" s="81"/>
      <c r="G33" s="82"/>
      <c r="H33" s="16"/>
    </row>
    <row r="34" spans="1:8" ht="30.75" thickBot="1" x14ac:dyDescent="0.3">
      <c r="A34" s="326"/>
      <c r="B34" s="9" t="s">
        <v>63</v>
      </c>
      <c r="C34" s="9" t="s">
        <v>20</v>
      </c>
      <c r="D34" s="9" t="s">
        <v>74</v>
      </c>
      <c r="E34" s="83" t="s">
        <v>75</v>
      </c>
      <c r="F34" s="9" t="s">
        <v>32</v>
      </c>
      <c r="G34" s="9" t="s">
        <v>76</v>
      </c>
      <c r="H34" s="16"/>
    </row>
    <row r="35" spans="1:8" x14ac:dyDescent="0.25">
      <c r="A35" s="116" t="s">
        <v>26</v>
      </c>
      <c r="B35" s="65">
        <v>103650</v>
      </c>
      <c r="C35" s="65">
        <v>24</v>
      </c>
      <c r="D35" s="65">
        <v>4318.75</v>
      </c>
      <c r="E35" s="65">
        <v>103650</v>
      </c>
      <c r="F35" s="65">
        <v>24</v>
      </c>
      <c r="G35" s="65">
        <v>4318.75</v>
      </c>
      <c r="H35" s="16"/>
    </row>
    <row r="36" spans="1:8" x14ac:dyDescent="0.25">
      <c r="A36" s="116" t="s">
        <v>27</v>
      </c>
      <c r="B36" s="65">
        <v>23100</v>
      </c>
      <c r="C36" s="65">
        <v>3</v>
      </c>
      <c r="D36" s="65">
        <v>7700</v>
      </c>
      <c r="E36" s="65">
        <v>23100</v>
      </c>
      <c r="F36" s="65">
        <v>3</v>
      </c>
      <c r="G36" s="65">
        <v>7700</v>
      </c>
      <c r="H36" s="16"/>
    </row>
    <row r="37" spans="1:8" x14ac:dyDescent="0.25">
      <c r="A37" s="116" t="s">
        <v>28</v>
      </c>
      <c r="B37" s="65">
        <v>60450</v>
      </c>
      <c r="C37" s="65">
        <v>4</v>
      </c>
      <c r="D37" s="65">
        <v>15112.5</v>
      </c>
      <c r="E37" s="65">
        <v>60450</v>
      </c>
      <c r="F37" s="65">
        <v>4</v>
      </c>
      <c r="G37" s="65">
        <v>15112.5</v>
      </c>
      <c r="H37" s="16"/>
    </row>
    <row r="38" spans="1:8" x14ac:dyDescent="0.25">
      <c r="A38" s="116" t="s">
        <v>77</v>
      </c>
      <c r="B38" s="65">
        <v>52050</v>
      </c>
      <c r="C38" s="65">
        <v>2</v>
      </c>
      <c r="D38" s="65">
        <v>26025</v>
      </c>
      <c r="E38" s="65">
        <v>21000</v>
      </c>
      <c r="F38" s="65">
        <v>1</v>
      </c>
      <c r="G38" s="65">
        <v>21000</v>
      </c>
      <c r="H38" s="16"/>
    </row>
    <row r="39" spans="1:8" x14ac:dyDescent="0.25">
      <c r="A39" s="111" t="s">
        <v>78</v>
      </c>
      <c r="B39" s="91">
        <f>SUBTOTAL(109,Tabelle_PV_FFA_Datenbank_FE.accdb213[Gebotsmenge])</f>
        <v>239250</v>
      </c>
      <c r="C39" s="91">
        <f>SUBTOTAL(109,Tabelle_PV_FFA_Datenbank_FE.accdb213[Anzahl Gebote])</f>
        <v>33</v>
      </c>
      <c r="E39" s="91">
        <f>SUBTOTAL(109,Tabelle_PV_FFA_Datenbank_FE.accdb213[Zuschlagsmenge])</f>
        <v>208200</v>
      </c>
      <c r="F39" s="91">
        <f>SUBTOTAL(109,Tabelle_PV_FFA_Datenbank_FE.accdb213[Anzahl Zuschläge])</f>
        <v>32</v>
      </c>
      <c r="G39" s="91"/>
      <c r="H39" s="16"/>
    </row>
    <row r="40" spans="1:8" x14ac:dyDescent="0.25">
      <c r="A40" s="111"/>
      <c r="B40" s="91"/>
      <c r="C40" s="91"/>
      <c r="E40" s="91"/>
      <c r="F40" s="91"/>
      <c r="G40" s="91"/>
      <c r="H40" s="16"/>
    </row>
    <row r="41" spans="1:8" x14ac:dyDescent="0.25">
      <c r="A41" s="111"/>
      <c r="B41" s="91"/>
      <c r="C41" s="91"/>
      <c r="E41" s="91"/>
      <c r="F41" s="91"/>
      <c r="G41" s="91"/>
      <c r="H41" s="16"/>
    </row>
    <row r="42" spans="1:8" ht="19.5" thickBot="1" x14ac:dyDescent="0.35">
      <c r="A42" s="92" t="s">
        <v>79</v>
      </c>
    </row>
    <row r="43" spans="1:8" ht="15.75" thickBot="1" x14ac:dyDescent="0.3">
      <c r="A43" s="325" t="s">
        <v>80</v>
      </c>
      <c r="B43" s="80" t="s">
        <v>18</v>
      </c>
      <c r="C43" s="81"/>
      <c r="D43" s="82"/>
      <c r="E43" s="81" t="s">
        <v>31</v>
      </c>
      <c r="F43" s="81"/>
      <c r="G43" s="82"/>
    </row>
    <row r="44" spans="1:8" ht="30.75" thickBot="1" x14ac:dyDescent="0.3">
      <c r="A44" s="326"/>
      <c r="B44" s="9" t="s">
        <v>63</v>
      </c>
      <c r="C44" s="9" t="s">
        <v>20</v>
      </c>
      <c r="D44" s="9" t="s">
        <v>74</v>
      </c>
      <c r="E44" s="83" t="s">
        <v>75</v>
      </c>
      <c r="F44" s="9" t="s">
        <v>32</v>
      </c>
      <c r="G44" s="9" t="s">
        <v>76</v>
      </c>
    </row>
    <row r="45" spans="1:8" x14ac:dyDescent="0.25">
      <c r="A45" s="116" t="s">
        <v>41</v>
      </c>
      <c r="B45" s="65">
        <v>97900</v>
      </c>
      <c r="C45" s="65">
        <v>9</v>
      </c>
      <c r="D45" s="65">
        <v>10877.777777777777</v>
      </c>
      <c r="E45" s="65">
        <v>66850</v>
      </c>
      <c r="F45" s="65">
        <v>8</v>
      </c>
      <c r="G45" s="65">
        <v>8356.25</v>
      </c>
    </row>
    <row r="46" spans="1:8" x14ac:dyDescent="0.25">
      <c r="A46" s="116" t="s">
        <v>42</v>
      </c>
      <c r="B46" s="65">
        <v>21000</v>
      </c>
      <c r="C46" s="65">
        <v>1</v>
      </c>
      <c r="D46" s="65">
        <v>21000</v>
      </c>
      <c r="E46" s="65">
        <v>21000</v>
      </c>
      <c r="F46" s="65">
        <v>1</v>
      </c>
      <c r="G46" s="65">
        <v>21000</v>
      </c>
    </row>
    <row r="47" spans="1:8" x14ac:dyDescent="0.25">
      <c r="A47" s="111" t="s">
        <v>44</v>
      </c>
      <c r="B47" s="91">
        <v>24950</v>
      </c>
      <c r="C47" s="91">
        <v>5</v>
      </c>
      <c r="D47" s="91">
        <v>4990</v>
      </c>
      <c r="E47" s="91">
        <v>24950</v>
      </c>
      <c r="F47" s="91">
        <v>5</v>
      </c>
      <c r="G47" s="91">
        <v>4990</v>
      </c>
    </row>
    <row r="48" spans="1:8" x14ac:dyDescent="0.25">
      <c r="A48" s="111" t="s">
        <v>45</v>
      </c>
      <c r="B48" s="91">
        <v>37200</v>
      </c>
      <c r="C48" s="91">
        <v>8</v>
      </c>
      <c r="D48" s="91">
        <v>4650</v>
      </c>
      <c r="E48" s="91">
        <v>37200</v>
      </c>
      <c r="F48" s="91">
        <v>8</v>
      </c>
      <c r="G48" s="91">
        <v>4650</v>
      </c>
    </row>
    <row r="49" spans="1:7" x14ac:dyDescent="0.25">
      <c r="A49" s="111" t="s">
        <v>98</v>
      </c>
      <c r="B49" s="91">
        <v>17400</v>
      </c>
      <c r="C49" s="91">
        <v>3</v>
      </c>
      <c r="D49" s="91">
        <v>5800</v>
      </c>
      <c r="E49" s="91">
        <v>17400</v>
      </c>
      <c r="F49" s="91">
        <v>3</v>
      </c>
      <c r="G49" s="91">
        <v>5800</v>
      </c>
    </row>
    <row r="50" spans="1:7" x14ac:dyDescent="0.25">
      <c r="A50" s="111" t="s">
        <v>49</v>
      </c>
      <c r="B50" s="91">
        <v>13500</v>
      </c>
      <c r="C50" s="91">
        <v>3</v>
      </c>
      <c r="D50" s="91">
        <v>4500</v>
      </c>
      <c r="E50" s="91">
        <v>13500</v>
      </c>
      <c r="F50" s="91">
        <v>3</v>
      </c>
      <c r="G50" s="91">
        <v>4500</v>
      </c>
    </row>
    <row r="51" spans="1:7" x14ac:dyDescent="0.25">
      <c r="A51" s="111" t="s">
        <v>50</v>
      </c>
      <c r="B51" s="91">
        <v>27300</v>
      </c>
      <c r="C51" s="91">
        <v>4</v>
      </c>
      <c r="D51" s="91">
        <v>6825</v>
      </c>
      <c r="E51" s="91">
        <v>27300</v>
      </c>
      <c r="F51" s="91">
        <v>4</v>
      </c>
      <c r="G51" s="91">
        <v>6825</v>
      </c>
    </row>
    <row r="52" spans="1:7" x14ac:dyDescent="0.25">
      <c r="A52" s="111" t="s">
        <v>78</v>
      </c>
      <c r="B52" s="91">
        <f>SUBTOTAL(109,Tabelle_PV_FFA_Datenbank_FE.accdb2456718[Gebotsmenge])</f>
        <v>239250</v>
      </c>
      <c r="C52" s="91">
        <f>SUBTOTAL(109,Tabelle_PV_FFA_Datenbank_FE.accdb2456718[Anzahl Gebote])</f>
        <v>33</v>
      </c>
      <c r="E52" s="91">
        <f>SUBTOTAL(109,Tabelle_PV_FFA_Datenbank_FE.accdb2456718[Zuschlagsmenge])</f>
        <v>208200</v>
      </c>
      <c r="F52" s="91">
        <f>SUBTOTAL(109,Tabelle_PV_FFA_Datenbank_FE.accdb2456718[Anzahl Zuschläge])</f>
        <v>32</v>
      </c>
      <c r="G52" s="91"/>
    </row>
    <row r="53" spans="1:7" x14ac:dyDescent="0.25">
      <c r="A53" s="111"/>
      <c r="B53" s="91"/>
      <c r="C53" s="91"/>
      <c r="D53" s="91"/>
      <c r="E53" s="91"/>
      <c r="F53" s="91"/>
      <c r="G53" s="91"/>
    </row>
    <row r="54" spans="1:7" x14ac:dyDescent="0.25">
      <c r="B54" s="91"/>
      <c r="C54" s="91"/>
      <c r="D54" s="91"/>
      <c r="E54" s="91"/>
      <c r="F54" s="91"/>
      <c r="G54" s="91"/>
    </row>
    <row r="55" spans="1:7" ht="19.5" thickBot="1" x14ac:dyDescent="0.35">
      <c r="A55" s="79" t="s">
        <v>82</v>
      </c>
    </row>
    <row r="56" spans="1:7" ht="15.75" thickBot="1" x14ac:dyDescent="0.3">
      <c r="A56" s="325" t="s">
        <v>83</v>
      </c>
      <c r="B56" s="80" t="s">
        <v>18</v>
      </c>
      <c r="C56" s="81"/>
      <c r="D56" s="82"/>
      <c r="E56" s="81" t="s">
        <v>31</v>
      </c>
      <c r="F56" s="81"/>
      <c r="G56" s="82"/>
    </row>
    <row r="57" spans="1:7" ht="30.75" thickBot="1" x14ac:dyDescent="0.3">
      <c r="A57" s="326"/>
      <c r="B57" s="9" t="s">
        <v>63</v>
      </c>
      <c r="C57" s="9" t="s">
        <v>20</v>
      </c>
      <c r="D57" s="9" t="s">
        <v>74</v>
      </c>
      <c r="E57" s="83" t="s">
        <v>75</v>
      </c>
      <c r="F57" s="9" t="s">
        <v>32</v>
      </c>
      <c r="G57" s="9" t="s">
        <v>76</v>
      </c>
    </row>
    <row r="58" spans="1:7" x14ac:dyDescent="0.25">
      <c r="A58" s="116" t="s">
        <v>84</v>
      </c>
      <c r="B58" s="65">
        <v>239250</v>
      </c>
      <c r="C58" s="65">
        <v>33</v>
      </c>
      <c r="D58" s="65">
        <v>7250</v>
      </c>
      <c r="E58" s="65">
        <v>208200</v>
      </c>
      <c r="F58" s="65">
        <v>32</v>
      </c>
      <c r="G58" s="65">
        <v>6506.25</v>
      </c>
    </row>
    <row r="59" spans="1:7" x14ac:dyDescent="0.25">
      <c r="A59" s="111" t="s">
        <v>78</v>
      </c>
      <c r="B59" s="91">
        <f>SUBTOTAL(109,Tabelle_PV_FFA_Datenbank_FE.accdb245616[Gebotsmenge])</f>
        <v>239250</v>
      </c>
      <c r="C59" s="91">
        <f>SUBTOTAL(109,Tabelle_PV_FFA_Datenbank_FE.accdb245616[Anzahl Gebote])</f>
        <v>33</v>
      </c>
      <c r="E59" s="91">
        <f>SUBTOTAL(109,Tabelle_PV_FFA_Datenbank_FE.accdb245616[Zuschlagsmenge])</f>
        <v>208200</v>
      </c>
      <c r="F59" s="91">
        <f>SUBTOTAL(109,Tabelle_PV_FFA_Datenbank_FE.accdb245616[Anzahl Zuschläge])</f>
        <v>32</v>
      </c>
      <c r="G59" s="91"/>
    </row>
    <row r="60" spans="1:7" x14ac:dyDescent="0.25">
      <c r="B60" s="91"/>
      <c r="C60" s="91"/>
      <c r="D60" s="91"/>
      <c r="E60" s="91"/>
      <c r="F60" s="91"/>
      <c r="G60" s="91"/>
    </row>
    <row r="61" spans="1:7" x14ac:dyDescent="0.25">
      <c r="A61" s="111"/>
      <c r="B61" s="91"/>
      <c r="C61" s="91"/>
      <c r="D61" s="91"/>
      <c r="E61" s="91"/>
      <c r="F61" s="91"/>
      <c r="G61" s="91"/>
    </row>
    <row r="62" spans="1:7" ht="19.5" thickBot="1" x14ac:dyDescent="0.35">
      <c r="A62" s="79" t="s">
        <v>85</v>
      </c>
    </row>
    <row r="63" spans="1:7" ht="15.75" thickBot="1" x14ac:dyDescent="0.3">
      <c r="A63" s="325" t="s">
        <v>86</v>
      </c>
      <c r="B63" s="80" t="s">
        <v>18</v>
      </c>
      <c r="C63" s="81"/>
      <c r="D63" s="82"/>
      <c r="E63" s="81" t="s">
        <v>31</v>
      </c>
      <c r="F63" s="81"/>
      <c r="G63" s="82"/>
    </row>
    <row r="64" spans="1:7" ht="30.75" thickBot="1" x14ac:dyDescent="0.3">
      <c r="A64" s="338"/>
      <c r="B64" s="9" t="s">
        <v>63</v>
      </c>
      <c r="C64" s="9" t="s">
        <v>20</v>
      </c>
      <c r="D64" s="9" t="s">
        <v>74</v>
      </c>
      <c r="E64" s="83" t="s">
        <v>75</v>
      </c>
      <c r="F64" s="9" t="s">
        <v>32</v>
      </c>
      <c r="G64" s="9" t="s">
        <v>76</v>
      </c>
    </row>
    <row r="65" spans="1:7" x14ac:dyDescent="0.25">
      <c r="A65" s="116" t="s">
        <v>87</v>
      </c>
      <c r="B65" s="65">
        <v>22000</v>
      </c>
      <c r="C65" s="65">
        <v>2</v>
      </c>
      <c r="D65" s="65">
        <v>11000</v>
      </c>
      <c r="E65" s="65">
        <v>22000</v>
      </c>
      <c r="F65" s="65">
        <v>2</v>
      </c>
      <c r="G65" s="65">
        <v>11000</v>
      </c>
    </row>
    <row r="66" spans="1:7" x14ac:dyDescent="0.25">
      <c r="A66" t="s">
        <v>91</v>
      </c>
      <c r="B66" s="91">
        <v>94350</v>
      </c>
      <c r="C66" s="91">
        <v>9</v>
      </c>
      <c r="D66" s="91">
        <v>10483.333333333334</v>
      </c>
      <c r="E66" s="91">
        <v>63300</v>
      </c>
      <c r="F66" s="91">
        <v>8</v>
      </c>
      <c r="G66" s="91">
        <v>7912.5</v>
      </c>
    </row>
    <row r="67" spans="1:7" x14ac:dyDescent="0.25">
      <c r="A67" t="s">
        <v>92</v>
      </c>
      <c r="B67" s="91">
        <v>96800</v>
      </c>
      <c r="C67" s="91">
        <v>16</v>
      </c>
      <c r="D67" s="91">
        <v>6050</v>
      </c>
      <c r="E67" s="91">
        <v>96800</v>
      </c>
      <c r="F67" s="91">
        <v>16</v>
      </c>
      <c r="G67" s="91">
        <v>6050</v>
      </c>
    </row>
    <row r="68" spans="1:7" x14ac:dyDescent="0.25">
      <c r="A68" t="s">
        <v>94</v>
      </c>
      <c r="B68">
        <v>26100</v>
      </c>
      <c r="C68">
        <v>6</v>
      </c>
      <c r="D68" s="91">
        <v>4350</v>
      </c>
      <c r="E68">
        <v>26100</v>
      </c>
      <c r="F68">
        <v>6</v>
      </c>
      <c r="G68">
        <v>4350</v>
      </c>
    </row>
    <row r="69" spans="1:7" x14ac:dyDescent="0.25">
      <c r="A69" t="s">
        <v>78</v>
      </c>
      <c r="B69" s="91">
        <f>SUBTOTAL(109,Tabelle_PV_FFA_Datenbank_FE.accdb2412[Gebotsmenge])</f>
        <v>239250</v>
      </c>
      <c r="C69" s="91">
        <f>SUBTOTAL(109,Tabelle_PV_FFA_Datenbank_FE.accdb2412[Anzahl Gebote])</f>
        <v>33</v>
      </c>
      <c r="E69" s="91">
        <f>SUBTOTAL(109,Tabelle_PV_FFA_Datenbank_FE.accdb2412[Zuschlagsmenge])</f>
        <v>208200</v>
      </c>
      <c r="F69" s="91">
        <f>SUBTOTAL(109,Tabelle_PV_FFA_Datenbank_FE.accdb2412[Anzahl Zuschläge])</f>
        <v>32</v>
      </c>
      <c r="G69" s="91"/>
    </row>
    <row r="70" spans="1:7" x14ac:dyDescent="0.25">
      <c r="B70" s="91"/>
      <c r="C70" s="91"/>
      <c r="D70" s="91"/>
      <c r="E70" s="91"/>
      <c r="F70" s="91"/>
      <c r="G70" s="91"/>
    </row>
    <row r="71" spans="1:7" x14ac:dyDescent="0.25">
      <c r="B71" s="91"/>
      <c r="C71" s="91"/>
      <c r="D71" s="91"/>
      <c r="E71" s="91"/>
      <c r="F71" s="91"/>
      <c r="G71" s="91"/>
    </row>
    <row r="72" spans="1:7" ht="19.5" thickBot="1" x14ac:dyDescent="0.35">
      <c r="A72" s="92" t="s">
        <v>95</v>
      </c>
    </row>
    <row r="73" spans="1:7" ht="15.75" thickBot="1" x14ac:dyDescent="0.3">
      <c r="A73" s="325" t="s">
        <v>80</v>
      </c>
      <c r="B73" s="80" t="s">
        <v>18</v>
      </c>
      <c r="C73" s="81"/>
      <c r="D73" s="82"/>
      <c r="E73" s="81" t="s">
        <v>31</v>
      </c>
      <c r="F73" s="81"/>
      <c r="G73" s="82"/>
    </row>
    <row r="74" spans="1:7" ht="30.75" thickBot="1" x14ac:dyDescent="0.3">
      <c r="A74" s="326"/>
      <c r="B74" s="9" t="s">
        <v>63</v>
      </c>
      <c r="C74" s="9" t="s">
        <v>20</v>
      </c>
      <c r="D74" s="9" t="s">
        <v>74</v>
      </c>
      <c r="E74" s="83" t="s">
        <v>75</v>
      </c>
      <c r="F74" s="9" t="s">
        <v>32</v>
      </c>
      <c r="G74" s="9" t="s">
        <v>76</v>
      </c>
    </row>
    <row r="75" spans="1:7" x14ac:dyDescent="0.25">
      <c r="A75" s="111" t="s">
        <v>44</v>
      </c>
      <c r="B75" s="91">
        <v>2300</v>
      </c>
      <c r="C75" s="91">
        <v>1</v>
      </c>
      <c r="D75" s="91">
        <v>2300</v>
      </c>
      <c r="E75" s="91">
        <v>2300</v>
      </c>
      <c r="F75" s="91">
        <v>1</v>
      </c>
      <c r="G75" s="91">
        <v>2300</v>
      </c>
    </row>
    <row r="76" spans="1:7" x14ac:dyDescent="0.25">
      <c r="A76" t="s">
        <v>49</v>
      </c>
      <c r="B76" s="91">
        <v>13500</v>
      </c>
      <c r="C76" s="91">
        <v>3</v>
      </c>
      <c r="D76" s="91">
        <v>4500</v>
      </c>
      <c r="E76" s="91">
        <v>13500</v>
      </c>
      <c r="F76" s="91">
        <v>3</v>
      </c>
      <c r="G76" s="91">
        <v>4500</v>
      </c>
    </row>
    <row r="77" spans="1:7" x14ac:dyDescent="0.25">
      <c r="A77" t="s">
        <v>78</v>
      </c>
      <c r="B77" s="91">
        <f>SUBTOTAL(109,Tabelle_PV_FFA_Datenbank_FE.accdb24567920[Gebotsmenge])</f>
        <v>15800</v>
      </c>
      <c r="C77" s="91">
        <f>SUBTOTAL(109,Tabelle_PV_FFA_Datenbank_FE.accdb24567920[Anzahl Gebote])</f>
        <v>4</v>
      </c>
      <c r="E77" s="91">
        <f>SUBTOTAL(109,Tabelle_PV_FFA_Datenbank_FE.accdb24567920[Zuschlagsmenge])</f>
        <v>15800</v>
      </c>
      <c r="F77" s="91">
        <f>SUBTOTAL(109,Tabelle_PV_FFA_Datenbank_FE.accdb24567920[Anzahl Zuschläge])</f>
        <v>4</v>
      </c>
      <c r="G77" s="91"/>
    </row>
    <row r="78" spans="1:7" x14ac:dyDescent="0.25">
      <c r="B78" s="91"/>
      <c r="C78" s="91"/>
      <c r="D78" s="91"/>
      <c r="E78" s="91"/>
      <c r="F78" s="91"/>
      <c r="G78" s="91"/>
    </row>
    <row r="79" spans="1:7" x14ac:dyDescent="0.25">
      <c r="B79" s="91"/>
      <c r="C79" s="91"/>
      <c r="D79" s="91"/>
      <c r="E79" s="91"/>
      <c r="F79" s="91"/>
      <c r="G79" s="91"/>
    </row>
  </sheetData>
  <protectedRanges>
    <protectedRange sqref="B3" name="Bereich1"/>
  </protectedRanges>
  <mergeCells count="12">
    <mergeCell ref="A63:A64"/>
    <mergeCell ref="A73:A74"/>
    <mergeCell ref="A33:A34"/>
    <mergeCell ref="A43:A44"/>
    <mergeCell ref="A56:A57"/>
    <mergeCell ref="B25:B26"/>
    <mergeCell ref="A1:F1"/>
    <mergeCell ref="A11:A12"/>
    <mergeCell ref="B11:B12"/>
    <mergeCell ref="A16:A17"/>
    <mergeCell ref="B16:B17"/>
    <mergeCell ref="A25:A26"/>
  </mergeCells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custom" allowBlank="1" showInputMessage="1" showErrorMessage="1" xr:uid="{00000000-0002-0000-1100-000000000000}">
          <x14:formula1>
            <xm:f>VLOOKUP(C3,'K:\Referatslaufwerk\EEG\8175 Ausschreibungen\8175-00 Allgemein\Statistik_Veröffentlichung\[191220_Statistik_Veröffentlichung_Wind_Deztermin19xlsm.xlsm]Gebotstermine'!#REF!,2,FALSE)</xm:f>
          </x14:formula1>
          <xm:sqref>D3</xm:sqref>
        </x14:dataValidation>
        <x14:dataValidation type="list" showInputMessage="1" showErrorMessage="1" xr:uid="{00000000-0002-0000-1100-000001000000}">
          <x14:formula1>
            <xm:f>'K:\Referatslaufwerk\EEG\8175 Ausschreibungen\8175-00 Allgemein\Statistik_Veröffentlichung\[191220_Statistik_Veröffentlichung_Wind_Deztermin19xlsm.xlsm]Gebotstermine'!#REF!</xm:f>
          </x14:formula1>
          <xm:sqref>B3</xm:sqref>
        </x14:dataValidation>
        <x14:dataValidation type="list" allowBlank="1" showInputMessage="1" showErrorMessage="1" xr:uid="{00000000-0002-0000-1100-000002000000}">
          <x14:formula1>
            <xm:f>'K:\Referatslaufwerk\EEG\8175 Ausschreibungen\8175-00 Allgemein\Statistik_Veröffentlichung\[191220_Statistik_Veröffentlichung_Wind_Deztermin19xlsm.xlsm]Gebotstermine'!#REF!</xm:f>
          </x14:formula1>
          <xm:sqref>I3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4">
    <tabColor rgb="FF0070C0"/>
  </sheetPr>
  <dimension ref="A1:H81"/>
  <sheetViews>
    <sheetView showGridLines="0" topLeftCell="A70" zoomScaleNormal="100" workbookViewId="0">
      <selection activeCell="E80" sqref="E80"/>
    </sheetView>
  </sheetViews>
  <sheetFormatPr defaultColWidth="9.140625" defaultRowHeight="15" x14ac:dyDescent="0.25"/>
  <cols>
    <col min="1" max="1" width="47.5703125" customWidth="1"/>
    <col min="2" max="43" width="19.28515625" customWidth="1"/>
  </cols>
  <sheetData>
    <row r="1" spans="1:8" s="108" customFormat="1" ht="48" customHeight="1" x14ac:dyDescent="0.25">
      <c r="A1" s="339" t="s">
        <v>64</v>
      </c>
      <c r="B1" s="340"/>
      <c r="C1" s="340"/>
      <c r="D1" s="340"/>
      <c r="E1" s="340"/>
      <c r="F1" s="340"/>
      <c r="H1" s="64" t="s">
        <v>105</v>
      </c>
    </row>
    <row r="2" spans="1:8" s="108" customFormat="1" ht="5.25" customHeight="1" x14ac:dyDescent="0.25">
      <c r="A2" s="1"/>
    </row>
    <row r="3" spans="1:8" x14ac:dyDescent="0.25">
      <c r="A3" s="3" t="s">
        <v>1</v>
      </c>
      <c r="B3" s="4">
        <v>43586</v>
      </c>
      <c r="C3" s="5">
        <v>30</v>
      </c>
    </row>
    <row r="4" spans="1:8" x14ac:dyDescent="0.25">
      <c r="A4" s="6"/>
      <c r="B4" s="7"/>
    </row>
    <row r="6" spans="1:8" ht="19.5" thickBot="1" x14ac:dyDescent="0.35">
      <c r="A6" s="8" t="s">
        <v>2</v>
      </c>
    </row>
    <row r="7" spans="1:8" ht="30.75" customHeight="1" thickBot="1" x14ac:dyDescent="0.3">
      <c r="A7" s="9" t="s">
        <v>3</v>
      </c>
      <c r="B7" s="9" t="s">
        <v>4</v>
      </c>
      <c r="F7" s="16"/>
      <c r="G7" s="65"/>
      <c r="H7" s="65"/>
    </row>
    <row r="8" spans="1:8" ht="15.75" thickBot="1" x14ac:dyDescent="0.3">
      <c r="A8" s="66">
        <v>650000</v>
      </c>
      <c r="B8" s="67">
        <v>6.1999998092651367</v>
      </c>
    </row>
    <row r="9" spans="1:8" ht="15" customHeight="1" x14ac:dyDescent="0.3">
      <c r="A9" s="8"/>
    </row>
    <row r="10" spans="1:8" ht="18" customHeight="1" thickBot="1" x14ac:dyDescent="0.3">
      <c r="A10" s="68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11" t="s">
        <v>7</v>
      </c>
      <c r="D11" s="12"/>
      <c r="E11" s="13"/>
      <c r="F11" s="11" t="s">
        <v>8</v>
      </c>
      <c r="G11" s="12"/>
      <c r="H11" s="13"/>
    </row>
    <row r="12" spans="1:8" ht="15.75" thickBot="1" x14ac:dyDescent="0.3">
      <c r="A12" s="332"/>
      <c r="B12" s="332"/>
      <c r="C12" s="14" t="s">
        <v>9</v>
      </c>
      <c r="D12" s="14" t="s">
        <v>10</v>
      </c>
      <c r="E12" s="14" t="s">
        <v>11</v>
      </c>
      <c r="F12" s="14" t="s">
        <v>9</v>
      </c>
      <c r="G12" s="14" t="s">
        <v>10</v>
      </c>
      <c r="H12" s="70" t="s">
        <v>12</v>
      </c>
    </row>
    <row r="13" spans="1:8" ht="15.75" thickBot="1" x14ac:dyDescent="0.3">
      <c r="A13" s="66">
        <v>294960</v>
      </c>
      <c r="B13" s="71">
        <v>41</v>
      </c>
      <c r="C13" s="71">
        <v>800</v>
      </c>
      <c r="D13" s="72">
        <v>37100</v>
      </c>
      <c r="E13" s="72">
        <v>7194.1463414634145</v>
      </c>
      <c r="F13" s="73">
        <v>5.4</v>
      </c>
      <c r="G13" s="74">
        <v>6.2</v>
      </c>
      <c r="H13" s="75">
        <v>6.1159706400867915</v>
      </c>
    </row>
    <row r="14" spans="1:8" ht="4.5" customHeight="1" x14ac:dyDescent="0.25">
      <c r="A14" s="61"/>
      <c r="B14" s="61"/>
      <c r="C14" s="61"/>
      <c r="D14" s="61"/>
      <c r="E14" s="61"/>
      <c r="F14" s="61"/>
      <c r="G14" s="61"/>
      <c r="H14" s="61"/>
    </row>
    <row r="15" spans="1:8" ht="18" customHeight="1" thickBot="1" x14ac:dyDescent="0.3">
      <c r="A15" s="68" t="s">
        <v>65</v>
      </c>
      <c r="B15" s="34"/>
      <c r="C15" s="34"/>
      <c r="D15" s="34"/>
      <c r="E15" s="34"/>
      <c r="F15" s="62"/>
      <c r="G15" s="62"/>
      <c r="H15" s="62"/>
    </row>
    <row r="16" spans="1:8" ht="15.75" customHeight="1" thickBot="1" x14ac:dyDescent="0.3">
      <c r="A16" s="331" t="s">
        <v>66</v>
      </c>
      <c r="B16" s="331" t="s">
        <v>67</v>
      </c>
      <c r="C16" s="11" t="s">
        <v>15</v>
      </c>
      <c r="D16" s="12"/>
      <c r="E16" s="13"/>
      <c r="F16" s="11" t="s">
        <v>16</v>
      </c>
      <c r="G16" s="12"/>
      <c r="H16" s="13"/>
    </row>
    <row r="17" spans="1:8" ht="15.75" thickBot="1" x14ac:dyDescent="0.3">
      <c r="A17" s="332"/>
      <c r="B17" s="332"/>
      <c r="C17" s="14" t="s">
        <v>9</v>
      </c>
      <c r="D17" s="14" t="s">
        <v>10</v>
      </c>
      <c r="E17" s="14" t="s">
        <v>11</v>
      </c>
      <c r="F17" s="14" t="s">
        <v>9</v>
      </c>
      <c r="G17" s="14" t="s">
        <v>10</v>
      </c>
      <c r="H17" s="14" t="s">
        <v>12</v>
      </c>
    </row>
    <row r="18" spans="1:8" ht="15.75" thickBot="1" x14ac:dyDescent="0.3">
      <c r="A18" s="66">
        <v>269760</v>
      </c>
      <c r="B18" s="71">
        <v>35</v>
      </c>
      <c r="C18" s="71">
        <v>800</v>
      </c>
      <c r="D18" s="72">
        <v>37100</v>
      </c>
      <c r="E18" s="72">
        <v>7707.4285714285716</v>
      </c>
      <c r="F18" s="73">
        <v>5.940000057220459</v>
      </c>
      <c r="G18" s="74">
        <v>6.1999998092651367</v>
      </c>
      <c r="H18" s="75">
        <v>6.1318456113585942</v>
      </c>
    </row>
    <row r="19" spans="1:8" ht="4.5" customHeight="1" x14ac:dyDescent="0.25">
      <c r="A19" s="61"/>
      <c r="B19" s="61"/>
      <c r="C19" s="61"/>
      <c r="D19" s="61"/>
      <c r="E19" s="61"/>
      <c r="F19" s="61"/>
      <c r="G19" s="61"/>
      <c r="H19" s="61"/>
    </row>
    <row r="20" spans="1:8" ht="18" customHeight="1" thickBot="1" x14ac:dyDescent="0.3">
      <c r="A20" s="76" t="s">
        <v>68</v>
      </c>
      <c r="B20" s="34"/>
      <c r="C20" s="34"/>
      <c r="D20" s="34"/>
      <c r="E20" s="34"/>
      <c r="F20" s="62"/>
      <c r="G20" s="62"/>
      <c r="H20" s="62"/>
    </row>
    <row r="21" spans="1:8" ht="30.75" customHeight="1" thickBot="1" x14ac:dyDescent="0.3">
      <c r="A21" s="109" t="s">
        <v>66</v>
      </c>
      <c r="B21" s="109" t="s">
        <v>14</v>
      </c>
      <c r="C21" s="34"/>
      <c r="D21" s="34"/>
      <c r="E21" s="34"/>
      <c r="F21" s="62"/>
      <c r="G21" s="62"/>
      <c r="H21" s="62"/>
    </row>
    <row r="22" spans="1:8" ht="15.75" thickBot="1" x14ac:dyDescent="0.3">
      <c r="A22" s="66">
        <v>269760</v>
      </c>
      <c r="B22" s="77">
        <v>35</v>
      </c>
    </row>
    <row r="23" spans="1:8" ht="4.5" customHeight="1" x14ac:dyDescent="0.25">
      <c r="A23" s="61"/>
      <c r="B23" s="61"/>
      <c r="C23" s="34"/>
      <c r="D23" s="34"/>
      <c r="E23" s="34"/>
      <c r="F23" s="62"/>
      <c r="G23" s="62"/>
      <c r="H23" s="62"/>
    </row>
    <row r="24" spans="1:8" ht="18" customHeight="1" thickBot="1" x14ac:dyDescent="0.3">
      <c r="A24" s="68" t="s">
        <v>69</v>
      </c>
      <c r="B24" s="34"/>
      <c r="C24" s="34"/>
      <c r="D24" s="34"/>
      <c r="E24" s="34"/>
      <c r="F24" s="62"/>
      <c r="G24" s="62"/>
      <c r="H24" s="62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66">
        <v>25200</v>
      </c>
      <c r="B27" s="77">
        <v>6</v>
      </c>
    </row>
    <row r="29" spans="1:8" ht="15.75" x14ac:dyDescent="0.25">
      <c r="A29" s="78" t="s">
        <v>100</v>
      </c>
    </row>
    <row r="32" spans="1:8" ht="19.5" thickBot="1" x14ac:dyDescent="0.35">
      <c r="A32" s="79" t="s">
        <v>73</v>
      </c>
    </row>
    <row r="33" spans="1:8" ht="15.75" thickBot="1" x14ac:dyDescent="0.3">
      <c r="A33" s="325" t="s">
        <v>23</v>
      </c>
      <c r="B33" s="80" t="s">
        <v>18</v>
      </c>
      <c r="C33" s="81"/>
      <c r="D33" s="82"/>
      <c r="E33" s="81" t="s">
        <v>31</v>
      </c>
      <c r="F33" s="81"/>
      <c r="G33" s="82"/>
      <c r="H33" s="16"/>
    </row>
    <row r="34" spans="1:8" ht="30.75" thickBot="1" x14ac:dyDescent="0.3">
      <c r="A34" s="326"/>
      <c r="B34" s="9" t="s">
        <v>63</v>
      </c>
      <c r="C34" s="9" t="s">
        <v>20</v>
      </c>
      <c r="D34" s="9" t="s">
        <v>74</v>
      </c>
      <c r="E34" s="83" t="s">
        <v>75</v>
      </c>
      <c r="F34" s="9" t="s">
        <v>32</v>
      </c>
      <c r="G34" s="9" t="s">
        <v>76</v>
      </c>
      <c r="H34" s="16"/>
    </row>
    <row r="35" spans="1:8" x14ac:dyDescent="0.25">
      <c r="A35" s="84" t="s">
        <v>26</v>
      </c>
      <c r="B35" s="85">
        <v>98160</v>
      </c>
      <c r="C35" s="85">
        <v>26</v>
      </c>
      <c r="D35" s="85">
        <v>3775.3846153846152</v>
      </c>
      <c r="E35" s="85">
        <v>72960</v>
      </c>
      <c r="F35" s="85">
        <v>20</v>
      </c>
      <c r="G35" s="86">
        <v>3648</v>
      </c>
      <c r="H35" s="16"/>
    </row>
    <row r="36" spans="1:8" x14ac:dyDescent="0.25">
      <c r="A36" s="84" t="s">
        <v>27</v>
      </c>
      <c r="B36" s="85">
        <v>92200</v>
      </c>
      <c r="C36" s="85">
        <v>11</v>
      </c>
      <c r="D36" s="85">
        <v>8381.818181818182</v>
      </c>
      <c r="E36" s="85">
        <v>92200</v>
      </c>
      <c r="F36" s="85">
        <v>11</v>
      </c>
      <c r="G36" s="86">
        <v>8381.818181818182</v>
      </c>
      <c r="H36" s="16"/>
    </row>
    <row r="37" spans="1:8" x14ac:dyDescent="0.25">
      <c r="A37" s="84" t="s">
        <v>28</v>
      </c>
      <c r="B37" s="85">
        <v>33900</v>
      </c>
      <c r="C37" s="85">
        <v>2</v>
      </c>
      <c r="D37" s="85">
        <v>16950</v>
      </c>
      <c r="E37" s="85">
        <v>33900</v>
      </c>
      <c r="F37" s="85">
        <v>2</v>
      </c>
      <c r="G37" s="86">
        <v>16950</v>
      </c>
      <c r="H37" s="16"/>
    </row>
    <row r="38" spans="1:8" ht="15.75" thickBot="1" x14ac:dyDescent="0.3">
      <c r="A38" s="84" t="s">
        <v>77</v>
      </c>
      <c r="B38" s="85">
        <v>70700</v>
      </c>
      <c r="C38" s="85">
        <v>2</v>
      </c>
      <c r="D38" s="85">
        <v>35350</v>
      </c>
      <c r="E38" s="85">
        <v>70700</v>
      </c>
      <c r="F38" s="85">
        <v>2</v>
      </c>
      <c r="G38" s="86">
        <v>35350</v>
      </c>
      <c r="H38" s="16"/>
    </row>
    <row r="39" spans="1:8" ht="15.75" thickTop="1" x14ac:dyDescent="0.25">
      <c r="A39" s="87" t="s">
        <v>78</v>
      </c>
      <c r="B39" s="88">
        <v>294960</v>
      </c>
      <c r="C39" s="88">
        <v>41</v>
      </c>
      <c r="D39" s="89"/>
      <c r="E39" s="88">
        <v>269760</v>
      </c>
      <c r="F39" s="88">
        <v>35</v>
      </c>
      <c r="G39" s="90"/>
      <c r="H39" s="16"/>
    </row>
    <row r="40" spans="1:8" x14ac:dyDescent="0.25">
      <c r="A40" s="107"/>
      <c r="B40" s="91"/>
      <c r="C40" s="91"/>
      <c r="E40" s="91"/>
      <c r="F40" s="91"/>
      <c r="G40" s="91"/>
      <c r="H40" s="16"/>
    </row>
    <row r="41" spans="1:8" x14ac:dyDescent="0.25">
      <c r="A41" s="107"/>
      <c r="B41" s="91"/>
      <c r="C41" s="91"/>
      <c r="E41" s="91"/>
      <c r="F41" s="91"/>
      <c r="G41" s="91"/>
      <c r="H41" s="16"/>
    </row>
    <row r="42" spans="1:8" ht="19.5" thickBot="1" x14ac:dyDescent="0.35">
      <c r="A42" s="92" t="s">
        <v>79</v>
      </c>
    </row>
    <row r="43" spans="1:8" ht="15.75" thickBot="1" x14ac:dyDescent="0.3">
      <c r="A43" s="325" t="s">
        <v>80</v>
      </c>
      <c r="B43" s="80" t="s">
        <v>18</v>
      </c>
      <c r="C43" s="81"/>
      <c r="D43" s="82"/>
      <c r="E43" s="81" t="s">
        <v>31</v>
      </c>
      <c r="F43" s="81"/>
      <c r="G43" s="82"/>
    </row>
    <row r="44" spans="1:8" ht="30.75" thickBot="1" x14ac:dyDescent="0.3">
      <c r="A44" s="326"/>
      <c r="B44" s="9" t="s">
        <v>63</v>
      </c>
      <c r="C44" s="9" t="s">
        <v>20</v>
      </c>
      <c r="D44" s="9" t="s">
        <v>74</v>
      </c>
      <c r="E44" s="83" t="s">
        <v>75</v>
      </c>
      <c r="F44" s="9" t="s">
        <v>32</v>
      </c>
      <c r="G44" s="9" t="s">
        <v>76</v>
      </c>
    </row>
    <row r="45" spans="1:8" x14ac:dyDescent="0.25">
      <c r="A45" s="84" t="s">
        <v>40</v>
      </c>
      <c r="B45" s="85">
        <v>3630</v>
      </c>
      <c r="C45" s="85">
        <v>1</v>
      </c>
      <c r="D45" s="85">
        <v>3630</v>
      </c>
      <c r="E45" s="85">
        <v>3630</v>
      </c>
      <c r="F45" s="85">
        <v>1</v>
      </c>
      <c r="G45" s="86">
        <v>3630</v>
      </c>
    </row>
    <row r="46" spans="1:8" x14ac:dyDescent="0.25">
      <c r="A46" s="84" t="s">
        <v>41</v>
      </c>
      <c r="B46" s="85">
        <v>36800</v>
      </c>
      <c r="C46" s="85">
        <v>5</v>
      </c>
      <c r="D46" s="85">
        <v>7360</v>
      </c>
      <c r="E46" s="85">
        <v>36800</v>
      </c>
      <c r="F46" s="85">
        <v>5</v>
      </c>
      <c r="G46" s="86">
        <v>7360</v>
      </c>
    </row>
    <row r="47" spans="1:8" x14ac:dyDescent="0.25">
      <c r="A47" s="84" t="s">
        <v>43</v>
      </c>
      <c r="B47" s="85">
        <v>12800</v>
      </c>
      <c r="C47" s="85">
        <v>2</v>
      </c>
      <c r="D47" s="85">
        <v>6400</v>
      </c>
      <c r="E47" s="85">
        <v>12800</v>
      </c>
      <c r="F47" s="85">
        <v>2</v>
      </c>
      <c r="G47" s="86">
        <v>6400</v>
      </c>
    </row>
    <row r="48" spans="1:8" x14ac:dyDescent="0.25">
      <c r="A48" s="84" t="s">
        <v>44</v>
      </c>
      <c r="B48" s="85">
        <v>66530</v>
      </c>
      <c r="C48" s="85">
        <v>7</v>
      </c>
      <c r="D48" s="85">
        <v>9504.2857142857138</v>
      </c>
      <c r="E48" s="85">
        <v>66530</v>
      </c>
      <c r="F48" s="85">
        <v>7</v>
      </c>
      <c r="G48" s="86">
        <v>9504.2857142857138</v>
      </c>
    </row>
    <row r="49" spans="1:7" x14ac:dyDescent="0.25">
      <c r="A49" s="84" t="s">
        <v>45</v>
      </c>
      <c r="B49" s="85">
        <v>116500</v>
      </c>
      <c r="C49" s="85">
        <v>16</v>
      </c>
      <c r="D49" s="85">
        <v>7281.25</v>
      </c>
      <c r="E49" s="85">
        <v>91300</v>
      </c>
      <c r="F49" s="85">
        <v>10</v>
      </c>
      <c r="G49" s="86">
        <v>9130</v>
      </c>
    </row>
    <row r="50" spans="1:7" x14ac:dyDescent="0.25">
      <c r="A50" s="84" t="s">
        <v>48</v>
      </c>
      <c r="B50" s="85">
        <v>10800</v>
      </c>
      <c r="C50" s="85">
        <v>2</v>
      </c>
      <c r="D50" s="85">
        <v>5400</v>
      </c>
      <c r="E50" s="85">
        <v>10800</v>
      </c>
      <c r="F50" s="85">
        <v>2</v>
      </c>
      <c r="G50" s="86">
        <v>5400</v>
      </c>
    </row>
    <row r="51" spans="1:7" x14ac:dyDescent="0.25">
      <c r="A51" s="84" t="s">
        <v>49</v>
      </c>
      <c r="B51" s="85">
        <v>24600</v>
      </c>
      <c r="C51" s="85">
        <v>3</v>
      </c>
      <c r="D51" s="85">
        <v>8200</v>
      </c>
      <c r="E51" s="85">
        <v>24600</v>
      </c>
      <c r="F51" s="85">
        <v>3</v>
      </c>
      <c r="G51" s="86">
        <v>8200</v>
      </c>
    </row>
    <row r="52" spans="1:7" ht="15.75" thickBot="1" x14ac:dyDescent="0.3">
      <c r="A52" s="84" t="s">
        <v>50</v>
      </c>
      <c r="B52" s="85">
        <v>23300</v>
      </c>
      <c r="C52" s="85">
        <v>5</v>
      </c>
      <c r="D52" s="85">
        <v>4660</v>
      </c>
      <c r="E52" s="85">
        <v>23300</v>
      </c>
      <c r="F52" s="85">
        <v>5</v>
      </c>
      <c r="G52" s="86">
        <v>4660</v>
      </c>
    </row>
    <row r="53" spans="1:7" ht="15.75" thickTop="1" x14ac:dyDescent="0.25">
      <c r="A53" s="87" t="s">
        <v>78</v>
      </c>
      <c r="B53" s="88">
        <v>294960</v>
      </c>
      <c r="C53" s="88">
        <v>41</v>
      </c>
      <c r="D53" s="89"/>
      <c r="E53" s="88">
        <v>269760</v>
      </c>
      <c r="F53" s="88">
        <v>35</v>
      </c>
      <c r="G53" s="90"/>
    </row>
    <row r="54" spans="1:7" x14ac:dyDescent="0.25">
      <c r="B54" s="91"/>
      <c r="C54" s="91"/>
      <c r="D54" s="91"/>
      <c r="E54" s="91"/>
      <c r="F54" s="91"/>
      <c r="G54" s="91"/>
    </row>
    <row r="55" spans="1:7" x14ac:dyDescent="0.25">
      <c r="B55" s="91"/>
      <c r="C55" s="91"/>
      <c r="D55" s="91"/>
      <c r="E55" s="91"/>
      <c r="F55" s="91"/>
      <c r="G55" s="91"/>
    </row>
    <row r="56" spans="1:7" ht="19.5" thickBot="1" x14ac:dyDescent="0.35">
      <c r="A56" s="79" t="s">
        <v>82</v>
      </c>
    </row>
    <row r="57" spans="1:7" ht="15.75" thickBot="1" x14ac:dyDescent="0.3">
      <c r="A57" s="325" t="s">
        <v>83</v>
      </c>
      <c r="B57" s="80" t="s">
        <v>18</v>
      </c>
      <c r="C57" s="81"/>
      <c r="D57" s="82"/>
      <c r="E57" s="81" t="s">
        <v>31</v>
      </c>
      <c r="F57" s="81"/>
      <c r="G57" s="82"/>
    </row>
    <row r="58" spans="1:7" ht="30.75" thickBot="1" x14ac:dyDescent="0.3">
      <c r="A58" s="326"/>
      <c r="B58" s="9" t="s">
        <v>63</v>
      </c>
      <c r="C58" s="9" t="s">
        <v>20</v>
      </c>
      <c r="D58" s="9" t="s">
        <v>74</v>
      </c>
      <c r="E58" s="83" t="s">
        <v>75</v>
      </c>
      <c r="F58" s="9" t="s">
        <v>32</v>
      </c>
      <c r="G58" s="9" t="s">
        <v>76</v>
      </c>
    </row>
    <row r="59" spans="1:7" x14ac:dyDescent="0.25">
      <c r="A59" s="84" t="s">
        <v>24</v>
      </c>
      <c r="B59" s="85">
        <v>11600</v>
      </c>
      <c r="C59" s="85">
        <v>2</v>
      </c>
      <c r="D59" s="85">
        <v>5800</v>
      </c>
      <c r="E59" s="85">
        <v>11600</v>
      </c>
      <c r="F59" s="85">
        <v>2</v>
      </c>
      <c r="G59" s="86">
        <v>5800</v>
      </c>
    </row>
    <row r="60" spans="1:7" ht="15.75" thickBot="1" x14ac:dyDescent="0.3">
      <c r="A60" s="93" t="s">
        <v>84</v>
      </c>
      <c r="B60" s="85">
        <v>283360</v>
      </c>
      <c r="C60" s="85">
        <v>39</v>
      </c>
      <c r="D60" s="85">
        <v>7265.6410256410254</v>
      </c>
      <c r="E60" s="85">
        <v>258160</v>
      </c>
      <c r="F60" s="85">
        <v>33</v>
      </c>
      <c r="G60" s="86">
        <v>7823.030303030303</v>
      </c>
    </row>
    <row r="61" spans="1:7" ht="15.75" thickTop="1" x14ac:dyDescent="0.25">
      <c r="A61" s="94" t="s">
        <v>78</v>
      </c>
      <c r="B61" s="88">
        <v>294960</v>
      </c>
      <c r="C61" s="88">
        <v>41</v>
      </c>
      <c r="D61" s="89"/>
      <c r="E61" s="88">
        <v>269760</v>
      </c>
      <c r="F61" s="88">
        <v>35</v>
      </c>
      <c r="G61" s="90"/>
    </row>
    <row r="62" spans="1:7" x14ac:dyDescent="0.25">
      <c r="B62" s="91"/>
      <c r="C62" s="91"/>
      <c r="E62" s="91"/>
      <c r="F62" s="91"/>
    </row>
    <row r="63" spans="1:7" x14ac:dyDescent="0.25">
      <c r="A63" s="107"/>
      <c r="B63" s="91"/>
      <c r="C63" s="91"/>
      <c r="D63" s="91"/>
      <c r="E63" s="91"/>
      <c r="F63" s="91"/>
      <c r="G63" s="91"/>
    </row>
    <row r="64" spans="1:7" ht="19.5" thickBot="1" x14ac:dyDescent="0.35">
      <c r="A64" s="79" t="s">
        <v>85</v>
      </c>
    </row>
    <row r="65" spans="1:7" ht="15.75" thickBot="1" x14ac:dyDescent="0.3">
      <c r="A65" s="325" t="s">
        <v>86</v>
      </c>
      <c r="B65" s="80" t="s">
        <v>18</v>
      </c>
      <c r="C65" s="81"/>
      <c r="D65" s="82"/>
      <c r="E65" s="81" t="s">
        <v>31</v>
      </c>
      <c r="F65" s="81"/>
      <c r="G65" s="82"/>
    </row>
    <row r="66" spans="1:7" ht="30.75" thickBot="1" x14ac:dyDescent="0.3">
      <c r="A66" s="338"/>
      <c r="B66" s="9" t="s">
        <v>63</v>
      </c>
      <c r="C66" s="9" t="s">
        <v>20</v>
      </c>
      <c r="D66" s="9" t="s">
        <v>74</v>
      </c>
      <c r="E66" s="83" t="s">
        <v>75</v>
      </c>
      <c r="F66" s="9" t="s">
        <v>32</v>
      </c>
      <c r="G66" s="9" t="s">
        <v>76</v>
      </c>
    </row>
    <row r="67" spans="1:7" x14ac:dyDescent="0.25">
      <c r="A67" s="84" t="s">
        <v>87</v>
      </c>
      <c r="B67" s="85">
        <v>16200</v>
      </c>
      <c r="C67" s="85">
        <v>2</v>
      </c>
      <c r="D67" s="85">
        <v>8100</v>
      </c>
      <c r="E67" s="85">
        <v>16200</v>
      </c>
      <c r="F67" s="85">
        <v>2</v>
      </c>
      <c r="G67" s="86">
        <v>8100</v>
      </c>
    </row>
    <row r="68" spans="1:7" x14ac:dyDescent="0.25">
      <c r="A68" s="93" t="s">
        <v>91</v>
      </c>
      <c r="B68" s="85">
        <v>64000</v>
      </c>
      <c r="C68" s="85">
        <v>12</v>
      </c>
      <c r="D68" s="85">
        <v>5333.333333333333</v>
      </c>
      <c r="E68" s="85">
        <v>64000</v>
      </c>
      <c r="F68" s="85">
        <v>12</v>
      </c>
      <c r="G68" s="86">
        <v>5333.333333333333</v>
      </c>
    </row>
    <row r="69" spans="1:7" x14ac:dyDescent="0.25">
      <c r="A69" s="93" t="s">
        <v>92</v>
      </c>
      <c r="B69" s="85">
        <v>206760</v>
      </c>
      <c r="C69" s="85">
        <v>26</v>
      </c>
      <c r="D69" s="85">
        <v>7952.3076923076924</v>
      </c>
      <c r="E69" s="85">
        <v>181560</v>
      </c>
      <c r="F69" s="85">
        <v>20</v>
      </c>
      <c r="G69" s="86">
        <v>9078</v>
      </c>
    </row>
    <row r="70" spans="1:7" ht="15.75" thickBot="1" x14ac:dyDescent="0.3">
      <c r="A70" s="93" t="s">
        <v>94</v>
      </c>
      <c r="B70" s="95">
        <v>8000</v>
      </c>
      <c r="C70" s="95">
        <v>1</v>
      </c>
      <c r="D70" s="85">
        <v>8000</v>
      </c>
      <c r="E70" s="95">
        <v>8000</v>
      </c>
      <c r="F70" s="95">
        <v>1</v>
      </c>
      <c r="G70" s="96">
        <v>8000</v>
      </c>
    </row>
    <row r="71" spans="1:7" ht="15.75" thickTop="1" x14ac:dyDescent="0.25">
      <c r="A71" s="94" t="s">
        <v>78</v>
      </c>
      <c r="B71" s="88">
        <v>294960</v>
      </c>
      <c r="C71" s="88">
        <v>41</v>
      </c>
      <c r="D71" s="89"/>
      <c r="E71" s="88">
        <v>269760</v>
      </c>
      <c r="F71" s="88">
        <v>35</v>
      </c>
      <c r="G71" s="90"/>
    </row>
    <row r="72" spans="1:7" x14ac:dyDescent="0.25">
      <c r="B72" s="91"/>
      <c r="C72" s="91"/>
      <c r="D72" s="91"/>
      <c r="E72" s="91"/>
      <c r="F72" s="91"/>
      <c r="G72" s="91"/>
    </row>
    <row r="73" spans="1:7" x14ac:dyDescent="0.25">
      <c r="B73" s="91"/>
      <c r="C73" s="91"/>
      <c r="D73" s="91"/>
      <c r="E73" s="91"/>
      <c r="F73" s="91"/>
      <c r="G73" s="91"/>
    </row>
    <row r="74" spans="1:7" ht="19.5" thickBot="1" x14ac:dyDescent="0.35">
      <c r="A74" s="92" t="s">
        <v>95</v>
      </c>
    </row>
    <row r="75" spans="1:7" ht="15.75" thickBot="1" x14ac:dyDescent="0.3">
      <c r="A75" s="325" t="s">
        <v>80</v>
      </c>
      <c r="B75" s="80" t="s">
        <v>18</v>
      </c>
      <c r="C75" s="81"/>
      <c r="D75" s="82"/>
      <c r="E75" s="81" t="s">
        <v>31</v>
      </c>
      <c r="F75" s="81"/>
      <c r="G75" s="82"/>
    </row>
    <row r="76" spans="1:7" ht="30.75" thickBot="1" x14ac:dyDescent="0.3">
      <c r="A76" s="326"/>
      <c r="B76" s="9" t="s">
        <v>63</v>
      </c>
      <c r="C76" s="9" t="s">
        <v>20</v>
      </c>
      <c r="D76" s="9" t="s">
        <v>74</v>
      </c>
      <c r="E76" s="83" t="s">
        <v>75</v>
      </c>
      <c r="F76" s="9" t="s">
        <v>32</v>
      </c>
      <c r="G76" s="9" t="s">
        <v>76</v>
      </c>
    </row>
    <row r="77" spans="1:7" x14ac:dyDescent="0.25">
      <c r="A77" s="84" t="s">
        <v>43</v>
      </c>
      <c r="B77" s="85">
        <v>12800</v>
      </c>
      <c r="C77" s="85">
        <v>2</v>
      </c>
      <c r="D77" s="85">
        <v>6400</v>
      </c>
      <c r="E77" s="85">
        <v>12800</v>
      </c>
      <c r="F77" s="85">
        <v>2</v>
      </c>
      <c r="G77" s="86">
        <v>6400</v>
      </c>
    </row>
    <row r="78" spans="1:7" x14ac:dyDescent="0.25">
      <c r="A78" s="93" t="s">
        <v>44</v>
      </c>
      <c r="B78" s="85">
        <v>29430</v>
      </c>
      <c r="C78" s="85">
        <v>6</v>
      </c>
      <c r="D78" s="85">
        <v>4905</v>
      </c>
      <c r="E78" s="85">
        <v>29430</v>
      </c>
      <c r="F78" s="85">
        <v>6</v>
      </c>
      <c r="G78" s="86">
        <v>4905</v>
      </c>
    </row>
    <row r="79" spans="1:7" ht="15.75" thickBot="1" x14ac:dyDescent="0.3">
      <c r="A79" s="93" t="s">
        <v>49</v>
      </c>
      <c r="B79" s="85">
        <v>24600</v>
      </c>
      <c r="C79" s="85">
        <v>3</v>
      </c>
      <c r="D79" s="85">
        <v>8200</v>
      </c>
      <c r="E79" s="85">
        <v>24600</v>
      </c>
      <c r="F79" s="85">
        <v>3</v>
      </c>
      <c r="G79" s="86">
        <v>8200</v>
      </c>
    </row>
    <row r="80" spans="1:7" ht="15.75" thickTop="1" x14ac:dyDescent="0.25">
      <c r="A80" s="94" t="s">
        <v>78</v>
      </c>
      <c r="B80" s="88">
        <v>66830</v>
      </c>
      <c r="C80" s="88">
        <v>11</v>
      </c>
      <c r="D80" s="89"/>
      <c r="E80" s="88">
        <v>66830</v>
      </c>
      <c r="F80" s="88">
        <v>11</v>
      </c>
      <c r="G80" s="90"/>
    </row>
    <row r="81" spans="2:7" x14ac:dyDescent="0.25">
      <c r="B81" s="91"/>
      <c r="C81" s="91"/>
      <c r="D81" s="91"/>
      <c r="E81" s="91"/>
      <c r="F81" s="91"/>
      <c r="G81" s="91"/>
    </row>
  </sheetData>
  <protectedRanges>
    <protectedRange sqref="B3" name="Bereich1"/>
  </protectedRanges>
  <mergeCells count="12">
    <mergeCell ref="A33:A34"/>
    <mergeCell ref="A43:A44"/>
    <mergeCell ref="A57:A58"/>
    <mergeCell ref="A65:A66"/>
    <mergeCell ref="A75:A76"/>
    <mergeCell ref="A25:A26"/>
    <mergeCell ref="B25:B26"/>
    <mergeCell ref="A1:F1"/>
    <mergeCell ref="A11:A12"/>
    <mergeCell ref="B11:B12"/>
    <mergeCell ref="A16:A17"/>
    <mergeCell ref="B16:B17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0000000}">
          <x14:formula1>
            <xm:f>'C:\Referatslaufwerk\EEG\8175 Ausschreibungen\8175-00 Allgemein\Statistik_Veröffentlichung\[Statistik_Veröffentlichung_Wind.xlsm]Gebotstermine'!#REF!</xm:f>
          </x14:formula1>
          <xm:sqref>I3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9">
    <tabColor rgb="FF0070C0"/>
  </sheetPr>
  <dimension ref="A1:L34"/>
  <sheetViews>
    <sheetView showGridLines="0" topLeftCell="A10" zoomScale="85" zoomScaleNormal="85" workbookViewId="0">
      <selection activeCell="A2" sqref="A2:XFD2"/>
    </sheetView>
  </sheetViews>
  <sheetFormatPr defaultColWidth="11.42578125" defaultRowHeight="15" x14ac:dyDescent="0.25"/>
  <cols>
    <col min="1" max="1" width="15.28515625" style="180" customWidth="1"/>
    <col min="2" max="11" width="18.28515625" style="180" customWidth="1"/>
    <col min="12" max="16384" width="11.42578125" style="180"/>
  </cols>
  <sheetData>
    <row r="1" spans="1:12" ht="43.5" customHeight="1" x14ac:dyDescent="0.25">
      <c r="A1" s="324" t="s">
        <v>147</v>
      </c>
      <c r="B1" s="324"/>
      <c r="C1" s="324"/>
      <c r="D1" s="324"/>
      <c r="E1" s="324"/>
      <c r="F1" s="324"/>
      <c r="G1" s="324"/>
      <c r="H1" s="324"/>
      <c r="I1" s="324"/>
      <c r="J1" s="218"/>
      <c r="L1" s="222" t="s">
        <v>130</v>
      </c>
    </row>
    <row r="2" spans="1:12" s="221" customFormat="1" ht="15" customHeight="1" x14ac:dyDescent="0.25">
      <c r="A2" s="223" t="s">
        <v>131</v>
      </c>
      <c r="B2" s="219"/>
      <c r="C2" s="219"/>
      <c r="D2" s="219"/>
      <c r="E2" s="219"/>
      <c r="F2" s="219"/>
      <c r="H2" s="224"/>
      <c r="J2" s="225"/>
    </row>
    <row r="3" spans="1:12" x14ac:dyDescent="0.25">
      <c r="A3" s="226"/>
    </row>
    <row r="4" spans="1:12" x14ac:dyDescent="0.25">
      <c r="A4" s="226"/>
    </row>
    <row r="5" spans="1:12" ht="15.75" thickBot="1" x14ac:dyDescent="0.3"/>
    <row r="6" spans="1:12" ht="15.75" thickBot="1" x14ac:dyDescent="0.3">
      <c r="A6" s="325" t="s">
        <v>121</v>
      </c>
      <c r="B6" s="327" t="s">
        <v>18</v>
      </c>
      <c r="C6" s="328"/>
      <c r="D6" s="328"/>
      <c r="E6" s="328"/>
      <c r="F6" s="329"/>
      <c r="G6" s="327" t="s">
        <v>148</v>
      </c>
      <c r="H6" s="328"/>
      <c r="I6" s="328"/>
      <c r="J6" s="328"/>
      <c r="K6" s="329"/>
    </row>
    <row r="7" spans="1:12" ht="30.75" customHeight="1" thickBot="1" x14ac:dyDescent="0.3">
      <c r="A7" s="326"/>
      <c r="B7" s="143" t="s">
        <v>149</v>
      </c>
      <c r="C7" s="143" t="s">
        <v>150</v>
      </c>
      <c r="D7" s="254" t="s">
        <v>27</v>
      </c>
      <c r="E7" s="254" t="s">
        <v>28</v>
      </c>
      <c r="F7" s="143" t="s">
        <v>29</v>
      </c>
      <c r="G7" s="143" t="s">
        <v>149</v>
      </c>
      <c r="H7" s="143" t="s">
        <v>150</v>
      </c>
      <c r="I7" s="254" t="s">
        <v>27</v>
      </c>
      <c r="J7" s="254" t="s">
        <v>28</v>
      </c>
      <c r="K7" s="143" t="s">
        <v>29</v>
      </c>
    </row>
    <row r="8" spans="1:12" x14ac:dyDescent="0.25">
      <c r="A8" s="255">
        <v>42856</v>
      </c>
      <c r="B8" s="241"/>
      <c r="C8" s="241">
        <v>391480</v>
      </c>
      <c r="D8" s="241">
        <v>583070</v>
      </c>
      <c r="E8" s="241">
        <v>1032530</v>
      </c>
      <c r="F8" s="241">
        <v>129650</v>
      </c>
      <c r="G8" s="241"/>
      <c r="H8" s="241">
        <v>53550</v>
      </c>
      <c r="I8" s="241">
        <v>159630</v>
      </c>
      <c r="J8" s="241">
        <v>571080</v>
      </c>
      <c r="K8" s="256">
        <v>22400</v>
      </c>
    </row>
    <row r="9" spans="1:12" x14ac:dyDescent="0.25">
      <c r="A9" s="255">
        <v>42948</v>
      </c>
      <c r="B9" s="241"/>
      <c r="C9" s="241">
        <v>345220</v>
      </c>
      <c r="D9" s="241">
        <v>505510</v>
      </c>
      <c r="E9" s="241">
        <v>1922710</v>
      </c>
      <c r="F9" s="241">
        <v>153500</v>
      </c>
      <c r="G9" s="241"/>
      <c r="H9" s="241">
        <v>26780</v>
      </c>
      <c r="I9" s="241">
        <v>85650</v>
      </c>
      <c r="J9" s="241">
        <v>886660</v>
      </c>
      <c r="K9" s="256">
        <v>21600</v>
      </c>
    </row>
    <row r="10" spans="1:12" x14ac:dyDescent="0.25">
      <c r="A10" s="255">
        <v>43040</v>
      </c>
      <c r="B10" s="241"/>
      <c r="C10" s="241">
        <v>187510</v>
      </c>
      <c r="D10" s="241">
        <v>339735</v>
      </c>
      <c r="E10" s="241">
        <v>1996000</v>
      </c>
      <c r="F10" s="241">
        <v>67600</v>
      </c>
      <c r="G10" s="241"/>
      <c r="H10" s="241">
        <v>9000</v>
      </c>
      <c r="I10" s="241">
        <v>43725</v>
      </c>
      <c r="J10" s="241">
        <v>958150</v>
      </c>
      <c r="K10" s="256">
        <v>0</v>
      </c>
    </row>
    <row r="11" spans="1:12" x14ac:dyDescent="0.25">
      <c r="A11" s="255">
        <v>43132</v>
      </c>
      <c r="B11" s="241"/>
      <c r="C11" s="241">
        <v>254180</v>
      </c>
      <c r="D11" s="241">
        <v>223840</v>
      </c>
      <c r="E11" s="241">
        <v>335106</v>
      </c>
      <c r="F11" s="241">
        <v>176180</v>
      </c>
      <c r="G11" s="241"/>
      <c r="H11" s="241">
        <v>121930</v>
      </c>
      <c r="I11" s="241">
        <v>169640</v>
      </c>
      <c r="J11" s="241">
        <v>262956</v>
      </c>
      <c r="K11" s="256">
        <v>154400</v>
      </c>
    </row>
    <row r="12" spans="1:12" x14ac:dyDescent="0.25">
      <c r="A12" s="255">
        <v>43221</v>
      </c>
      <c r="B12" s="241"/>
      <c r="C12" s="241">
        <v>273750</v>
      </c>
      <c r="D12" s="241">
        <v>138860</v>
      </c>
      <c r="E12" s="241">
        <v>130250</v>
      </c>
      <c r="F12" s="241">
        <v>61280</v>
      </c>
      <c r="G12" s="241"/>
      <c r="H12" s="241">
        <v>273750</v>
      </c>
      <c r="I12" s="241">
        <v>138860</v>
      </c>
      <c r="J12" s="241">
        <v>130250</v>
      </c>
      <c r="K12" s="256">
        <v>61280</v>
      </c>
    </row>
    <row r="13" spans="1:12" x14ac:dyDescent="0.25">
      <c r="A13" s="255">
        <v>43313</v>
      </c>
      <c r="B13" s="241"/>
      <c r="C13" s="241">
        <v>188600</v>
      </c>
      <c r="D13" s="241">
        <v>147900</v>
      </c>
      <c r="E13" s="241">
        <v>156600</v>
      </c>
      <c r="F13" s="241">
        <v>215500</v>
      </c>
      <c r="G13" s="241"/>
      <c r="H13" s="241">
        <v>182650</v>
      </c>
      <c r="I13" s="241">
        <v>130500</v>
      </c>
      <c r="J13" s="241">
        <v>156600</v>
      </c>
      <c r="K13" s="256">
        <v>196700</v>
      </c>
    </row>
    <row r="14" spans="1:12" x14ac:dyDescent="0.25">
      <c r="A14" s="255">
        <v>43374</v>
      </c>
      <c r="B14" s="241">
        <v>0</v>
      </c>
      <c r="C14" s="241">
        <v>130360</v>
      </c>
      <c r="D14" s="241">
        <v>171090</v>
      </c>
      <c r="E14" s="241">
        <v>42900</v>
      </c>
      <c r="F14" s="241">
        <v>44000</v>
      </c>
      <c r="G14" s="241">
        <v>0</v>
      </c>
      <c r="H14" s="241">
        <v>122010</v>
      </c>
      <c r="I14" s="241">
        <v>154290</v>
      </c>
      <c r="J14" s="241">
        <v>42900</v>
      </c>
      <c r="K14" s="256">
        <v>44000</v>
      </c>
    </row>
    <row r="15" spans="1:12" x14ac:dyDescent="0.25">
      <c r="A15" s="255">
        <v>43497</v>
      </c>
      <c r="B15" s="241"/>
      <c r="C15" s="241">
        <v>142460</v>
      </c>
      <c r="D15" s="241">
        <v>170210</v>
      </c>
      <c r="E15" s="241">
        <v>117420</v>
      </c>
      <c r="F15" s="241">
        <v>69300</v>
      </c>
      <c r="G15" s="241"/>
      <c r="H15" s="241">
        <v>134830</v>
      </c>
      <c r="I15" s="241">
        <v>154750</v>
      </c>
      <c r="J15" s="241">
        <v>117420</v>
      </c>
      <c r="K15" s="256">
        <v>69300</v>
      </c>
    </row>
    <row r="16" spans="1:12" x14ac:dyDescent="0.25">
      <c r="A16" s="255">
        <v>43586</v>
      </c>
      <c r="B16" s="241"/>
      <c r="C16" s="241">
        <v>98160</v>
      </c>
      <c r="D16" s="241">
        <v>92200</v>
      </c>
      <c r="E16" s="241">
        <v>33900</v>
      </c>
      <c r="F16" s="241">
        <v>70700</v>
      </c>
      <c r="G16" s="241"/>
      <c r="H16" s="241">
        <v>72960</v>
      </c>
      <c r="I16" s="241">
        <v>92200</v>
      </c>
      <c r="J16" s="241">
        <v>33900</v>
      </c>
      <c r="K16" s="256">
        <v>70700</v>
      </c>
    </row>
    <row r="17" spans="1:11" x14ac:dyDescent="0.25">
      <c r="A17" s="255">
        <v>43678</v>
      </c>
      <c r="B17" s="241"/>
      <c r="C17" s="241">
        <v>103650</v>
      </c>
      <c r="D17" s="241">
        <v>23100</v>
      </c>
      <c r="E17" s="241">
        <v>60450</v>
      </c>
      <c r="F17" s="241">
        <v>52050</v>
      </c>
      <c r="G17" s="241"/>
      <c r="H17" s="241">
        <v>103650</v>
      </c>
      <c r="I17" s="241">
        <v>23100</v>
      </c>
      <c r="J17" s="241">
        <v>60450</v>
      </c>
      <c r="K17" s="256">
        <v>21000</v>
      </c>
    </row>
    <row r="18" spans="1:11" x14ac:dyDescent="0.25">
      <c r="A18" s="255">
        <v>43710</v>
      </c>
      <c r="B18" s="241"/>
      <c r="C18" s="241">
        <v>53760</v>
      </c>
      <c r="D18" s="241">
        <v>25400</v>
      </c>
      <c r="E18" s="241">
        <v>40700</v>
      </c>
      <c r="F18" s="241">
        <v>67950</v>
      </c>
      <c r="G18" s="241"/>
      <c r="H18" s="241">
        <v>53760</v>
      </c>
      <c r="I18" s="241">
        <v>17000</v>
      </c>
      <c r="J18" s="241">
        <v>40700</v>
      </c>
      <c r="K18" s="256">
        <v>67950</v>
      </c>
    </row>
    <row r="19" spans="1:11" x14ac:dyDescent="0.25">
      <c r="A19" s="255">
        <v>43739</v>
      </c>
      <c r="B19" s="241"/>
      <c r="C19" s="241">
        <v>63350</v>
      </c>
      <c r="D19" s="241">
        <v>47400</v>
      </c>
      <c r="E19" s="241">
        <v>48820</v>
      </c>
      <c r="F19" s="241">
        <v>44500</v>
      </c>
      <c r="G19" s="241"/>
      <c r="H19" s="241">
        <v>63350</v>
      </c>
      <c r="I19" s="241">
        <v>47400</v>
      </c>
      <c r="J19" s="241">
        <v>48820</v>
      </c>
      <c r="K19" s="256">
        <v>44500</v>
      </c>
    </row>
    <row r="20" spans="1:11" x14ac:dyDescent="0.25">
      <c r="A20" s="255">
        <v>43800</v>
      </c>
      <c r="B20" s="241"/>
      <c r="C20" s="241">
        <v>161130</v>
      </c>
      <c r="D20" s="241">
        <v>206360</v>
      </c>
      <c r="E20" s="241">
        <v>79800</v>
      </c>
      <c r="F20" s="241">
        <v>238550</v>
      </c>
      <c r="G20" s="241"/>
      <c r="H20" s="241">
        <v>118430</v>
      </c>
      <c r="I20" s="241">
        <v>173060</v>
      </c>
      <c r="J20" s="241">
        <v>63000</v>
      </c>
      <c r="K20" s="256">
        <v>154550</v>
      </c>
    </row>
    <row r="21" spans="1:11" x14ac:dyDescent="0.25">
      <c r="A21" s="255">
        <v>43862</v>
      </c>
      <c r="B21" s="241"/>
      <c r="C21" s="241">
        <v>183050</v>
      </c>
      <c r="D21" s="241">
        <v>82800</v>
      </c>
      <c r="E21" s="241">
        <v>76800</v>
      </c>
      <c r="F21" s="241">
        <v>183900</v>
      </c>
      <c r="G21" s="241"/>
      <c r="H21" s="241">
        <v>179550</v>
      </c>
      <c r="I21" s="241">
        <v>82800</v>
      </c>
      <c r="J21" s="241">
        <v>76800</v>
      </c>
      <c r="K21" s="256">
        <v>183900</v>
      </c>
    </row>
    <row r="22" spans="1:11" x14ac:dyDescent="0.25">
      <c r="A22" s="255">
        <v>43891</v>
      </c>
      <c r="B22" s="241"/>
      <c r="C22" s="241">
        <v>66000</v>
      </c>
      <c r="D22" s="241">
        <v>34700</v>
      </c>
      <c r="E22" s="241">
        <v>45300</v>
      </c>
      <c r="F22" s="241">
        <v>47800</v>
      </c>
      <c r="G22" s="241"/>
      <c r="H22" s="241">
        <v>53400</v>
      </c>
      <c r="I22" s="241">
        <v>34700</v>
      </c>
      <c r="J22" s="241">
        <v>15000</v>
      </c>
      <c r="K22" s="256">
        <v>47800</v>
      </c>
    </row>
    <row r="23" spans="1:11" x14ac:dyDescent="0.25">
      <c r="A23" s="255">
        <v>43983</v>
      </c>
      <c r="B23" s="241"/>
      <c r="C23" s="241">
        <v>142950</v>
      </c>
      <c r="D23" s="241">
        <v>108900</v>
      </c>
      <c r="E23" s="241">
        <v>177040</v>
      </c>
      <c r="F23" s="241">
        <v>38700</v>
      </c>
      <c r="G23" s="241"/>
      <c r="H23" s="241">
        <v>139350</v>
      </c>
      <c r="I23" s="241">
        <v>108900</v>
      </c>
      <c r="J23" s="241">
        <v>177040</v>
      </c>
      <c r="K23" s="256">
        <v>38700</v>
      </c>
    </row>
    <row r="24" spans="1:11" x14ac:dyDescent="0.25">
      <c r="A24" s="255">
        <v>44013</v>
      </c>
      <c r="B24" s="241"/>
      <c r="C24" s="241">
        <v>79650</v>
      </c>
      <c r="D24" s="241">
        <v>41300</v>
      </c>
      <c r="E24" s="241">
        <v>16800</v>
      </c>
      <c r="F24" s="241">
        <v>53300</v>
      </c>
      <c r="G24" s="241"/>
      <c r="H24" s="241">
        <v>79650</v>
      </c>
      <c r="I24" s="241">
        <v>41300</v>
      </c>
      <c r="J24" s="241">
        <v>16800</v>
      </c>
      <c r="K24" s="256">
        <v>53300</v>
      </c>
    </row>
    <row r="25" spans="1:11" x14ac:dyDescent="0.25">
      <c r="A25" s="255">
        <v>44075</v>
      </c>
      <c r="B25" s="241"/>
      <c r="C25" s="241">
        <v>56450</v>
      </c>
      <c r="D25" s="241">
        <v>73200</v>
      </c>
      <c r="E25" s="241"/>
      <c r="F25" s="241">
        <v>180800</v>
      </c>
      <c r="G25" s="241"/>
      <c r="H25" s="241">
        <v>54100</v>
      </c>
      <c r="I25" s="241">
        <v>50000</v>
      </c>
      <c r="J25" s="241"/>
      <c r="K25" s="256">
        <v>180800</v>
      </c>
    </row>
    <row r="26" spans="1:11" x14ac:dyDescent="0.25">
      <c r="A26" s="255">
        <v>44105</v>
      </c>
      <c r="B26" s="241"/>
      <c r="C26" s="241">
        <v>279700</v>
      </c>
      <c r="D26" s="241">
        <v>111350</v>
      </c>
      <c r="E26" s="241">
        <v>167400</v>
      </c>
      <c r="F26" s="241">
        <v>210500</v>
      </c>
      <c r="G26" s="241"/>
      <c r="H26" s="241">
        <v>221600</v>
      </c>
      <c r="I26" s="241">
        <v>102950</v>
      </c>
      <c r="J26" s="241">
        <v>153000</v>
      </c>
      <c r="K26" s="256">
        <v>181100</v>
      </c>
    </row>
    <row r="27" spans="1:11" x14ac:dyDescent="0.25">
      <c r="A27" s="255">
        <v>44166</v>
      </c>
      <c r="B27" s="241"/>
      <c r="C27" s="241">
        <v>294800</v>
      </c>
      <c r="D27" s="241">
        <v>139400</v>
      </c>
      <c r="E27" s="241">
        <v>55100</v>
      </c>
      <c r="F27" s="241">
        <v>167800</v>
      </c>
      <c r="G27" s="241"/>
      <c r="H27" s="241">
        <v>172600</v>
      </c>
      <c r="I27" s="241">
        <v>77700</v>
      </c>
      <c r="J27" s="241">
        <v>42500</v>
      </c>
      <c r="K27" s="256">
        <v>106900</v>
      </c>
    </row>
    <row r="28" spans="1:11" x14ac:dyDescent="0.25">
      <c r="A28" s="255">
        <v>44228</v>
      </c>
      <c r="B28" s="241">
        <v>700</v>
      </c>
      <c r="C28" s="241">
        <v>275850</v>
      </c>
      <c r="D28" s="241">
        <v>96200</v>
      </c>
      <c r="E28" s="241">
        <v>96750</v>
      </c>
      <c r="F28" s="241">
        <v>249300</v>
      </c>
      <c r="G28" s="241">
        <v>700</v>
      </c>
      <c r="H28" s="241">
        <v>273500</v>
      </c>
      <c r="I28" s="241">
        <v>96200</v>
      </c>
      <c r="J28" s="241">
        <v>96750</v>
      </c>
      <c r="K28" s="256">
        <v>224300</v>
      </c>
    </row>
    <row r="29" spans="1:11" x14ac:dyDescent="0.25">
      <c r="A29" s="255">
        <v>44317</v>
      </c>
      <c r="B29" s="241">
        <v>2250</v>
      </c>
      <c r="C29" s="241">
        <v>415140</v>
      </c>
      <c r="D29" s="241">
        <v>208050</v>
      </c>
      <c r="E29" s="241">
        <v>170400</v>
      </c>
      <c r="F29" s="241">
        <v>365550</v>
      </c>
      <c r="G29" s="241">
        <v>0</v>
      </c>
      <c r="H29" s="241">
        <v>401040</v>
      </c>
      <c r="I29" s="241">
        <v>173400</v>
      </c>
      <c r="J29" s="241">
        <v>170400</v>
      </c>
      <c r="K29" s="256">
        <v>365550</v>
      </c>
    </row>
    <row r="30" spans="1:11" x14ac:dyDescent="0.25">
      <c r="A30" s="255">
        <v>44440</v>
      </c>
      <c r="B30" s="241">
        <v>2250</v>
      </c>
      <c r="C30" s="241">
        <v>645890</v>
      </c>
      <c r="D30" s="241">
        <v>324550</v>
      </c>
      <c r="E30" s="241">
        <v>370850</v>
      </c>
      <c r="F30" s="241">
        <v>480300</v>
      </c>
      <c r="G30" s="241">
        <v>2250</v>
      </c>
      <c r="H30" s="241">
        <v>502290</v>
      </c>
      <c r="I30" s="241">
        <v>229150</v>
      </c>
      <c r="J30" s="241">
        <v>314450</v>
      </c>
      <c r="K30" s="256">
        <v>445800</v>
      </c>
    </row>
    <row r="31" spans="1:11" x14ac:dyDescent="0.25">
      <c r="A31" s="246" t="s">
        <v>78</v>
      </c>
      <c r="B31" s="248">
        <f>SUBTOTAL(109,Übersicht_Größenklasse!$B$8:$B$30)</f>
        <v>5200</v>
      </c>
      <c r="C31" s="248">
        <f>SUBTOTAL(109,Übersicht_Größenklasse!$C$8:$C$30)</f>
        <v>4833090</v>
      </c>
      <c r="D31" s="248">
        <f>SUBTOTAL(109,Übersicht_Größenklasse!$D$8:$D$30)</f>
        <v>3895125</v>
      </c>
      <c r="E31" s="248">
        <f>SUBTOTAL(109,Übersicht_Größenklasse!$E$8:$E$30)</f>
        <v>7173626</v>
      </c>
      <c r="F31" s="248">
        <f>SUBTOTAL(109,Übersicht_Größenklasse!$F$8:$F$30)</f>
        <v>3368710</v>
      </c>
      <c r="G31" s="248">
        <f>SUBTOTAL(109,Übersicht_Größenklasse!$G$8:$G$30)</f>
        <v>2950</v>
      </c>
      <c r="H31" s="248">
        <f>SUBTOTAL(109,Übersicht_Größenklasse!$H$8:$H$30)</f>
        <v>3413730</v>
      </c>
      <c r="I31" s="248">
        <f>SUBTOTAL(109,Übersicht_Größenklasse!$I$8:$I$30)</f>
        <v>2386905</v>
      </c>
      <c r="J31" s="248">
        <f>SUBTOTAL(109,Übersicht_Größenklasse!$J$8:$J$30)</f>
        <v>4435626</v>
      </c>
      <c r="K31" s="257">
        <f>SUBTOTAL(109,Übersicht_Größenklasse!$K$8:$K$30)</f>
        <v>2756530</v>
      </c>
    </row>
    <row r="32" spans="1:11" x14ac:dyDescent="0.25">
      <c r="A32" s="258"/>
      <c r="B32" s="259"/>
      <c r="C32" s="258"/>
      <c r="D32" s="258"/>
      <c r="E32" s="258"/>
      <c r="F32" s="258"/>
      <c r="G32" s="258"/>
      <c r="H32" s="258"/>
      <c r="I32" s="258"/>
      <c r="J32" s="258"/>
      <c r="K32" s="260"/>
    </row>
    <row r="33" spans="1:11" x14ac:dyDescent="0.25">
      <c r="A33" s="258"/>
      <c r="B33" s="259"/>
      <c r="C33" s="258"/>
      <c r="D33" s="258"/>
      <c r="E33" s="258"/>
      <c r="F33" s="258"/>
      <c r="G33" s="258"/>
      <c r="H33" s="258"/>
      <c r="I33" s="258"/>
      <c r="J33" s="258"/>
      <c r="K33" s="260"/>
    </row>
    <row r="34" spans="1:11" ht="15.75" x14ac:dyDescent="0.25">
      <c r="A34" s="229" t="s">
        <v>145</v>
      </c>
      <c r="B34" s="207"/>
      <c r="C34" s="182"/>
      <c r="D34" s="208"/>
      <c r="E34" s="182"/>
      <c r="F34" s="182"/>
      <c r="G34" s="208"/>
      <c r="H34" s="208"/>
      <c r="I34" s="208"/>
      <c r="J34" s="208"/>
      <c r="K34" s="208"/>
    </row>
  </sheetData>
  <mergeCells count="4">
    <mergeCell ref="A1:I1"/>
    <mergeCell ref="A6:A7"/>
    <mergeCell ref="B6:F6"/>
    <mergeCell ref="G6:K6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11">
    <tabColor rgb="FF0070C0"/>
  </sheetPr>
  <dimension ref="A1:H87"/>
  <sheetViews>
    <sheetView showGridLines="0" topLeftCell="A61" zoomScaleNormal="100" workbookViewId="0">
      <selection activeCell="I81" sqref="I81"/>
    </sheetView>
  </sheetViews>
  <sheetFormatPr defaultColWidth="9.140625" defaultRowHeight="15" x14ac:dyDescent="0.25"/>
  <cols>
    <col min="1" max="1" width="47.5703125" customWidth="1"/>
    <col min="2" max="43" width="19.28515625" customWidth="1"/>
  </cols>
  <sheetData>
    <row r="1" spans="1:8" s="104" customFormat="1" ht="48" customHeight="1" x14ac:dyDescent="0.25">
      <c r="A1" s="339" t="s">
        <v>64</v>
      </c>
      <c r="B1" s="340"/>
      <c r="C1" s="340"/>
      <c r="D1" s="340"/>
      <c r="E1" s="340"/>
      <c r="F1" s="340"/>
      <c r="H1" s="64" t="s">
        <v>104</v>
      </c>
    </row>
    <row r="2" spans="1:8" s="104" customFormat="1" ht="5.25" customHeight="1" x14ac:dyDescent="0.25">
      <c r="A2" s="1"/>
    </row>
    <row r="3" spans="1:8" x14ac:dyDescent="0.25">
      <c r="A3" s="3" t="s">
        <v>1</v>
      </c>
      <c r="B3" s="4">
        <v>43497</v>
      </c>
      <c r="C3" s="5">
        <v>26</v>
      </c>
    </row>
    <row r="4" spans="1:8" x14ac:dyDescent="0.25">
      <c r="A4" s="6"/>
      <c r="B4" s="7"/>
    </row>
    <row r="6" spans="1:8" ht="19.5" thickBot="1" x14ac:dyDescent="0.35">
      <c r="A6" s="8" t="s">
        <v>2</v>
      </c>
    </row>
    <row r="7" spans="1:8" ht="30.75" customHeight="1" thickBot="1" x14ac:dyDescent="0.3">
      <c r="A7" s="9" t="s">
        <v>3</v>
      </c>
      <c r="B7" s="9" t="s">
        <v>4</v>
      </c>
      <c r="F7" s="16"/>
      <c r="G7" s="65"/>
      <c r="H7" s="65"/>
    </row>
    <row r="8" spans="1:8" ht="15.75" thickBot="1" x14ac:dyDescent="0.3">
      <c r="A8" s="66">
        <v>700000</v>
      </c>
      <c r="B8" s="67">
        <v>6.1999998092651367</v>
      </c>
    </row>
    <row r="9" spans="1:8" ht="15" customHeight="1" x14ac:dyDescent="0.3">
      <c r="A9" s="8"/>
    </row>
    <row r="10" spans="1:8" ht="18" customHeight="1" thickBot="1" x14ac:dyDescent="0.3">
      <c r="A10" s="68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11" t="s">
        <v>7</v>
      </c>
      <c r="D11" s="12"/>
      <c r="E11" s="13"/>
      <c r="F11" s="11" t="s">
        <v>8</v>
      </c>
      <c r="G11" s="12"/>
      <c r="H11" s="13"/>
    </row>
    <row r="12" spans="1:8" ht="15.75" thickBot="1" x14ac:dyDescent="0.3">
      <c r="A12" s="332"/>
      <c r="B12" s="332"/>
      <c r="C12" s="14" t="s">
        <v>9</v>
      </c>
      <c r="D12" s="14" t="s">
        <v>10</v>
      </c>
      <c r="E12" s="14" t="s">
        <v>11</v>
      </c>
      <c r="F12" s="14" t="s">
        <v>9</v>
      </c>
      <c r="G12" s="14" t="s">
        <v>10</v>
      </c>
      <c r="H12" s="70" t="s">
        <v>12</v>
      </c>
    </row>
    <row r="13" spans="1:8" ht="15.75" thickBot="1" x14ac:dyDescent="0.3">
      <c r="A13" s="66">
        <v>499390</v>
      </c>
      <c r="B13" s="71">
        <v>72</v>
      </c>
      <c r="C13" s="71">
        <v>800</v>
      </c>
      <c r="D13" s="72">
        <v>24150</v>
      </c>
      <c r="E13" s="72">
        <v>6935.9722222222226</v>
      </c>
      <c r="F13" s="73">
        <v>5.24</v>
      </c>
      <c r="G13" s="74">
        <v>6.2</v>
      </c>
      <c r="H13" s="75">
        <v>6.041094535333106</v>
      </c>
    </row>
    <row r="14" spans="1:8" ht="4.5" customHeight="1" x14ac:dyDescent="0.25">
      <c r="A14" s="61"/>
      <c r="B14" s="61"/>
      <c r="C14" s="61"/>
      <c r="D14" s="61"/>
      <c r="E14" s="61"/>
      <c r="F14" s="61"/>
      <c r="G14" s="61"/>
      <c r="H14" s="61"/>
    </row>
    <row r="15" spans="1:8" ht="18" customHeight="1" thickBot="1" x14ac:dyDescent="0.3">
      <c r="A15" s="68" t="s">
        <v>65</v>
      </c>
      <c r="B15" s="34"/>
      <c r="C15" s="34"/>
      <c r="D15" s="34"/>
      <c r="E15" s="34"/>
      <c r="F15" s="62"/>
      <c r="G15" s="62"/>
      <c r="H15" s="62"/>
    </row>
    <row r="16" spans="1:8" ht="15.75" customHeight="1" thickBot="1" x14ac:dyDescent="0.3">
      <c r="A16" s="331" t="s">
        <v>66</v>
      </c>
      <c r="B16" s="331" t="s">
        <v>67</v>
      </c>
      <c r="C16" s="11" t="s">
        <v>15</v>
      </c>
      <c r="D16" s="12"/>
      <c r="E16" s="13"/>
      <c r="F16" s="11" t="s">
        <v>16</v>
      </c>
      <c r="G16" s="12"/>
      <c r="H16" s="13"/>
    </row>
    <row r="17" spans="1:8" ht="15.75" thickBot="1" x14ac:dyDescent="0.3">
      <c r="A17" s="332"/>
      <c r="B17" s="332"/>
      <c r="C17" s="14" t="s">
        <v>9</v>
      </c>
      <c r="D17" s="14" t="s">
        <v>10</v>
      </c>
      <c r="E17" s="14" t="s">
        <v>11</v>
      </c>
      <c r="F17" s="14" t="s">
        <v>9</v>
      </c>
      <c r="G17" s="14" t="s">
        <v>10</v>
      </c>
      <c r="H17" s="14" t="s">
        <v>12</v>
      </c>
    </row>
    <row r="18" spans="1:8" ht="15.75" thickBot="1" x14ac:dyDescent="0.3">
      <c r="A18" s="66">
        <v>476300</v>
      </c>
      <c r="B18" s="71">
        <v>67</v>
      </c>
      <c r="C18" s="71">
        <v>2000</v>
      </c>
      <c r="D18" s="72">
        <v>24150</v>
      </c>
      <c r="E18" s="72">
        <v>7108.9552238805973</v>
      </c>
      <c r="F18" s="73">
        <v>5.2399997711181641</v>
      </c>
      <c r="G18" s="74">
        <v>6.1999998092651367</v>
      </c>
      <c r="H18" s="75">
        <v>6.1064958435733754</v>
      </c>
    </row>
    <row r="19" spans="1:8" ht="4.5" customHeight="1" x14ac:dyDescent="0.25">
      <c r="A19" s="61"/>
      <c r="B19" s="61"/>
      <c r="C19" s="61"/>
      <c r="D19" s="61"/>
      <c r="E19" s="61"/>
      <c r="F19" s="61"/>
      <c r="G19" s="61"/>
      <c r="H19" s="61"/>
    </row>
    <row r="20" spans="1:8" ht="18" customHeight="1" thickBot="1" x14ac:dyDescent="0.3">
      <c r="A20" s="76" t="s">
        <v>68</v>
      </c>
      <c r="B20" s="34"/>
      <c r="C20" s="34"/>
      <c r="D20" s="34"/>
      <c r="E20" s="34"/>
      <c r="F20" s="62"/>
      <c r="G20" s="62"/>
      <c r="H20" s="62"/>
    </row>
    <row r="21" spans="1:8" ht="30.75" customHeight="1" thickBot="1" x14ac:dyDescent="0.3">
      <c r="A21" s="106" t="s">
        <v>66</v>
      </c>
      <c r="B21" s="106" t="s">
        <v>14</v>
      </c>
      <c r="C21" s="34"/>
      <c r="D21" s="34"/>
      <c r="E21" s="34"/>
      <c r="F21" s="62"/>
      <c r="G21" s="62"/>
      <c r="H21" s="62"/>
    </row>
    <row r="22" spans="1:8" ht="15.75" thickBot="1" x14ac:dyDescent="0.3">
      <c r="A22" s="66">
        <v>476300</v>
      </c>
      <c r="B22" s="77">
        <v>67</v>
      </c>
    </row>
    <row r="23" spans="1:8" ht="4.5" customHeight="1" x14ac:dyDescent="0.25">
      <c r="A23" s="61"/>
      <c r="B23" s="61"/>
      <c r="C23" s="34"/>
      <c r="D23" s="34"/>
      <c r="E23" s="34"/>
      <c r="F23" s="62"/>
      <c r="G23" s="62"/>
      <c r="H23" s="62"/>
    </row>
    <row r="24" spans="1:8" ht="18" customHeight="1" thickBot="1" x14ac:dyDescent="0.3">
      <c r="A24" s="68" t="s">
        <v>69</v>
      </c>
      <c r="B24" s="34"/>
      <c r="C24" s="34"/>
      <c r="D24" s="34"/>
      <c r="E24" s="34"/>
      <c r="F24" s="62"/>
      <c r="G24" s="62"/>
      <c r="H24" s="62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66">
        <v>23090</v>
      </c>
      <c r="B27" s="77">
        <v>5</v>
      </c>
    </row>
    <row r="29" spans="1:8" ht="15.75" x14ac:dyDescent="0.25">
      <c r="A29" s="78" t="s">
        <v>100</v>
      </c>
    </row>
    <row r="32" spans="1:8" ht="19.5" thickBot="1" x14ac:dyDescent="0.35">
      <c r="A32" s="79" t="s">
        <v>73</v>
      </c>
    </row>
    <row r="33" spans="1:8" ht="15.75" thickBot="1" x14ac:dyDescent="0.3">
      <c r="A33" s="325" t="s">
        <v>23</v>
      </c>
      <c r="B33" s="80" t="s">
        <v>18</v>
      </c>
      <c r="C33" s="81"/>
      <c r="D33" s="82"/>
      <c r="E33" s="81" t="s">
        <v>31</v>
      </c>
      <c r="F33" s="81"/>
      <c r="G33" s="82"/>
      <c r="H33" s="16"/>
    </row>
    <row r="34" spans="1:8" ht="30.75" thickBot="1" x14ac:dyDescent="0.3">
      <c r="A34" s="326"/>
      <c r="B34" s="9" t="s">
        <v>63</v>
      </c>
      <c r="C34" s="9" t="s">
        <v>20</v>
      </c>
      <c r="D34" s="9" t="s">
        <v>74</v>
      </c>
      <c r="E34" s="83" t="s">
        <v>75</v>
      </c>
      <c r="F34" s="9" t="s">
        <v>32</v>
      </c>
      <c r="G34" s="9" t="s">
        <v>76</v>
      </c>
      <c r="H34" s="16"/>
    </row>
    <row r="35" spans="1:8" x14ac:dyDescent="0.25">
      <c r="A35" s="84" t="s">
        <v>26</v>
      </c>
      <c r="B35" s="85">
        <v>142460</v>
      </c>
      <c r="C35" s="85">
        <v>40</v>
      </c>
      <c r="D35" s="85">
        <v>3561.5</v>
      </c>
      <c r="E35" s="85">
        <v>134830</v>
      </c>
      <c r="F35" s="85">
        <v>37</v>
      </c>
      <c r="G35" s="86">
        <v>3644.0540540540542</v>
      </c>
      <c r="H35" s="16"/>
    </row>
    <row r="36" spans="1:8" x14ac:dyDescent="0.25">
      <c r="A36" s="84" t="s">
        <v>27</v>
      </c>
      <c r="B36" s="85">
        <v>170210</v>
      </c>
      <c r="C36" s="85">
        <v>21</v>
      </c>
      <c r="D36" s="85">
        <v>8105.2380952380954</v>
      </c>
      <c r="E36" s="85">
        <v>154750</v>
      </c>
      <c r="F36" s="85">
        <v>19</v>
      </c>
      <c r="G36" s="86">
        <v>8144.7368421052633</v>
      </c>
      <c r="H36" s="16"/>
    </row>
    <row r="37" spans="1:8" x14ac:dyDescent="0.25">
      <c r="A37" s="84" t="s">
        <v>28</v>
      </c>
      <c r="B37" s="85">
        <v>117420</v>
      </c>
      <c r="C37" s="85">
        <v>8</v>
      </c>
      <c r="D37" s="85">
        <v>14677.5</v>
      </c>
      <c r="E37" s="85">
        <v>117420</v>
      </c>
      <c r="F37" s="85">
        <v>8</v>
      </c>
      <c r="G37" s="86">
        <v>14677.5</v>
      </c>
      <c r="H37" s="16"/>
    </row>
    <row r="38" spans="1:8" ht="15.75" thickBot="1" x14ac:dyDescent="0.3">
      <c r="A38" s="84" t="s">
        <v>77</v>
      </c>
      <c r="B38" s="85">
        <v>69300</v>
      </c>
      <c r="C38" s="85">
        <v>3</v>
      </c>
      <c r="D38" s="85">
        <v>23100</v>
      </c>
      <c r="E38" s="85">
        <v>69300</v>
      </c>
      <c r="F38" s="85">
        <v>3</v>
      </c>
      <c r="G38" s="86">
        <v>23100</v>
      </c>
      <c r="H38" s="16"/>
    </row>
    <row r="39" spans="1:8" ht="15.75" thickTop="1" x14ac:dyDescent="0.25">
      <c r="A39" s="87" t="s">
        <v>78</v>
      </c>
      <c r="B39" s="88">
        <v>499390</v>
      </c>
      <c r="C39" s="88">
        <v>72</v>
      </c>
      <c r="D39" s="89"/>
      <c r="E39" s="88">
        <v>476300</v>
      </c>
      <c r="F39" s="88">
        <v>67</v>
      </c>
      <c r="G39" s="90"/>
      <c r="H39" s="16"/>
    </row>
    <row r="40" spans="1:8" x14ac:dyDescent="0.25">
      <c r="A40" s="105"/>
      <c r="B40" s="91"/>
      <c r="C40" s="91"/>
      <c r="E40" s="91"/>
      <c r="F40" s="91"/>
      <c r="G40" s="91"/>
      <c r="H40" s="16"/>
    </row>
    <row r="41" spans="1:8" x14ac:dyDescent="0.25">
      <c r="A41" s="105"/>
      <c r="B41" s="91"/>
      <c r="C41" s="91"/>
      <c r="E41" s="91"/>
      <c r="F41" s="91"/>
      <c r="G41" s="91"/>
      <c r="H41" s="16"/>
    </row>
    <row r="42" spans="1:8" ht="19.5" thickBot="1" x14ac:dyDescent="0.35">
      <c r="A42" s="92" t="s">
        <v>79</v>
      </c>
    </row>
    <row r="43" spans="1:8" ht="15.75" thickBot="1" x14ac:dyDescent="0.3">
      <c r="A43" s="325" t="s">
        <v>80</v>
      </c>
      <c r="B43" s="80" t="s">
        <v>18</v>
      </c>
      <c r="C43" s="81"/>
      <c r="D43" s="82"/>
      <c r="E43" s="81" t="s">
        <v>31</v>
      </c>
      <c r="F43" s="81"/>
      <c r="G43" s="82"/>
    </row>
    <row r="44" spans="1:8" ht="30.75" thickBot="1" x14ac:dyDescent="0.3">
      <c r="A44" s="326"/>
      <c r="B44" s="9" t="s">
        <v>63</v>
      </c>
      <c r="C44" s="9" t="s">
        <v>20</v>
      </c>
      <c r="D44" s="9" t="s">
        <v>74</v>
      </c>
      <c r="E44" s="83" t="s">
        <v>75</v>
      </c>
      <c r="F44" s="9" t="s">
        <v>32</v>
      </c>
      <c r="G44" s="9" t="s">
        <v>76</v>
      </c>
    </row>
    <row r="45" spans="1:8" x14ac:dyDescent="0.25">
      <c r="A45" s="84" t="s">
        <v>39</v>
      </c>
      <c r="B45" s="85">
        <v>11000</v>
      </c>
      <c r="C45" s="85">
        <v>2</v>
      </c>
      <c r="D45" s="85">
        <v>5500</v>
      </c>
      <c r="E45" s="85">
        <v>11000</v>
      </c>
      <c r="F45" s="85">
        <v>2</v>
      </c>
      <c r="G45" s="86">
        <v>5500</v>
      </c>
    </row>
    <row r="46" spans="1:8" x14ac:dyDescent="0.25">
      <c r="A46" s="84" t="s">
        <v>40</v>
      </c>
      <c r="B46" s="85">
        <v>12500</v>
      </c>
      <c r="C46" s="85">
        <v>2</v>
      </c>
      <c r="D46" s="85">
        <v>6250</v>
      </c>
      <c r="E46" s="85">
        <v>12500</v>
      </c>
      <c r="F46" s="85">
        <v>2</v>
      </c>
      <c r="G46" s="86">
        <v>6250</v>
      </c>
    </row>
    <row r="47" spans="1:8" x14ac:dyDescent="0.25">
      <c r="A47" s="84" t="s">
        <v>41</v>
      </c>
      <c r="B47" s="85">
        <v>89870</v>
      </c>
      <c r="C47" s="85">
        <v>18</v>
      </c>
      <c r="D47" s="85">
        <v>4992.7777777777774</v>
      </c>
      <c r="E47" s="85">
        <v>89870</v>
      </c>
      <c r="F47" s="85">
        <v>18</v>
      </c>
      <c r="G47" s="86">
        <v>4992.7777777777774</v>
      </c>
    </row>
    <row r="48" spans="1:8" x14ac:dyDescent="0.25">
      <c r="A48" s="84" t="s">
        <v>42</v>
      </c>
      <c r="B48" s="85">
        <v>2780</v>
      </c>
      <c r="C48" s="85">
        <v>1</v>
      </c>
      <c r="D48" s="85">
        <v>2780</v>
      </c>
      <c r="E48" s="85">
        <v>2780</v>
      </c>
      <c r="F48" s="85">
        <v>1</v>
      </c>
      <c r="G48" s="86">
        <v>2780</v>
      </c>
    </row>
    <row r="49" spans="1:7" x14ac:dyDescent="0.25">
      <c r="A49" s="84" t="s">
        <v>44</v>
      </c>
      <c r="B49" s="85">
        <v>173300</v>
      </c>
      <c r="C49" s="85">
        <v>19</v>
      </c>
      <c r="D49" s="85">
        <v>9121.0526315789466</v>
      </c>
      <c r="E49" s="85">
        <v>173300</v>
      </c>
      <c r="F49" s="85">
        <v>19</v>
      </c>
      <c r="G49" s="86">
        <v>9121.0526315789466</v>
      </c>
    </row>
    <row r="50" spans="1:7" x14ac:dyDescent="0.25">
      <c r="A50" s="84" t="s">
        <v>45</v>
      </c>
      <c r="B50" s="85">
        <v>103990</v>
      </c>
      <c r="C50" s="85">
        <v>12</v>
      </c>
      <c r="D50" s="85">
        <v>8665.8333333333339</v>
      </c>
      <c r="E50" s="85">
        <v>85300</v>
      </c>
      <c r="F50" s="85">
        <v>9</v>
      </c>
      <c r="G50" s="86">
        <v>9477.7777777777774</v>
      </c>
    </row>
    <row r="51" spans="1:7" x14ac:dyDescent="0.25">
      <c r="A51" s="84" t="s">
        <v>46</v>
      </c>
      <c r="B51" s="85">
        <v>8800</v>
      </c>
      <c r="C51" s="85">
        <v>2</v>
      </c>
      <c r="D51" s="85">
        <v>4400</v>
      </c>
      <c r="E51" s="85">
        <v>8800</v>
      </c>
      <c r="F51" s="85">
        <v>2</v>
      </c>
      <c r="G51" s="86">
        <v>4400</v>
      </c>
    </row>
    <row r="52" spans="1:7" x14ac:dyDescent="0.25">
      <c r="A52" s="84" t="s">
        <v>98</v>
      </c>
      <c r="B52" s="85">
        <v>9000</v>
      </c>
      <c r="C52" s="85">
        <v>1</v>
      </c>
      <c r="D52" s="85">
        <v>9000</v>
      </c>
      <c r="E52" s="85">
        <v>9000</v>
      </c>
      <c r="F52" s="85">
        <v>1</v>
      </c>
      <c r="G52" s="86">
        <v>9000</v>
      </c>
    </row>
    <row r="53" spans="1:7" x14ac:dyDescent="0.25">
      <c r="A53" s="93" t="s">
        <v>47</v>
      </c>
      <c r="B53" s="85">
        <v>5500</v>
      </c>
      <c r="C53" s="85">
        <v>3</v>
      </c>
      <c r="D53" s="85">
        <v>1833.3333333333333</v>
      </c>
      <c r="E53" s="85">
        <v>4700</v>
      </c>
      <c r="F53" s="85">
        <v>2</v>
      </c>
      <c r="G53" s="86">
        <v>2350</v>
      </c>
    </row>
    <row r="54" spans="1:7" x14ac:dyDescent="0.25">
      <c r="A54" s="93" t="s">
        <v>48</v>
      </c>
      <c r="B54" s="85">
        <v>42900</v>
      </c>
      <c r="C54" s="85">
        <v>6</v>
      </c>
      <c r="D54" s="85">
        <v>7150</v>
      </c>
      <c r="E54" s="85">
        <v>39300</v>
      </c>
      <c r="F54" s="85">
        <v>5</v>
      </c>
      <c r="G54" s="86">
        <v>7860</v>
      </c>
    </row>
    <row r="55" spans="1:7" x14ac:dyDescent="0.25">
      <c r="A55" s="93" t="s">
        <v>49</v>
      </c>
      <c r="B55" s="85">
        <v>27150</v>
      </c>
      <c r="C55" s="85">
        <v>3</v>
      </c>
      <c r="D55" s="85">
        <v>9050</v>
      </c>
      <c r="E55" s="85">
        <v>27150</v>
      </c>
      <c r="F55" s="85">
        <v>3</v>
      </c>
      <c r="G55" s="86">
        <v>9050</v>
      </c>
    </row>
    <row r="56" spans="1:7" ht="15.75" thickBot="1" x14ac:dyDescent="0.3">
      <c r="A56" s="93" t="s">
        <v>50</v>
      </c>
      <c r="B56" s="85">
        <v>12600</v>
      </c>
      <c r="C56" s="85">
        <v>3</v>
      </c>
      <c r="D56" s="85">
        <v>4200</v>
      </c>
      <c r="E56" s="85">
        <v>12600</v>
      </c>
      <c r="F56" s="85">
        <v>3</v>
      </c>
      <c r="G56" s="86">
        <v>4200</v>
      </c>
    </row>
    <row r="57" spans="1:7" ht="15.75" thickTop="1" x14ac:dyDescent="0.25">
      <c r="A57" s="94" t="s">
        <v>78</v>
      </c>
      <c r="B57" s="88">
        <v>499390</v>
      </c>
      <c r="C57" s="88">
        <v>72</v>
      </c>
      <c r="D57" s="89"/>
      <c r="E57" s="88">
        <v>476300</v>
      </c>
      <c r="F57" s="88">
        <v>67</v>
      </c>
      <c r="G57" s="90"/>
    </row>
    <row r="58" spans="1:7" x14ac:dyDescent="0.25">
      <c r="B58" s="91"/>
      <c r="C58" s="91"/>
      <c r="D58" s="91"/>
      <c r="E58" s="91"/>
      <c r="F58" s="91"/>
      <c r="G58" s="91"/>
    </row>
    <row r="59" spans="1:7" x14ac:dyDescent="0.25">
      <c r="B59" s="91"/>
      <c r="C59" s="91"/>
      <c r="E59" s="91"/>
      <c r="F59" s="91"/>
    </row>
    <row r="60" spans="1:7" ht="19.5" thickBot="1" x14ac:dyDescent="0.35">
      <c r="A60" s="79" t="s">
        <v>82</v>
      </c>
    </row>
    <row r="61" spans="1:7" ht="15.75" thickBot="1" x14ac:dyDescent="0.3">
      <c r="A61" s="325" t="s">
        <v>83</v>
      </c>
      <c r="B61" s="80" t="s">
        <v>18</v>
      </c>
      <c r="C61" s="81"/>
      <c r="D61" s="82"/>
      <c r="E61" s="81" t="s">
        <v>31</v>
      </c>
      <c r="F61" s="81"/>
      <c r="G61" s="82"/>
    </row>
    <row r="62" spans="1:7" ht="30.75" thickBot="1" x14ac:dyDescent="0.3">
      <c r="A62" s="326"/>
      <c r="B62" s="9" t="s">
        <v>63</v>
      </c>
      <c r="C62" s="9" t="s">
        <v>20</v>
      </c>
      <c r="D62" s="9" t="s">
        <v>74</v>
      </c>
      <c r="E62" s="83" t="s">
        <v>75</v>
      </c>
      <c r="F62" s="9" t="s">
        <v>32</v>
      </c>
      <c r="G62" s="9" t="s">
        <v>76</v>
      </c>
    </row>
    <row r="63" spans="1:7" x14ac:dyDescent="0.25">
      <c r="A63" s="84" t="s">
        <v>24</v>
      </c>
      <c r="B63" s="85">
        <v>91820</v>
      </c>
      <c r="C63" s="85">
        <v>11</v>
      </c>
      <c r="D63" s="85">
        <v>8347.2727272727279</v>
      </c>
      <c r="E63" s="85">
        <v>91820</v>
      </c>
      <c r="F63" s="85">
        <v>11</v>
      </c>
      <c r="G63" s="86">
        <v>8347.2727272727279</v>
      </c>
    </row>
    <row r="64" spans="1:7" ht="15.75" thickBot="1" x14ac:dyDescent="0.3">
      <c r="A64" s="93" t="s">
        <v>84</v>
      </c>
      <c r="B64" s="85">
        <v>407570</v>
      </c>
      <c r="C64" s="85">
        <v>61</v>
      </c>
      <c r="D64" s="85">
        <v>6681.4754098360654</v>
      </c>
      <c r="E64" s="85">
        <v>384480</v>
      </c>
      <c r="F64" s="85">
        <v>56</v>
      </c>
      <c r="G64" s="86">
        <v>6865.7142857142853</v>
      </c>
    </row>
    <row r="65" spans="1:7" ht="15.75" thickTop="1" x14ac:dyDescent="0.25">
      <c r="A65" s="94" t="s">
        <v>78</v>
      </c>
      <c r="B65" s="88">
        <v>499390</v>
      </c>
      <c r="C65" s="88">
        <v>72</v>
      </c>
      <c r="D65" s="89"/>
      <c r="E65" s="88">
        <v>476300</v>
      </c>
      <c r="F65" s="88">
        <v>67</v>
      </c>
      <c r="G65" s="90"/>
    </row>
    <row r="66" spans="1:7" x14ac:dyDescent="0.25">
      <c r="B66" s="91"/>
      <c r="C66" s="91"/>
      <c r="E66" s="91"/>
      <c r="F66" s="91"/>
    </row>
    <row r="67" spans="1:7" x14ac:dyDescent="0.25">
      <c r="A67" s="105"/>
      <c r="B67" s="91"/>
      <c r="C67" s="91"/>
      <c r="D67" s="91"/>
      <c r="E67" s="91"/>
      <c r="F67" s="91"/>
      <c r="G67" s="91"/>
    </row>
    <row r="68" spans="1:7" ht="19.5" thickBot="1" x14ac:dyDescent="0.35">
      <c r="A68" s="79" t="s">
        <v>85</v>
      </c>
    </row>
    <row r="69" spans="1:7" ht="15.75" thickBot="1" x14ac:dyDescent="0.3">
      <c r="A69" s="325" t="s">
        <v>86</v>
      </c>
      <c r="B69" s="80" t="s">
        <v>18</v>
      </c>
      <c r="C69" s="81"/>
      <c r="D69" s="82"/>
      <c r="E69" s="81" t="s">
        <v>31</v>
      </c>
      <c r="F69" s="81"/>
      <c r="G69" s="82"/>
    </row>
    <row r="70" spans="1:7" ht="30.75" thickBot="1" x14ac:dyDescent="0.3">
      <c r="A70" s="338"/>
      <c r="B70" s="9" t="s">
        <v>63</v>
      </c>
      <c r="C70" s="9" t="s">
        <v>20</v>
      </c>
      <c r="D70" s="9" t="s">
        <v>74</v>
      </c>
      <c r="E70" s="83" t="s">
        <v>75</v>
      </c>
      <c r="F70" s="9" t="s">
        <v>32</v>
      </c>
      <c r="G70" s="9" t="s">
        <v>76</v>
      </c>
    </row>
    <row r="71" spans="1:7" x14ac:dyDescent="0.25">
      <c r="A71" s="84" t="s">
        <v>87</v>
      </c>
      <c r="B71" s="85">
        <v>26250</v>
      </c>
      <c r="C71" s="85">
        <v>3</v>
      </c>
      <c r="D71" s="85">
        <v>8750</v>
      </c>
      <c r="E71" s="85">
        <v>22650</v>
      </c>
      <c r="F71" s="85">
        <v>2</v>
      </c>
      <c r="G71" s="86">
        <v>11325</v>
      </c>
    </row>
    <row r="72" spans="1:7" x14ac:dyDescent="0.25">
      <c r="A72" s="93" t="s">
        <v>90</v>
      </c>
      <c r="B72" s="85">
        <v>7000</v>
      </c>
      <c r="C72" s="85">
        <v>1</v>
      </c>
      <c r="D72" s="85">
        <v>7000</v>
      </c>
      <c r="E72" s="85">
        <v>7000</v>
      </c>
      <c r="F72" s="85">
        <v>1</v>
      </c>
      <c r="G72" s="86">
        <v>7000</v>
      </c>
    </row>
    <row r="73" spans="1:7" x14ac:dyDescent="0.25">
      <c r="A73" s="93" t="s">
        <v>91</v>
      </c>
      <c r="B73" s="85">
        <v>119180</v>
      </c>
      <c r="C73" s="85">
        <v>15</v>
      </c>
      <c r="D73" s="85">
        <v>7945.333333333333</v>
      </c>
      <c r="E73" s="85">
        <v>110180</v>
      </c>
      <c r="F73" s="85">
        <v>14</v>
      </c>
      <c r="G73" s="86">
        <v>7870</v>
      </c>
    </row>
    <row r="74" spans="1:7" x14ac:dyDescent="0.25">
      <c r="A74" s="93" t="s">
        <v>92</v>
      </c>
      <c r="B74" s="95">
        <v>310390</v>
      </c>
      <c r="C74" s="95">
        <v>48</v>
      </c>
      <c r="D74" s="85">
        <v>6466.458333333333</v>
      </c>
      <c r="E74" s="167">
        <v>300700</v>
      </c>
      <c r="F74" s="95">
        <v>46</v>
      </c>
      <c r="G74" s="168">
        <v>6536.95652173913</v>
      </c>
    </row>
    <row r="75" spans="1:7" x14ac:dyDescent="0.25">
      <c r="A75" s="93" t="s">
        <v>103</v>
      </c>
      <c r="B75" s="85">
        <v>800</v>
      </c>
      <c r="C75" s="85">
        <v>1</v>
      </c>
      <c r="D75" s="85">
        <v>800</v>
      </c>
      <c r="E75" s="85">
        <v>0</v>
      </c>
      <c r="F75" s="85">
        <v>0</v>
      </c>
      <c r="G75" s="86">
        <v>0</v>
      </c>
    </row>
    <row r="76" spans="1:7" ht="15.75" thickBot="1" x14ac:dyDescent="0.3">
      <c r="A76" s="93" t="s">
        <v>94</v>
      </c>
      <c r="B76" s="85">
        <v>35770</v>
      </c>
      <c r="C76" s="85">
        <v>4</v>
      </c>
      <c r="D76" s="85">
        <v>8942.5</v>
      </c>
      <c r="E76" s="85">
        <v>35770</v>
      </c>
      <c r="F76" s="85">
        <v>4</v>
      </c>
      <c r="G76" s="86">
        <v>8942.5</v>
      </c>
    </row>
    <row r="77" spans="1:7" ht="15.75" thickTop="1" x14ac:dyDescent="0.25">
      <c r="A77" s="94" t="s">
        <v>78</v>
      </c>
      <c r="B77" s="88">
        <v>499390</v>
      </c>
      <c r="C77" s="88">
        <v>72</v>
      </c>
      <c r="D77" s="89"/>
      <c r="E77" s="88">
        <v>476300</v>
      </c>
      <c r="F77" s="88">
        <v>67</v>
      </c>
      <c r="G77" s="90"/>
    </row>
    <row r="78" spans="1:7" x14ac:dyDescent="0.25">
      <c r="B78" s="91"/>
      <c r="C78" s="91"/>
      <c r="D78" s="91"/>
      <c r="E78" s="91"/>
      <c r="F78" s="91"/>
      <c r="G78" s="91"/>
    </row>
    <row r="79" spans="1:7" x14ac:dyDescent="0.25">
      <c r="B79" s="91"/>
      <c r="C79" s="91"/>
      <c r="D79" s="91"/>
      <c r="E79" s="91"/>
      <c r="F79" s="91"/>
      <c r="G79" s="91"/>
    </row>
    <row r="80" spans="1:7" ht="19.5" thickBot="1" x14ac:dyDescent="0.35">
      <c r="A80" s="92" t="s">
        <v>95</v>
      </c>
    </row>
    <row r="81" spans="1:7" ht="15.75" thickBot="1" x14ac:dyDescent="0.3">
      <c r="A81" s="325" t="s">
        <v>80</v>
      </c>
      <c r="B81" s="80" t="s">
        <v>18</v>
      </c>
      <c r="C81" s="81"/>
      <c r="D81" s="82"/>
      <c r="E81" s="81" t="s">
        <v>31</v>
      </c>
      <c r="F81" s="81"/>
      <c r="G81" s="82"/>
    </row>
    <row r="82" spans="1:7" ht="30.75" thickBot="1" x14ac:dyDescent="0.3">
      <c r="A82" s="326"/>
      <c r="B82" s="9" t="s">
        <v>63</v>
      </c>
      <c r="C82" s="9" t="s">
        <v>20</v>
      </c>
      <c r="D82" s="9" t="s">
        <v>74</v>
      </c>
      <c r="E82" s="83" t="s">
        <v>75</v>
      </c>
      <c r="F82" s="9" t="s">
        <v>32</v>
      </c>
      <c r="G82" s="9" t="s">
        <v>76</v>
      </c>
    </row>
    <row r="83" spans="1:7" x14ac:dyDescent="0.25">
      <c r="A83" s="84" t="s">
        <v>44</v>
      </c>
      <c r="B83" s="85">
        <v>129300</v>
      </c>
      <c r="C83" s="85">
        <v>13</v>
      </c>
      <c r="D83" s="85">
        <v>9946.1538461538457</v>
      </c>
      <c r="E83" s="85">
        <v>129300</v>
      </c>
      <c r="F83" s="85">
        <v>13</v>
      </c>
      <c r="G83" s="86">
        <v>9946.1538461538457</v>
      </c>
    </row>
    <row r="84" spans="1:7" ht="15.75" thickBot="1" x14ac:dyDescent="0.3">
      <c r="A84" s="93" t="s">
        <v>49</v>
      </c>
      <c r="B84" s="85">
        <v>27150</v>
      </c>
      <c r="C84" s="85">
        <v>3</v>
      </c>
      <c r="D84" s="85">
        <v>9050</v>
      </c>
      <c r="E84" s="85">
        <v>27150</v>
      </c>
      <c r="F84" s="85">
        <v>3</v>
      </c>
      <c r="G84" s="86">
        <v>9050</v>
      </c>
    </row>
    <row r="85" spans="1:7" ht="15.75" thickTop="1" x14ac:dyDescent="0.25">
      <c r="A85" s="94" t="s">
        <v>78</v>
      </c>
      <c r="B85" s="88">
        <v>156450</v>
      </c>
      <c r="C85" s="88">
        <v>16</v>
      </c>
      <c r="D85" s="89"/>
      <c r="E85" s="88">
        <v>156450</v>
      </c>
      <c r="F85" s="88">
        <v>16</v>
      </c>
      <c r="G85" s="90"/>
    </row>
    <row r="86" spans="1:7" x14ac:dyDescent="0.25">
      <c r="B86" s="91"/>
      <c r="C86" s="91"/>
      <c r="D86" s="91"/>
      <c r="E86" s="91"/>
      <c r="F86" s="91"/>
      <c r="G86" s="91"/>
    </row>
    <row r="87" spans="1:7" x14ac:dyDescent="0.25">
      <c r="B87" s="91"/>
      <c r="C87" s="91"/>
      <c r="D87" s="91"/>
      <c r="E87" s="91"/>
      <c r="F87" s="91"/>
      <c r="G87" s="91"/>
    </row>
  </sheetData>
  <protectedRanges>
    <protectedRange sqref="B3" name="Bereich1"/>
  </protectedRanges>
  <mergeCells count="12">
    <mergeCell ref="A33:A34"/>
    <mergeCell ref="A43:A44"/>
    <mergeCell ref="A61:A62"/>
    <mergeCell ref="A69:A70"/>
    <mergeCell ref="A81:A82"/>
    <mergeCell ref="A25:A26"/>
    <mergeCell ref="B25:B26"/>
    <mergeCell ref="A1:F1"/>
    <mergeCell ref="A11:A12"/>
    <mergeCell ref="B11:B12"/>
    <mergeCell ref="A16:A17"/>
    <mergeCell ref="B16:B17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0000000}">
          <x14:formula1>
            <xm:f>'C:\Referatslaufwerk\EEG\8175 Ausschreibungen\8175-00 Allgemein\Statistik_Veröffentlichung\[Statistik_Veröffentlichung_Wind.xlsm]Gebotstermine'!#REF!</xm:f>
          </x14:formula1>
          <xm:sqref>I3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511">
    <tabColor rgb="FF0070C0"/>
  </sheetPr>
  <dimension ref="A1:H90"/>
  <sheetViews>
    <sheetView showGridLines="0" zoomScaleNormal="100" workbookViewId="0">
      <selection sqref="A1:XFD1"/>
    </sheetView>
  </sheetViews>
  <sheetFormatPr defaultColWidth="9.140625" defaultRowHeight="15" x14ac:dyDescent="0.25"/>
  <cols>
    <col min="1" max="1" width="47.5703125" customWidth="1"/>
    <col min="2" max="43" width="19.28515625" customWidth="1"/>
  </cols>
  <sheetData>
    <row r="1" spans="1:8" s="101" customFormat="1" ht="48" customHeight="1" x14ac:dyDescent="0.25">
      <c r="A1" s="339" t="s">
        <v>64</v>
      </c>
      <c r="B1" s="340"/>
      <c r="C1" s="340"/>
      <c r="D1" s="340"/>
      <c r="E1" s="340"/>
      <c r="F1" s="340"/>
      <c r="H1" s="64" t="s">
        <v>102</v>
      </c>
    </row>
    <row r="2" spans="1:8" s="101" customFormat="1" ht="5.25" customHeight="1" x14ac:dyDescent="0.25">
      <c r="A2" s="1"/>
    </row>
    <row r="3" spans="1:8" x14ac:dyDescent="0.25">
      <c r="A3" s="3" t="s">
        <v>1</v>
      </c>
      <c r="B3" s="4">
        <v>43374</v>
      </c>
      <c r="C3" s="5">
        <v>23</v>
      </c>
    </row>
    <row r="4" spans="1:8" x14ac:dyDescent="0.25">
      <c r="A4" s="6"/>
      <c r="B4" s="7"/>
    </row>
    <row r="6" spans="1:8" ht="19.5" thickBot="1" x14ac:dyDescent="0.35">
      <c r="A6" s="8" t="s">
        <v>2</v>
      </c>
    </row>
    <row r="7" spans="1:8" ht="30.75" customHeight="1" thickBot="1" x14ac:dyDescent="0.3">
      <c r="A7" s="9" t="s">
        <v>3</v>
      </c>
      <c r="B7" s="9" t="s">
        <v>4</v>
      </c>
      <c r="F7" s="16"/>
      <c r="G7" s="65"/>
      <c r="H7" s="65"/>
    </row>
    <row r="8" spans="1:8" ht="15.75" thickBot="1" x14ac:dyDescent="0.3">
      <c r="A8" s="66">
        <v>670161</v>
      </c>
      <c r="B8" s="67">
        <v>6.3000001907348633</v>
      </c>
    </row>
    <row r="9" spans="1:8" ht="15" customHeight="1" x14ac:dyDescent="0.3">
      <c r="A9" s="8"/>
    </row>
    <row r="10" spans="1:8" ht="18" customHeight="1" thickBot="1" x14ac:dyDescent="0.3">
      <c r="A10" s="68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11" t="s">
        <v>7</v>
      </c>
      <c r="D11" s="12"/>
      <c r="E11" s="13"/>
      <c r="F11" s="11" t="s">
        <v>8</v>
      </c>
      <c r="G11" s="12"/>
      <c r="H11" s="13"/>
    </row>
    <row r="12" spans="1:8" ht="15.75" thickBot="1" x14ac:dyDescent="0.3">
      <c r="A12" s="332"/>
      <c r="B12" s="332"/>
      <c r="C12" s="14" t="s">
        <v>9</v>
      </c>
      <c r="D12" s="14" t="s">
        <v>10</v>
      </c>
      <c r="E12" s="14" t="s">
        <v>11</v>
      </c>
      <c r="F12" s="14" t="s">
        <v>9</v>
      </c>
      <c r="G12" s="14" t="s">
        <v>10</v>
      </c>
      <c r="H12" s="70" t="s">
        <v>12</v>
      </c>
    </row>
    <row r="13" spans="1:8" ht="15.75" thickBot="1" x14ac:dyDescent="0.3">
      <c r="A13" s="66">
        <v>388350</v>
      </c>
      <c r="B13" s="71">
        <v>62</v>
      </c>
      <c r="C13" s="71">
        <v>0</v>
      </c>
      <c r="D13" s="72">
        <v>25200</v>
      </c>
      <c r="E13" s="72">
        <v>6263.7096774193551</v>
      </c>
      <c r="F13" s="73">
        <v>5</v>
      </c>
      <c r="G13" s="74">
        <v>6.3</v>
      </c>
      <c r="H13" s="75">
        <v>6.1724089094888628</v>
      </c>
    </row>
    <row r="14" spans="1:8" ht="4.5" customHeight="1" x14ac:dyDescent="0.25">
      <c r="A14" s="61"/>
      <c r="B14" s="61"/>
      <c r="C14" s="61"/>
      <c r="D14" s="61"/>
      <c r="E14" s="61"/>
      <c r="F14" s="61"/>
      <c r="G14" s="61"/>
      <c r="H14" s="61"/>
    </row>
    <row r="15" spans="1:8" ht="18" customHeight="1" thickBot="1" x14ac:dyDescent="0.3">
      <c r="A15" s="68" t="s">
        <v>65</v>
      </c>
      <c r="B15" s="34"/>
      <c r="C15" s="34"/>
      <c r="D15" s="34"/>
      <c r="E15" s="34"/>
      <c r="F15" s="62"/>
      <c r="G15" s="62"/>
      <c r="H15" s="62"/>
    </row>
    <row r="16" spans="1:8" ht="15.75" customHeight="1" thickBot="1" x14ac:dyDescent="0.3">
      <c r="A16" s="331" t="s">
        <v>66</v>
      </c>
      <c r="B16" s="331" t="s">
        <v>67</v>
      </c>
      <c r="C16" s="11" t="s">
        <v>15</v>
      </c>
      <c r="D16" s="12"/>
      <c r="E16" s="13"/>
      <c r="F16" s="11" t="s">
        <v>16</v>
      </c>
      <c r="G16" s="12"/>
      <c r="H16" s="13"/>
    </row>
    <row r="17" spans="1:8" ht="15.75" thickBot="1" x14ac:dyDescent="0.3">
      <c r="A17" s="332"/>
      <c r="B17" s="332"/>
      <c r="C17" s="14" t="s">
        <v>9</v>
      </c>
      <c r="D17" s="14" t="s">
        <v>10</v>
      </c>
      <c r="E17" s="14" t="s">
        <v>11</v>
      </c>
      <c r="F17" s="14" t="s">
        <v>9</v>
      </c>
      <c r="G17" s="14" t="s">
        <v>10</v>
      </c>
      <c r="H17" s="14" t="s">
        <v>12</v>
      </c>
    </row>
    <row r="18" spans="1:8" ht="15.75" thickBot="1" x14ac:dyDescent="0.3">
      <c r="A18" s="66">
        <v>363200</v>
      </c>
      <c r="B18" s="71">
        <v>57</v>
      </c>
      <c r="C18" s="71">
        <v>2000</v>
      </c>
      <c r="D18" s="72">
        <v>25200</v>
      </c>
      <c r="E18" s="72">
        <v>6371.9298245614036</v>
      </c>
      <c r="F18" s="73">
        <v>6.119999885559082</v>
      </c>
      <c r="G18" s="74">
        <v>6.3000001907348633</v>
      </c>
      <c r="H18" s="75">
        <v>6.2553717560705113</v>
      </c>
    </row>
    <row r="19" spans="1:8" ht="4.5" customHeight="1" x14ac:dyDescent="0.25">
      <c r="A19" s="61"/>
      <c r="B19" s="61"/>
      <c r="C19" s="61"/>
      <c r="D19" s="61"/>
      <c r="E19" s="61"/>
      <c r="F19" s="61"/>
      <c r="G19" s="61"/>
      <c r="H19" s="61"/>
    </row>
    <row r="20" spans="1:8" ht="18" customHeight="1" thickBot="1" x14ac:dyDescent="0.3">
      <c r="A20" s="76" t="s">
        <v>68</v>
      </c>
      <c r="B20" s="34"/>
      <c r="C20" s="34"/>
      <c r="D20" s="34"/>
      <c r="E20" s="34"/>
      <c r="F20" s="62"/>
      <c r="G20" s="62"/>
      <c r="H20" s="62"/>
    </row>
    <row r="21" spans="1:8" ht="30.75" customHeight="1" thickBot="1" x14ac:dyDescent="0.3">
      <c r="A21" s="103" t="s">
        <v>66</v>
      </c>
      <c r="B21" s="103" t="s">
        <v>14</v>
      </c>
      <c r="C21" s="34"/>
      <c r="D21" s="34"/>
      <c r="E21" s="34"/>
      <c r="F21" s="62"/>
      <c r="G21" s="62"/>
      <c r="H21" s="62"/>
    </row>
    <row r="22" spans="1:8" ht="15.75" thickBot="1" x14ac:dyDescent="0.3">
      <c r="A22" s="66" t="s">
        <v>101</v>
      </c>
      <c r="B22" s="77" t="s">
        <v>101</v>
      </c>
    </row>
    <row r="23" spans="1:8" ht="4.5" customHeight="1" x14ac:dyDescent="0.25">
      <c r="A23" s="61"/>
      <c r="B23" s="61"/>
      <c r="C23" s="34"/>
      <c r="D23" s="34"/>
      <c r="E23" s="34"/>
      <c r="F23" s="62"/>
      <c r="G23" s="62"/>
      <c r="H23" s="62"/>
    </row>
    <row r="24" spans="1:8" ht="18" customHeight="1" thickBot="1" x14ac:dyDescent="0.3">
      <c r="A24" s="68" t="s">
        <v>69</v>
      </c>
      <c r="B24" s="34"/>
      <c r="C24" s="34"/>
      <c r="D24" s="34"/>
      <c r="E24" s="34"/>
      <c r="F24" s="62"/>
      <c r="G24" s="62"/>
      <c r="H24" s="62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66">
        <v>25150</v>
      </c>
      <c r="B27" s="77">
        <v>5</v>
      </c>
    </row>
    <row r="29" spans="1:8" ht="15.75" x14ac:dyDescent="0.25">
      <c r="A29" s="78" t="s">
        <v>100</v>
      </c>
    </row>
    <row r="32" spans="1:8" ht="19.5" thickBot="1" x14ac:dyDescent="0.35">
      <c r="A32" s="79" t="s">
        <v>73</v>
      </c>
    </row>
    <row r="33" spans="1:8" ht="15.75" thickBot="1" x14ac:dyDescent="0.3">
      <c r="A33" s="325" t="s">
        <v>23</v>
      </c>
      <c r="B33" s="80" t="s">
        <v>18</v>
      </c>
      <c r="C33" s="81"/>
      <c r="D33" s="82"/>
      <c r="E33" s="81" t="s">
        <v>31</v>
      </c>
      <c r="F33" s="81"/>
      <c r="G33" s="82"/>
      <c r="H33" s="16"/>
    </row>
    <row r="34" spans="1:8" ht="30.75" thickBot="1" x14ac:dyDescent="0.3">
      <c r="A34" s="326"/>
      <c r="B34" s="9" t="s">
        <v>63</v>
      </c>
      <c r="C34" s="9" t="s">
        <v>20</v>
      </c>
      <c r="D34" s="9" t="s">
        <v>74</v>
      </c>
      <c r="E34" s="83" t="s">
        <v>75</v>
      </c>
      <c r="F34" s="9" t="s">
        <v>32</v>
      </c>
      <c r="G34" s="9" t="s">
        <v>76</v>
      </c>
      <c r="H34" s="16"/>
    </row>
    <row r="35" spans="1:8" x14ac:dyDescent="0.25">
      <c r="A35" s="84"/>
      <c r="B35" s="85">
        <v>0</v>
      </c>
      <c r="C35" s="85">
        <v>1</v>
      </c>
      <c r="D35" s="85">
        <v>0</v>
      </c>
      <c r="E35" s="85">
        <v>0</v>
      </c>
      <c r="F35" s="85">
        <v>0</v>
      </c>
      <c r="G35" s="86">
        <v>0</v>
      </c>
      <c r="H35" s="16"/>
    </row>
    <row r="36" spans="1:8" x14ac:dyDescent="0.25">
      <c r="A36" s="84" t="s">
        <v>26</v>
      </c>
      <c r="B36" s="85">
        <v>130360</v>
      </c>
      <c r="C36" s="85">
        <v>37</v>
      </c>
      <c r="D36" s="85">
        <v>3523.2432432432433</v>
      </c>
      <c r="E36" s="85">
        <v>122010</v>
      </c>
      <c r="F36" s="85">
        <v>35</v>
      </c>
      <c r="G36" s="86">
        <v>3486</v>
      </c>
      <c r="H36" s="16"/>
    </row>
    <row r="37" spans="1:8" x14ac:dyDescent="0.25">
      <c r="A37" s="84" t="s">
        <v>27</v>
      </c>
      <c r="B37" s="85">
        <v>171090</v>
      </c>
      <c r="C37" s="85">
        <v>19</v>
      </c>
      <c r="D37" s="85">
        <v>9004.7368421052633</v>
      </c>
      <c r="E37" s="85">
        <v>154290</v>
      </c>
      <c r="F37" s="85">
        <v>17</v>
      </c>
      <c r="G37" s="86">
        <v>9075.8823529411766</v>
      </c>
      <c r="H37" s="16"/>
    </row>
    <row r="38" spans="1:8" x14ac:dyDescent="0.25">
      <c r="A38" s="84" t="s">
        <v>28</v>
      </c>
      <c r="B38" s="85">
        <v>42900</v>
      </c>
      <c r="C38" s="85">
        <v>3</v>
      </c>
      <c r="D38" s="85">
        <v>14300</v>
      </c>
      <c r="E38" s="85">
        <v>42900</v>
      </c>
      <c r="F38" s="85">
        <v>3</v>
      </c>
      <c r="G38" s="86">
        <v>14300</v>
      </c>
      <c r="H38" s="16"/>
    </row>
    <row r="39" spans="1:8" ht="15.75" thickBot="1" x14ac:dyDescent="0.3">
      <c r="A39" s="93" t="s">
        <v>77</v>
      </c>
      <c r="B39" s="85">
        <v>44000</v>
      </c>
      <c r="C39" s="85">
        <v>2</v>
      </c>
      <c r="D39" s="85">
        <v>22000</v>
      </c>
      <c r="E39" s="85">
        <v>44000</v>
      </c>
      <c r="F39" s="85">
        <v>2</v>
      </c>
      <c r="G39" s="86">
        <v>22000</v>
      </c>
      <c r="H39" s="16"/>
    </row>
    <row r="40" spans="1:8" ht="15.75" thickTop="1" x14ac:dyDescent="0.25">
      <c r="A40" s="87" t="s">
        <v>78</v>
      </c>
      <c r="B40" s="88">
        <v>388350</v>
      </c>
      <c r="C40" s="88">
        <v>62</v>
      </c>
      <c r="D40" s="89"/>
      <c r="E40" s="88">
        <v>363200</v>
      </c>
      <c r="F40" s="88">
        <v>57</v>
      </c>
      <c r="G40" s="90"/>
      <c r="H40" s="16"/>
    </row>
    <row r="41" spans="1:8" x14ac:dyDescent="0.25">
      <c r="A41" s="102"/>
      <c r="B41" s="91"/>
      <c r="C41" s="91"/>
      <c r="E41" s="91"/>
      <c r="F41" s="91"/>
      <c r="G41" s="91"/>
      <c r="H41" s="16"/>
    </row>
    <row r="42" spans="1:8" x14ac:dyDescent="0.25">
      <c r="A42" s="102"/>
      <c r="B42" s="91"/>
      <c r="C42" s="91"/>
      <c r="E42" s="91"/>
      <c r="F42" s="91"/>
      <c r="G42" s="91"/>
      <c r="H42" s="16"/>
    </row>
    <row r="43" spans="1:8" ht="19.5" thickBot="1" x14ac:dyDescent="0.35">
      <c r="A43" s="92" t="s">
        <v>79</v>
      </c>
    </row>
    <row r="44" spans="1:8" ht="15.75" thickBot="1" x14ac:dyDescent="0.3">
      <c r="A44" s="325" t="s">
        <v>80</v>
      </c>
      <c r="B44" s="80" t="s">
        <v>18</v>
      </c>
      <c r="C44" s="81"/>
      <c r="D44" s="82"/>
      <c r="E44" s="81" t="s">
        <v>31</v>
      </c>
      <c r="F44" s="81"/>
      <c r="G44" s="82"/>
    </row>
    <row r="45" spans="1:8" ht="30.75" thickBot="1" x14ac:dyDescent="0.3">
      <c r="A45" s="326"/>
      <c r="B45" s="9" t="s">
        <v>63</v>
      </c>
      <c r="C45" s="9" t="s">
        <v>20</v>
      </c>
      <c r="D45" s="9" t="s">
        <v>74</v>
      </c>
      <c r="E45" s="83" t="s">
        <v>75</v>
      </c>
      <c r="F45" s="9" t="s">
        <v>32</v>
      </c>
      <c r="G45" s="9" t="s">
        <v>76</v>
      </c>
    </row>
    <row r="46" spans="1:8" x14ac:dyDescent="0.25">
      <c r="A46" s="84" t="s">
        <v>39</v>
      </c>
      <c r="B46" s="85">
        <v>30550</v>
      </c>
      <c r="C46" s="85">
        <v>4</v>
      </c>
      <c r="D46" s="85">
        <v>7637.5</v>
      </c>
      <c r="E46" s="85">
        <v>28200</v>
      </c>
      <c r="F46" s="85">
        <v>3</v>
      </c>
      <c r="G46" s="86">
        <v>9400</v>
      </c>
    </row>
    <row r="47" spans="1:8" x14ac:dyDescent="0.25">
      <c r="A47" s="84" t="s">
        <v>40</v>
      </c>
      <c r="B47" s="85">
        <v>76450</v>
      </c>
      <c r="C47" s="85">
        <v>11</v>
      </c>
      <c r="D47" s="85">
        <v>6950</v>
      </c>
      <c r="E47" s="85">
        <v>68650</v>
      </c>
      <c r="F47" s="85">
        <v>10</v>
      </c>
      <c r="G47" s="86">
        <v>6865</v>
      </c>
    </row>
    <row r="48" spans="1:8" x14ac:dyDescent="0.25">
      <c r="A48" s="84" t="s">
        <v>41</v>
      </c>
      <c r="B48" s="85">
        <v>65950</v>
      </c>
      <c r="C48" s="85">
        <v>10</v>
      </c>
      <c r="D48" s="85">
        <v>6595</v>
      </c>
      <c r="E48" s="85">
        <v>65950</v>
      </c>
      <c r="F48" s="85">
        <v>10</v>
      </c>
      <c r="G48" s="86">
        <v>6595</v>
      </c>
    </row>
    <row r="49" spans="1:7" x14ac:dyDescent="0.25">
      <c r="A49" s="84" t="s">
        <v>42</v>
      </c>
      <c r="B49" s="85">
        <v>44500</v>
      </c>
      <c r="C49" s="85">
        <v>5</v>
      </c>
      <c r="D49" s="85">
        <v>8900</v>
      </c>
      <c r="E49" s="85">
        <v>44500</v>
      </c>
      <c r="F49" s="85">
        <v>5</v>
      </c>
      <c r="G49" s="86">
        <v>8900</v>
      </c>
    </row>
    <row r="50" spans="1:7" x14ac:dyDescent="0.25">
      <c r="A50" s="84" t="s">
        <v>43</v>
      </c>
      <c r="B50" s="85">
        <v>42250</v>
      </c>
      <c r="C50" s="85">
        <v>4</v>
      </c>
      <c r="D50" s="85">
        <v>10562.5</v>
      </c>
      <c r="E50" s="85">
        <v>42250</v>
      </c>
      <c r="F50" s="85">
        <v>4</v>
      </c>
      <c r="G50" s="86">
        <v>10562.5</v>
      </c>
    </row>
    <row r="51" spans="1:7" x14ac:dyDescent="0.25">
      <c r="A51" s="84" t="s">
        <v>44</v>
      </c>
      <c r="B51" s="85">
        <v>42150</v>
      </c>
      <c r="C51" s="85">
        <v>7</v>
      </c>
      <c r="D51" s="85">
        <v>6021.4285714285716</v>
      </c>
      <c r="E51" s="85">
        <v>42150</v>
      </c>
      <c r="F51" s="85">
        <v>6</v>
      </c>
      <c r="G51" s="86">
        <v>7025</v>
      </c>
    </row>
    <row r="52" spans="1:7" x14ac:dyDescent="0.25">
      <c r="A52" s="84" t="s">
        <v>45</v>
      </c>
      <c r="B52" s="85">
        <v>24950</v>
      </c>
      <c r="C52" s="85">
        <v>6</v>
      </c>
      <c r="D52" s="85">
        <v>4158.333333333333</v>
      </c>
      <c r="E52" s="85">
        <v>24950</v>
      </c>
      <c r="F52" s="85">
        <v>6</v>
      </c>
      <c r="G52" s="86">
        <v>4158.333333333333</v>
      </c>
    </row>
    <row r="53" spans="1:7" x14ac:dyDescent="0.25">
      <c r="A53" s="84" t="s">
        <v>46</v>
      </c>
      <c r="B53" s="85">
        <v>14800</v>
      </c>
      <c r="C53" s="85">
        <v>3</v>
      </c>
      <c r="D53" s="85">
        <v>4933.333333333333</v>
      </c>
      <c r="E53" s="85">
        <v>14800</v>
      </c>
      <c r="F53" s="85">
        <v>3</v>
      </c>
      <c r="G53" s="86">
        <v>4933.333333333333</v>
      </c>
    </row>
    <row r="54" spans="1:7" x14ac:dyDescent="0.25">
      <c r="A54" s="93" t="s">
        <v>98</v>
      </c>
      <c r="B54" s="85">
        <v>21900</v>
      </c>
      <c r="C54" s="85">
        <v>4</v>
      </c>
      <c r="D54" s="85">
        <v>5475</v>
      </c>
      <c r="E54" s="85">
        <v>6900</v>
      </c>
      <c r="F54" s="85">
        <v>2</v>
      </c>
      <c r="G54" s="86">
        <v>3450</v>
      </c>
    </row>
    <row r="55" spans="1:7" x14ac:dyDescent="0.25">
      <c r="A55" s="93" t="s">
        <v>47</v>
      </c>
      <c r="B55" s="85">
        <v>3300</v>
      </c>
      <c r="C55" s="85">
        <v>1</v>
      </c>
      <c r="D55" s="85">
        <v>3300</v>
      </c>
      <c r="E55" s="85">
        <v>3300</v>
      </c>
      <c r="F55" s="85">
        <v>1</v>
      </c>
      <c r="G55" s="86">
        <v>3300</v>
      </c>
    </row>
    <row r="56" spans="1:7" x14ac:dyDescent="0.25">
      <c r="A56" s="93" t="s">
        <v>49</v>
      </c>
      <c r="B56" s="85">
        <v>15000</v>
      </c>
      <c r="C56" s="85">
        <v>5</v>
      </c>
      <c r="D56" s="85">
        <v>3000</v>
      </c>
      <c r="E56" s="85">
        <v>15000</v>
      </c>
      <c r="F56" s="85">
        <v>5</v>
      </c>
      <c r="G56" s="86">
        <v>3000</v>
      </c>
    </row>
    <row r="57" spans="1:7" ht="15.75" thickBot="1" x14ac:dyDescent="0.3">
      <c r="A57" s="93" t="s">
        <v>50</v>
      </c>
      <c r="B57" s="85">
        <v>6550</v>
      </c>
      <c r="C57" s="85">
        <v>2</v>
      </c>
      <c r="D57" s="85">
        <v>3275</v>
      </c>
      <c r="E57" s="85">
        <v>6550</v>
      </c>
      <c r="F57" s="85">
        <v>2</v>
      </c>
      <c r="G57" s="86">
        <v>3275</v>
      </c>
    </row>
    <row r="58" spans="1:7" ht="15.75" thickTop="1" x14ac:dyDescent="0.25">
      <c r="A58" s="94" t="s">
        <v>78</v>
      </c>
      <c r="B58" s="88">
        <v>388350</v>
      </c>
      <c r="C58" s="88">
        <v>62</v>
      </c>
      <c r="D58" s="89"/>
      <c r="E58" s="88">
        <v>363200</v>
      </c>
      <c r="F58" s="88">
        <v>57</v>
      </c>
      <c r="G58" s="90"/>
    </row>
    <row r="59" spans="1:7" x14ac:dyDescent="0.25">
      <c r="B59" s="91"/>
      <c r="C59" s="91"/>
      <c r="E59" s="91"/>
      <c r="F59" s="91"/>
    </row>
    <row r="60" spans="1:7" ht="15" customHeight="1" x14ac:dyDescent="0.25">
      <c r="B60" s="91"/>
      <c r="C60" s="91"/>
      <c r="D60" s="91"/>
      <c r="E60" s="91"/>
      <c r="F60" s="91"/>
      <c r="G60" s="91"/>
    </row>
    <row r="61" spans="1:7" ht="19.5" thickBot="1" x14ac:dyDescent="0.35">
      <c r="A61" s="79" t="s">
        <v>82</v>
      </c>
    </row>
    <row r="62" spans="1:7" ht="15.75" thickBot="1" x14ac:dyDescent="0.3">
      <c r="A62" s="325" t="s">
        <v>83</v>
      </c>
      <c r="B62" s="80" t="s">
        <v>18</v>
      </c>
      <c r="C62" s="81"/>
      <c r="D62" s="82"/>
      <c r="E62" s="81" t="s">
        <v>31</v>
      </c>
      <c r="F62" s="81"/>
      <c r="G62" s="82"/>
    </row>
    <row r="63" spans="1:7" ht="30.75" thickBot="1" x14ac:dyDescent="0.3">
      <c r="A63" s="326"/>
      <c r="B63" s="9" t="s">
        <v>63</v>
      </c>
      <c r="C63" s="9" t="s">
        <v>20</v>
      </c>
      <c r="D63" s="9" t="s">
        <v>74</v>
      </c>
      <c r="E63" s="83" t="s">
        <v>75</v>
      </c>
      <c r="F63" s="9" t="s">
        <v>32</v>
      </c>
      <c r="G63" s="9" t="s">
        <v>76</v>
      </c>
    </row>
    <row r="64" spans="1:7" x14ac:dyDescent="0.25">
      <c r="A64" s="84" t="s">
        <v>24</v>
      </c>
      <c r="B64" s="85">
        <v>58200</v>
      </c>
      <c r="C64" s="85">
        <v>9</v>
      </c>
      <c r="D64" s="85">
        <v>6466.666666666667</v>
      </c>
      <c r="E64" s="85">
        <v>58200</v>
      </c>
      <c r="F64" s="85">
        <v>9</v>
      </c>
      <c r="G64" s="86">
        <v>6466.666666666667</v>
      </c>
    </row>
    <row r="65" spans="1:7" ht="15.75" thickBot="1" x14ac:dyDescent="0.3">
      <c r="A65" s="93" t="s">
        <v>84</v>
      </c>
      <c r="B65" s="85">
        <v>330150</v>
      </c>
      <c r="C65" s="85">
        <v>53</v>
      </c>
      <c r="D65" s="85">
        <v>6229.2452830188677</v>
      </c>
      <c r="E65" s="85">
        <v>305000</v>
      </c>
      <c r="F65" s="85">
        <v>48</v>
      </c>
      <c r="G65" s="86">
        <v>6354.166666666667</v>
      </c>
    </row>
    <row r="66" spans="1:7" ht="15.75" thickTop="1" x14ac:dyDescent="0.25">
      <c r="A66" s="94" t="s">
        <v>78</v>
      </c>
      <c r="B66" s="88">
        <v>388350</v>
      </c>
      <c r="C66" s="88">
        <v>62</v>
      </c>
      <c r="D66" s="89"/>
      <c r="E66" s="88">
        <v>363200</v>
      </c>
      <c r="F66" s="88">
        <v>57</v>
      </c>
      <c r="G66" s="90"/>
    </row>
    <row r="67" spans="1:7" x14ac:dyDescent="0.25">
      <c r="B67" s="91"/>
      <c r="C67" s="91"/>
      <c r="E67" s="91"/>
      <c r="F67" s="91"/>
    </row>
    <row r="68" spans="1:7" x14ac:dyDescent="0.25">
      <c r="A68" s="102"/>
      <c r="B68" s="91"/>
      <c r="C68" s="91"/>
      <c r="D68" s="91"/>
      <c r="E68" s="91"/>
      <c r="F68" s="91"/>
      <c r="G68" s="91"/>
    </row>
    <row r="69" spans="1:7" ht="19.5" thickBot="1" x14ac:dyDescent="0.35">
      <c r="A69" s="79" t="s">
        <v>85</v>
      </c>
    </row>
    <row r="70" spans="1:7" ht="15.75" thickBot="1" x14ac:dyDescent="0.3">
      <c r="A70" s="325" t="s">
        <v>86</v>
      </c>
      <c r="B70" s="80" t="s">
        <v>18</v>
      </c>
      <c r="C70" s="81"/>
      <c r="D70" s="82"/>
      <c r="E70" s="81" t="s">
        <v>31</v>
      </c>
      <c r="F70" s="81"/>
      <c r="G70" s="82"/>
    </row>
    <row r="71" spans="1:7" ht="30.75" thickBot="1" x14ac:dyDescent="0.3">
      <c r="A71" s="338"/>
      <c r="B71" s="9" t="s">
        <v>63</v>
      </c>
      <c r="C71" s="9" t="s">
        <v>20</v>
      </c>
      <c r="D71" s="9" t="s">
        <v>74</v>
      </c>
      <c r="E71" s="83" t="s">
        <v>75</v>
      </c>
      <c r="F71" s="9" t="s">
        <v>32</v>
      </c>
      <c r="G71" s="9" t="s">
        <v>76</v>
      </c>
    </row>
    <row r="72" spans="1:7" x14ac:dyDescent="0.25">
      <c r="A72" s="84" t="s">
        <v>87</v>
      </c>
      <c r="B72" s="85">
        <v>51600</v>
      </c>
      <c r="C72" s="85">
        <v>6</v>
      </c>
      <c r="D72" s="85">
        <v>8600</v>
      </c>
      <c r="E72" s="85">
        <v>51600</v>
      </c>
      <c r="F72" s="85">
        <v>6</v>
      </c>
      <c r="G72" s="86">
        <v>8600</v>
      </c>
    </row>
    <row r="73" spans="1:7" x14ac:dyDescent="0.25">
      <c r="A73" s="93" t="s">
        <v>88</v>
      </c>
      <c r="B73" s="85">
        <v>3450</v>
      </c>
      <c r="C73" s="85">
        <v>1</v>
      </c>
      <c r="D73" s="85">
        <v>3450</v>
      </c>
      <c r="E73" s="85">
        <v>3450</v>
      </c>
      <c r="F73" s="85">
        <v>1</v>
      </c>
      <c r="G73" s="86">
        <v>3450</v>
      </c>
    </row>
    <row r="74" spans="1:7" x14ac:dyDescent="0.25">
      <c r="A74" s="93" t="s">
        <v>90</v>
      </c>
      <c r="B74" s="85">
        <v>7300</v>
      </c>
      <c r="C74" s="85">
        <v>2</v>
      </c>
      <c r="D74" s="85">
        <v>3650</v>
      </c>
      <c r="E74" s="85">
        <v>7300</v>
      </c>
      <c r="F74" s="85">
        <v>2</v>
      </c>
      <c r="G74" s="86">
        <v>3650</v>
      </c>
    </row>
    <row r="75" spans="1:7" x14ac:dyDescent="0.25">
      <c r="A75" s="93" t="s">
        <v>91</v>
      </c>
      <c r="B75" s="95">
        <v>84500</v>
      </c>
      <c r="C75" s="95">
        <v>16</v>
      </c>
      <c r="D75" s="85">
        <v>5281.25</v>
      </c>
      <c r="E75" s="95">
        <v>67150</v>
      </c>
      <c r="F75" s="95">
        <v>13</v>
      </c>
      <c r="G75" s="96">
        <v>5165.3846153846152</v>
      </c>
    </row>
    <row r="76" spans="1:7" x14ac:dyDescent="0.25">
      <c r="A76" s="93" t="s">
        <v>92</v>
      </c>
      <c r="B76" s="85">
        <v>212850</v>
      </c>
      <c r="C76" s="85">
        <v>32</v>
      </c>
      <c r="D76" s="85">
        <v>6651.5625</v>
      </c>
      <c r="E76" s="85">
        <v>205050</v>
      </c>
      <c r="F76" s="85">
        <v>30</v>
      </c>
      <c r="G76" s="86">
        <v>6835</v>
      </c>
    </row>
    <row r="77" spans="1:7" x14ac:dyDescent="0.25">
      <c r="A77" s="93" t="s">
        <v>93</v>
      </c>
      <c r="B77" s="85">
        <v>2300</v>
      </c>
      <c r="C77" s="85">
        <v>1</v>
      </c>
      <c r="D77" s="85">
        <v>2300</v>
      </c>
      <c r="E77" s="85">
        <v>2300</v>
      </c>
      <c r="F77" s="85">
        <v>1</v>
      </c>
      <c r="G77" s="86">
        <v>2300</v>
      </c>
    </row>
    <row r="78" spans="1:7" x14ac:dyDescent="0.25">
      <c r="A78" s="93" t="s">
        <v>99</v>
      </c>
      <c r="B78" s="85">
        <v>9600</v>
      </c>
      <c r="C78" s="85">
        <v>1</v>
      </c>
      <c r="D78" s="85">
        <v>9600</v>
      </c>
      <c r="E78" s="85">
        <v>9600</v>
      </c>
      <c r="F78" s="85">
        <v>1</v>
      </c>
      <c r="G78" s="86">
        <v>9600</v>
      </c>
    </row>
    <row r="79" spans="1:7" ht="15.75" thickBot="1" x14ac:dyDescent="0.3">
      <c r="A79" s="93" t="s">
        <v>94</v>
      </c>
      <c r="B79" s="85">
        <v>16750</v>
      </c>
      <c r="C79" s="85">
        <v>3</v>
      </c>
      <c r="D79" s="85">
        <v>5583.333333333333</v>
      </c>
      <c r="E79" s="85">
        <v>16750</v>
      </c>
      <c r="F79" s="85">
        <v>3</v>
      </c>
      <c r="G79" s="86">
        <v>5583.333333333333</v>
      </c>
    </row>
    <row r="80" spans="1:7" ht="15.75" thickTop="1" x14ac:dyDescent="0.25">
      <c r="A80" s="94" t="s">
        <v>78</v>
      </c>
      <c r="B80" s="88">
        <v>388350</v>
      </c>
      <c r="C80" s="88">
        <v>62</v>
      </c>
      <c r="D80" s="89"/>
      <c r="E80" s="88">
        <v>363200</v>
      </c>
      <c r="F80" s="88">
        <v>57</v>
      </c>
      <c r="G80" s="90"/>
    </row>
    <row r="81" spans="1:7" x14ac:dyDescent="0.25">
      <c r="B81" s="91"/>
      <c r="C81" s="91"/>
      <c r="D81" s="91"/>
      <c r="E81" s="91"/>
      <c r="F81" s="91"/>
      <c r="G81" s="91"/>
    </row>
    <row r="82" spans="1:7" x14ac:dyDescent="0.25">
      <c r="B82" s="91"/>
      <c r="C82" s="91"/>
      <c r="D82" s="91"/>
      <c r="E82" s="91"/>
      <c r="F82" s="91"/>
      <c r="G82" s="91"/>
    </row>
    <row r="83" spans="1:7" ht="19.5" thickBot="1" x14ac:dyDescent="0.35">
      <c r="A83" s="92" t="s">
        <v>95</v>
      </c>
    </row>
    <row r="84" spans="1:7" ht="15.75" thickBot="1" x14ac:dyDescent="0.3">
      <c r="A84" s="325" t="s">
        <v>80</v>
      </c>
      <c r="B84" s="80" t="s">
        <v>18</v>
      </c>
      <c r="C84" s="81"/>
      <c r="D84" s="82"/>
      <c r="E84" s="81" t="s">
        <v>31</v>
      </c>
      <c r="F84" s="81"/>
      <c r="G84" s="82"/>
    </row>
    <row r="85" spans="1:7" ht="30.75" thickBot="1" x14ac:dyDescent="0.3">
      <c r="A85" s="326"/>
      <c r="B85" s="9" t="s">
        <v>63</v>
      </c>
      <c r="C85" s="9" t="s">
        <v>20</v>
      </c>
      <c r="D85" s="9" t="s">
        <v>74</v>
      </c>
      <c r="E85" s="83" t="s">
        <v>75</v>
      </c>
      <c r="F85" s="9" t="s">
        <v>32</v>
      </c>
      <c r="G85" s="9" t="s">
        <v>76</v>
      </c>
    </row>
    <row r="86" spans="1:7" x14ac:dyDescent="0.25">
      <c r="A86" s="84" t="s">
        <v>43</v>
      </c>
      <c r="B86" s="85">
        <v>42250</v>
      </c>
      <c r="C86" s="85">
        <v>4</v>
      </c>
      <c r="D86" s="85">
        <v>10562.5</v>
      </c>
      <c r="E86" s="85">
        <v>42250</v>
      </c>
      <c r="F86" s="85">
        <v>4</v>
      </c>
      <c r="G86" s="86">
        <v>10562.5</v>
      </c>
    </row>
    <row r="87" spans="1:7" x14ac:dyDescent="0.25">
      <c r="A87" s="93" t="s">
        <v>44</v>
      </c>
      <c r="B87" s="85">
        <v>35250</v>
      </c>
      <c r="C87" s="85">
        <v>5</v>
      </c>
      <c r="D87" s="85">
        <v>7050</v>
      </c>
      <c r="E87" s="85">
        <v>35250</v>
      </c>
      <c r="F87" s="85">
        <v>5</v>
      </c>
      <c r="G87" s="86">
        <v>7050</v>
      </c>
    </row>
    <row r="88" spans="1:7" ht="15.75" thickBot="1" x14ac:dyDescent="0.3">
      <c r="A88" s="93" t="s">
        <v>49</v>
      </c>
      <c r="B88" s="85">
        <v>15000</v>
      </c>
      <c r="C88" s="85">
        <v>5</v>
      </c>
      <c r="D88" s="85">
        <v>3000</v>
      </c>
      <c r="E88" s="85">
        <v>15000</v>
      </c>
      <c r="F88" s="85">
        <v>5</v>
      </c>
      <c r="G88" s="86">
        <v>3000</v>
      </c>
    </row>
    <row r="89" spans="1:7" ht="15.75" thickTop="1" x14ac:dyDescent="0.25">
      <c r="A89" s="94" t="s">
        <v>78</v>
      </c>
      <c r="B89" s="88">
        <v>92500</v>
      </c>
      <c r="C89" s="88">
        <v>14</v>
      </c>
      <c r="D89" s="89"/>
      <c r="E89" s="88">
        <v>92500</v>
      </c>
      <c r="F89" s="88">
        <v>14</v>
      </c>
      <c r="G89" s="90"/>
    </row>
    <row r="90" spans="1:7" x14ac:dyDescent="0.25">
      <c r="B90" s="91"/>
      <c r="C90" s="91"/>
      <c r="D90" s="91"/>
      <c r="E90" s="91"/>
      <c r="F90" s="91"/>
      <c r="G90" s="91"/>
    </row>
  </sheetData>
  <protectedRanges>
    <protectedRange sqref="B3" name="Bereich1"/>
  </protectedRanges>
  <mergeCells count="12">
    <mergeCell ref="A70:A71"/>
    <mergeCell ref="A84:A85"/>
    <mergeCell ref="A1:F1"/>
    <mergeCell ref="A11:A12"/>
    <mergeCell ref="B11:B12"/>
    <mergeCell ref="A16:A17"/>
    <mergeCell ref="B16:B17"/>
    <mergeCell ref="A25:A26"/>
    <mergeCell ref="B25:B26"/>
    <mergeCell ref="A33:A34"/>
    <mergeCell ref="A44:A45"/>
    <mergeCell ref="A62:A6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'C:\Referatslaufwerk\EEG\8175 Ausschreibungen\8175-00 Allgemein\Statistik_Veröffentlichung\[Statistik_Veröffentlichung_Wind.xlsm]Gebotstermine'!#REF!</xm:f>
          </x14:formula1>
          <xm:sqref>I3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10">
    <tabColor rgb="FF0070C0"/>
  </sheetPr>
  <dimension ref="A1:H90"/>
  <sheetViews>
    <sheetView showGridLines="0" topLeftCell="A37" zoomScaleNormal="100" workbookViewId="0">
      <selection activeCell="A40" sqref="A40"/>
    </sheetView>
  </sheetViews>
  <sheetFormatPr defaultColWidth="9.140625" defaultRowHeight="15" x14ac:dyDescent="0.25"/>
  <cols>
    <col min="1" max="1" width="47.5703125" customWidth="1"/>
    <col min="2" max="43" width="19.28515625" customWidth="1"/>
  </cols>
  <sheetData>
    <row r="1" spans="1:8" s="99" customFormat="1" ht="48" customHeight="1" x14ac:dyDescent="0.25">
      <c r="A1" s="339" t="s">
        <v>64</v>
      </c>
      <c r="B1" s="340"/>
      <c r="C1" s="340"/>
      <c r="D1" s="340"/>
      <c r="E1" s="340"/>
      <c r="F1" s="340"/>
      <c r="H1" s="64" t="s">
        <v>96</v>
      </c>
    </row>
    <row r="2" spans="1:8" s="99" customFormat="1" ht="5.25" customHeight="1" x14ac:dyDescent="0.25">
      <c r="A2" s="1"/>
    </row>
    <row r="3" spans="1:8" x14ac:dyDescent="0.25">
      <c r="A3" s="3" t="s">
        <v>1</v>
      </c>
      <c r="B3" s="4">
        <v>43313</v>
      </c>
      <c r="C3" s="5">
        <v>20</v>
      </c>
    </row>
    <row r="4" spans="1:8" x14ac:dyDescent="0.25">
      <c r="A4" s="6"/>
      <c r="B4" s="7"/>
    </row>
    <row r="6" spans="1:8" ht="19.5" thickBot="1" x14ac:dyDescent="0.35">
      <c r="A6" s="8" t="s">
        <v>2</v>
      </c>
    </row>
    <row r="7" spans="1:8" ht="30.75" customHeight="1" thickBot="1" x14ac:dyDescent="0.3">
      <c r="A7" s="9" t="s">
        <v>3</v>
      </c>
      <c r="B7" s="9" t="s">
        <v>4</v>
      </c>
      <c r="F7" s="16"/>
      <c r="G7" s="65"/>
      <c r="H7" s="65"/>
    </row>
    <row r="8" spans="1:8" ht="15.75" thickBot="1" x14ac:dyDescent="0.3">
      <c r="A8" s="66">
        <v>670161</v>
      </c>
      <c r="B8" s="67">
        <v>6.3000001907348633</v>
      </c>
    </row>
    <row r="9" spans="1:8" ht="15" customHeight="1" x14ac:dyDescent="0.3">
      <c r="A9" s="8"/>
    </row>
    <row r="10" spans="1:8" ht="18" customHeight="1" thickBot="1" x14ac:dyDescent="0.3">
      <c r="A10" s="68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11" t="s">
        <v>7</v>
      </c>
      <c r="D11" s="12"/>
      <c r="E11" s="13"/>
      <c r="F11" s="11" t="s">
        <v>8</v>
      </c>
      <c r="G11" s="12"/>
      <c r="H11" s="13"/>
    </row>
    <row r="12" spans="1:8" ht="15.75" thickBot="1" x14ac:dyDescent="0.3">
      <c r="A12" s="332"/>
      <c r="B12" s="332"/>
      <c r="C12" s="14" t="s">
        <v>9</v>
      </c>
      <c r="D12" s="14" t="s">
        <v>10</v>
      </c>
      <c r="E12" s="14" t="s">
        <v>11</v>
      </c>
      <c r="F12" s="14" t="s">
        <v>9</v>
      </c>
      <c r="G12" s="14" t="s">
        <v>10</v>
      </c>
      <c r="H12" s="70" t="s">
        <v>12</v>
      </c>
    </row>
    <row r="13" spans="1:8" ht="15.75" thickBot="1" x14ac:dyDescent="0.3">
      <c r="A13" s="66">
        <v>708600</v>
      </c>
      <c r="B13" s="71">
        <v>91</v>
      </c>
      <c r="C13" s="71">
        <v>800</v>
      </c>
      <c r="D13" s="72">
        <v>41400</v>
      </c>
      <c r="E13" s="72">
        <v>7786.8131868131868</v>
      </c>
      <c r="F13" s="73">
        <v>4</v>
      </c>
      <c r="G13" s="74">
        <v>6.3</v>
      </c>
      <c r="H13" s="75">
        <v>6.1146848715777589</v>
      </c>
    </row>
    <row r="14" spans="1:8" ht="4.5" customHeight="1" x14ac:dyDescent="0.25">
      <c r="A14" s="61"/>
      <c r="B14" s="61"/>
      <c r="C14" s="61"/>
      <c r="D14" s="61"/>
      <c r="E14" s="61"/>
      <c r="F14" s="61"/>
      <c r="G14" s="61"/>
      <c r="H14" s="61"/>
    </row>
    <row r="15" spans="1:8" ht="18" customHeight="1" thickBot="1" x14ac:dyDescent="0.3">
      <c r="A15" s="68" t="s">
        <v>65</v>
      </c>
      <c r="B15" s="34"/>
      <c r="C15" s="34"/>
      <c r="D15" s="34"/>
      <c r="E15" s="34"/>
      <c r="F15" s="62"/>
      <c r="G15" s="62"/>
      <c r="H15" s="62"/>
    </row>
    <row r="16" spans="1:8" ht="15.75" customHeight="1" thickBot="1" x14ac:dyDescent="0.3">
      <c r="A16" s="331" t="s">
        <v>66</v>
      </c>
      <c r="B16" s="331" t="s">
        <v>67</v>
      </c>
      <c r="C16" s="11" t="s">
        <v>15</v>
      </c>
      <c r="D16" s="12"/>
      <c r="E16" s="13"/>
      <c r="F16" s="11" t="s">
        <v>16</v>
      </c>
      <c r="G16" s="12"/>
      <c r="H16" s="13"/>
    </row>
    <row r="17" spans="1:8" ht="15.75" thickBot="1" x14ac:dyDescent="0.3">
      <c r="A17" s="332"/>
      <c r="B17" s="332"/>
      <c r="C17" s="14" t="s">
        <v>9</v>
      </c>
      <c r="D17" s="14" t="s">
        <v>10</v>
      </c>
      <c r="E17" s="14" t="s">
        <v>11</v>
      </c>
      <c r="F17" s="14" t="s">
        <v>9</v>
      </c>
      <c r="G17" s="14" t="s">
        <v>10</v>
      </c>
      <c r="H17" s="14" t="s">
        <v>12</v>
      </c>
    </row>
    <row r="18" spans="1:8" ht="15.75" thickBot="1" x14ac:dyDescent="0.3">
      <c r="A18" s="66">
        <v>666450</v>
      </c>
      <c r="B18" s="71">
        <v>86</v>
      </c>
      <c r="C18" s="71">
        <v>800</v>
      </c>
      <c r="D18" s="72">
        <v>41400</v>
      </c>
      <c r="E18" s="72">
        <v>7749.4186046511632</v>
      </c>
      <c r="F18" s="73">
        <v>5.3000001907348633</v>
      </c>
      <c r="G18" s="74">
        <v>6.3000001907348633</v>
      </c>
      <c r="H18" s="75">
        <v>6.1618624549892624</v>
      </c>
    </row>
    <row r="19" spans="1:8" ht="4.5" customHeight="1" x14ac:dyDescent="0.25">
      <c r="A19" s="61"/>
      <c r="B19" s="61"/>
      <c r="C19" s="61"/>
      <c r="D19" s="61"/>
      <c r="E19" s="61"/>
      <c r="F19" s="61"/>
      <c r="G19" s="61"/>
      <c r="H19" s="61"/>
    </row>
    <row r="20" spans="1:8" ht="18" customHeight="1" thickBot="1" x14ac:dyDescent="0.3">
      <c r="A20" s="76" t="s">
        <v>68</v>
      </c>
      <c r="B20" s="34"/>
      <c r="C20" s="34"/>
      <c r="D20" s="34"/>
      <c r="E20" s="34"/>
      <c r="F20" s="62"/>
      <c r="G20" s="62"/>
      <c r="H20" s="62"/>
    </row>
    <row r="21" spans="1:8" ht="30.75" customHeight="1" thickBot="1" x14ac:dyDescent="0.3">
      <c r="A21" s="100" t="s">
        <v>66</v>
      </c>
      <c r="B21" s="100" t="s">
        <v>14</v>
      </c>
      <c r="C21" s="34"/>
      <c r="D21" s="34"/>
      <c r="E21" s="34"/>
      <c r="F21" s="62"/>
      <c r="G21" s="62"/>
      <c r="H21" s="62"/>
    </row>
    <row r="22" spans="1:8" ht="15.75" thickBot="1" x14ac:dyDescent="0.3">
      <c r="A22" s="66">
        <v>666450</v>
      </c>
      <c r="B22" s="77">
        <v>86</v>
      </c>
    </row>
    <row r="23" spans="1:8" ht="4.5" customHeight="1" x14ac:dyDescent="0.25">
      <c r="A23" s="61"/>
      <c r="B23" s="61"/>
      <c r="C23" s="34"/>
      <c r="D23" s="34"/>
      <c r="E23" s="34"/>
      <c r="F23" s="62"/>
      <c r="G23" s="62"/>
      <c r="H23" s="62"/>
    </row>
    <row r="24" spans="1:8" ht="18" customHeight="1" thickBot="1" x14ac:dyDescent="0.3">
      <c r="A24" s="68" t="s">
        <v>69</v>
      </c>
      <c r="B24" s="34"/>
      <c r="C24" s="34"/>
      <c r="D24" s="34"/>
      <c r="E24" s="34"/>
      <c r="F24" s="62"/>
      <c r="G24" s="62"/>
      <c r="H24" s="62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66">
        <v>42150</v>
      </c>
      <c r="B27" s="77">
        <v>5</v>
      </c>
    </row>
    <row r="29" spans="1:8" ht="15.75" x14ac:dyDescent="0.25">
      <c r="A29" s="78" t="s">
        <v>72</v>
      </c>
    </row>
    <row r="32" spans="1:8" ht="19.5" thickBot="1" x14ac:dyDescent="0.35">
      <c r="A32" s="79" t="s">
        <v>73</v>
      </c>
    </row>
    <row r="33" spans="1:8" ht="15.75" thickBot="1" x14ac:dyDescent="0.3">
      <c r="A33" s="325" t="s">
        <v>23</v>
      </c>
      <c r="B33" s="80" t="s">
        <v>18</v>
      </c>
      <c r="C33" s="81"/>
      <c r="D33" s="82"/>
      <c r="E33" s="81" t="s">
        <v>31</v>
      </c>
      <c r="F33" s="81"/>
      <c r="G33" s="82"/>
      <c r="H33" s="16"/>
    </row>
    <row r="34" spans="1:8" ht="30.75" thickBot="1" x14ac:dyDescent="0.3">
      <c r="A34" s="326"/>
      <c r="B34" s="9" t="s">
        <v>63</v>
      </c>
      <c r="C34" s="9" t="s">
        <v>20</v>
      </c>
      <c r="D34" s="9" t="s">
        <v>74</v>
      </c>
      <c r="E34" s="83" t="s">
        <v>75</v>
      </c>
      <c r="F34" s="9" t="s">
        <v>32</v>
      </c>
      <c r="G34" s="9" t="s">
        <v>76</v>
      </c>
      <c r="H34" s="16"/>
    </row>
    <row r="35" spans="1:8" x14ac:dyDescent="0.25">
      <c r="A35" s="84" t="s">
        <v>26</v>
      </c>
      <c r="B35" s="85">
        <v>188600</v>
      </c>
      <c r="C35" s="85">
        <v>56</v>
      </c>
      <c r="D35" s="85">
        <v>3367.8571428571427</v>
      </c>
      <c r="E35" s="85">
        <v>182650</v>
      </c>
      <c r="F35" s="85">
        <v>54</v>
      </c>
      <c r="G35" s="86">
        <v>3382.4074074074074</v>
      </c>
      <c r="H35" s="16"/>
    </row>
    <row r="36" spans="1:8" x14ac:dyDescent="0.25">
      <c r="A36" s="84" t="s">
        <v>27</v>
      </c>
      <c r="B36" s="85">
        <v>147900</v>
      </c>
      <c r="C36" s="85">
        <v>17</v>
      </c>
      <c r="D36" s="85">
        <v>8700</v>
      </c>
      <c r="E36" s="85">
        <v>130500</v>
      </c>
      <c r="F36" s="85">
        <v>15</v>
      </c>
      <c r="G36" s="86">
        <v>8700</v>
      </c>
      <c r="H36" s="16"/>
    </row>
    <row r="37" spans="1:8" x14ac:dyDescent="0.25">
      <c r="A37" s="84" t="s">
        <v>28</v>
      </c>
      <c r="B37" s="85">
        <v>156600</v>
      </c>
      <c r="C37" s="85">
        <v>10</v>
      </c>
      <c r="D37" s="85">
        <v>15660</v>
      </c>
      <c r="E37" s="85">
        <v>156600</v>
      </c>
      <c r="F37" s="85">
        <v>10</v>
      </c>
      <c r="G37" s="86">
        <v>15660</v>
      </c>
      <c r="H37" s="16"/>
    </row>
    <row r="38" spans="1:8" ht="15.75" thickBot="1" x14ac:dyDescent="0.3">
      <c r="A38" s="84" t="s">
        <v>77</v>
      </c>
      <c r="B38" s="85">
        <v>215500</v>
      </c>
      <c r="C38" s="85">
        <v>8</v>
      </c>
      <c r="D38" s="85">
        <v>26937.5</v>
      </c>
      <c r="E38" s="85">
        <v>196700</v>
      </c>
      <c r="F38" s="85">
        <v>7</v>
      </c>
      <c r="G38" s="86">
        <v>28100</v>
      </c>
      <c r="H38" s="16"/>
    </row>
    <row r="39" spans="1:8" ht="15.75" thickTop="1" x14ac:dyDescent="0.25">
      <c r="A39" s="87" t="s">
        <v>78</v>
      </c>
      <c r="B39" s="88">
        <v>708600</v>
      </c>
      <c r="C39" s="88">
        <v>91</v>
      </c>
      <c r="D39" s="89"/>
      <c r="E39" s="88">
        <v>666450</v>
      </c>
      <c r="F39" s="88">
        <v>86</v>
      </c>
      <c r="G39" s="90"/>
      <c r="H39" s="16"/>
    </row>
    <row r="40" spans="1:8" x14ac:dyDescent="0.25">
      <c r="A40" s="98"/>
      <c r="B40" s="91"/>
      <c r="C40" s="91"/>
      <c r="E40" s="91"/>
      <c r="F40" s="91"/>
      <c r="G40" s="91"/>
      <c r="H40" s="16"/>
    </row>
    <row r="41" spans="1:8" x14ac:dyDescent="0.25">
      <c r="A41" s="98"/>
      <c r="B41" s="91"/>
      <c r="C41" s="91"/>
      <c r="E41" s="91"/>
      <c r="F41" s="91"/>
      <c r="G41" s="91"/>
      <c r="H41" s="16"/>
    </row>
    <row r="42" spans="1:8" ht="19.5" thickBot="1" x14ac:dyDescent="0.35">
      <c r="A42" s="92" t="s">
        <v>79</v>
      </c>
    </row>
    <row r="43" spans="1:8" ht="15.75" thickBot="1" x14ac:dyDescent="0.3">
      <c r="A43" s="325" t="s">
        <v>80</v>
      </c>
      <c r="B43" s="80" t="s">
        <v>18</v>
      </c>
      <c r="C43" s="81"/>
      <c r="D43" s="82"/>
      <c r="E43" s="81" t="s">
        <v>31</v>
      </c>
      <c r="F43" s="81"/>
      <c r="G43" s="82"/>
    </row>
    <row r="44" spans="1:8" ht="30.75" thickBot="1" x14ac:dyDescent="0.3">
      <c r="A44" s="326"/>
      <c r="B44" s="9" t="s">
        <v>63</v>
      </c>
      <c r="C44" s="9" t="s">
        <v>20</v>
      </c>
      <c r="D44" s="9" t="s">
        <v>74</v>
      </c>
      <c r="E44" s="83" t="s">
        <v>75</v>
      </c>
      <c r="F44" s="9" t="s">
        <v>32</v>
      </c>
      <c r="G44" s="9" t="s">
        <v>76</v>
      </c>
    </row>
    <row r="45" spans="1:8" x14ac:dyDescent="0.25">
      <c r="A45" s="84" t="s">
        <v>39</v>
      </c>
      <c r="B45" s="85">
        <v>71750</v>
      </c>
      <c r="C45" s="85">
        <v>6</v>
      </c>
      <c r="D45" s="85">
        <v>11958.333333333334</v>
      </c>
      <c r="E45" s="85">
        <v>71750</v>
      </c>
      <c r="F45" s="85">
        <v>6</v>
      </c>
      <c r="G45" s="86">
        <v>11958.333333333334</v>
      </c>
    </row>
    <row r="46" spans="1:8" x14ac:dyDescent="0.25">
      <c r="A46" s="84" t="s">
        <v>40</v>
      </c>
      <c r="B46" s="85">
        <v>39200</v>
      </c>
      <c r="C46" s="85">
        <v>4</v>
      </c>
      <c r="D46" s="85">
        <v>9800</v>
      </c>
      <c r="E46" s="85">
        <v>30800</v>
      </c>
      <c r="F46" s="85">
        <v>3</v>
      </c>
      <c r="G46" s="86">
        <v>10266.666666666666</v>
      </c>
    </row>
    <row r="47" spans="1:8" x14ac:dyDescent="0.25">
      <c r="A47" s="84" t="s">
        <v>41</v>
      </c>
      <c r="B47" s="85">
        <v>136150</v>
      </c>
      <c r="C47" s="85">
        <v>23</v>
      </c>
      <c r="D47" s="85">
        <v>5919.565217391304</v>
      </c>
      <c r="E47" s="85">
        <v>136150</v>
      </c>
      <c r="F47" s="85">
        <v>23</v>
      </c>
      <c r="G47" s="86">
        <v>5919.565217391304</v>
      </c>
    </row>
    <row r="48" spans="1:8" x14ac:dyDescent="0.25">
      <c r="A48" s="84" t="s">
        <v>42</v>
      </c>
      <c r="B48" s="85">
        <v>37880</v>
      </c>
      <c r="C48" s="85">
        <v>3</v>
      </c>
      <c r="D48" s="85">
        <v>12626.666666666666</v>
      </c>
      <c r="E48" s="85">
        <v>37880</v>
      </c>
      <c r="F48" s="85">
        <v>3</v>
      </c>
      <c r="G48" s="86">
        <v>12626.666666666666</v>
      </c>
    </row>
    <row r="49" spans="1:7" x14ac:dyDescent="0.25">
      <c r="A49" s="84" t="s">
        <v>43</v>
      </c>
      <c r="B49" s="85">
        <v>88950</v>
      </c>
      <c r="C49" s="85">
        <v>8</v>
      </c>
      <c r="D49" s="85">
        <v>11118.75</v>
      </c>
      <c r="E49" s="85">
        <v>70150</v>
      </c>
      <c r="F49" s="85">
        <v>7</v>
      </c>
      <c r="G49" s="86">
        <v>10021.428571428571</v>
      </c>
    </row>
    <row r="50" spans="1:7" x14ac:dyDescent="0.25">
      <c r="A50" s="84" t="s">
        <v>44</v>
      </c>
      <c r="B50" s="85">
        <v>36120</v>
      </c>
      <c r="C50" s="85">
        <v>4</v>
      </c>
      <c r="D50" s="85">
        <v>9030</v>
      </c>
      <c r="E50" s="85">
        <v>32520</v>
      </c>
      <c r="F50" s="85">
        <v>3</v>
      </c>
      <c r="G50" s="86">
        <v>10840</v>
      </c>
    </row>
    <row r="51" spans="1:7" x14ac:dyDescent="0.25">
      <c r="A51" s="84" t="s">
        <v>45</v>
      </c>
      <c r="B51" s="85">
        <v>99700</v>
      </c>
      <c r="C51" s="85">
        <v>12</v>
      </c>
      <c r="D51" s="85">
        <v>8308.3333333333339</v>
      </c>
      <c r="E51" s="85">
        <v>99700</v>
      </c>
      <c r="F51" s="85">
        <v>12</v>
      </c>
      <c r="G51" s="86">
        <v>8308.3333333333339</v>
      </c>
    </row>
    <row r="52" spans="1:7" x14ac:dyDescent="0.25">
      <c r="A52" s="84" t="s">
        <v>46</v>
      </c>
      <c r="B52" s="85">
        <v>49550</v>
      </c>
      <c r="C52" s="85">
        <v>7</v>
      </c>
      <c r="D52" s="85">
        <v>7078.5714285714284</v>
      </c>
      <c r="E52" s="85">
        <v>49550</v>
      </c>
      <c r="F52" s="85">
        <v>7</v>
      </c>
      <c r="G52" s="86">
        <v>7078.5714285714284</v>
      </c>
    </row>
    <row r="53" spans="1:7" x14ac:dyDescent="0.25">
      <c r="A53" s="93" t="s">
        <v>98</v>
      </c>
      <c r="B53" s="85">
        <v>9000</v>
      </c>
      <c r="C53" s="85">
        <v>1</v>
      </c>
      <c r="D53" s="85">
        <v>9000</v>
      </c>
      <c r="E53" s="85">
        <v>0</v>
      </c>
      <c r="F53" s="85">
        <v>0</v>
      </c>
      <c r="G53" s="86">
        <v>0</v>
      </c>
    </row>
    <row r="54" spans="1:7" x14ac:dyDescent="0.25">
      <c r="A54" s="93" t="s">
        <v>47</v>
      </c>
      <c r="B54" s="85">
        <v>6600</v>
      </c>
      <c r="C54" s="85">
        <v>2</v>
      </c>
      <c r="D54" s="85">
        <v>3300</v>
      </c>
      <c r="E54" s="85">
        <v>6600</v>
      </c>
      <c r="F54" s="85">
        <v>2</v>
      </c>
      <c r="G54" s="86">
        <v>3300</v>
      </c>
    </row>
    <row r="55" spans="1:7" x14ac:dyDescent="0.25">
      <c r="A55" s="93" t="s">
        <v>48</v>
      </c>
      <c r="B55" s="85">
        <v>29600</v>
      </c>
      <c r="C55" s="85">
        <v>2</v>
      </c>
      <c r="D55" s="85">
        <v>14800</v>
      </c>
      <c r="E55" s="85">
        <v>29600</v>
      </c>
      <c r="F55" s="85">
        <v>2</v>
      </c>
      <c r="G55" s="86">
        <v>14800</v>
      </c>
    </row>
    <row r="56" spans="1:7" x14ac:dyDescent="0.25">
      <c r="A56" s="93" t="s">
        <v>49</v>
      </c>
      <c r="B56" s="85">
        <v>95200</v>
      </c>
      <c r="C56" s="85">
        <v>16</v>
      </c>
      <c r="D56" s="85">
        <v>5950</v>
      </c>
      <c r="E56" s="85">
        <v>95200</v>
      </c>
      <c r="F56" s="85">
        <v>16</v>
      </c>
      <c r="G56" s="86">
        <v>5950</v>
      </c>
    </row>
    <row r="57" spans="1:7" ht="15.75" thickBot="1" x14ac:dyDescent="0.3">
      <c r="A57" s="93" t="s">
        <v>50</v>
      </c>
      <c r="B57" s="85">
        <v>8900</v>
      </c>
      <c r="C57" s="85">
        <v>3</v>
      </c>
      <c r="D57" s="85">
        <v>2966.6666666666665</v>
      </c>
      <c r="E57" s="85">
        <v>6550</v>
      </c>
      <c r="F57" s="85">
        <v>2</v>
      </c>
      <c r="G57" s="86">
        <v>3275</v>
      </c>
    </row>
    <row r="58" spans="1:7" ht="15.75" thickTop="1" x14ac:dyDescent="0.25">
      <c r="A58" s="94" t="s">
        <v>78</v>
      </c>
      <c r="B58" s="88">
        <v>708600</v>
      </c>
      <c r="C58" s="88">
        <v>91</v>
      </c>
      <c r="D58" s="89"/>
      <c r="E58" s="88">
        <v>666450</v>
      </c>
      <c r="F58" s="88">
        <v>86</v>
      </c>
      <c r="G58" s="90"/>
    </row>
    <row r="59" spans="1:7" x14ac:dyDescent="0.25">
      <c r="B59" s="91"/>
      <c r="C59" s="91"/>
      <c r="E59" s="91"/>
      <c r="F59" s="91"/>
    </row>
    <row r="60" spans="1:7" ht="15" customHeight="1" x14ac:dyDescent="0.25">
      <c r="B60" s="91"/>
      <c r="C60" s="91"/>
      <c r="D60" s="91"/>
      <c r="E60" s="91"/>
      <c r="F60" s="91"/>
      <c r="G60" s="91"/>
    </row>
    <row r="61" spans="1:7" ht="19.5" thickBot="1" x14ac:dyDescent="0.35">
      <c r="A61" s="79" t="s">
        <v>82</v>
      </c>
    </row>
    <row r="62" spans="1:7" ht="15.75" thickBot="1" x14ac:dyDescent="0.3">
      <c r="A62" s="325" t="s">
        <v>83</v>
      </c>
      <c r="B62" s="80" t="s">
        <v>18</v>
      </c>
      <c r="C62" s="81"/>
      <c r="D62" s="82"/>
      <c r="E62" s="81" t="s">
        <v>31</v>
      </c>
      <c r="F62" s="81"/>
      <c r="G62" s="82"/>
    </row>
    <row r="63" spans="1:7" ht="30.75" thickBot="1" x14ac:dyDescent="0.3">
      <c r="A63" s="326"/>
      <c r="B63" s="9" t="s">
        <v>63</v>
      </c>
      <c r="C63" s="9" t="s">
        <v>20</v>
      </c>
      <c r="D63" s="9" t="s">
        <v>74</v>
      </c>
      <c r="E63" s="83" t="s">
        <v>75</v>
      </c>
      <c r="F63" s="9" t="s">
        <v>32</v>
      </c>
      <c r="G63" s="9" t="s">
        <v>76</v>
      </c>
    </row>
    <row r="64" spans="1:7" x14ac:dyDescent="0.25">
      <c r="A64" s="84" t="s">
        <v>24</v>
      </c>
      <c r="B64" s="85">
        <v>43000</v>
      </c>
      <c r="C64" s="85">
        <v>4</v>
      </c>
      <c r="D64" s="85">
        <v>10750</v>
      </c>
      <c r="E64" s="85">
        <v>43000</v>
      </c>
      <c r="F64" s="85">
        <v>4</v>
      </c>
      <c r="G64" s="86">
        <v>10750</v>
      </c>
    </row>
    <row r="65" spans="1:7" ht="15.75" thickBot="1" x14ac:dyDescent="0.3">
      <c r="A65" s="93" t="s">
        <v>84</v>
      </c>
      <c r="B65" s="85">
        <v>665600</v>
      </c>
      <c r="C65" s="85">
        <v>87</v>
      </c>
      <c r="D65" s="85">
        <v>7650.5747126436781</v>
      </c>
      <c r="E65" s="85">
        <v>623450</v>
      </c>
      <c r="F65" s="85">
        <v>82</v>
      </c>
      <c r="G65" s="86">
        <v>7603.0487804878048</v>
      </c>
    </row>
    <row r="66" spans="1:7" ht="15.75" thickTop="1" x14ac:dyDescent="0.25">
      <c r="A66" s="94" t="s">
        <v>78</v>
      </c>
      <c r="B66" s="88">
        <v>708600</v>
      </c>
      <c r="C66" s="88">
        <v>91</v>
      </c>
      <c r="D66" s="89"/>
      <c r="E66" s="88">
        <v>666450</v>
      </c>
      <c r="F66" s="88">
        <v>86</v>
      </c>
      <c r="G66" s="90"/>
    </row>
    <row r="67" spans="1:7" x14ac:dyDescent="0.25">
      <c r="B67" s="91"/>
      <c r="C67" s="91"/>
      <c r="E67" s="91"/>
      <c r="F67" s="91"/>
    </row>
    <row r="68" spans="1:7" x14ac:dyDescent="0.25">
      <c r="A68" s="98"/>
      <c r="B68" s="91"/>
      <c r="C68" s="91"/>
      <c r="D68" s="91"/>
      <c r="E68" s="91"/>
      <c r="F68" s="91"/>
      <c r="G68" s="91"/>
    </row>
    <row r="69" spans="1:7" ht="19.5" thickBot="1" x14ac:dyDescent="0.35">
      <c r="A69" s="79" t="s">
        <v>85</v>
      </c>
    </row>
    <row r="70" spans="1:7" ht="15.75" thickBot="1" x14ac:dyDescent="0.3">
      <c r="A70" s="325" t="s">
        <v>86</v>
      </c>
      <c r="B70" s="80" t="s">
        <v>18</v>
      </c>
      <c r="C70" s="81"/>
      <c r="D70" s="82"/>
      <c r="E70" s="81" t="s">
        <v>31</v>
      </c>
      <c r="F70" s="81"/>
      <c r="G70" s="82"/>
    </row>
    <row r="71" spans="1:7" ht="30.75" thickBot="1" x14ac:dyDescent="0.3">
      <c r="A71" s="338"/>
      <c r="B71" s="9" t="s">
        <v>63</v>
      </c>
      <c r="C71" s="9" t="s">
        <v>20</v>
      </c>
      <c r="D71" s="9" t="s">
        <v>74</v>
      </c>
      <c r="E71" s="83" t="s">
        <v>75</v>
      </c>
      <c r="F71" s="9" t="s">
        <v>32</v>
      </c>
      <c r="G71" s="9" t="s">
        <v>76</v>
      </c>
    </row>
    <row r="72" spans="1:7" x14ac:dyDescent="0.25">
      <c r="A72" s="84" t="s">
        <v>97</v>
      </c>
      <c r="B72" s="85">
        <v>3050</v>
      </c>
      <c r="C72" s="85">
        <v>1</v>
      </c>
      <c r="D72" s="85">
        <v>3050</v>
      </c>
      <c r="E72" s="85">
        <v>3050</v>
      </c>
      <c r="F72" s="85">
        <v>1</v>
      </c>
      <c r="G72" s="86">
        <v>3050</v>
      </c>
    </row>
    <row r="73" spans="1:7" x14ac:dyDescent="0.25">
      <c r="A73" s="93" t="s">
        <v>87</v>
      </c>
      <c r="B73" s="85">
        <v>58600</v>
      </c>
      <c r="C73" s="85">
        <v>6</v>
      </c>
      <c r="D73" s="85">
        <v>9766.6666666666661</v>
      </c>
      <c r="E73" s="85">
        <v>58600</v>
      </c>
      <c r="F73" s="85">
        <v>6</v>
      </c>
      <c r="G73" s="86">
        <v>9766.6666666666661</v>
      </c>
    </row>
    <row r="74" spans="1:7" x14ac:dyDescent="0.25">
      <c r="A74" s="93" t="s">
        <v>89</v>
      </c>
      <c r="B74" s="85">
        <v>6600</v>
      </c>
      <c r="C74" s="85">
        <v>1</v>
      </c>
      <c r="D74" s="85">
        <v>6600</v>
      </c>
      <c r="E74" s="85">
        <v>6600</v>
      </c>
      <c r="F74" s="85">
        <v>1</v>
      </c>
      <c r="G74" s="86">
        <v>6600</v>
      </c>
    </row>
    <row r="75" spans="1:7" x14ac:dyDescent="0.25">
      <c r="A75" s="93" t="s">
        <v>90</v>
      </c>
      <c r="B75" s="95">
        <v>10500</v>
      </c>
      <c r="C75" s="95">
        <v>3</v>
      </c>
      <c r="D75" s="85">
        <v>3500</v>
      </c>
      <c r="E75" s="95">
        <v>10500</v>
      </c>
      <c r="F75" s="95">
        <v>3</v>
      </c>
      <c r="G75" s="96">
        <v>3500</v>
      </c>
    </row>
    <row r="76" spans="1:7" x14ac:dyDescent="0.25">
      <c r="A76" s="93" t="s">
        <v>91</v>
      </c>
      <c r="B76" s="85">
        <v>146680</v>
      </c>
      <c r="C76" s="85">
        <v>15</v>
      </c>
      <c r="D76" s="85">
        <v>9778.6666666666661</v>
      </c>
      <c r="E76" s="85">
        <v>137680</v>
      </c>
      <c r="F76" s="85">
        <v>14</v>
      </c>
      <c r="G76" s="86">
        <v>9834.2857142857138</v>
      </c>
    </row>
    <row r="77" spans="1:7" x14ac:dyDescent="0.25">
      <c r="A77" s="93" t="s">
        <v>92</v>
      </c>
      <c r="B77" s="85">
        <v>472220</v>
      </c>
      <c r="C77" s="85">
        <v>60</v>
      </c>
      <c r="D77" s="85">
        <v>7870.333333333333</v>
      </c>
      <c r="E77" s="85">
        <v>441420</v>
      </c>
      <c r="F77" s="85">
        <v>57</v>
      </c>
      <c r="G77" s="86">
        <v>7744.2105263157891</v>
      </c>
    </row>
    <row r="78" spans="1:7" x14ac:dyDescent="0.25">
      <c r="A78" s="93" t="s">
        <v>93</v>
      </c>
      <c r="B78" s="85">
        <v>4600</v>
      </c>
      <c r="C78" s="85">
        <v>3</v>
      </c>
      <c r="D78" s="85">
        <v>1533.3333333333333</v>
      </c>
      <c r="E78" s="85">
        <v>4600</v>
      </c>
      <c r="F78" s="85">
        <v>3</v>
      </c>
      <c r="G78" s="86">
        <v>1533.3333333333333</v>
      </c>
    </row>
    <row r="79" spans="1:7" ht="15.75" thickBot="1" x14ac:dyDescent="0.3">
      <c r="A79" s="93" t="s">
        <v>94</v>
      </c>
      <c r="B79" s="85">
        <v>6350</v>
      </c>
      <c r="C79" s="85">
        <v>2</v>
      </c>
      <c r="D79" s="85">
        <v>3175</v>
      </c>
      <c r="E79" s="85">
        <v>4000</v>
      </c>
      <c r="F79" s="85">
        <v>1</v>
      </c>
      <c r="G79" s="86">
        <v>4000</v>
      </c>
    </row>
    <row r="80" spans="1:7" ht="15.75" thickTop="1" x14ac:dyDescent="0.25">
      <c r="A80" s="94" t="s">
        <v>78</v>
      </c>
      <c r="B80" s="88">
        <v>708600</v>
      </c>
      <c r="C80" s="88">
        <v>91</v>
      </c>
      <c r="D80" s="89"/>
      <c r="E80" s="88">
        <v>666450</v>
      </c>
      <c r="F80" s="88">
        <v>86</v>
      </c>
      <c r="G80" s="90"/>
    </row>
    <row r="81" spans="1:7" x14ac:dyDescent="0.25">
      <c r="B81" s="91"/>
      <c r="C81" s="91"/>
      <c r="D81" s="91"/>
      <c r="E81" s="91"/>
      <c r="F81" s="91"/>
      <c r="G81" s="91"/>
    </row>
    <row r="82" spans="1:7" x14ac:dyDescent="0.25">
      <c r="B82" s="91"/>
      <c r="C82" s="91"/>
      <c r="D82" s="91"/>
      <c r="E82" s="91"/>
      <c r="F82" s="91"/>
      <c r="G82" s="91"/>
    </row>
    <row r="83" spans="1:7" ht="19.5" thickBot="1" x14ac:dyDescent="0.35">
      <c r="A83" s="92" t="s">
        <v>95</v>
      </c>
    </row>
    <row r="84" spans="1:7" ht="15.75" thickBot="1" x14ac:dyDescent="0.3">
      <c r="A84" s="325" t="s">
        <v>80</v>
      </c>
      <c r="B84" s="80" t="s">
        <v>18</v>
      </c>
      <c r="C84" s="81"/>
      <c r="D84" s="82"/>
      <c r="E84" s="81" t="s">
        <v>31</v>
      </c>
      <c r="F84" s="81"/>
      <c r="G84" s="82"/>
    </row>
    <row r="85" spans="1:7" ht="30.75" thickBot="1" x14ac:dyDescent="0.3">
      <c r="A85" s="326"/>
      <c r="B85" s="9" t="s">
        <v>63</v>
      </c>
      <c r="C85" s="9" t="s">
        <v>20</v>
      </c>
      <c r="D85" s="9" t="s">
        <v>74</v>
      </c>
      <c r="E85" s="83" t="s">
        <v>75</v>
      </c>
      <c r="F85" s="9" t="s">
        <v>32</v>
      </c>
      <c r="G85" s="9" t="s">
        <v>76</v>
      </c>
    </row>
    <row r="86" spans="1:7" x14ac:dyDescent="0.25">
      <c r="A86" s="84" t="s">
        <v>43</v>
      </c>
      <c r="B86" s="85">
        <v>88950</v>
      </c>
      <c r="C86" s="85">
        <v>8</v>
      </c>
      <c r="D86" s="85">
        <v>11118.75</v>
      </c>
      <c r="E86" s="85">
        <v>70150</v>
      </c>
      <c r="F86" s="85">
        <v>7</v>
      </c>
      <c r="G86" s="86">
        <v>10021.428571428571</v>
      </c>
    </row>
    <row r="87" spans="1:7" x14ac:dyDescent="0.25">
      <c r="A87" s="93" t="s">
        <v>44</v>
      </c>
      <c r="B87" s="85">
        <v>18000</v>
      </c>
      <c r="C87" s="85">
        <v>2</v>
      </c>
      <c r="D87" s="85">
        <v>9000</v>
      </c>
      <c r="E87" s="85">
        <v>18000</v>
      </c>
      <c r="F87" s="85">
        <v>2</v>
      </c>
      <c r="G87" s="86">
        <v>9000</v>
      </c>
    </row>
    <row r="88" spans="1:7" ht="15.75" thickBot="1" x14ac:dyDescent="0.3">
      <c r="A88" s="93" t="s">
        <v>49</v>
      </c>
      <c r="B88" s="85">
        <v>95200</v>
      </c>
      <c r="C88" s="85">
        <v>16</v>
      </c>
      <c r="D88" s="85">
        <v>5950</v>
      </c>
      <c r="E88" s="85">
        <v>95200</v>
      </c>
      <c r="F88" s="85">
        <v>16</v>
      </c>
      <c r="G88" s="86">
        <v>5950</v>
      </c>
    </row>
    <row r="89" spans="1:7" ht="15.75" thickTop="1" x14ac:dyDescent="0.25">
      <c r="A89" s="94" t="s">
        <v>78</v>
      </c>
      <c r="B89" s="88">
        <v>202150</v>
      </c>
      <c r="C89" s="88">
        <v>26</v>
      </c>
      <c r="D89" s="89"/>
      <c r="E89" s="88">
        <v>183350</v>
      </c>
      <c r="F89" s="88">
        <v>25</v>
      </c>
      <c r="G89" s="90"/>
    </row>
    <row r="90" spans="1:7" x14ac:dyDescent="0.25">
      <c r="B90" s="91"/>
      <c r="C90" s="91"/>
      <c r="D90" s="91"/>
      <c r="E90" s="91"/>
      <c r="F90" s="91"/>
      <c r="G90" s="91"/>
    </row>
  </sheetData>
  <protectedRanges>
    <protectedRange sqref="B3" name="Bereich1"/>
  </protectedRanges>
  <mergeCells count="12">
    <mergeCell ref="A33:A34"/>
    <mergeCell ref="A43:A44"/>
    <mergeCell ref="A62:A63"/>
    <mergeCell ref="A70:A71"/>
    <mergeCell ref="A84:A85"/>
    <mergeCell ref="A25:A26"/>
    <mergeCell ref="B25:B26"/>
    <mergeCell ref="A1:F1"/>
    <mergeCell ref="A11:A12"/>
    <mergeCell ref="B11:B12"/>
    <mergeCell ref="A16:A17"/>
    <mergeCell ref="B16:B17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0000000}">
          <x14:formula1>
            <xm:f>'J:\Referatslaufwerk\EEG\8175 Ausschreibungen\8175-00 Allgemein\Statistik_Veröffentlichung\[Statistik_Veröffentlichung_Wind.xlsm]Gebotstermine'!#REF!</xm:f>
          </x14:formula1>
          <xm:sqref>I3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9">
    <tabColor rgb="FF0070C0"/>
  </sheetPr>
  <dimension ref="A1:H93"/>
  <sheetViews>
    <sheetView showGridLines="0" topLeftCell="A67" zoomScaleNormal="100" workbookViewId="0">
      <selection activeCell="A107" sqref="A107"/>
    </sheetView>
  </sheetViews>
  <sheetFormatPr defaultColWidth="9.140625" defaultRowHeight="15" x14ac:dyDescent="0.25"/>
  <cols>
    <col min="1" max="1" width="47.5703125" customWidth="1"/>
    <col min="2" max="43" width="19.28515625" customWidth="1"/>
  </cols>
  <sheetData>
    <row r="1" spans="1:8" s="63" customFormat="1" ht="48" customHeight="1" x14ac:dyDescent="0.25">
      <c r="A1" s="339" t="s">
        <v>64</v>
      </c>
      <c r="B1" s="340"/>
      <c r="C1" s="340"/>
      <c r="D1" s="340"/>
      <c r="E1" s="340"/>
      <c r="F1" s="340"/>
      <c r="H1" s="64" t="s">
        <v>96</v>
      </c>
    </row>
    <row r="2" spans="1:8" s="63" customFormat="1" ht="5.25" customHeight="1" x14ac:dyDescent="0.25">
      <c r="A2" s="1"/>
    </row>
    <row r="3" spans="1:8" x14ac:dyDescent="0.25">
      <c r="A3" s="3" t="s">
        <v>1</v>
      </c>
      <c r="B3" s="4">
        <v>43221</v>
      </c>
      <c r="C3" s="5">
        <v>18</v>
      </c>
    </row>
    <row r="4" spans="1:8" x14ac:dyDescent="0.25">
      <c r="A4" s="6"/>
      <c r="B4" s="7"/>
    </row>
    <row r="6" spans="1:8" ht="19.5" thickBot="1" x14ac:dyDescent="0.35">
      <c r="A6" s="8" t="s">
        <v>2</v>
      </c>
    </row>
    <row r="7" spans="1:8" ht="30.75" customHeight="1" thickBot="1" x14ac:dyDescent="0.3">
      <c r="A7" s="9" t="s">
        <v>3</v>
      </c>
      <c r="B7" s="9" t="s">
        <v>4</v>
      </c>
      <c r="F7" s="16"/>
      <c r="G7" s="65"/>
      <c r="H7" s="65"/>
    </row>
    <row r="8" spans="1:8" ht="15.75" thickBot="1" x14ac:dyDescent="0.3">
      <c r="A8" s="66">
        <v>670161</v>
      </c>
      <c r="B8" s="67">
        <v>6.3000001907348633</v>
      </c>
    </row>
    <row r="9" spans="1:8" ht="15" customHeight="1" x14ac:dyDescent="0.3">
      <c r="A9" s="8"/>
    </row>
    <row r="10" spans="1:8" ht="18" customHeight="1" thickBot="1" x14ac:dyDescent="0.3">
      <c r="A10" s="68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11" t="s">
        <v>7</v>
      </c>
      <c r="D11" s="12"/>
      <c r="E11" s="13"/>
      <c r="F11" s="11" t="s">
        <v>8</v>
      </c>
      <c r="G11" s="12"/>
      <c r="H11" s="13"/>
    </row>
    <row r="12" spans="1:8" ht="15.75" thickBot="1" x14ac:dyDescent="0.3">
      <c r="A12" s="332"/>
      <c r="B12" s="332"/>
      <c r="C12" s="14" t="s">
        <v>9</v>
      </c>
      <c r="D12" s="14" t="s">
        <v>10</v>
      </c>
      <c r="E12" s="14" t="s">
        <v>11</v>
      </c>
      <c r="F12" s="14" t="s">
        <v>9</v>
      </c>
      <c r="G12" s="14" t="s">
        <v>10</v>
      </c>
      <c r="H12" s="70" t="s">
        <v>12</v>
      </c>
    </row>
    <row r="13" spans="1:8" ht="15.75" thickBot="1" x14ac:dyDescent="0.3">
      <c r="A13" s="66">
        <v>604140</v>
      </c>
      <c r="B13" s="71">
        <v>111</v>
      </c>
      <c r="C13" s="71">
        <v>800</v>
      </c>
      <c r="D13" s="72">
        <v>21780</v>
      </c>
      <c r="E13" s="72">
        <v>5442.7027027027025</v>
      </c>
      <c r="F13" s="73">
        <v>4.3</v>
      </c>
      <c r="G13" s="74">
        <v>6.28</v>
      </c>
      <c r="H13" s="75">
        <v>5.4781633396232658</v>
      </c>
    </row>
    <row r="14" spans="1:8" ht="4.5" customHeight="1" x14ac:dyDescent="0.25">
      <c r="A14" s="61"/>
      <c r="B14" s="61"/>
      <c r="C14" s="61"/>
      <c r="D14" s="61"/>
      <c r="E14" s="61"/>
      <c r="F14" s="61"/>
      <c r="G14" s="61"/>
      <c r="H14" s="61"/>
    </row>
    <row r="15" spans="1:8" ht="18" customHeight="1" thickBot="1" x14ac:dyDescent="0.3">
      <c r="A15" s="68" t="s">
        <v>65</v>
      </c>
      <c r="B15" s="34"/>
      <c r="C15" s="34"/>
      <c r="D15" s="34"/>
      <c r="E15" s="34"/>
      <c r="F15" s="62"/>
      <c r="G15" s="62"/>
      <c r="H15" s="62"/>
    </row>
    <row r="16" spans="1:8" ht="15.75" customHeight="1" thickBot="1" x14ac:dyDescent="0.3">
      <c r="A16" s="331" t="s">
        <v>66</v>
      </c>
      <c r="B16" s="331" t="s">
        <v>67</v>
      </c>
      <c r="C16" s="11" t="s">
        <v>15</v>
      </c>
      <c r="D16" s="12"/>
      <c r="E16" s="13"/>
      <c r="F16" s="11" t="s">
        <v>16</v>
      </c>
      <c r="G16" s="12"/>
      <c r="H16" s="13"/>
    </row>
    <row r="17" spans="1:8" ht="15.75" thickBot="1" x14ac:dyDescent="0.3">
      <c r="A17" s="332"/>
      <c r="B17" s="332"/>
      <c r="C17" s="14" t="s">
        <v>9</v>
      </c>
      <c r="D17" s="14" t="s">
        <v>10</v>
      </c>
      <c r="E17" s="14" t="s">
        <v>11</v>
      </c>
      <c r="F17" s="14" t="s">
        <v>9</v>
      </c>
      <c r="G17" s="14" t="s">
        <v>10</v>
      </c>
      <c r="H17" s="14" t="s">
        <v>12</v>
      </c>
    </row>
    <row r="18" spans="1:8" ht="15.75" thickBot="1" x14ac:dyDescent="0.3">
      <c r="A18" s="66">
        <v>604140</v>
      </c>
      <c r="B18" s="71">
        <v>111</v>
      </c>
      <c r="C18" s="71">
        <v>800</v>
      </c>
      <c r="D18" s="72">
        <v>21780</v>
      </c>
      <c r="E18" s="72">
        <v>5442.7027027027025</v>
      </c>
      <c r="F18" s="73">
        <v>4.6500000953674316</v>
      </c>
      <c r="G18" s="74">
        <v>6.2800002098083496</v>
      </c>
      <c r="H18" s="75">
        <v>5.7279747037738868</v>
      </c>
    </row>
    <row r="19" spans="1:8" ht="4.5" customHeight="1" x14ac:dyDescent="0.25">
      <c r="A19" s="61"/>
      <c r="B19" s="61"/>
      <c r="C19" s="61"/>
      <c r="D19" s="61"/>
      <c r="E19" s="61"/>
      <c r="F19" s="61"/>
      <c r="G19" s="61"/>
      <c r="H19" s="61"/>
    </row>
    <row r="20" spans="1:8" ht="18" customHeight="1" thickBot="1" x14ac:dyDescent="0.3">
      <c r="A20" s="76" t="s">
        <v>68</v>
      </c>
      <c r="B20" s="34"/>
      <c r="C20" s="34"/>
      <c r="D20" s="34"/>
      <c r="E20" s="34"/>
      <c r="F20" s="62"/>
      <c r="G20" s="62"/>
      <c r="H20" s="62"/>
    </row>
    <row r="21" spans="1:8" ht="30.75" customHeight="1" thickBot="1" x14ac:dyDescent="0.3">
      <c r="A21" s="69" t="s">
        <v>66</v>
      </c>
      <c r="B21" s="69" t="s">
        <v>14</v>
      </c>
      <c r="C21" s="34"/>
      <c r="D21" s="34"/>
      <c r="E21" s="34"/>
      <c r="F21" s="62"/>
      <c r="G21" s="62"/>
      <c r="H21" s="62"/>
    </row>
    <row r="22" spans="1:8" ht="15.75" thickBot="1" x14ac:dyDescent="0.3">
      <c r="A22" s="66">
        <v>604140</v>
      </c>
      <c r="B22" s="77">
        <v>111</v>
      </c>
    </row>
    <row r="23" spans="1:8" ht="4.5" customHeight="1" x14ac:dyDescent="0.25">
      <c r="A23" s="61"/>
      <c r="B23" s="61"/>
      <c r="C23" s="34"/>
      <c r="D23" s="34"/>
      <c r="E23" s="34"/>
      <c r="F23" s="62"/>
      <c r="G23" s="62"/>
      <c r="H23" s="62"/>
    </row>
    <row r="24" spans="1:8" ht="18" customHeight="1" thickBot="1" x14ac:dyDescent="0.3">
      <c r="A24" s="68" t="s">
        <v>69</v>
      </c>
      <c r="B24" s="34"/>
      <c r="C24" s="34"/>
      <c r="D24" s="34"/>
      <c r="E24" s="34"/>
      <c r="F24" s="62"/>
      <c r="G24" s="62"/>
      <c r="H24" s="62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66">
        <v>0</v>
      </c>
      <c r="B27" s="77">
        <v>0</v>
      </c>
    </row>
    <row r="29" spans="1:8" ht="15.75" x14ac:dyDescent="0.25">
      <c r="A29" s="78" t="s">
        <v>72</v>
      </c>
    </row>
    <row r="32" spans="1:8" ht="19.5" thickBot="1" x14ac:dyDescent="0.35">
      <c r="A32" s="79" t="s">
        <v>73</v>
      </c>
    </row>
    <row r="33" spans="1:8" ht="15.75" thickBot="1" x14ac:dyDescent="0.3">
      <c r="A33" s="325" t="s">
        <v>23</v>
      </c>
      <c r="B33" s="80" t="s">
        <v>18</v>
      </c>
      <c r="C33" s="81"/>
      <c r="D33" s="82"/>
      <c r="E33" s="81" t="s">
        <v>31</v>
      </c>
      <c r="F33" s="81"/>
      <c r="G33" s="82"/>
      <c r="H33" s="16"/>
    </row>
    <row r="34" spans="1:8" ht="30.75" thickBot="1" x14ac:dyDescent="0.3">
      <c r="A34" s="326"/>
      <c r="B34" s="9" t="s">
        <v>63</v>
      </c>
      <c r="C34" s="9" t="s">
        <v>20</v>
      </c>
      <c r="D34" s="9" t="s">
        <v>74</v>
      </c>
      <c r="E34" s="83" t="s">
        <v>75</v>
      </c>
      <c r="F34" s="9" t="s">
        <v>32</v>
      </c>
      <c r="G34" s="9" t="s">
        <v>76</v>
      </c>
      <c r="H34" s="16"/>
    </row>
    <row r="35" spans="1:8" x14ac:dyDescent="0.25">
      <c r="A35" s="84" t="s">
        <v>26</v>
      </c>
      <c r="B35" s="85">
        <v>273750</v>
      </c>
      <c r="C35" s="85">
        <v>81</v>
      </c>
      <c r="D35" s="85">
        <v>3379.6296296296296</v>
      </c>
      <c r="E35" s="85">
        <v>273750</v>
      </c>
      <c r="F35" s="85">
        <v>81</v>
      </c>
      <c r="G35" s="86">
        <v>3379.6296296296296</v>
      </c>
      <c r="H35" s="16"/>
    </row>
    <row r="36" spans="1:8" x14ac:dyDescent="0.25">
      <c r="A36" s="84" t="s">
        <v>27</v>
      </c>
      <c r="B36" s="85">
        <v>138860</v>
      </c>
      <c r="C36" s="85">
        <v>18</v>
      </c>
      <c r="D36" s="85">
        <v>7714.4444444444443</v>
      </c>
      <c r="E36" s="85">
        <v>138860</v>
      </c>
      <c r="F36" s="85">
        <v>18</v>
      </c>
      <c r="G36" s="86">
        <v>7714.4444444444443</v>
      </c>
      <c r="H36" s="16"/>
    </row>
    <row r="37" spans="1:8" x14ac:dyDescent="0.25">
      <c r="A37" s="84" t="s">
        <v>28</v>
      </c>
      <c r="B37" s="85">
        <v>130250</v>
      </c>
      <c r="C37" s="85">
        <v>9</v>
      </c>
      <c r="D37" s="85">
        <v>14472.222222222223</v>
      </c>
      <c r="E37" s="85">
        <v>130250</v>
      </c>
      <c r="F37" s="85">
        <v>9</v>
      </c>
      <c r="G37" s="86">
        <v>14472.222222222223</v>
      </c>
      <c r="H37" s="16"/>
    </row>
    <row r="38" spans="1:8" ht="15.75" thickBot="1" x14ac:dyDescent="0.3">
      <c r="A38" s="84" t="s">
        <v>77</v>
      </c>
      <c r="B38" s="85">
        <v>61280</v>
      </c>
      <c r="C38" s="85">
        <v>3</v>
      </c>
      <c r="D38" s="85">
        <v>20426.666666666668</v>
      </c>
      <c r="E38" s="85">
        <v>61280</v>
      </c>
      <c r="F38" s="85">
        <v>3</v>
      </c>
      <c r="G38" s="86">
        <v>20426.666666666668</v>
      </c>
      <c r="H38" s="16"/>
    </row>
    <row r="39" spans="1:8" ht="15.75" thickTop="1" x14ac:dyDescent="0.25">
      <c r="A39" s="87" t="s">
        <v>78</v>
      </c>
      <c r="B39" s="88">
        <v>604140</v>
      </c>
      <c r="C39" s="88">
        <v>111</v>
      </c>
      <c r="D39" s="89"/>
      <c r="E39" s="88">
        <v>604140</v>
      </c>
      <c r="F39" s="88">
        <v>111</v>
      </c>
      <c r="G39" s="90"/>
      <c r="H39" s="16"/>
    </row>
    <row r="40" spans="1:8" x14ac:dyDescent="0.25">
      <c r="A40" s="97"/>
      <c r="B40" s="91"/>
      <c r="C40" s="91"/>
      <c r="E40" s="91"/>
      <c r="F40" s="91"/>
      <c r="G40" s="91"/>
      <c r="H40" s="16"/>
    </row>
    <row r="41" spans="1:8" x14ac:dyDescent="0.25">
      <c r="A41" s="97"/>
      <c r="B41" s="91"/>
      <c r="C41" s="91"/>
      <c r="E41" s="91"/>
      <c r="F41" s="91"/>
      <c r="G41" s="91"/>
      <c r="H41" s="16"/>
    </row>
    <row r="42" spans="1:8" x14ac:dyDescent="0.25">
      <c r="A42" s="97"/>
      <c r="B42" s="91"/>
      <c r="C42" s="91"/>
      <c r="E42" s="91"/>
      <c r="F42" s="91"/>
      <c r="G42" s="91"/>
      <c r="H42" s="16"/>
    </row>
    <row r="43" spans="1:8" ht="19.5" thickBot="1" x14ac:dyDescent="0.35">
      <c r="A43" s="92" t="s">
        <v>79</v>
      </c>
    </row>
    <row r="44" spans="1:8" ht="15.75" thickBot="1" x14ac:dyDescent="0.3">
      <c r="A44" s="325" t="s">
        <v>80</v>
      </c>
      <c r="B44" s="80" t="s">
        <v>18</v>
      </c>
      <c r="C44" s="81"/>
      <c r="D44" s="82"/>
      <c r="E44" s="81" t="s">
        <v>31</v>
      </c>
      <c r="F44" s="81"/>
      <c r="G44" s="82"/>
    </row>
    <row r="45" spans="1:8" ht="30.75" thickBot="1" x14ac:dyDescent="0.3">
      <c r="A45" s="326"/>
      <c r="B45" s="9" t="s">
        <v>63</v>
      </c>
      <c r="C45" s="9" t="s">
        <v>20</v>
      </c>
      <c r="D45" s="9" t="s">
        <v>74</v>
      </c>
      <c r="E45" s="83" t="s">
        <v>75</v>
      </c>
      <c r="F45" s="9" t="s">
        <v>32</v>
      </c>
      <c r="G45" s="9" t="s">
        <v>76</v>
      </c>
    </row>
    <row r="46" spans="1:8" x14ac:dyDescent="0.25">
      <c r="A46" s="84" t="s">
        <v>39</v>
      </c>
      <c r="B46" s="85">
        <v>34800</v>
      </c>
      <c r="C46" s="85">
        <v>5</v>
      </c>
      <c r="D46" s="85">
        <v>6960</v>
      </c>
      <c r="E46" s="85">
        <v>34800</v>
      </c>
      <c r="F46" s="85">
        <v>5</v>
      </c>
      <c r="G46" s="86">
        <v>6960</v>
      </c>
    </row>
    <row r="47" spans="1:8" x14ac:dyDescent="0.25">
      <c r="A47" s="84" t="s">
        <v>40</v>
      </c>
      <c r="B47" s="85">
        <v>2400</v>
      </c>
      <c r="C47" s="85">
        <v>1</v>
      </c>
      <c r="D47" s="85">
        <v>2400</v>
      </c>
      <c r="E47" s="85">
        <v>2400</v>
      </c>
      <c r="F47" s="85">
        <v>1</v>
      </c>
      <c r="G47" s="86">
        <v>2400</v>
      </c>
    </row>
    <row r="48" spans="1:8" x14ac:dyDescent="0.25">
      <c r="A48" s="84" t="s">
        <v>41</v>
      </c>
      <c r="B48" s="85">
        <v>87310</v>
      </c>
      <c r="C48" s="85">
        <v>16</v>
      </c>
      <c r="D48" s="85">
        <v>5456.875</v>
      </c>
      <c r="E48" s="85">
        <v>87310</v>
      </c>
      <c r="F48" s="85">
        <v>16</v>
      </c>
      <c r="G48" s="86">
        <v>5456.875</v>
      </c>
    </row>
    <row r="49" spans="1:7" x14ac:dyDescent="0.25">
      <c r="A49" s="84" t="s">
        <v>81</v>
      </c>
      <c r="B49" s="85">
        <v>3400</v>
      </c>
      <c r="C49" s="85">
        <v>1</v>
      </c>
      <c r="D49" s="85">
        <v>3400</v>
      </c>
      <c r="E49" s="85">
        <v>3400</v>
      </c>
      <c r="F49" s="85">
        <v>1</v>
      </c>
      <c r="G49" s="86">
        <v>3400</v>
      </c>
    </row>
    <row r="50" spans="1:7" x14ac:dyDescent="0.25">
      <c r="A50" s="84" t="s">
        <v>42</v>
      </c>
      <c r="B50" s="85">
        <v>24900</v>
      </c>
      <c r="C50" s="85">
        <v>3</v>
      </c>
      <c r="D50" s="85">
        <v>8300</v>
      </c>
      <c r="E50" s="85">
        <v>24900</v>
      </c>
      <c r="F50" s="85">
        <v>3</v>
      </c>
      <c r="G50" s="86">
        <v>8300</v>
      </c>
    </row>
    <row r="51" spans="1:7" x14ac:dyDescent="0.25">
      <c r="A51" s="84" t="s">
        <v>43</v>
      </c>
      <c r="B51" s="85">
        <v>59400</v>
      </c>
      <c r="C51" s="85">
        <v>12</v>
      </c>
      <c r="D51" s="85">
        <v>4950</v>
      </c>
      <c r="E51" s="85">
        <v>59400</v>
      </c>
      <c r="F51" s="85">
        <v>12</v>
      </c>
      <c r="G51" s="86">
        <v>4950</v>
      </c>
    </row>
    <row r="52" spans="1:7" x14ac:dyDescent="0.25">
      <c r="A52" s="84" t="s">
        <v>44</v>
      </c>
      <c r="B52" s="85">
        <v>55300</v>
      </c>
      <c r="C52" s="85">
        <v>8</v>
      </c>
      <c r="D52" s="85">
        <v>6912.5</v>
      </c>
      <c r="E52" s="85">
        <v>55300</v>
      </c>
      <c r="F52" s="85">
        <v>8</v>
      </c>
      <c r="G52" s="86">
        <v>6912.5</v>
      </c>
    </row>
    <row r="53" spans="1:7" x14ac:dyDescent="0.25">
      <c r="A53" s="84" t="s">
        <v>45</v>
      </c>
      <c r="B53" s="85">
        <v>139800</v>
      </c>
      <c r="C53" s="85">
        <v>34</v>
      </c>
      <c r="D53" s="85">
        <v>4111.7647058823532</v>
      </c>
      <c r="E53" s="85">
        <v>139800</v>
      </c>
      <c r="F53" s="85">
        <v>34</v>
      </c>
      <c r="G53" s="86">
        <v>4111.7647058823532</v>
      </c>
    </row>
    <row r="54" spans="1:7" x14ac:dyDescent="0.25">
      <c r="A54" s="93" t="s">
        <v>46</v>
      </c>
      <c r="B54" s="85">
        <v>50350</v>
      </c>
      <c r="C54" s="85">
        <v>11</v>
      </c>
      <c r="D54" s="85">
        <v>4577.272727272727</v>
      </c>
      <c r="E54" s="85">
        <v>50350</v>
      </c>
      <c r="F54" s="85">
        <v>11</v>
      </c>
      <c r="G54" s="86">
        <v>4577.272727272727</v>
      </c>
    </row>
    <row r="55" spans="1:7" x14ac:dyDescent="0.25">
      <c r="A55" s="93" t="s">
        <v>47</v>
      </c>
      <c r="B55" s="85">
        <v>12650</v>
      </c>
      <c r="C55" s="85">
        <v>3</v>
      </c>
      <c r="D55" s="85">
        <v>4216.666666666667</v>
      </c>
      <c r="E55" s="85">
        <v>12650</v>
      </c>
      <c r="F55" s="85">
        <v>3</v>
      </c>
      <c r="G55" s="86">
        <v>4216.666666666667</v>
      </c>
    </row>
    <row r="56" spans="1:7" x14ac:dyDescent="0.25">
      <c r="A56" s="93" t="s">
        <v>48</v>
      </c>
      <c r="B56" s="85">
        <v>79580</v>
      </c>
      <c r="C56" s="85">
        <v>7</v>
      </c>
      <c r="D56" s="85">
        <v>11368.571428571429</v>
      </c>
      <c r="E56" s="85">
        <v>79580</v>
      </c>
      <c r="F56" s="85">
        <v>7</v>
      </c>
      <c r="G56" s="86">
        <v>11368.571428571429</v>
      </c>
    </row>
    <row r="57" spans="1:7" x14ac:dyDescent="0.25">
      <c r="A57" s="93" t="s">
        <v>49</v>
      </c>
      <c r="B57" s="85">
        <v>33300</v>
      </c>
      <c r="C57" s="85">
        <v>7</v>
      </c>
      <c r="D57" s="85">
        <v>4757.1428571428569</v>
      </c>
      <c r="E57" s="85">
        <v>33300</v>
      </c>
      <c r="F57" s="85">
        <v>7</v>
      </c>
      <c r="G57" s="86">
        <v>4757.1428571428569</v>
      </c>
    </row>
    <row r="58" spans="1:7" ht="15.75" thickBot="1" x14ac:dyDescent="0.3">
      <c r="A58" s="93" t="s">
        <v>50</v>
      </c>
      <c r="B58" s="85">
        <v>20950</v>
      </c>
      <c r="C58" s="85">
        <v>3</v>
      </c>
      <c r="D58" s="85">
        <v>6983.333333333333</v>
      </c>
      <c r="E58" s="85">
        <v>20950</v>
      </c>
      <c r="F58" s="85">
        <v>3</v>
      </c>
      <c r="G58" s="86">
        <v>6983.333333333333</v>
      </c>
    </row>
    <row r="59" spans="1:7" ht="15.75" thickTop="1" x14ac:dyDescent="0.25">
      <c r="A59" s="94" t="s">
        <v>78</v>
      </c>
      <c r="B59" s="88">
        <v>604140</v>
      </c>
      <c r="C59" s="88">
        <v>111</v>
      </c>
      <c r="D59" s="89"/>
      <c r="E59" s="88">
        <v>604140</v>
      </c>
      <c r="F59" s="88">
        <v>111</v>
      </c>
      <c r="G59" s="90"/>
    </row>
    <row r="60" spans="1:7" x14ac:dyDescent="0.25">
      <c r="B60" s="91"/>
      <c r="C60" s="91"/>
      <c r="E60" s="91"/>
      <c r="F60" s="91"/>
    </row>
    <row r="61" spans="1:7" x14ac:dyDescent="0.25">
      <c r="B61" s="91"/>
      <c r="C61" s="91"/>
      <c r="E61" s="91"/>
      <c r="F61" s="91"/>
    </row>
    <row r="62" spans="1:7" ht="15" customHeight="1" x14ac:dyDescent="0.25">
      <c r="B62" s="91"/>
      <c r="C62" s="91"/>
      <c r="D62" s="91"/>
      <c r="E62" s="91"/>
      <c r="F62" s="91"/>
      <c r="G62" s="91"/>
    </row>
    <row r="63" spans="1:7" ht="19.5" thickBot="1" x14ac:dyDescent="0.35">
      <c r="A63" s="79" t="s">
        <v>82</v>
      </c>
    </row>
    <row r="64" spans="1:7" ht="15.75" thickBot="1" x14ac:dyDescent="0.3">
      <c r="A64" s="325" t="s">
        <v>83</v>
      </c>
      <c r="B64" s="80" t="s">
        <v>18</v>
      </c>
      <c r="C64" s="81"/>
      <c r="D64" s="82"/>
      <c r="E64" s="81" t="s">
        <v>31</v>
      </c>
      <c r="F64" s="81"/>
      <c r="G64" s="82"/>
    </row>
    <row r="65" spans="1:7" ht="30.75" thickBot="1" x14ac:dyDescent="0.3">
      <c r="A65" s="326"/>
      <c r="B65" s="9" t="s">
        <v>63</v>
      </c>
      <c r="C65" s="9" t="s">
        <v>20</v>
      </c>
      <c r="D65" s="9" t="s">
        <v>74</v>
      </c>
      <c r="E65" s="83" t="s">
        <v>75</v>
      </c>
      <c r="F65" s="9" t="s">
        <v>32</v>
      </c>
      <c r="G65" s="9" t="s">
        <v>76</v>
      </c>
    </row>
    <row r="66" spans="1:7" x14ac:dyDescent="0.25">
      <c r="A66" s="84" t="s">
        <v>24</v>
      </c>
      <c r="B66" s="85">
        <v>113400</v>
      </c>
      <c r="C66" s="85">
        <v>15</v>
      </c>
      <c r="D66" s="85">
        <v>7560</v>
      </c>
      <c r="E66" s="85">
        <v>113400</v>
      </c>
      <c r="F66" s="85">
        <v>15</v>
      </c>
      <c r="G66" s="86">
        <v>7560</v>
      </c>
    </row>
    <row r="67" spans="1:7" ht="15.75" thickBot="1" x14ac:dyDescent="0.3">
      <c r="A67" s="93" t="s">
        <v>84</v>
      </c>
      <c r="B67" s="85">
        <v>490740</v>
      </c>
      <c r="C67" s="85">
        <v>96</v>
      </c>
      <c r="D67" s="85">
        <v>5111.875</v>
      </c>
      <c r="E67" s="85">
        <v>490740</v>
      </c>
      <c r="F67" s="85">
        <v>96</v>
      </c>
      <c r="G67" s="86">
        <v>5111.875</v>
      </c>
    </row>
    <row r="68" spans="1:7" ht="15.75" thickTop="1" x14ac:dyDescent="0.25">
      <c r="A68" s="94" t="s">
        <v>78</v>
      </c>
      <c r="B68" s="88">
        <v>604140</v>
      </c>
      <c r="C68" s="88">
        <v>111</v>
      </c>
      <c r="D68" s="89"/>
      <c r="E68" s="88">
        <v>604140</v>
      </c>
      <c r="F68" s="88">
        <v>111</v>
      </c>
      <c r="G68" s="90"/>
    </row>
    <row r="69" spans="1:7" x14ac:dyDescent="0.25">
      <c r="B69" s="91"/>
      <c r="C69" s="91"/>
      <c r="E69" s="91"/>
      <c r="F69" s="91"/>
    </row>
    <row r="70" spans="1:7" x14ac:dyDescent="0.25">
      <c r="A70" s="97"/>
      <c r="B70" s="91"/>
      <c r="C70" s="91"/>
      <c r="D70" s="91"/>
      <c r="E70" s="91"/>
      <c r="F70" s="91"/>
      <c r="G70" s="91"/>
    </row>
    <row r="71" spans="1:7" ht="19.5" thickBot="1" x14ac:dyDescent="0.35">
      <c r="A71" s="79" t="s">
        <v>85</v>
      </c>
    </row>
    <row r="72" spans="1:7" ht="15.75" thickBot="1" x14ac:dyDescent="0.3">
      <c r="A72" s="325" t="s">
        <v>86</v>
      </c>
      <c r="B72" s="80" t="s">
        <v>18</v>
      </c>
      <c r="C72" s="81"/>
      <c r="D72" s="82"/>
      <c r="E72" s="81" t="s">
        <v>31</v>
      </c>
      <c r="F72" s="81"/>
      <c r="G72" s="82"/>
    </row>
    <row r="73" spans="1:7" ht="30.75" thickBot="1" x14ac:dyDescent="0.3">
      <c r="A73" s="338"/>
      <c r="B73" s="9" t="s">
        <v>63</v>
      </c>
      <c r="C73" s="9" t="s">
        <v>20</v>
      </c>
      <c r="D73" s="9" t="s">
        <v>74</v>
      </c>
      <c r="E73" s="83" t="s">
        <v>75</v>
      </c>
      <c r="F73" s="9" t="s">
        <v>32</v>
      </c>
      <c r="G73" s="9" t="s">
        <v>76</v>
      </c>
    </row>
    <row r="74" spans="1:7" x14ac:dyDescent="0.25">
      <c r="A74" s="84" t="s">
        <v>87</v>
      </c>
      <c r="B74" s="85">
        <v>20510</v>
      </c>
      <c r="C74" s="85">
        <v>5</v>
      </c>
      <c r="D74" s="85">
        <v>4102</v>
      </c>
      <c r="E74" s="85">
        <v>20510</v>
      </c>
      <c r="F74" s="85">
        <v>5</v>
      </c>
      <c r="G74" s="86">
        <v>4102</v>
      </c>
    </row>
    <row r="75" spans="1:7" x14ac:dyDescent="0.25">
      <c r="A75" s="93" t="s">
        <v>88</v>
      </c>
      <c r="B75" s="85">
        <v>7300</v>
      </c>
      <c r="C75" s="85">
        <v>1</v>
      </c>
      <c r="D75" s="85">
        <v>7300</v>
      </c>
      <c r="E75" s="85">
        <v>7300</v>
      </c>
      <c r="F75" s="85">
        <v>1</v>
      </c>
      <c r="G75" s="86">
        <v>7300</v>
      </c>
    </row>
    <row r="76" spans="1:7" x14ac:dyDescent="0.25">
      <c r="A76" s="93" t="s">
        <v>89</v>
      </c>
      <c r="B76" s="85">
        <v>2300</v>
      </c>
      <c r="C76" s="85">
        <v>1</v>
      </c>
      <c r="D76" s="85">
        <v>2300</v>
      </c>
      <c r="E76" s="85">
        <v>2300</v>
      </c>
      <c r="F76" s="85">
        <v>1</v>
      </c>
      <c r="G76" s="86">
        <v>2300</v>
      </c>
    </row>
    <row r="77" spans="1:7" x14ac:dyDescent="0.25">
      <c r="A77" s="93" t="s">
        <v>90</v>
      </c>
      <c r="B77" s="95">
        <v>2300</v>
      </c>
      <c r="C77" s="95">
        <v>1</v>
      </c>
      <c r="D77" s="85">
        <v>2300</v>
      </c>
      <c r="E77" s="95">
        <v>2300</v>
      </c>
      <c r="F77" s="95">
        <v>1</v>
      </c>
      <c r="G77" s="96">
        <v>2300</v>
      </c>
    </row>
    <row r="78" spans="1:7" x14ac:dyDescent="0.25">
      <c r="A78" s="93" t="s">
        <v>91</v>
      </c>
      <c r="B78" s="85">
        <v>124250</v>
      </c>
      <c r="C78" s="85">
        <v>28</v>
      </c>
      <c r="D78" s="85">
        <v>4437.5</v>
      </c>
      <c r="E78" s="85">
        <v>124250</v>
      </c>
      <c r="F78" s="85">
        <v>28</v>
      </c>
      <c r="G78" s="86">
        <v>4437.5</v>
      </c>
    </row>
    <row r="79" spans="1:7" x14ac:dyDescent="0.25">
      <c r="A79" s="93" t="s">
        <v>92</v>
      </c>
      <c r="B79" s="85">
        <v>419680</v>
      </c>
      <c r="C79" s="85">
        <v>72</v>
      </c>
      <c r="D79" s="85">
        <v>5828.8888888888887</v>
      </c>
      <c r="E79" s="85">
        <v>419680</v>
      </c>
      <c r="F79" s="85">
        <v>72</v>
      </c>
      <c r="G79" s="86">
        <v>5828.8888888888887</v>
      </c>
    </row>
    <row r="80" spans="1:7" x14ac:dyDescent="0.25">
      <c r="A80" s="93" t="s">
        <v>93</v>
      </c>
      <c r="B80" s="85">
        <v>4800</v>
      </c>
      <c r="C80" s="85">
        <v>1</v>
      </c>
      <c r="D80" s="85">
        <v>4800</v>
      </c>
      <c r="E80" s="85">
        <v>4800</v>
      </c>
      <c r="F80" s="85">
        <v>1</v>
      </c>
      <c r="G80" s="86">
        <v>4800</v>
      </c>
    </row>
    <row r="81" spans="1:7" ht="15.75" thickBot="1" x14ac:dyDescent="0.3">
      <c r="A81" s="93" t="s">
        <v>94</v>
      </c>
      <c r="B81" s="85">
        <v>23000</v>
      </c>
      <c r="C81" s="85">
        <v>2</v>
      </c>
      <c r="D81" s="85">
        <v>11500</v>
      </c>
      <c r="E81" s="85">
        <v>23000</v>
      </c>
      <c r="F81" s="85">
        <v>2</v>
      </c>
      <c r="G81" s="86">
        <v>11500</v>
      </c>
    </row>
    <row r="82" spans="1:7" ht="15.75" thickTop="1" x14ac:dyDescent="0.25">
      <c r="A82" s="94" t="s">
        <v>78</v>
      </c>
      <c r="B82" s="88">
        <v>604140</v>
      </c>
      <c r="C82" s="88">
        <v>111</v>
      </c>
      <c r="D82" s="89"/>
      <c r="E82" s="88">
        <v>604140</v>
      </c>
      <c r="F82" s="88">
        <v>111</v>
      </c>
      <c r="G82" s="90"/>
    </row>
    <row r="83" spans="1:7" x14ac:dyDescent="0.25">
      <c r="B83" s="91"/>
      <c r="C83" s="91"/>
      <c r="D83" s="91"/>
      <c r="E83" s="91"/>
      <c r="F83" s="91"/>
      <c r="G83" s="91"/>
    </row>
    <row r="84" spans="1:7" x14ac:dyDescent="0.25">
      <c r="B84" s="91"/>
      <c r="C84" s="91"/>
      <c r="D84" s="91"/>
      <c r="E84" s="91"/>
      <c r="F84" s="91"/>
      <c r="G84" s="91"/>
    </row>
    <row r="85" spans="1:7" x14ac:dyDescent="0.25">
      <c r="B85" s="91"/>
      <c r="C85" s="91"/>
      <c r="D85" s="91"/>
      <c r="E85" s="91"/>
      <c r="F85" s="91"/>
      <c r="G85" s="91"/>
    </row>
    <row r="86" spans="1:7" ht="19.5" thickBot="1" x14ac:dyDescent="0.35">
      <c r="A86" s="92" t="s">
        <v>95</v>
      </c>
    </row>
    <row r="87" spans="1:7" ht="15.75" thickBot="1" x14ac:dyDescent="0.3">
      <c r="A87" s="325" t="s">
        <v>80</v>
      </c>
      <c r="B87" s="80" t="s">
        <v>18</v>
      </c>
      <c r="C87" s="81"/>
      <c r="D87" s="82"/>
      <c r="E87" s="81" t="s">
        <v>31</v>
      </c>
      <c r="F87" s="81"/>
      <c r="G87" s="82"/>
    </row>
    <row r="88" spans="1:7" ht="30.75" thickBot="1" x14ac:dyDescent="0.3">
      <c r="A88" s="326"/>
      <c r="B88" s="9" t="s">
        <v>63</v>
      </c>
      <c r="C88" s="9" t="s">
        <v>20</v>
      </c>
      <c r="D88" s="9" t="s">
        <v>74</v>
      </c>
      <c r="E88" s="83" t="s">
        <v>75</v>
      </c>
      <c r="F88" s="9" t="s">
        <v>32</v>
      </c>
      <c r="G88" s="9" t="s">
        <v>76</v>
      </c>
    </row>
    <row r="89" spans="1:7" x14ac:dyDescent="0.25">
      <c r="A89" s="84" t="s">
        <v>81</v>
      </c>
      <c r="B89" s="85">
        <v>3400</v>
      </c>
      <c r="C89" s="85">
        <v>1</v>
      </c>
      <c r="D89" s="85">
        <v>3400</v>
      </c>
      <c r="E89" s="85">
        <v>3400</v>
      </c>
      <c r="F89" s="85">
        <v>1</v>
      </c>
      <c r="G89" s="86">
        <v>3400</v>
      </c>
    </row>
    <row r="90" spans="1:7" x14ac:dyDescent="0.25">
      <c r="A90" s="93" t="s">
        <v>43</v>
      </c>
      <c r="B90" s="85">
        <v>59400</v>
      </c>
      <c r="C90" s="85">
        <v>12</v>
      </c>
      <c r="D90" s="85">
        <v>4950</v>
      </c>
      <c r="E90" s="85">
        <v>59400</v>
      </c>
      <c r="F90" s="85">
        <v>12</v>
      </c>
      <c r="G90" s="86">
        <v>4950</v>
      </c>
    </row>
    <row r="91" spans="1:7" x14ac:dyDescent="0.25">
      <c r="A91" s="93" t="s">
        <v>44</v>
      </c>
      <c r="B91" s="85">
        <v>3450</v>
      </c>
      <c r="C91" s="85">
        <v>1</v>
      </c>
      <c r="D91" s="85">
        <v>3450</v>
      </c>
      <c r="E91" s="85">
        <v>3450</v>
      </c>
      <c r="F91" s="85">
        <v>1</v>
      </c>
      <c r="G91" s="86">
        <v>3450</v>
      </c>
    </row>
    <row r="92" spans="1:7" ht="15.75" thickBot="1" x14ac:dyDescent="0.3">
      <c r="A92" s="93" t="s">
        <v>49</v>
      </c>
      <c r="B92" s="85">
        <v>33300</v>
      </c>
      <c r="C92" s="85">
        <v>7</v>
      </c>
      <c r="D92" s="85">
        <v>4757.1428571428569</v>
      </c>
      <c r="E92" s="85">
        <v>33300</v>
      </c>
      <c r="F92" s="85">
        <v>7</v>
      </c>
      <c r="G92" s="86">
        <v>4757.1428571428569</v>
      </c>
    </row>
    <row r="93" spans="1:7" ht="15.75" thickTop="1" x14ac:dyDescent="0.25">
      <c r="A93" s="94" t="s">
        <v>78</v>
      </c>
      <c r="B93" s="88">
        <v>99550</v>
      </c>
      <c r="C93" s="88">
        <v>21</v>
      </c>
      <c r="D93" s="89"/>
      <c r="E93" s="88">
        <v>99550</v>
      </c>
      <c r="F93" s="88">
        <v>21</v>
      </c>
      <c r="G93" s="90"/>
    </row>
  </sheetData>
  <protectedRanges>
    <protectedRange sqref="B3" name="Bereich1"/>
  </protectedRanges>
  <mergeCells count="12">
    <mergeCell ref="A25:A26"/>
    <mergeCell ref="B25:B26"/>
    <mergeCell ref="A1:F1"/>
    <mergeCell ref="A11:A12"/>
    <mergeCell ref="B11:B12"/>
    <mergeCell ref="A16:A17"/>
    <mergeCell ref="B16:B17"/>
    <mergeCell ref="A33:A34"/>
    <mergeCell ref="A44:A45"/>
    <mergeCell ref="A64:A65"/>
    <mergeCell ref="A72:A73"/>
    <mergeCell ref="A87:A88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0000000}">
          <x14:formula1>
            <xm:f>'J:\Referatslaufwerk\EEG\8175 Ausschreibungen\8175-00 Allgemein\Statistik_Veröffentlichung\[Statistik_Veröffentlichung_Wind.xlsm]Gebotstermine'!#REF!</xm:f>
          </x14:formula1>
          <xm:sqref>I3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>
    <tabColor rgb="FF0070C0"/>
  </sheetPr>
  <dimension ref="A1:T90"/>
  <sheetViews>
    <sheetView showGridLines="0" zoomScale="85" zoomScaleNormal="85" workbookViewId="0">
      <selection activeCell="C12" sqref="C12"/>
    </sheetView>
  </sheetViews>
  <sheetFormatPr defaultColWidth="9.140625" defaultRowHeight="15" x14ac:dyDescent="0.25"/>
  <cols>
    <col min="1" max="1" width="25.28515625" customWidth="1"/>
    <col min="2" max="10" width="15.7109375" customWidth="1"/>
    <col min="11" max="11" width="24.7109375" customWidth="1"/>
    <col min="12" max="13" width="28.85546875" customWidth="1"/>
    <col min="14" max="14" width="29.140625" customWidth="1"/>
    <col min="15" max="15" width="33.5703125" customWidth="1"/>
    <col min="16" max="16" width="18.140625" customWidth="1"/>
    <col min="17" max="17" width="20.28515625" customWidth="1"/>
    <col min="18" max="18" width="24.7109375" customWidth="1"/>
    <col min="19" max="19" width="12.5703125" customWidth="1"/>
    <col min="28" max="28" width="7.85546875" customWidth="1"/>
    <col min="29" max="30" width="7.28515625" customWidth="1"/>
  </cols>
  <sheetData>
    <row r="1" spans="1:8" s="2" customFormat="1" ht="38.25" customHeight="1" x14ac:dyDescent="0.25">
      <c r="A1" s="1" t="s">
        <v>0</v>
      </c>
    </row>
    <row r="2" spans="1:8" s="2" customFormat="1" ht="5.25" customHeight="1" x14ac:dyDescent="0.25">
      <c r="A2" s="1"/>
    </row>
    <row r="3" spans="1:8" x14ac:dyDescent="0.25">
      <c r="A3" s="3" t="s">
        <v>1</v>
      </c>
      <c r="B3" s="4">
        <v>43132</v>
      </c>
      <c r="C3" s="5">
        <v>16</v>
      </c>
    </row>
    <row r="4" spans="1:8" x14ac:dyDescent="0.25">
      <c r="A4" s="6"/>
      <c r="B4" s="7"/>
    </row>
    <row r="6" spans="1:8" ht="19.5" thickBot="1" x14ac:dyDescent="0.35">
      <c r="A6" s="8" t="s">
        <v>2</v>
      </c>
    </row>
    <row r="7" spans="1:8" ht="45.75" thickBot="1" x14ac:dyDescent="0.3">
      <c r="A7" s="9" t="s">
        <v>3</v>
      </c>
      <c r="B7" s="10" t="s">
        <v>4</v>
      </c>
    </row>
    <row r="8" spans="1:8" ht="15.75" thickBot="1" x14ac:dyDescent="0.3">
      <c r="A8" s="52">
        <v>700000</v>
      </c>
      <c r="B8" s="59">
        <v>6.3000001907348633</v>
      </c>
    </row>
    <row r="9" spans="1:8" ht="19.5" thickBot="1" x14ac:dyDescent="0.35">
      <c r="A9" s="8"/>
    </row>
    <row r="10" spans="1:8" ht="15.75" thickBot="1" x14ac:dyDescent="0.3">
      <c r="A10" s="343" t="s">
        <v>5</v>
      </c>
      <c r="B10" s="343" t="s">
        <v>6</v>
      </c>
      <c r="C10" s="11" t="s">
        <v>7</v>
      </c>
      <c r="D10" s="12"/>
      <c r="E10" s="13"/>
      <c r="F10" s="11" t="s">
        <v>8</v>
      </c>
      <c r="G10" s="12"/>
      <c r="H10" s="13"/>
    </row>
    <row r="11" spans="1:8" ht="15.75" thickBot="1" x14ac:dyDescent="0.3">
      <c r="A11" s="344"/>
      <c r="B11" s="345"/>
      <c r="C11" s="14" t="s">
        <v>9</v>
      </c>
      <c r="D11" s="14" t="s">
        <v>10</v>
      </c>
      <c r="E11" s="14" t="s">
        <v>11</v>
      </c>
      <c r="F11" s="14" t="s">
        <v>9</v>
      </c>
      <c r="G11" s="14" t="s">
        <v>10</v>
      </c>
      <c r="H11" s="14" t="s">
        <v>12</v>
      </c>
    </row>
    <row r="12" spans="1:8" ht="15.75" thickBot="1" x14ac:dyDescent="0.3">
      <c r="A12" s="52">
        <v>989306</v>
      </c>
      <c r="B12" s="53">
        <v>132</v>
      </c>
      <c r="C12" s="52">
        <v>2000</v>
      </c>
      <c r="D12" s="54">
        <v>24400</v>
      </c>
      <c r="E12" s="55">
        <v>7494.742424242424</v>
      </c>
      <c r="F12" s="56">
        <v>3.8</v>
      </c>
      <c r="G12" s="57">
        <v>6.28</v>
      </c>
      <c r="H12" s="58">
        <v>4.9049266051151008</v>
      </c>
    </row>
    <row r="13" spans="1:8" ht="15.75" thickBot="1" x14ac:dyDescent="0.3">
      <c r="A13" s="15"/>
      <c r="B13" s="15"/>
    </row>
    <row r="14" spans="1:8" ht="15.75" thickBot="1" x14ac:dyDescent="0.3">
      <c r="A14" s="343" t="s">
        <v>13</v>
      </c>
      <c r="B14" s="343" t="s">
        <v>14</v>
      </c>
      <c r="C14" s="11" t="s">
        <v>15</v>
      </c>
      <c r="D14" s="12"/>
      <c r="E14" s="13"/>
      <c r="F14" s="11" t="s">
        <v>16</v>
      </c>
      <c r="G14" s="12"/>
      <c r="H14" s="13"/>
    </row>
    <row r="15" spans="1:8" ht="15.75" thickBot="1" x14ac:dyDescent="0.3">
      <c r="A15" s="345"/>
      <c r="B15" s="344"/>
      <c r="C15" s="14" t="s">
        <v>9</v>
      </c>
      <c r="D15" s="14" t="s">
        <v>10</v>
      </c>
      <c r="E15" s="14" t="s">
        <v>11</v>
      </c>
      <c r="F15" s="14" t="s">
        <v>9</v>
      </c>
      <c r="G15" s="14" t="s">
        <v>10</v>
      </c>
      <c r="H15" s="14" t="s">
        <v>12</v>
      </c>
    </row>
    <row r="16" spans="1:8" ht="15.75" thickBot="1" x14ac:dyDescent="0.3">
      <c r="A16" s="52">
        <v>708926</v>
      </c>
      <c r="B16" s="53">
        <v>83</v>
      </c>
      <c r="C16" s="52">
        <v>2000</v>
      </c>
      <c r="D16" s="54">
        <v>24400</v>
      </c>
      <c r="E16" s="55">
        <v>8541.2771084337346</v>
      </c>
      <c r="F16" s="56">
        <v>3.7999999523162842</v>
      </c>
      <c r="G16" s="57">
        <v>5.2800002098083496</v>
      </c>
      <c r="H16" s="58">
        <v>4.7337749498106776</v>
      </c>
    </row>
    <row r="19" spans="1:20" ht="18.75" x14ac:dyDescent="0.3">
      <c r="A19" s="8" t="s">
        <v>17</v>
      </c>
      <c r="F19" s="16"/>
      <c r="G19" s="16"/>
      <c r="H19" s="16"/>
      <c r="I19" s="16"/>
    </row>
    <row r="20" spans="1:20" x14ac:dyDescent="0.25">
      <c r="A20" s="17" t="s">
        <v>18</v>
      </c>
      <c r="B20" s="18"/>
      <c r="C20" s="18"/>
    </row>
    <row r="21" spans="1:20" s="22" customFormat="1" ht="2.1" customHeight="1" thickBot="1" x14ac:dyDescent="0.3">
      <c r="A21" s="19"/>
      <c r="B21" s="20" t="s">
        <v>19</v>
      </c>
      <c r="C21" s="20"/>
      <c r="D21" s="21"/>
      <c r="E21" s="21"/>
      <c r="F21" s="21"/>
      <c r="G21" s="21"/>
      <c r="J21"/>
      <c r="K21"/>
      <c r="L21"/>
      <c r="M21"/>
      <c r="N21"/>
      <c r="O21"/>
      <c r="P21"/>
      <c r="Q21"/>
      <c r="R21"/>
      <c r="S21"/>
      <c r="T21"/>
    </row>
    <row r="22" spans="1:20" ht="45.75" thickBot="1" x14ac:dyDescent="0.3">
      <c r="A22" s="23"/>
      <c r="B22" s="24" t="s">
        <v>7</v>
      </c>
      <c r="C22" s="25"/>
      <c r="D22" s="24" t="s">
        <v>20</v>
      </c>
      <c r="E22" s="25"/>
      <c r="F22" s="26" t="s">
        <v>21</v>
      </c>
      <c r="G22" s="26" t="s">
        <v>22</v>
      </c>
    </row>
    <row r="23" spans="1:20" ht="15.75" thickBot="1" x14ac:dyDescent="0.3">
      <c r="A23" s="27" t="s">
        <v>23</v>
      </c>
      <c r="B23" s="28" t="s">
        <v>24</v>
      </c>
      <c r="C23" s="29" t="s">
        <v>25</v>
      </c>
      <c r="D23" s="28" t="s">
        <v>24</v>
      </c>
      <c r="E23" s="29" t="s">
        <v>25</v>
      </c>
      <c r="F23" s="30"/>
      <c r="G23" s="30"/>
    </row>
    <row r="24" spans="1:20" x14ac:dyDescent="0.25">
      <c r="A24" s="31" t="s">
        <v>26</v>
      </c>
      <c r="B24" s="32">
        <v>26600</v>
      </c>
      <c r="C24" s="32">
        <v>227580</v>
      </c>
      <c r="D24" s="32">
        <v>8</v>
      </c>
      <c r="E24" s="32">
        <v>67</v>
      </c>
      <c r="F24" s="32">
        <v>254180</v>
      </c>
      <c r="G24" s="33">
        <v>75</v>
      </c>
    </row>
    <row r="25" spans="1:20" x14ac:dyDescent="0.25">
      <c r="A25" s="31" t="s">
        <v>27</v>
      </c>
      <c r="B25" s="34">
        <v>51950</v>
      </c>
      <c r="C25" s="34">
        <v>171890</v>
      </c>
      <c r="D25" s="34">
        <v>6</v>
      </c>
      <c r="E25" s="34">
        <v>20</v>
      </c>
      <c r="F25" s="34">
        <v>223840</v>
      </c>
      <c r="G25" s="35">
        <v>26</v>
      </c>
    </row>
    <row r="26" spans="1:20" x14ac:dyDescent="0.25">
      <c r="A26" s="31" t="s">
        <v>28</v>
      </c>
      <c r="B26" s="34">
        <v>115100</v>
      </c>
      <c r="C26" s="34">
        <v>220006</v>
      </c>
      <c r="D26" s="34">
        <v>8</v>
      </c>
      <c r="E26" s="34">
        <v>15</v>
      </c>
      <c r="F26" s="34">
        <v>335106</v>
      </c>
      <c r="G26" s="35">
        <v>23</v>
      </c>
    </row>
    <row r="27" spans="1:20" ht="15.75" thickBot="1" x14ac:dyDescent="0.3">
      <c r="A27" s="31" t="s">
        <v>29</v>
      </c>
      <c r="B27" s="34">
        <v>0</v>
      </c>
      <c r="C27" s="34">
        <v>176180</v>
      </c>
      <c r="D27" s="34">
        <v>0</v>
      </c>
      <c r="E27" s="34">
        <v>8</v>
      </c>
      <c r="F27" s="34">
        <v>176180</v>
      </c>
      <c r="G27" s="35">
        <v>8</v>
      </c>
    </row>
    <row r="28" spans="1:20" ht="15.75" thickBot="1" x14ac:dyDescent="0.3">
      <c r="A28" s="36" t="s">
        <v>30</v>
      </c>
      <c r="B28" s="37">
        <v>193650</v>
      </c>
      <c r="C28" s="37">
        <v>795656</v>
      </c>
      <c r="D28" s="37">
        <v>22</v>
      </c>
      <c r="E28" s="37">
        <v>110</v>
      </c>
      <c r="F28" s="37">
        <v>989306</v>
      </c>
      <c r="G28" s="38">
        <v>132</v>
      </c>
    </row>
    <row r="29" spans="1:20" x14ac:dyDescent="0.25">
      <c r="A29" s="39"/>
      <c r="B29" s="40"/>
      <c r="C29" s="40"/>
      <c r="D29" s="40"/>
      <c r="E29" s="40"/>
      <c r="F29" s="40"/>
      <c r="G29" s="40"/>
      <c r="H29" s="41"/>
    </row>
    <row r="30" spans="1:20" x14ac:dyDescent="0.25">
      <c r="A30" s="17" t="s">
        <v>31</v>
      </c>
      <c r="B30" s="41"/>
      <c r="C30" s="41"/>
    </row>
    <row r="31" spans="1:20" s="22" customFormat="1" ht="2.1" customHeight="1" thickBot="1" x14ac:dyDescent="0.3">
      <c r="A31" s="19"/>
      <c r="B31" s="20" t="s">
        <v>19</v>
      </c>
      <c r="C31" s="20"/>
      <c r="D31" s="21"/>
      <c r="E31" s="21"/>
      <c r="F31" s="21"/>
      <c r="G31" s="21"/>
    </row>
    <row r="32" spans="1:20" ht="45.75" thickBot="1" x14ac:dyDescent="0.3">
      <c r="A32" s="23"/>
      <c r="B32" s="24" t="s">
        <v>15</v>
      </c>
      <c r="C32" s="25"/>
      <c r="D32" s="24" t="s">
        <v>32</v>
      </c>
      <c r="E32" s="25"/>
      <c r="F32" s="42" t="s">
        <v>33</v>
      </c>
      <c r="G32" s="42" t="s">
        <v>34</v>
      </c>
    </row>
    <row r="33" spans="1:10" ht="15.75" customHeight="1" thickBot="1" x14ac:dyDescent="0.3">
      <c r="A33" s="43" t="s">
        <v>23</v>
      </c>
      <c r="B33" s="44" t="s">
        <v>24</v>
      </c>
      <c r="C33" s="44" t="s">
        <v>25</v>
      </c>
      <c r="D33" s="44" t="s">
        <v>24</v>
      </c>
      <c r="E33" s="44" t="s">
        <v>25</v>
      </c>
      <c r="F33" s="45"/>
      <c r="G33" s="45"/>
    </row>
    <row r="34" spans="1:10" x14ac:dyDescent="0.25">
      <c r="A34" s="46" t="s">
        <v>26</v>
      </c>
      <c r="B34" s="32">
        <v>26600</v>
      </c>
      <c r="C34" s="32">
        <v>95330</v>
      </c>
      <c r="D34" s="32">
        <v>8</v>
      </c>
      <c r="E34" s="32">
        <v>30</v>
      </c>
      <c r="F34" s="32">
        <v>121930</v>
      </c>
      <c r="G34" s="33">
        <v>38</v>
      </c>
    </row>
    <row r="35" spans="1:10" x14ac:dyDescent="0.25">
      <c r="A35" s="31" t="s">
        <v>27</v>
      </c>
      <c r="B35" s="34">
        <v>42550</v>
      </c>
      <c r="C35" s="34">
        <v>127090</v>
      </c>
      <c r="D35" s="34">
        <v>5</v>
      </c>
      <c r="E35" s="34">
        <v>15</v>
      </c>
      <c r="F35" s="34">
        <v>169640</v>
      </c>
      <c r="G35" s="35">
        <v>20</v>
      </c>
    </row>
    <row r="36" spans="1:10" x14ac:dyDescent="0.25">
      <c r="A36" s="31" t="s">
        <v>28</v>
      </c>
      <c r="B36" s="34">
        <v>86100</v>
      </c>
      <c r="C36" s="34">
        <v>176856</v>
      </c>
      <c r="D36" s="34">
        <v>6</v>
      </c>
      <c r="E36" s="34">
        <v>12</v>
      </c>
      <c r="F36" s="34">
        <v>262956</v>
      </c>
      <c r="G36" s="35">
        <v>18</v>
      </c>
    </row>
    <row r="37" spans="1:10" ht="15.75" thickBot="1" x14ac:dyDescent="0.3">
      <c r="A37" s="31" t="s">
        <v>29</v>
      </c>
      <c r="B37" s="34">
        <v>0</v>
      </c>
      <c r="C37" s="34">
        <v>154400</v>
      </c>
      <c r="D37" s="34">
        <v>0</v>
      </c>
      <c r="E37" s="34">
        <v>7</v>
      </c>
      <c r="F37" s="34">
        <v>154400</v>
      </c>
      <c r="G37" s="35">
        <v>7</v>
      </c>
    </row>
    <row r="38" spans="1:10" ht="15.75" thickBot="1" x14ac:dyDescent="0.3">
      <c r="A38" s="36" t="s">
        <v>30</v>
      </c>
      <c r="B38" s="37">
        <v>155250</v>
      </c>
      <c r="C38" s="37">
        <v>553676</v>
      </c>
      <c r="D38" s="37">
        <v>19</v>
      </c>
      <c r="E38" s="37">
        <v>64</v>
      </c>
      <c r="F38" s="37">
        <v>708926</v>
      </c>
      <c r="G38" s="38">
        <v>83</v>
      </c>
    </row>
    <row r="39" spans="1:10" x14ac:dyDescent="0.25">
      <c r="A39" s="41"/>
      <c r="B39" s="41"/>
      <c r="C39" s="41"/>
    </row>
    <row r="40" spans="1:10" x14ac:dyDescent="0.25">
      <c r="F40" s="41"/>
      <c r="G40" s="41"/>
      <c r="H40" s="41"/>
    </row>
    <row r="41" spans="1:10" ht="18.75" x14ac:dyDescent="0.3">
      <c r="A41" s="8" t="s">
        <v>35</v>
      </c>
    </row>
    <row r="42" spans="1:10" x14ac:dyDescent="0.25">
      <c r="A42" s="17" t="s">
        <v>18</v>
      </c>
      <c r="B42" s="18"/>
      <c r="C42" s="18"/>
    </row>
    <row r="43" spans="1:10" s="22" customFormat="1" ht="2.1" customHeight="1" thickBot="1" x14ac:dyDescent="0.3">
      <c r="A43" s="19"/>
      <c r="B43" s="20" t="s">
        <v>19</v>
      </c>
      <c r="C43" s="20"/>
      <c r="D43" s="21"/>
      <c r="E43" s="21"/>
      <c r="F43" s="21"/>
      <c r="G43" s="21"/>
      <c r="H43" s="21"/>
      <c r="I43" s="21"/>
      <c r="J43" s="21"/>
    </row>
    <row r="44" spans="1:10" ht="60.75" thickBot="1" x14ac:dyDescent="0.3">
      <c r="A44" s="23"/>
      <c r="B44" s="44" t="s">
        <v>7</v>
      </c>
      <c r="C44" s="44"/>
      <c r="D44" s="44" t="s">
        <v>20</v>
      </c>
      <c r="E44" s="44"/>
      <c r="F44" s="44" t="s">
        <v>36</v>
      </c>
      <c r="G44" s="44"/>
      <c r="H44" s="26" t="s">
        <v>21</v>
      </c>
      <c r="I44" s="26" t="s">
        <v>22</v>
      </c>
      <c r="J44" s="26" t="s">
        <v>37</v>
      </c>
    </row>
    <row r="45" spans="1:10" ht="15.75" thickBot="1" x14ac:dyDescent="0.3">
      <c r="A45" s="47" t="s">
        <v>38</v>
      </c>
      <c r="B45" s="48" t="s">
        <v>24</v>
      </c>
      <c r="C45" s="48" t="s">
        <v>25</v>
      </c>
      <c r="D45" s="48" t="s">
        <v>24</v>
      </c>
      <c r="E45" s="48" t="s">
        <v>25</v>
      </c>
      <c r="F45" s="48" t="s">
        <v>24</v>
      </c>
      <c r="G45" s="48" t="s">
        <v>25</v>
      </c>
      <c r="H45" s="30"/>
      <c r="I45" s="30"/>
      <c r="J45" s="30"/>
    </row>
    <row r="46" spans="1:10" x14ac:dyDescent="0.25">
      <c r="A46" s="31" t="s">
        <v>39</v>
      </c>
      <c r="B46" s="32">
        <v>0</v>
      </c>
      <c r="C46" s="32">
        <v>57900</v>
      </c>
      <c r="D46" s="32">
        <v>0</v>
      </c>
      <c r="E46" s="32">
        <v>6</v>
      </c>
      <c r="F46" s="32">
        <v>0</v>
      </c>
      <c r="G46" s="32">
        <v>9650</v>
      </c>
      <c r="H46" s="32">
        <v>57900</v>
      </c>
      <c r="I46" s="32">
        <v>6</v>
      </c>
      <c r="J46" s="33">
        <v>9650</v>
      </c>
    </row>
    <row r="47" spans="1:10" x14ac:dyDescent="0.25">
      <c r="A47" s="31" t="s">
        <v>40</v>
      </c>
      <c r="B47" s="34">
        <v>0</v>
      </c>
      <c r="C47" s="34">
        <v>20100</v>
      </c>
      <c r="D47" s="34">
        <v>0</v>
      </c>
      <c r="E47" s="34">
        <v>2</v>
      </c>
      <c r="F47" s="34">
        <v>0</v>
      </c>
      <c r="G47" s="34">
        <v>10050</v>
      </c>
      <c r="H47" s="34">
        <v>20100</v>
      </c>
      <c r="I47" s="34">
        <v>2</v>
      </c>
      <c r="J47" s="35">
        <v>10050</v>
      </c>
    </row>
    <row r="48" spans="1:10" x14ac:dyDescent="0.25">
      <c r="A48" s="31" t="s">
        <v>41</v>
      </c>
      <c r="B48" s="34">
        <v>7200</v>
      </c>
      <c r="C48" s="34">
        <v>101370</v>
      </c>
      <c r="D48" s="34">
        <v>1</v>
      </c>
      <c r="E48" s="34">
        <v>13</v>
      </c>
      <c r="F48" s="34">
        <v>7200</v>
      </c>
      <c r="G48" s="34">
        <v>7797.6923076923076</v>
      </c>
      <c r="H48" s="34">
        <v>108570</v>
      </c>
      <c r="I48" s="34">
        <v>14</v>
      </c>
      <c r="J48" s="35">
        <v>7755</v>
      </c>
    </row>
    <row r="49" spans="1:18" x14ac:dyDescent="0.25">
      <c r="A49" s="31" t="s">
        <v>42</v>
      </c>
      <c r="B49" s="34">
        <v>10350</v>
      </c>
      <c r="C49" s="34">
        <v>71000</v>
      </c>
      <c r="D49" s="34">
        <v>1</v>
      </c>
      <c r="E49" s="34">
        <v>6</v>
      </c>
      <c r="F49" s="34">
        <v>10350</v>
      </c>
      <c r="G49" s="34">
        <v>11833.333333333334</v>
      </c>
      <c r="H49" s="34">
        <v>81350</v>
      </c>
      <c r="I49" s="34">
        <v>7</v>
      </c>
      <c r="J49" s="35">
        <v>11621.428571428571</v>
      </c>
    </row>
    <row r="50" spans="1:18" x14ac:dyDescent="0.25">
      <c r="A50" s="31" t="s">
        <v>43</v>
      </c>
      <c r="B50" s="34">
        <v>14100</v>
      </c>
      <c r="C50" s="34">
        <v>23400</v>
      </c>
      <c r="D50" s="34">
        <v>1</v>
      </c>
      <c r="E50" s="34">
        <v>7</v>
      </c>
      <c r="F50" s="34">
        <v>14100</v>
      </c>
      <c r="G50" s="34">
        <v>3342.8571428571427</v>
      </c>
      <c r="H50" s="34">
        <v>37500</v>
      </c>
      <c r="I50" s="34">
        <v>8</v>
      </c>
      <c r="J50" s="35">
        <v>4687.5</v>
      </c>
    </row>
    <row r="51" spans="1:18" x14ac:dyDescent="0.25">
      <c r="A51" s="31" t="s">
        <v>44</v>
      </c>
      <c r="B51" s="34">
        <v>58000</v>
      </c>
      <c r="C51" s="34">
        <v>133906</v>
      </c>
      <c r="D51" s="34">
        <v>6</v>
      </c>
      <c r="E51" s="34">
        <v>14</v>
      </c>
      <c r="F51" s="34">
        <v>9666.6666666666661</v>
      </c>
      <c r="G51" s="34">
        <v>9564.7142857142862</v>
      </c>
      <c r="H51" s="34">
        <v>191906</v>
      </c>
      <c r="I51" s="34">
        <v>20</v>
      </c>
      <c r="J51" s="35">
        <v>9595.2999999999993</v>
      </c>
    </row>
    <row r="52" spans="1:18" x14ac:dyDescent="0.25">
      <c r="A52" s="31" t="s">
        <v>45</v>
      </c>
      <c r="B52" s="34">
        <v>45400</v>
      </c>
      <c r="C52" s="34">
        <v>95150</v>
      </c>
      <c r="D52" s="34">
        <v>8</v>
      </c>
      <c r="E52" s="34">
        <v>24</v>
      </c>
      <c r="F52" s="34">
        <v>5675</v>
      </c>
      <c r="G52" s="34">
        <v>3964.5833333333335</v>
      </c>
      <c r="H52" s="34">
        <v>140550</v>
      </c>
      <c r="I52" s="34">
        <v>32</v>
      </c>
      <c r="J52" s="35">
        <v>4392.1875</v>
      </c>
    </row>
    <row r="53" spans="1:18" x14ac:dyDescent="0.25">
      <c r="A53" s="31" t="s">
        <v>46</v>
      </c>
      <c r="B53" s="34">
        <v>17400</v>
      </c>
      <c r="C53" s="34">
        <v>149250</v>
      </c>
      <c r="D53" s="34">
        <v>2</v>
      </c>
      <c r="E53" s="34">
        <v>17</v>
      </c>
      <c r="F53" s="34">
        <v>8700</v>
      </c>
      <c r="G53" s="34">
        <v>8779.4117647058829</v>
      </c>
      <c r="H53" s="34">
        <v>166650</v>
      </c>
      <c r="I53" s="34">
        <v>19</v>
      </c>
      <c r="J53" s="35">
        <v>8771.0526315789466</v>
      </c>
    </row>
    <row r="54" spans="1:18" x14ac:dyDescent="0.25">
      <c r="A54" s="31" t="s">
        <v>47</v>
      </c>
      <c r="B54" s="34">
        <v>0</v>
      </c>
      <c r="C54" s="34">
        <v>9350</v>
      </c>
      <c r="D54" s="34">
        <v>0</v>
      </c>
      <c r="E54" s="34">
        <v>3</v>
      </c>
      <c r="F54" s="34">
        <v>0</v>
      </c>
      <c r="G54" s="34">
        <v>3116.6666666666665</v>
      </c>
      <c r="H54" s="34">
        <v>9350</v>
      </c>
      <c r="I54" s="34">
        <v>3</v>
      </c>
      <c r="J54" s="35">
        <v>3116.6666666666665</v>
      </c>
    </row>
    <row r="55" spans="1:18" x14ac:dyDescent="0.25">
      <c r="A55" s="31" t="s">
        <v>48</v>
      </c>
      <c r="B55" s="34">
        <v>0</v>
      </c>
      <c r="C55" s="34">
        <v>68280</v>
      </c>
      <c r="D55" s="34">
        <v>0</v>
      </c>
      <c r="E55" s="34">
        <v>5</v>
      </c>
      <c r="F55" s="34">
        <v>0</v>
      </c>
      <c r="G55" s="34">
        <v>13656</v>
      </c>
      <c r="H55" s="34">
        <v>68280</v>
      </c>
      <c r="I55" s="34">
        <v>5</v>
      </c>
      <c r="J55" s="35">
        <v>13656</v>
      </c>
    </row>
    <row r="56" spans="1:18" x14ac:dyDescent="0.25">
      <c r="A56" s="31" t="s">
        <v>49</v>
      </c>
      <c r="B56" s="34">
        <v>27200</v>
      </c>
      <c r="C56" s="34">
        <v>24850</v>
      </c>
      <c r="D56" s="34">
        <v>2</v>
      </c>
      <c r="E56" s="34">
        <v>8</v>
      </c>
      <c r="F56" s="34">
        <v>13600</v>
      </c>
      <c r="G56" s="34">
        <v>3106.25</v>
      </c>
      <c r="H56" s="34">
        <v>52050</v>
      </c>
      <c r="I56" s="34">
        <v>10</v>
      </c>
      <c r="J56" s="35">
        <v>5205</v>
      </c>
    </row>
    <row r="57" spans="1:18" ht="15.75" thickBot="1" x14ac:dyDescent="0.3">
      <c r="A57" s="31" t="s">
        <v>50</v>
      </c>
      <c r="B57" s="34">
        <v>14000</v>
      </c>
      <c r="C57" s="34">
        <v>41100</v>
      </c>
      <c r="D57" s="34">
        <v>1</v>
      </c>
      <c r="E57" s="34">
        <v>5</v>
      </c>
      <c r="F57" s="34">
        <v>14000</v>
      </c>
      <c r="G57" s="34">
        <v>8220</v>
      </c>
      <c r="H57" s="34">
        <v>55100</v>
      </c>
      <c r="I57" s="34">
        <v>6</v>
      </c>
      <c r="J57" s="35">
        <v>9183.3333333333339</v>
      </c>
    </row>
    <row r="58" spans="1:18" ht="15.75" thickBot="1" x14ac:dyDescent="0.3">
      <c r="A58" s="36" t="s">
        <v>30</v>
      </c>
      <c r="B58" s="37">
        <v>193650</v>
      </c>
      <c r="C58" s="37">
        <v>795656</v>
      </c>
      <c r="D58" s="37">
        <v>22</v>
      </c>
      <c r="E58" s="37">
        <v>110</v>
      </c>
      <c r="F58" s="37">
        <v>8802.2727272727279</v>
      </c>
      <c r="G58" s="37">
        <v>7233.2363636363634</v>
      </c>
      <c r="H58" s="37">
        <v>989306</v>
      </c>
      <c r="I58" s="37">
        <v>132</v>
      </c>
      <c r="J58" s="38">
        <v>7494.742424242424</v>
      </c>
    </row>
    <row r="61" spans="1:18" x14ac:dyDescent="0.25">
      <c r="A61" s="17" t="s">
        <v>31</v>
      </c>
    </row>
    <row r="62" spans="1:18" s="22" customFormat="1" ht="1.5" customHeight="1" thickBot="1" x14ac:dyDescent="0.35">
      <c r="A62" s="19"/>
      <c r="B62" s="20" t="s">
        <v>19</v>
      </c>
      <c r="C62" s="20"/>
      <c r="D62" s="21"/>
      <c r="E62" s="21"/>
      <c r="F62" s="21"/>
      <c r="G62" s="21"/>
      <c r="H62" s="21"/>
      <c r="I62" s="21"/>
      <c r="J62" s="21"/>
      <c r="O62" s="49"/>
      <c r="P62" s="49"/>
      <c r="Q62" s="49"/>
      <c r="R62" s="49"/>
    </row>
    <row r="63" spans="1:18" s="2" customFormat="1" ht="60.75" thickBot="1" x14ac:dyDescent="0.3">
      <c r="A63" s="23"/>
      <c r="B63" s="44" t="s">
        <v>15</v>
      </c>
      <c r="C63" s="44"/>
      <c r="D63" s="44" t="s">
        <v>32</v>
      </c>
      <c r="E63" s="44"/>
      <c r="F63" s="44" t="s">
        <v>52</v>
      </c>
      <c r="G63" s="44"/>
      <c r="H63" s="26" t="s">
        <v>33</v>
      </c>
      <c r="I63" s="26" t="s">
        <v>34</v>
      </c>
      <c r="J63" s="26" t="s">
        <v>53</v>
      </c>
    </row>
    <row r="64" spans="1:18" ht="15.75" thickBot="1" x14ac:dyDescent="0.3">
      <c r="A64" s="47" t="s">
        <v>38</v>
      </c>
      <c r="B64" s="48" t="s">
        <v>24</v>
      </c>
      <c r="C64" s="48" t="s">
        <v>25</v>
      </c>
      <c r="D64" s="48" t="s">
        <v>24</v>
      </c>
      <c r="E64" s="48" t="s">
        <v>25</v>
      </c>
      <c r="F64" s="48" t="s">
        <v>24</v>
      </c>
      <c r="G64" s="48" t="s">
        <v>25</v>
      </c>
      <c r="H64" s="30"/>
      <c r="I64" s="30"/>
      <c r="J64" s="30"/>
    </row>
    <row r="65" spans="1:10" x14ac:dyDescent="0.25">
      <c r="A65" s="31" t="s">
        <v>39</v>
      </c>
      <c r="B65" s="32">
        <v>0</v>
      </c>
      <c r="C65" s="32">
        <v>23100</v>
      </c>
      <c r="D65" s="32">
        <v>0</v>
      </c>
      <c r="E65" s="32">
        <v>1</v>
      </c>
      <c r="F65" s="32">
        <v>0</v>
      </c>
      <c r="G65" s="32">
        <v>23100</v>
      </c>
      <c r="H65" s="32">
        <v>23100</v>
      </c>
      <c r="I65" s="32">
        <v>1</v>
      </c>
      <c r="J65" s="33">
        <v>23100</v>
      </c>
    </row>
    <row r="66" spans="1:10" x14ac:dyDescent="0.25">
      <c r="A66" s="31" t="s">
        <v>40</v>
      </c>
      <c r="B66" s="34">
        <v>0</v>
      </c>
      <c r="C66" s="34">
        <v>20100</v>
      </c>
      <c r="D66" s="34">
        <v>0</v>
      </c>
      <c r="E66" s="34">
        <v>2</v>
      </c>
      <c r="F66" s="34">
        <v>0</v>
      </c>
      <c r="G66" s="34">
        <v>10050</v>
      </c>
      <c r="H66" s="34">
        <v>20100</v>
      </c>
      <c r="I66" s="34">
        <v>2</v>
      </c>
      <c r="J66" s="35">
        <v>10050</v>
      </c>
    </row>
    <row r="67" spans="1:10" x14ac:dyDescent="0.25">
      <c r="A67" s="31" t="s">
        <v>41</v>
      </c>
      <c r="B67" s="34">
        <v>7200</v>
      </c>
      <c r="C67" s="34">
        <v>99070</v>
      </c>
      <c r="D67" s="34">
        <v>1</v>
      </c>
      <c r="E67" s="34">
        <v>12</v>
      </c>
      <c r="F67" s="34">
        <v>7200</v>
      </c>
      <c r="G67" s="34">
        <v>8255.8333333333339</v>
      </c>
      <c r="H67" s="34">
        <v>106270</v>
      </c>
      <c r="I67" s="34">
        <v>13</v>
      </c>
      <c r="J67" s="35">
        <v>8174.6153846153848</v>
      </c>
    </row>
    <row r="68" spans="1:10" x14ac:dyDescent="0.25">
      <c r="A68" s="31" t="s">
        <v>42</v>
      </c>
      <c r="B68" s="34">
        <v>10350</v>
      </c>
      <c r="C68" s="34">
        <v>71000</v>
      </c>
      <c r="D68" s="34">
        <v>1</v>
      </c>
      <c r="E68" s="34">
        <v>6</v>
      </c>
      <c r="F68" s="34">
        <v>10350</v>
      </c>
      <c r="G68" s="34">
        <v>11833.333333333334</v>
      </c>
      <c r="H68" s="34">
        <v>81350</v>
      </c>
      <c r="I68" s="34">
        <v>7</v>
      </c>
      <c r="J68" s="35">
        <v>11621.428571428571</v>
      </c>
    </row>
    <row r="69" spans="1:10" x14ac:dyDescent="0.25">
      <c r="A69" s="31" t="s">
        <v>43</v>
      </c>
      <c r="B69" s="34">
        <v>14100</v>
      </c>
      <c r="C69" s="34">
        <v>2350</v>
      </c>
      <c r="D69" s="34">
        <v>1</v>
      </c>
      <c r="E69" s="34">
        <v>1</v>
      </c>
      <c r="F69" s="34">
        <v>14100</v>
      </c>
      <c r="G69" s="34">
        <v>2350</v>
      </c>
      <c r="H69" s="34">
        <v>16450</v>
      </c>
      <c r="I69" s="34">
        <v>2</v>
      </c>
      <c r="J69" s="35">
        <v>8225</v>
      </c>
    </row>
    <row r="70" spans="1:10" x14ac:dyDescent="0.25">
      <c r="A70" s="31" t="s">
        <v>44</v>
      </c>
      <c r="B70" s="34">
        <v>41800</v>
      </c>
      <c r="C70" s="34">
        <v>112506</v>
      </c>
      <c r="D70" s="34">
        <v>5</v>
      </c>
      <c r="E70" s="34">
        <v>12</v>
      </c>
      <c r="F70" s="34">
        <v>8360</v>
      </c>
      <c r="G70" s="34">
        <v>9375.5</v>
      </c>
      <c r="H70" s="34">
        <v>154306</v>
      </c>
      <c r="I70" s="34">
        <v>17</v>
      </c>
      <c r="J70" s="35">
        <v>9076.823529411764</v>
      </c>
    </row>
    <row r="71" spans="1:10" x14ac:dyDescent="0.25">
      <c r="A71" s="31" t="s">
        <v>45</v>
      </c>
      <c r="B71" s="34">
        <v>36000</v>
      </c>
      <c r="C71" s="34">
        <v>25100</v>
      </c>
      <c r="D71" s="34">
        <v>7</v>
      </c>
      <c r="E71" s="34">
        <v>5</v>
      </c>
      <c r="F71" s="34">
        <v>5142.8571428571431</v>
      </c>
      <c r="G71" s="34">
        <v>5020</v>
      </c>
      <c r="H71" s="34">
        <v>61100</v>
      </c>
      <c r="I71" s="34">
        <v>12</v>
      </c>
      <c r="J71" s="35">
        <v>5091.666666666667</v>
      </c>
    </row>
    <row r="72" spans="1:10" x14ac:dyDescent="0.25">
      <c r="A72" s="31" t="s">
        <v>46</v>
      </c>
      <c r="B72" s="34">
        <v>17400</v>
      </c>
      <c r="C72" s="34">
        <v>106700</v>
      </c>
      <c r="D72" s="34">
        <v>2</v>
      </c>
      <c r="E72" s="34">
        <v>9</v>
      </c>
      <c r="F72" s="34">
        <v>8700</v>
      </c>
      <c r="G72" s="34">
        <v>11855.555555555555</v>
      </c>
      <c r="H72" s="34">
        <v>124100</v>
      </c>
      <c r="I72" s="34">
        <v>11</v>
      </c>
      <c r="J72" s="35">
        <v>11281.818181818182</v>
      </c>
    </row>
    <row r="73" spans="1:10" x14ac:dyDescent="0.25">
      <c r="A73" s="31" t="s">
        <v>47</v>
      </c>
      <c r="B73" s="34">
        <v>0</v>
      </c>
      <c r="C73" s="34">
        <v>7050</v>
      </c>
      <c r="D73" s="34">
        <v>0</v>
      </c>
      <c r="E73" s="34">
        <v>2</v>
      </c>
      <c r="F73" s="34">
        <v>0</v>
      </c>
      <c r="G73" s="34">
        <v>3525</v>
      </c>
      <c r="H73" s="34">
        <v>7050</v>
      </c>
      <c r="I73" s="34">
        <v>2</v>
      </c>
      <c r="J73" s="35">
        <v>3525</v>
      </c>
    </row>
    <row r="74" spans="1:10" x14ac:dyDescent="0.25">
      <c r="A74" s="31" t="s">
        <v>48</v>
      </c>
      <c r="B74" s="34">
        <v>0</v>
      </c>
      <c r="C74" s="34">
        <v>36600</v>
      </c>
      <c r="D74" s="34">
        <v>0</v>
      </c>
      <c r="E74" s="34">
        <v>3</v>
      </c>
      <c r="F74" s="34">
        <v>0</v>
      </c>
      <c r="G74" s="34">
        <v>12200</v>
      </c>
      <c r="H74" s="34">
        <v>36600</v>
      </c>
      <c r="I74" s="34">
        <v>3</v>
      </c>
      <c r="J74" s="35">
        <v>12200</v>
      </c>
    </row>
    <row r="75" spans="1:10" x14ac:dyDescent="0.25">
      <c r="A75" s="31" t="s">
        <v>49</v>
      </c>
      <c r="B75" s="34">
        <v>14400</v>
      </c>
      <c r="C75" s="34">
        <v>21250</v>
      </c>
      <c r="D75" s="34">
        <v>1</v>
      </c>
      <c r="E75" s="34">
        <v>7</v>
      </c>
      <c r="F75" s="34">
        <v>14400</v>
      </c>
      <c r="G75" s="34">
        <v>3035.7142857142858</v>
      </c>
      <c r="H75" s="34">
        <v>35650</v>
      </c>
      <c r="I75" s="34">
        <v>8</v>
      </c>
      <c r="J75" s="35">
        <v>4456.25</v>
      </c>
    </row>
    <row r="76" spans="1:10" ht="15.75" thickBot="1" x14ac:dyDescent="0.3">
      <c r="A76" s="31" t="s">
        <v>50</v>
      </c>
      <c r="B76" s="34">
        <v>14000</v>
      </c>
      <c r="C76" s="34">
        <v>28850</v>
      </c>
      <c r="D76" s="34">
        <v>1</v>
      </c>
      <c r="E76" s="34">
        <v>4</v>
      </c>
      <c r="F76" s="34">
        <v>14000</v>
      </c>
      <c r="G76" s="34">
        <v>7212.5</v>
      </c>
      <c r="H76" s="34">
        <v>42850</v>
      </c>
      <c r="I76" s="34">
        <v>5</v>
      </c>
      <c r="J76" s="35">
        <v>8570</v>
      </c>
    </row>
    <row r="77" spans="1:10" ht="15.75" thickBot="1" x14ac:dyDescent="0.3">
      <c r="A77" s="36" t="s">
        <v>30</v>
      </c>
      <c r="B77" s="37">
        <v>155250</v>
      </c>
      <c r="C77" s="37">
        <v>553676</v>
      </c>
      <c r="D77" s="37">
        <v>19</v>
      </c>
      <c r="E77" s="37">
        <v>64</v>
      </c>
      <c r="F77" s="37">
        <v>8171.0526315789475</v>
      </c>
      <c r="G77" s="37">
        <v>8651.1875</v>
      </c>
      <c r="H77" s="37">
        <v>708926</v>
      </c>
      <c r="I77" s="37">
        <v>83</v>
      </c>
      <c r="J77" s="38">
        <v>8541.2771084337346</v>
      </c>
    </row>
    <row r="79" spans="1:10" x14ac:dyDescent="0.25">
      <c r="D79" s="40"/>
    </row>
    <row r="80" spans="1:10" s="8" customFormat="1" ht="18.75" x14ac:dyDescent="0.3">
      <c r="A80" s="8" t="s">
        <v>54</v>
      </c>
    </row>
    <row r="81" spans="1:9" s="8" customFormat="1" ht="15" customHeight="1" thickBot="1" x14ac:dyDescent="0.35"/>
    <row r="82" spans="1:9" s="8" customFormat="1" ht="15" customHeight="1" thickBot="1" x14ac:dyDescent="0.35">
      <c r="A82" s="9" t="s">
        <v>55</v>
      </c>
      <c r="B82"/>
    </row>
    <row r="83" spans="1:9" s="8" customFormat="1" ht="15" customHeight="1" thickBot="1" x14ac:dyDescent="0.35">
      <c r="A83" s="60">
        <v>197313</v>
      </c>
    </row>
    <row r="84" spans="1:9" s="8" customFormat="1" ht="15" customHeight="1" x14ac:dyDescent="0.3">
      <c r="A84"/>
    </row>
    <row r="85" spans="1:9" x14ac:dyDescent="0.25">
      <c r="A85" s="17" t="s">
        <v>18</v>
      </c>
      <c r="B85" s="18"/>
      <c r="C85" s="18"/>
      <c r="F85" s="17" t="s">
        <v>31</v>
      </c>
    </row>
    <row r="86" spans="1:9" ht="2.1" customHeight="1" thickBot="1" x14ac:dyDescent="0.3"/>
    <row r="87" spans="1:9" ht="45.75" thickBot="1" x14ac:dyDescent="0.3">
      <c r="A87" s="50" t="s">
        <v>56</v>
      </c>
      <c r="B87" s="42" t="s">
        <v>5</v>
      </c>
      <c r="C87" s="42" t="s">
        <v>57</v>
      </c>
      <c r="D87" s="42" t="s">
        <v>58</v>
      </c>
      <c r="F87" s="51" t="s">
        <v>59</v>
      </c>
      <c r="G87" s="42" t="s">
        <v>15</v>
      </c>
      <c r="H87" s="42" t="s">
        <v>14</v>
      </c>
      <c r="I87" s="42" t="s">
        <v>60</v>
      </c>
    </row>
    <row r="88" spans="1:9" x14ac:dyDescent="0.25">
      <c r="A88" s="31" t="s">
        <v>61</v>
      </c>
      <c r="B88" s="32">
        <v>864200</v>
      </c>
      <c r="C88" s="32">
        <v>108</v>
      </c>
      <c r="D88" s="33">
        <v>8001.8518518518522</v>
      </c>
      <c r="F88" s="31" t="s">
        <v>61</v>
      </c>
      <c r="G88" s="32">
        <v>621270</v>
      </c>
      <c r="H88" s="32">
        <v>67</v>
      </c>
      <c r="I88" s="33">
        <v>9272.686567164179</v>
      </c>
    </row>
    <row r="89" spans="1:9" ht="15.75" thickBot="1" x14ac:dyDescent="0.3">
      <c r="A89" s="31" t="s">
        <v>62</v>
      </c>
      <c r="B89" s="34">
        <v>125106</v>
      </c>
      <c r="C89" s="34">
        <v>24</v>
      </c>
      <c r="D89" s="35">
        <v>5212.75</v>
      </c>
      <c r="F89" s="31" t="s">
        <v>62</v>
      </c>
      <c r="G89" s="34">
        <v>87656</v>
      </c>
      <c r="H89" s="34">
        <v>16</v>
      </c>
      <c r="I89" s="35">
        <v>5478.5</v>
      </c>
    </row>
    <row r="90" spans="1:9" ht="15.75" thickBot="1" x14ac:dyDescent="0.3">
      <c r="A90" s="36" t="s">
        <v>30</v>
      </c>
      <c r="B90" s="37">
        <v>989306</v>
      </c>
      <c r="C90" s="37">
        <v>132</v>
      </c>
      <c r="D90" s="38">
        <v>7494.742424242424</v>
      </c>
      <c r="F90" s="36" t="s">
        <v>30</v>
      </c>
      <c r="G90" s="37">
        <v>708926</v>
      </c>
      <c r="H90" s="37">
        <v>83</v>
      </c>
      <c r="I90" s="38">
        <v>8541.2771084337346</v>
      </c>
    </row>
  </sheetData>
  <protectedRanges>
    <protectedRange sqref="B3" name="Bereich1"/>
  </protectedRanges>
  <mergeCells count="4">
    <mergeCell ref="A10:A11"/>
    <mergeCell ref="B10:B11"/>
    <mergeCell ref="A14:A15"/>
    <mergeCell ref="B14:B15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7">
    <tabColor rgb="FF0070C0"/>
  </sheetPr>
  <dimension ref="A1:T90"/>
  <sheetViews>
    <sheetView showGridLines="0" zoomScale="85" zoomScaleNormal="85" workbookViewId="0">
      <selection activeCell="I23" sqref="I23"/>
    </sheetView>
  </sheetViews>
  <sheetFormatPr defaultColWidth="9.140625" defaultRowHeight="15" x14ac:dyDescent="0.25"/>
  <cols>
    <col min="1" max="1" width="25.28515625" customWidth="1"/>
    <col min="2" max="10" width="15.7109375" customWidth="1"/>
    <col min="11" max="11" width="24.7109375" customWidth="1"/>
    <col min="12" max="13" width="28.85546875" customWidth="1"/>
    <col min="14" max="14" width="29.140625" customWidth="1"/>
    <col min="15" max="15" width="33.5703125" customWidth="1"/>
    <col min="16" max="16" width="18.140625" customWidth="1"/>
    <col min="17" max="17" width="20.28515625" customWidth="1"/>
    <col min="18" max="18" width="24.7109375" customWidth="1"/>
    <col min="19" max="19" width="12.5703125" customWidth="1"/>
    <col min="28" max="28" width="7.85546875" customWidth="1"/>
    <col min="29" max="30" width="7.28515625" customWidth="1"/>
  </cols>
  <sheetData>
    <row r="1" spans="1:8" s="2" customFormat="1" ht="38.25" customHeight="1" x14ac:dyDescent="0.25">
      <c r="A1" s="1" t="s">
        <v>0</v>
      </c>
    </row>
    <row r="2" spans="1:8" s="2" customFormat="1" ht="5.25" customHeight="1" x14ac:dyDescent="0.25">
      <c r="A2" s="1"/>
    </row>
    <row r="3" spans="1:8" x14ac:dyDescent="0.25">
      <c r="A3" s="3" t="s">
        <v>1</v>
      </c>
      <c r="B3" s="4">
        <v>43040</v>
      </c>
      <c r="C3" s="5">
        <v>14</v>
      </c>
    </row>
    <row r="4" spans="1:8" x14ac:dyDescent="0.25">
      <c r="A4" s="6"/>
      <c r="B4" s="7"/>
    </row>
    <row r="6" spans="1:8" ht="19.5" thickBot="1" x14ac:dyDescent="0.35">
      <c r="A6" s="8" t="s">
        <v>2</v>
      </c>
    </row>
    <row r="7" spans="1:8" ht="45.75" thickBot="1" x14ac:dyDescent="0.3">
      <c r="A7" s="9" t="s">
        <v>3</v>
      </c>
      <c r="B7" s="10" t="s">
        <v>4</v>
      </c>
    </row>
    <row r="8" spans="1:8" ht="15.75" thickBot="1" x14ac:dyDescent="0.3">
      <c r="A8" s="52">
        <v>1000000</v>
      </c>
      <c r="B8" s="59">
        <v>7</v>
      </c>
    </row>
    <row r="9" spans="1:8" ht="19.5" thickBot="1" x14ac:dyDescent="0.35">
      <c r="A9" s="8"/>
    </row>
    <row r="10" spans="1:8" ht="15.75" thickBot="1" x14ac:dyDescent="0.3">
      <c r="A10" s="343" t="s">
        <v>5</v>
      </c>
      <c r="B10" s="343" t="s">
        <v>6</v>
      </c>
      <c r="C10" s="11" t="s">
        <v>7</v>
      </c>
      <c r="D10" s="12"/>
      <c r="E10" s="13"/>
      <c r="F10" s="11" t="s">
        <v>8</v>
      </c>
      <c r="G10" s="12"/>
      <c r="H10" s="13"/>
    </row>
    <row r="11" spans="1:8" ht="15.75" thickBot="1" x14ac:dyDescent="0.3">
      <c r="A11" s="344"/>
      <c r="B11" s="345"/>
      <c r="C11" s="14" t="s">
        <v>9</v>
      </c>
      <c r="D11" s="14" t="s">
        <v>10</v>
      </c>
      <c r="E11" s="14" t="s">
        <v>11</v>
      </c>
      <c r="F11" s="14" t="s">
        <v>9</v>
      </c>
      <c r="G11" s="14" t="s">
        <v>10</v>
      </c>
      <c r="H11" s="14" t="s">
        <v>12</v>
      </c>
    </row>
    <row r="12" spans="1:8" ht="15.75" thickBot="1" x14ac:dyDescent="0.3">
      <c r="A12" s="52">
        <v>2590845</v>
      </c>
      <c r="B12" s="53">
        <v>210</v>
      </c>
      <c r="C12" s="52">
        <v>2000</v>
      </c>
      <c r="D12" s="54">
        <v>23800</v>
      </c>
      <c r="E12" s="55">
        <v>12337.357142857143</v>
      </c>
      <c r="F12" s="56">
        <v>2.2000000000000002</v>
      </c>
      <c r="G12" s="57">
        <v>6.66</v>
      </c>
      <c r="H12" s="58">
        <v>4.0215977798749059</v>
      </c>
    </row>
    <row r="13" spans="1:8" ht="15.75" thickBot="1" x14ac:dyDescent="0.3">
      <c r="A13" s="15"/>
      <c r="B13" s="15"/>
    </row>
    <row r="14" spans="1:8" ht="15.75" thickBot="1" x14ac:dyDescent="0.3">
      <c r="A14" s="343" t="s">
        <v>13</v>
      </c>
      <c r="B14" s="343" t="s">
        <v>14</v>
      </c>
      <c r="C14" s="11" t="s">
        <v>15</v>
      </c>
      <c r="D14" s="12"/>
      <c r="E14" s="13"/>
      <c r="F14" s="11" t="s">
        <v>16</v>
      </c>
      <c r="G14" s="12"/>
      <c r="H14" s="13"/>
    </row>
    <row r="15" spans="1:8" ht="15.75" thickBot="1" x14ac:dyDescent="0.3">
      <c r="A15" s="345"/>
      <c r="B15" s="344"/>
      <c r="C15" s="14" t="s">
        <v>9</v>
      </c>
      <c r="D15" s="14" t="s">
        <v>10</v>
      </c>
      <c r="E15" s="14" t="s">
        <v>11</v>
      </c>
      <c r="F15" s="14" t="s">
        <v>9</v>
      </c>
      <c r="G15" s="14" t="s">
        <v>10</v>
      </c>
      <c r="H15" s="14" t="s">
        <v>12</v>
      </c>
    </row>
    <row r="16" spans="1:8" ht="15.75" thickBot="1" x14ac:dyDescent="0.3">
      <c r="A16" s="52">
        <v>1000375</v>
      </c>
      <c r="B16" s="53">
        <v>61</v>
      </c>
      <c r="C16" s="52">
        <v>4200</v>
      </c>
      <c r="D16" s="54">
        <v>18000</v>
      </c>
      <c r="E16" s="55">
        <v>16399.590163934427</v>
      </c>
      <c r="F16" s="56">
        <v>3.7999999523162842</v>
      </c>
      <c r="G16" s="57">
        <v>3.8199999332427979</v>
      </c>
      <c r="H16" s="58">
        <v>3.8198514890509903</v>
      </c>
    </row>
    <row r="19" spans="1:20" ht="18.75" x14ac:dyDescent="0.3">
      <c r="A19" s="8" t="s">
        <v>17</v>
      </c>
      <c r="F19" s="16"/>
      <c r="G19" s="16"/>
      <c r="H19" s="16"/>
      <c r="I19" s="16"/>
    </row>
    <row r="20" spans="1:20" x14ac:dyDescent="0.25">
      <c r="A20" s="17" t="s">
        <v>18</v>
      </c>
      <c r="B20" s="18"/>
      <c r="C20" s="18"/>
    </row>
    <row r="21" spans="1:20" s="22" customFormat="1" ht="2.1" customHeight="1" thickBot="1" x14ac:dyDescent="0.3">
      <c r="A21" s="19"/>
      <c r="B21" s="20" t="s">
        <v>19</v>
      </c>
      <c r="C21" s="20"/>
      <c r="D21" s="21"/>
      <c r="E21" s="21"/>
      <c r="F21" s="21"/>
      <c r="G21" s="21"/>
      <c r="J21"/>
      <c r="K21"/>
      <c r="L21"/>
      <c r="M21"/>
      <c r="N21"/>
      <c r="O21"/>
      <c r="P21"/>
      <c r="Q21"/>
      <c r="R21"/>
      <c r="S21"/>
      <c r="T21"/>
    </row>
    <row r="22" spans="1:20" ht="45.75" thickBot="1" x14ac:dyDescent="0.3">
      <c r="A22" s="23"/>
      <c r="B22" s="24" t="s">
        <v>7</v>
      </c>
      <c r="C22" s="25"/>
      <c r="D22" s="24" t="s">
        <v>20</v>
      </c>
      <c r="E22" s="25"/>
      <c r="F22" s="26" t="s">
        <v>21</v>
      </c>
      <c r="G22" s="26" t="s">
        <v>22</v>
      </c>
    </row>
    <row r="23" spans="1:20" ht="15.75" thickBot="1" x14ac:dyDescent="0.3">
      <c r="A23" s="27" t="s">
        <v>23</v>
      </c>
      <c r="B23" s="28" t="s">
        <v>24</v>
      </c>
      <c r="C23" s="29" t="s">
        <v>25</v>
      </c>
      <c r="D23" s="28" t="s">
        <v>24</v>
      </c>
      <c r="E23" s="29" t="s">
        <v>25</v>
      </c>
      <c r="F23" s="30"/>
      <c r="G23" s="30"/>
    </row>
    <row r="24" spans="1:20" x14ac:dyDescent="0.25">
      <c r="A24" s="31" t="s">
        <v>26</v>
      </c>
      <c r="B24" s="32">
        <v>113260</v>
      </c>
      <c r="C24" s="32">
        <v>74250</v>
      </c>
      <c r="D24" s="32">
        <v>27</v>
      </c>
      <c r="E24" s="32">
        <v>23</v>
      </c>
      <c r="F24" s="32">
        <v>187510</v>
      </c>
      <c r="G24" s="33">
        <v>50</v>
      </c>
    </row>
    <row r="25" spans="1:20" x14ac:dyDescent="0.25">
      <c r="A25" s="31" t="s">
        <v>27</v>
      </c>
      <c r="B25" s="34">
        <v>262110</v>
      </c>
      <c r="C25" s="34">
        <v>77625</v>
      </c>
      <c r="D25" s="34">
        <v>29</v>
      </c>
      <c r="E25" s="34">
        <v>9</v>
      </c>
      <c r="F25" s="34">
        <v>339735</v>
      </c>
      <c r="G25" s="35">
        <v>38</v>
      </c>
    </row>
    <row r="26" spans="1:20" x14ac:dyDescent="0.25">
      <c r="A26" s="31" t="s">
        <v>28</v>
      </c>
      <c r="B26" s="34">
        <v>1931850</v>
      </c>
      <c r="C26" s="34">
        <v>64150</v>
      </c>
      <c r="D26" s="34">
        <v>115</v>
      </c>
      <c r="E26" s="34">
        <v>4</v>
      </c>
      <c r="F26" s="34">
        <v>1996000</v>
      </c>
      <c r="G26" s="35">
        <v>119</v>
      </c>
    </row>
    <row r="27" spans="1:20" ht="15.75" thickBot="1" x14ac:dyDescent="0.3">
      <c r="A27" s="31" t="s">
        <v>29</v>
      </c>
      <c r="B27" s="34">
        <v>0</v>
      </c>
      <c r="C27" s="34">
        <v>67600</v>
      </c>
      <c r="D27" s="34">
        <v>0</v>
      </c>
      <c r="E27" s="34">
        <v>3</v>
      </c>
      <c r="F27" s="34">
        <v>67600</v>
      </c>
      <c r="G27" s="35">
        <v>3</v>
      </c>
    </row>
    <row r="28" spans="1:20" ht="15.75" thickBot="1" x14ac:dyDescent="0.3">
      <c r="A28" s="36" t="s">
        <v>30</v>
      </c>
      <c r="B28" s="37">
        <v>2307220</v>
      </c>
      <c r="C28" s="37">
        <v>283625</v>
      </c>
      <c r="D28" s="37">
        <v>171</v>
      </c>
      <c r="E28" s="37">
        <v>39</v>
      </c>
      <c r="F28" s="37">
        <v>2590845</v>
      </c>
      <c r="G28" s="38">
        <v>210</v>
      </c>
    </row>
    <row r="29" spans="1:20" x14ac:dyDescent="0.25">
      <c r="A29" s="39"/>
      <c r="B29" s="40"/>
      <c r="C29" s="40"/>
      <c r="D29" s="40"/>
      <c r="E29" s="40"/>
      <c r="F29" s="40"/>
      <c r="G29" s="40"/>
      <c r="H29" s="41"/>
    </row>
    <row r="30" spans="1:20" x14ac:dyDescent="0.25">
      <c r="A30" s="17" t="s">
        <v>31</v>
      </c>
      <c r="B30" s="41"/>
      <c r="C30" s="41"/>
    </row>
    <row r="31" spans="1:20" s="22" customFormat="1" ht="2.1" customHeight="1" thickBot="1" x14ac:dyDescent="0.3">
      <c r="A31" s="19"/>
      <c r="B31" s="20" t="s">
        <v>19</v>
      </c>
      <c r="C31" s="20"/>
      <c r="D31" s="21"/>
      <c r="E31" s="21"/>
      <c r="F31" s="21"/>
      <c r="G31" s="21"/>
    </row>
    <row r="32" spans="1:20" ht="45.75" thickBot="1" x14ac:dyDescent="0.3">
      <c r="A32" s="23"/>
      <c r="B32" s="24" t="s">
        <v>15</v>
      </c>
      <c r="C32" s="25"/>
      <c r="D32" s="24" t="s">
        <v>32</v>
      </c>
      <c r="E32" s="25"/>
      <c r="F32" s="42" t="s">
        <v>33</v>
      </c>
      <c r="G32" s="42" t="s">
        <v>34</v>
      </c>
    </row>
    <row r="33" spans="1:10" ht="15.75" customHeight="1" thickBot="1" x14ac:dyDescent="0.3">
      <c r="A33" s="43" t="s">
        <v>23</v>
      </c>
      <c r="B33" s="44" t="s">
        <v>24</v>
      </c>
      <c r="C33" s="44" t="s">
        <v>25</v>
      </c>
      <c r="D33" s="44" t="s">
        <v>24</v>
      </c>
      <c r="E33" s="44" t="s">
        <v>25</v>
      </c>
      <c r="F33" s="45"/>
      <c r="G33" s="45"/>
    </row>
    <row r="34" spans="1:10" x14ac:dyDescent="0.25">
      <c r="A34" s="46" t="s">
        <v>26</v>
      </c>
      <c r="B34" s="32">
        <v>9000</v>
      </c>
      <c r="C34" s="32">
        <v>0</v>
      </c>
      <c r="D34" s="32">
        <v>2</v>
      </c>
      <c r="E34" s="32">
        <v>0</v>
      </c>
      <c r="F34" s="32">
        <v>9000</v>
      </c>
      <c r="G34" s="33">
        <v>2</v>
      </c>
    </row>
    <row r="35" spans="1:10" x14ac:dyDescent="0.25">
      <c r="A35" s="31" t="s">
        <v>27</v>
      </c>
      <c r="B35" s="34">
        <v>25800</v>
      </c>
      <c r="C35" s="34">
        <v>7425</v>
      </c>
      <c r="D35" s="34">
        <v>3</v>
      </c>
      <c r="E35" s="34">
        <v>1</v>
      </c>
      <c r="F35" s="34">
        <v>33225</v>
      </c>
      <c r="G35" s="35">
        <v>4</v>
      </c>
    </row>
    <row r="36" spans="1:10" ht="15.75" thickBot="1" x14ac:dyDescent="0.3">
      <c r="A36" s="31" t="s">
        <v>28</v>
      </c>
      <c r="B36" s="34">
        <v>958150</v>
      </c>
      <c r="C36" s="34">
        <v>0</v>
      </c>
      <c r="D36" s="34">
        <v>55</v>
      </c>
      <c r="E36" s="34">
        <v>0</v>
      </c>
      <c r="F36" s="34">
        <v>958150</v>
      </c>
      <c r="G36" s="35">
        <v>55</v>
      </c>
    </row>
    <row r="37" spans="1:10" ht="15.75" thickBot="1" x14ac:dyDescent="0.3">
      <c r="A37" s="36" t="s">
        <v>30</v>
      </c>
      <c r="B37" s="37">
        <v>992950</v>
      </c>
      <c r="C37" s="37">
        <v>7425</v>
      </c>
      <c r="D37" s="37">
        <v>60</v>
      </c>
      <c r="E37" s="37">
        <v>1</v>
      </c>
      <c r="F37" s="37">
        <v>1000375</v>
      </c>
      <c r="G37" s="38">
        <v>61</v>
      </c>
    </row>
    <row r="39" spans="1:10" x14ac:dyDescent="0.25">
      <c r="A39" s="41"/>
      <c r="B39" s="41"/>
      <c r="C39" s="41"/>
    </row>
    <row r="40" spans="1:10" x14ac:dyDescent="0.25">
      <c r="F40" s="41"/>
      <c r="G40" s="41"/>
      <c r="H40" s="41"/>
    </row>
    <row r="41" spans="1:10" ht="18.75" x14ac:dyDescent="0.3">
      <c r="A41" s="8" t="s">
        <v>35</v>
      </c>
    </row>
    <row r="42" spans="1:10" x14ac:dyDescent="0.25">
      <c r="A42" s="17" t="s">
        <v>18</v>
      </c>
      <c r="B42" s="18"/>
      <c r="C42" s="18"/>
    </row>
    <row r="43" spans="1:10" s="22" customFormat="1" ht="2.1" customHeight="1" thickBot="1" x14ac:dyDescent="0.3">
      <c r="A43" s="19"/>
      <c r="B43" s="20" t="s">
        <v>19</v>
      </c>
      <c r="C43" s="20"/>
      <c r="D43" s="21"/>
      <c r="E43" s="21"/>
      <c r="F43" s="21"/>
      <c r="G43" s="21"/>
      <c r="H43" s="21"/>
      <c r="I43" s="21"/>
      <c r="J43" s="21"/>
    </row>
    <row r="44" spans="1:10" ht="60.75" thickBot="1" x14ac:dyDescent="0.3">
      <c r="A44" s="23"/>
      <c r="B44" s="44" t="s">
        <v>7</v>
      </c>
      <c r="C44" s="44"/>
      <c r="D44" s="44" t="s">
        <v>20</v>
      </c>
      <c r="E44" s="44"/>
      <c r="F44" s="44" t="s">
        <v>36</v>
      </c>
      <c r="G44" s="44"/>
      <c r="H44" s="26" t="s">
        <v>21</v>
      </c>
      <c r="I44" s="26" t="s">
        <v>22</v>
      </c>
      <c r="J44" s="26" t="s">
        <v>37</v>
      </c>
    </row>
    <row r="45" spans="1:10" ht="15.75" thickBot="1" x14ac:dyDescent="0.3">
      <c r="A45" s="47" t="s">
        <v>38</v>
      </c>
      <c r="B45" s="48" t="s">
        <v>24</v>
      </c>
      <c r="C45" s="48" t="s">
        <v>25</v>
      </c>
      <c r="D45" s="48" t="s">
        <v>24</v>
      </c>
      <c r="E45" s="48" t="s">
        <v>25</v>
      </c>
      <c r="F45" s="48" t="s">
        <v>24</v>
      </c>
      <c r="G45" s="48" t="s">
        <v>25</v>
      </c>
      <c r="H45" s="30"/>
      <c r="I45" s="30"/>
      <c r="J45" s="30"/>
    </row>
    <row r="46" spans="1:10" x14ac:dyDescent="0.25">
      <c r="A46" s="31" t="s">
        <v>39</v>
      </c>
      <c r="B46" s="32">
        <v>52900</v>
      </c>
      <c r="C46" s="32">
        <v>23100</v>
      </c>
      <c r="D46" s="32">
        <v>7</v>
      </c>
      <c r="E46" s="32">
        <v>1</v>
      </c>
      <c r="F46" s="32">
        <v>7557.1428571428569</v>
      </c>
      <c r="G46" s="32">
        <v>23100</v>
      </c>
      <c r="H46" s="32">
        <v>76000</v>
      </c>
      <c r="I46" s="32">
        <v>8</v>
      </c>
      <c r="J46" s="33">
        <v>9500</v>
      </c>
    </row>
    <row r="47" spans="1:10" x14ac:dyDescent="0.25">
      <c r="A47" s="31" t="s">
        <v>40</v>
      </c>
      <c r="B47" s="34">
        <v>28500</v>
      </c>
      <c r="C47" s="34">
        <v>0</v>
      </c>
      <c r="D47" s="34">
        <v>2</v>
      </c>
      <c r="E47" s="34">
        <v>0</v>
      </c>
      <c r="F47" s="34">
        <v>14250</v>
      </c>
      <c r="G47" s="34">
        <v>0</v>
      </c>
      <c r="H47" s="34">
        <v>28500</v>
      </c>
      <c r="I47" s="34">
        <v>2</v>
      </c>
      <c r="J47" s="35">
        <v>14250</v>
      </c>
    </row>
    <row r="48" spans="1:10" x14ac:dyDescent="0.25">
      <c r="A48" s="31" t="s">
        <v>41</v>
      </c>
      <c r="B48" s="34">
        <v>445900</v>
      </c>
      <c r="C48" s="34">
        <v>8230</v>
      </c>
      <c r="D48" s="34">
        <v>28</v>
      </c>
      <c r="E48" s="34">
        <v>2</v>
      </c>
      <c r="F48" s="34">
        <v>15925</v>
      </c>
      <c r="G48" s="34">
        <v>4115</v>
      </c>
      <c r="H48" s="34">
        <v>454130</v>
      </c>
      <c r="I48" s="34">
        <v>30</v>
      </c>
      <c r="J48" s="35">
        <v>15137.666666666666</v>
      </c>
    </row>
    <row r="49" spans="1:18" x14ac:dyDescent="0.25">
      <c r="A49" s="31" t="s">
        <v>42</v>
      </c>
      <c r="B49" s="34">
        <v>158820</v>
      </c>
      <c r="C49" s="34">
        <v>47850</v>
      </c>
      <c r="D49" s="34">
        <v>12</v>
      </c>
      <c r="E49" s="34">
        <v>5</v>
      </c>
      <c r="F49" s="34">
        <v>13235</v>
      </c>
      <c r="G49" s="34">
        <v>9570</v>
      </c>
      <c r="H49" s="34">
        <v>206670</v>
      </c>
      <c r="I49" s="34">
        <v>17</v>
      </c>
      <c r="J49" s="35">
        <v>12157.058823529413</v>
      </c>
    </row>
    <row r="50" spans="1:18" x14ac:dyDescent="0.25">
      <c r="A50" s="31" t="s">
        <v>43</v>
      </c>
      <c r="B50" s="34">
        <v>353700</v>
      </c>
      <c r="C50" s="34">
        <v>0</v>
      </c>
      <c r="D50" s="34">
        <v>21</v>
      </c>
      <c r="E50" s="34">
        <v>0</v>
      </c>
      <c r="F50" s="34">
        <v>16842.857142857141</v>
      </c>
      <c r="G50" s="34">
        <v>0</v>
      </c>
      <c r="H50" s="34">
        <v>353700</v>
      </c>
      <c r="I50" s="34">
        <v>21</v>
      </c>
      <c r="J50" s="35">
        <v>16842.857142857141</v>
      </c>
    </row>
    <row r="51" spans="1:18" x14ac:dyDescent="0.25">
      <c r="A51" s="31" t="s">
        <v>44</v>
      </c>
      <c r="B51" s="34">
        <v>361600</v>
      </c>
      <c r="C51" s="34">
        <v>68000</v>
      </c>
      <c r="D51" s="34">
        <v>28</v>
      </c>
      <c r="E51" s="34">
        <v>8</v>
      </c>
      <c r="F51" s="34">
        <v>12914.285714285714</v>
      </c>
      <c r="G51" s="34">
        <v>8500</v>
      </c>
      <c r="H51" s="34">
        <v>429600</v>
      </c>
      <c r="I51" s="34">
        <v>36</v>
      </c>
      <c r="J51" s="35">
        <v>11933.333333333334</v>
      </c>
    </row>
    <row r="52" spans="1:18" x14ac:dyDescent="0.25">
      <c r="A52" s="31" t="s">
        <v>45</v>
      </c>
      <c r="B52" s="34">
        <v>473550</v>
      </c>
      <c r="C52" s="34">
        <v>24225</v>
      </c>
      <c r="D52" s="34">
        <v>37</v>
      </c>
      <c r="E52" s="34">
        <v>3</v>
      </c>
      <c r="F52" s="34">
        <v>12798.648648648648</v>
      </c>
      <c r="G52" s="34">
        <v>8075</v>
      </c>
      <c r="H52" s="34">
        <v>497775</v>
      </c>
      <c r="I52" s="34">
        <v>40</v>
      </c>
      <c r="J52" s="35">
        <v>12444.375</v>
      </c>
    </row>
    <row r="53" spans="1:18" x14ac:dyDescent="0.25">
      <c r="A53" s="31" t="s">
        <v>46</v>
      </c>
      <c r="B53" s="34">
        <v>39150</v>
      </c>
      <c r="C53" s="34">
        <v>65400</v>
      </c>
      <c r="D53" s="34">
        <v>5</v>
      </c>
      <c r="E53" s="34">
        <v>6</v>
      </c>
      <c r="F53" s="34">
        <v>7830</v>
      </c>
      <c r="G53" s="34">
        <v>10900</v>
      </c>
      <c r="H53" s="34">
        <v>104550</v>
      </c>
      <c r="I53" s="34">
        <v>11</v>
      </c>
      <c r="J53" s="35">
        <v>9504.545454545454</v>
      </c>
    </row>
    <row r="54" spans="1:18" x14ac:dyDescent="0.25">
      <c r="A54" s="31" t="s">
        <v>47</v>
      </c>
      <c r="B54" s="34">
        <v>0</v>
      </c>
      <c r="C54" s="34">
        <v>3600</v>
      </c>
      <c r="D54" s="34">
        <v>0</v>
      </c>
      <c r="E54" s="34">
        <v>1</v>
      </c>
      <c r="F54" s="34">
        <v>0</v>
      </c>
      <c r="G54" s="34">
        <v>3600</v>
      </c>
      <c r="H54" s="34">
        <v>3600</v>
      </c>
      <c r="I54" s="34">
        <v>1</v>
      </c>
      <c r="J54" s="35">
        <v>3600</v>
      </c>
    </row>
    <row r="55" spans="1:18" x14ac:dyDescent="0.25">
      <c r="A55" s="31" t="s">
        <v>48</v>
      </c>
      <c r="B55" s="34">
        <v>100500</v>
      </c>
      <c r="C55" s="34">
        <v>0</v>
      </c>
      <c r="D55" s="34">
        <v>6</v>
      </c>
      <c r="E55" s="34">
        <v>0</v>
      </c>
      <c r="F55" s="34">
        <v>16750</v>
      </c>
      <c r="G55" s="34">
        <v>0</v>
      </c>
      <c r="H55" s="34">
        <v>100500</v>
      </c>
      <c r="I55" s="34">
        <v>6</v>
      </c>
      <c r="J55" s="35">
        <v>16750</v>
      </c>
    </row>
    <row r="56" spans="1:18" x14ac:dyDescent="0.25">
      <c r="A56" s="31" t="s">
        <v>49</v>
      </c>
      <c r="B56" s="34">
        <v>233800</v>
      </c>
      <c r="C56" s="34">
        <v>21170</v>
      </c>
      <c r="D56" s="34">
        <v>21</v>
      </c>
      <c r="E56" s="34">
        <v>7</v>
      </c>
      <c r="F56" s="34">
        <v>11133.333333333334</v>
      </c>
      <c r="G56" s="34">
        <v>3024.2857142857142</v>
      </c>
      <c r="H56" s="34">
        <v>254970</v>
      </c>
      <c r="I56" s="34">
        <v>28</v>
      </c>
      <c r="J56" s="35">
        <v>9106.0714285714294</v>
      </c>
    </row>
    <row r="57" spans="1:18" ht="15.75" thickBot="1" x14ac:dyDescent="0.3">
      <c r="A57" s="31" t="s">
        <v>50</v>
      </c>
      <c r="B57" s="34">
        <v>58800</v>
      </c>
      <c r="C57" s="34">
        <v>22050</v>
      </c>
      <c r="D57" s="34">
        <v>4</v>
      </c>
      <c r="E57" s="34">
        <v>6</v>
      </c>
      <c r="F57" s="34">
        <v>14700</v>
      </c>
      <c r="G57" s="34">
        <v>3675</v>
      </c>
      <c r="H57" s="34">
        <v>80850</v>
      </c>
      <c r="I57" s="34">
        <v>10</v>
      </c>
      <c r="J57" s="35">
        <v>8085</v>
      </c>
    </row>
    <row r="58" spans="1:18" ht="15.75" thickBot="1" x14ac:dyDescent="0.3">
      <c r="A58" s="36" t="s">
        <v>30</v>
      </c>
      <c r="B58" s="37">
        <v>2307220</v>
      </c>
      <c r="C58" s="37">
        <v>283625</v>
      </c>
      <c r="D58" s="37">
        <v>171</v>
      </c>
      <c r="E58" s="37">
        <v>39</v>
      </c>
      <c r="F58" s="37">
        <v>13492.514619883041</v>
      </c>
      <c r="G58" s="37">
        <v>7272.4358974358975</v>
      </c>
      <c r="H58" s="37">
        <v>2590845</v>
      </c>
      <c r="I58" s="37">
        <v>210</v>
      </c>
      <c r="J58" s="38">
        <v>12337.357142857143</v>
      </c>
    </row>
    <row r="61" spans="1:18" x14ac:dyDescent="0.25">
      <c r="A61" s="17" t="s">
        <v>31</v>
      </c>
    </row>
    <row r="62" spans="1:18" s="22" customFormat="1" ht="1.5" customHeight="1" thickBot="1" x14ac:dyDescent="0.35">
      <c r="A62" s="19"/>
      <c r="B62" s="20" t="s">
        <v>19</v>
      </c>
      <c r="C62" s="20"/>
      <c r="D62" s="21"/>
      <c r="E62" s="21"/>
      <c r="F62" s="21"/>
      <c r="G62" s="21"/>
      <c r="H62" s="21"/>
      <c r="I62" s="21"/>
      <c r="J62" s="21"/>
      <c r="O62" s="49"/>
      <c r="P62" s="49"/>
      <c r="Q62" s="49"/>
      <c r="R62" s="49"/>
    </row>
    <row r="63" spans="1:18" s="2" customFormat="1" ht="60.75" thickBot="1" x14ac:dyDescent="0.3">
      <c r="A63" s="23"/>
      <c r="B63" s="44" t="s">
        <v>15</v>
      </c>
      <c r="C63" s="44"/>
      <c r="D63" s="44" t="s">
        <v>32</v>
      </c>
      <c r="E63" s="44"/>
      <c r="F63" s="44" t="s">
        <v>52</v>
      </c>
      <c r="G63" s="44"/>
      <c r="H63" s="26" t="s">
        <v>33</v>
      </c>
      <c r="I63" s="26" t="s">
        <v>34</v>
      </c>
      <c r="J63" s="26" t="s">
        <v>53</v>
      </c>
    </row>
    <row r="64" spans="1:18" ht="15.75" thickBot="1" x14ac:dyDescent="0.3">
      <c r="A64" s="47" t="s">
        <v>38</v>
      </c>
      <c r="B64" s="48" t="s">
        <v>24</v>
      </c>
      <c r="C64" s="48" t="s">
        <v>25</v>
      </c>
      <c r="D64" s="48" t="s">
        <v>24</v>
      </c>
      <c r="E64" s="48" t="s">
        <v>25</v>
      </c>
      <c r="F64" s="48" t="s">
        <v>24</v>
      </c>
      <c r="G64" s="48" t="s">
        <v>25</v>
      </c>
      <c r="H64" s="30"/>
      <c r="I64" s="30"/>
      <c r="J64" s="30"/>
    </row>
    <row r="65" spans="1:10" x14ac:dyDescent="0.25">
      <c r="A65" s="31" t="s">
        <v>40</v>
      </c>
      <c r="B65" s="32">
        <v>18000</v>
      </c>
      <c r="C65" s="32">
        <v>0</v>
      </c>
      <c r="D65" s="32">
        <v>1</v>
      </c>
      <c r="E65" s="32">
        <v>0</v>
      </c>
      <c r="F65" s="32">
        <v>18000</v>
      </c>
      <c r="G65" s="32">
        <v>0</v>
      </c>
      <c r="H65" s="32">
        <v>18000</v>
      </c>
      <c r="I65" s="32">
        <v>1</v>
      </c>
      <c r="J65" s="33">
        <v>18000</v>
      </c>
    </row>
    <row r="66" spans="1:10" x14ac:dyDescent="0.25">
      <c r="A66" s="31" t="s">
        <v>41</v>
      </c>
      <c r="B66" s="34">
        <v>273300</v>
      </c>
      <c r="C66" s="34">
        <v>0</v>
      </c>
      <c r="D66" s="34">
        <v>16</v>
      </c>
      <c r="E66" s="34">
        <v>0</v>
      </c>
      <c r="F66" s="34">
        <v>17081.25</v>
      </c>
      <c r="G66" s="34">
        <v>0</v>
      </c>
      <c r="H66" s="34">
        <v>273300</v>
      </c>
      <c r="I66" s="34">
        <v>16</v>
      </c>
      <c r="J66" s="35">
        <v>17081.25</v>
      </c>
    </row>
    <row r="67" spans="1:10" x14ac:dyDescent="0.25">
      <c r="A67" s="31" t="s">
        <v>42</v>
      </c>
      <c r="B67" s="34">
        <v>85200</v>
      </c>
      <c r="C67" s="34">
        <v>0</v>
      </c>
      <c r="D67" s="34">
        <v>5</v>
      </c>
      <c r="E67" s="34">
        <v>0</v>
      </c>
      <c r="F67" s="34">
        <v>17040</v>
      </c>
      <c r="G67" s="34">
        <v>0</v>
      </c>
      <c r="H67" s="34">
        <v>85200</v>
      </c>
      <c r="I67" s="34">
        <v>5</v>
      </c>
      <c r="J67" s="35">
        <v>17040</v>
      </c>
    </row>
    <row r="68" spans="1:10" x14ac:dyDescent="0.25">
      <c r="A68" s="31" t="s">
        <v>43</v>
      </c>
      <c r="B68" s="34">
        <v>154800</v>
      </c>
      <c r="C68" s="34">
        <v>0</v>
      </c>
      <c r="D68" s="34">
        <v>9</v>
      </c>
      <c r="E68" s="34">
        <v>0</v>
      </c>
      <c r="F68" s="34">
        <v>17200</v>
      </c>
      <c r="G68" s="34">
        <v>0</v>
      </c>
      <c r="H68" s="34">
        <v>154800</v>
      </c>
      <c r="I68" s="34">
        <v>9</v>
      </c>
      <c r="J68" s="35">
        <v>17200</v>
      </c>
    </row>
    <row r="69" spans="1:10" x14ac:dyDescent="0.25">
      <c r="A69" s="31" t="s">
        <v>44</v>
      </c>
      <c r="B69" s="34">
        <v>90000</v>
      </c>
      <c r="C69" s="34">
        <v>0</v>
      </c>
      <c r="D69" s="34">
        <v>5</v>
      </c>
      <c r="E69" s="34">
        <v>0</v>
      </c>
      <c r="F69" s="34">
        <v>18000</v>
      </c>
      <c r="G69" s="34">
        <v>0</v>
      </c>
      <c r="H69" s="34">
        <v>90000</v>
      </c>
      <c r="I69" s="34">
        <v>5</v>
      </c>
      <c r="J69" s="35">
        <v>18000</v>
      </c>
    </row>
    <row r="70" spans="1:10" x14ac:dyDescent="0.25">
      <c r="A70" s="31" t="s">
        <v>45</v>
      </c>
      <c r="B70" s="34">
        <v>263950</v>
      </c>
      <c r="C70" s="34">
        <v>7425</v>
      </c>
      <c r="D70" s="34">
        <v>16</v>
      </c>
      <c r="E70" s="34">
        <v>1</v>
      </c>
      <c r="F70" s="34">
        <v>16496.875</v>
      </c>
      <c r="G70" s="34">
        <v>7425</v>
      </c>
      <c r="H70" s="34">
        <v>271375</v>
      </c>
      <c r="I70" s="34">
        <v>17</v>
      </c>
      <c r="J70" s="35">
        <v>15963.235294117647</v>
      </c>
    </row>
    <row r="71" spans="1:10" x14ac:dyDescent="0.25">
      <c r="A71" s="31" t="s">
        <v>46</v>
      </c>
      <c r="B71" s="34">
        <v>13200</v>
      </c>
      <c r="C71" s="34">
        <v>0</v>
      </c>
      <c r="D71" s="34">
        <v>2</v>
      </c>
      <c r="E71" s="34">
        <v>0</v>
      </c>
      <c r="F71" s="34">
        <v>6600</v>
      </c>
      <c r="G71" s="34">
        <v>0</v>
      </c>
      <c r="H71" s="34">
        <v>13200</v>
      </c>
      <c r="I71" s="34">
        <v>2</v>
      </c>
      <c r="J71" s="35">
        <v>6600</v>
      </c>
    </row>
    <row r="72" spans="1:10" x14ac:dyDescent="0.25">
      <c r="A72" s="31" t="s">
        <v>49</v>
      </c>
      <c r="B72" s="34">
        <v>58500</v>
      </c>
      <c r="C72" s="34">
        <v>0</v>
      </c>
      <c r="D72" s="34">
        <v>4</v>
      </c>
      <c r="E72" s="34">
        <v>0</v>
      </c>
      <c r="F72" s="34">
        <v>14625</v>
      </c>
      <c r="G72" s="34">
        <v>0</v>
      </c>
      <c r="H72" s="34">
        <v>58500</v>
      </c>
      <c r="I72" s="34">
        <v>4</v>
      </c>
      <c r="J72" s="35">
        <v>14625</v>
      </c>
    </row>
    <row r="73" spans="1:10" ht="15.75" thickBot="1" x14ac:dyDescent="0.3">
      <c r="A73" s="31" t="s">
        <v>50</v>
      </c>
      <c r="B73" s="34">
        <v>36000</v>
      </c>
      <c r="C73" s="34">
        <v>0</v>
      </c>
      <c r="D73" s="34">
        <v>2</v>
      </c>
      <c r="E73" s="34">
        <v>0</v>
      </c>
      <c r="F73" s="34">
        <v>18000</v>
      </c>
      <c r="G73" s="34">
        <v>0</v>
      </c>
      <c r="H73" s="34">
        <v>36000</v>
      </c>
      <c r="I73" s="34">
        <v>2</v>
      </c>
      <c r="J73" s="35">
        <v>18000</v>
      </c>
    </row>
    <row r="74" spans="1:10" ht="15.75" thickBot="1" x14ac:dyDescent="0.3">
      <c r="A74" s="36" t="s">
        <v>30</v>
      </c>
      <c r="B74" s="37">
        <v>992950</v>
      </c>
      <c r="C74" s="37">
        <v>7425</v>
      </c>
      <c r="D74" s="37">
        <v>60</v>
      </c>
      <c r="E74" s="37">
        <v>1</v>
      </c>
      <c r="F74" s="37">
        <v>16549.166666666668</v>
      </c>
      <c r="G74" s="37">
        <v>7425</v>
      </c>
      <c r="H74" s="37">
        <v>1000375</v>
      </c>
      <c r="I74" s="37">
        <v>61</v>
      </c>
      <c r="J74" s="38">
        <v>16399.590163934427</v>
      </c>
    </row>
    <row r="79" spans="1:10" x14ac:dyDescent="0.25">
      <c r="D79" s="40"/>
    </row>
    <row r="80" spans="1:10" s="8" customFormat="1" ht="18.75" x14ac:dyDescent="0.3">
      <c r="A80" s="8" t="s">
        <v>54</v>
      </c>
    </row>
    <row r="81" spans="1:9" s="8" customFormat="1" ht="15" customHeight="1" thickBot="1" x14ac:dyDescent="0.35"/>
    <row r="82" spans="1:9" s="8" customFormat="1" ht="15" customHeight="1" thickBot="1" x14ac:dyDescent="0.35">
      <c r="A82" s="9" t="s">
        <v>55</v>
      </c>
      <c r="B82"/>
    </row>
    <row r="83" spans="1:9" s="8" customFormat="1" ht="15" customHeight="1" thickBot="1" x14ac:dyDescent="0.35">
      <c r="A83" s="60">
        <v>430550</v>
      </c>
    </row>
    <row r="84" spans="1:9" s="8" customFormat="1" ht="15" customHeight="1" x14ac:dyDescent="0.3">
      <c r="A84"/>
    </row>
    <row r="85" spans="1:9" x14ac:dyDescent="0.25">
      <c r="A85" s="17" t="s">
        <v>18</v>
      </c>
      <c r="B85" s="18"/>
      <c r="C85" s="18"/>
      <c r="F85" s="17" t="s">
        <v>31</v>
      </c>
    </row>
    <row r="86" spans="1:9" ht="2.1" customHeight="1" thickBot="1" x14ac:dyDescent="0.3"/>
    <row r="87" spans="1:9" ht="60.75" thickBot="1" x14ac:dyDescent="0.3">
      <c r="A87" s="50" t="s">
        <v>56</v>
      </c>
      <c r="B87" s="42" t="s">
        <v>5</v>
      </c>
      <c r="C87" s="42" t="s">
        <v>57</v>
      </c>
      <c r="D87" s="42" t="s">
        <v>58</v>
      </c>
      <c r="F87" s="51" t="s">
        <v>59</v>
      </c>
      <c r="G87" s="42" t="s">
        <v>15</v>
      </c>
      <c r="H87" s="42" t="s">
        <v>14</v>
      </c>
      <c r="I87" s="42" t="s">
        <v>60</v>
      </c>
    </row>
    <row r="88" spans="1:9" x14ac:dyDescent="0.25">
      <c r="A88" s="31" t="s">
        <v>61</v>
      </c>
      <c r="B88" s="32">
        <v>1894175</v>
      </c>
      <c r="C88" s="32">
        <v>154</v>
      </c>
      <c r="D88" s="33">
        <v>12299.837662337663</v>
      </c>
      <c r="F88" s="31" t="s">
        <v>61</v>
      </c>
      <c r="G88" s="32">
        <v>769075</v>
      </c>
      <c r="H88" s="32">
        <v>47</v>
      </c>
      <c r="I88" s="33">
        <v>16363.297872340425</v>
      </c>
    </row>
    <row r="89" spans="1:9" ht="15.75" thickBot="1" x14ac:dyDescent="0.3">
      <c r="A89" s="31" t="s">
        <v>62</v>
      </c>
      <c r="B89" s="34">
        <v>696670</v>
      </c>
      <c r="C89" s="34">
        <v>56</v>
      </c>
      <c r="D89" s="35">
        <v>12440.535714285714</v>
      </c>
      <c r="F89" s="31" t="s">
        <v>62</v>
      </c>
      <c r="G89" s="34">
        <v>231300</v>
      </c>
      <c r="H89" s="34">
        <v>14</v>
      </c>
      <c r="I89" s="35">
        <v>16521.428571428572</v>
      </c>
    </row>
    <row r="90" spans="1:9" ht="15.75" thickBot="1" x14ac:dyDescent="0.3">
      <c r="A90" s="36" t="s">
        <v>30</v>
      </c>
      <c r="B90" s="37">
        <v>2590845</v>
      </c>
      <c r="C90" s="37">
        <v>210</v>
      </c>
      <c r="D90" s="38">
        <v>12337.357142857143</v>
      </c>
      <c r="F90" s="36" t="s">
        <v>30</v>
      </c>
      <c r="G90" s="37">
        <v>1000375</v>
      </c>
      <c r="H90" s="37">
        <v>61</v>
      </c>
      <c r="I90" s="38">
        <v>16399.590163934427</v>
      </c>
    </row>
  </sheetData>
  <protectedRanges>
    <protectedRange sqref="B3" name="Bereich1"/>
  </protectedRanges>
  <mergeCells count="4">
    <mergeCell ref="A10:A11"/>
    <mergeCell ref="B10:B11"/>
    <mergeCell ref="A14:A15"/>
    <mergeCell ref="B14:B15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6">
    <tabColor rgb="FF0070C0"/>
  </sheetPr>
  <dimension ref="A1:T90"/>
  <sheetViews>
    <sheetView showGridLines="0" zoomScale="85" zoomScaleNormal="85" workbookViewId="0">
      <selection activeCell="I20" sqref="I20"/>
    </sheetView>
  </sheetViews>
  <sheetFormatPr defaultColWidth="9.140625" defaultRowHeight="15" x14ac:dyDescent="0.25"/>
  <cols>
    <col min="1" max="1" width="25.28515625" customWidth="1"/>
    <col min="2" max="10" width="15.7109375" customWidth="1"/>
    <col min="11" max="11" width="24.7109375" customWidth="1"/>
    <col min="12" max="13" width="28.85546875" customWidth="1"/>
    <col min="14" max="14" width="29.140625" customWidth="1"/>
    <col min="15" max="15" width="33.5703125" customWidth="1"/>
    <col min="16" max="16" width="18.140625" customWidth="1"/>
    <col min="17" max="17" width="20.28515625" customWidth="1"/>
    <col min="18" max="18" width="24.7109375" customWidth="1"/>
    <col min="19" max="19" width="12.5703125" customWidth="1"/>
    <col min="28" max="28" width="7.85546875" customWidth="1"/>
    <col min="29" max="30" width="7.28515625" customWidth="1"/>
  </cols>
  <sheetData>
    <row r="1" spans="1:8" s="2" customFormat="1" ht="38.25" customHeight="1" x14ac:dyDescent="0.25">
      <c r="A1" s="1" t="s">
        <v>0</v>
      </c>
    </row>
    <row r="2" spans="1:8" s="2" customFormat="1" ht="5.25" customHeight="1" x14ac:dyDescent="0.25">
      <c r="A2" s="1"/>
    </row>
    <row r="3" spans="1:8" x14ac:dyDescent="0.25">
      <c r="A3" s="3" t="s">
        <v>1</v>
      </c>
      <c r="B3" s="4">
        <v>42948</v>
      </c>
      <c r="C3" s="5">
        <v>12</v>
      </c>
    </row>
    <row r="4" spans="1:8" x14ac:dyDescent="0.25">
      <c r="A4" s="6"/>
      <c r="B4" s="7"/>
    </row>
    <row r="6" spans="1:8" ht="19.5" thickBot="1" x14ac:dyDescent="0.35">
      <c r="A6" s="8" t="s">
        <v>2</v>
      </c>
    </row>
    <row r="7" spans="1:8" ht="45.75" thickBot="1" x14ac:dyDescent="0.3">
      <c r="A7" s="9" t="s">
        <v>3</v>
      </c>
      <c r="B7" s="10" t="s">
        <v>4</v>
      </c>
    </row>
    <row r="8" spans="1:8" ht="15.75" thickBot="1" x14ac:dyDescent="0.3">
      <c r="A8" s="52">
        <v>1000000</v>
      </c>
      <c r="B8" s="59">
        <v>7</v>
      </c>
    </row>
    <row r="9" spans="1:8" ht="19.5" thickBot="1" x14ac:dyDescent="0.35">
      <c r="A9" s="8"/>
    </row>
    <row r="10" spans="1:8" ht="15.75" thickBot="1" x14ac:dyDescent="0.3">
      <c r="A10" s="343" t="s">
        <v>5</v>
      </c>
      <c r="B10" s="343" t="s">
        <v>6</v>
      </c>
      <c r="C10" s="11" t="s">
        <v>7</v>
      </c>
      <c r="D10" s="12"/>
      <c r="E10" s="13"/>
      <c r="F10" s="11" t="s">
        <v>8</v>
      </c>
      <c r="G10" s="12"/>
      <c r="H10" s="13"/>
    </row>
    <row r="11" spans="1:8" ht="15.75" thickBot="1" x14ac:dyDescent="0.3">
      <c r="A11" s="344"/>
      <c r="B11" s="345"/>
      <c r="C11" s="14" t="s">
        <v>9</v>
      </c>
      <c r="D11" s="14" t="s">
        <v>10</v>
      </c>
      <c r="E11" s="14" t="s">
        <v>11</v>
      </c>
      <c r="F11" s="14" t="s">
        <v>9</v>
      </c>
      <c r="G11" s="14" t="s">
        <v>10</v>
      </c>
      <c r="H11" s="14" t="s">
        <v>12</v>
      </c>
    </row>
    <row r="12" spans="1:8" ht="15.75" thickBot="1" x14ac:dyDescent="0.3">
      <c r="A12" s="52">
        <v>2926940</v>
      </c>
      <c r="B12" s="53">
        <v>281</v>
      </c>
      <c r="C12" s="52">
        <v>2000</v>
      </c>
      <c r="D12" s="54">
        <v>24150</v>
      </c>
      <c r="E12" s="55">
        <v>10416.156583629892</v>
      </c>
      <c r="F12" s="56">
        <v>3.5</v>
      </c>
      <c r="G12" s="57">
        <v>6.45</v>
      </c>
      <c r="H12" s="58">
        <v>4.6381263367202603</v>
      </c>
    </row>
    <row r="13" spans="1:8" ht="15.75" thickBot="1" x14ac:dyDescent="0.3">
      <c r="A13" s="15"/>
      <c r="B13" s="15"/>
    </row>
    <row r="14" spans="1:8" ht="15.75" thickBot="1" x14ac:dyDescent="0.3">
      <c r="A14" s="343" t="s">
        <v>13</v>
      </c>
      <c r="B14" s="343" t="s">
        <v>14</v>
      </c>
      <c r="C14" s="11" t="s">
        <v>15</v>
      </c>
      <c r="D14" s="12"/>
      <c r="E14" s="13"/>
      <c r="F14" s="11" t="s">
        <v>16</v>
      </c>
      <c r="G14" s="12"/>
      <c r="H14" s="13"/>
    </row>
    <row r="15" spans="1:8" ht="15.75" thickBot="1" x14ac:dyDescent="0.3">
      <c r="A15" s="345"/>
      <c r="B15" s="344"/>
      <c r="C15" s="14" t="s">
        <v>9</v>
      </c>
      <c r="D15" s="14" t="s">
        <v>10</v>
      </c>
      <c r="E15" s="14" t="s">
        <v>11</v>
      </c>
      <c r="F15" s="14" t="s">
        <v>9</v>
      </c>
      <c r="G15" s="14" t="s">
        <v>10</v>
      </c>
      <c r="H15" s="14" t="s">
        <v>12</v>
      </c>
    </row>
    <row r="16" spans="1:8" ht="15.75" thickBot="1" x14ac:dyDescent="0.3">
      <c r="A16" s="52">
        <v>1012890</v>
      </c>
      <c r="B16" s="53">
        <v>67</v>
      </c>
      <c r="C16" s="52">
        <v>2780</v>
      </c>
      <c r="D16" s="54">
        <v>21600</v>
      </c>
      <c r="E16" s="55">
        <v>15117.76119402985</v>
      </c>
      <c r="F16" s="56">
        <v>4.1599998474121094</v>
      </c>
      <c r="G16" s="57">
        <v>4.2899999618530273</v>
      </c>
      <c r="H16" s="58">
        <v>4.2838615793380059</v>
      </c>
    </row>
    <row r="19" spans="1:20" ht="18.75" x14ac:dyDescent="0.3">
      <c r="A19" s="8" t="s">
        <v>17</v>
      </c>
      <c r="F19" s="16"/>
      <c r="G19" s="16"/>
      <c r="H19" s="16"/>
      <c r="I19" s="16"/>
    </row>
    <row r="20" spans="1:20" x14ac:dyDescent="0.25">
      <c r="A20" s="17" t="s">
        <v>18</v>
      </c>
      <c r="B20" s="18"/>
      <c r="C20" s="18"/>
    </row>
    <row r="21" spans="1:20" s="22" customFormat="1" ht="2.1" customHeight="1" thickBot="1" x14ac:dyDescent="0.3">
      <c r="A21" s="19"/>
      <c r="B21" s="20" t="s">
        <v>19</v>
      </c>
      <c r="C21" s="20"/>
      <c r="D21" s="21"/>
      <c r="E21" s="21"/>
      <c r="F21" s="21"/>
      <c r="G21" s="21"/>
      <c r="J21"/>
      <c r="K21"/>
      <c r="L21"/>
      <c r="M21"/>
      <c r="N21"/>
      <c r="O21"/>
      <c r="P21"/>
      <c r="Q21"/>
      <c r="R21"/>
      <c r="S21"/>
      <c r="T21"/>
    </row>
    <row r="22" spans="1:20" ht="45.75" thickBot="1" x14ac:dyDescent="0.3">
      <c r="A22" s="23"/>
      <c r="B22" s="24" t="s">
        <v>7</v>
      </c>
      <c r="C22" s="25"/>
      <c r="D22" s="24" t="s">
        <v>20</v>
      </c>
      <c r="E22" s="25"/>
      <c r="F22" s="26" t="s">
        <v>21</v>
      </c>
      <c r="G22" s="26" t="s">
        <v>22</v>
      </c>
    </row>
    <row r="23" spans="1:20" ht="15.75" thickBot="1" x14ac:dyDescent="0.3">
      <c r="A23" s="27" t="s">
        <v>23</v>
      </c>
      <c r="B23" s="28" t="s">
        <v>24</v>
      </c>
      <c r="C23" s="29" t="s">
        <v>25</v>
      </c>
      <c r="D23" s="28" t="s">
        <v>24</v>
      </c>
      <c r="E23" s="29" t="s">
        <v>25</v>
      </c>
      <c r="F23" s="30"/>
      <c r="G23" s="30"/>
    </row>
    <row r="24" spans="1:20" x14ac:dyDescent="0.25">
      <c r="A24" s="31" t="s">
        <v>26</v>
      </c>
      <c r="B24" s="32">
        <v>213390</v>
      </c>
      <c r="C24" s="32">
        <v>131830</v>
      </c>
      <c r="D24" s="32">
        <v>60</v>
      </c>
      <c r="E24" s="32">
        <v>39</v>
      </c>
      <c r="F24" s="32">
        <v>345220</v>
      </c>
      <c r="G24" s="33">
        <v>99</v>
      </c>
    </row>
    <row r="25" spans="1:20" x14ac:dyDescent="0.25">
      <c r="A25" s="31" t="s">
        <v>27</v>
      </c>
      <c r="B25" s="34">
        <v>402100</v>
      </c>
      <c r="C25" s="34">
        <v>103410</v>
      </c>
      <c r="D25" s="34">
        <v>46</v>
      </c>
      <c r="E25" s="34">
        <v>13</v>
      </c>
      <c r="F25" s="34">
        <v>505510</v>
      </c>
      <c r="G25" s="35">
        <v>59</v>
      </c>
    </row>
    <row r="26" spans="1:20" x14ac:dyDescent="0.25">
      <c r="A26" s="31" t="s">
        <v>28</v>
      </c>
      <c r="B26" s="34">
        <v>1845360</v>
      </c>
      <c r="C26" s="34">
        <v>77350</v>
      </c>
      <c r="D26" s="34">
        <v>111</v>
      </c>
      <c r="E26" s="34">
        <v>5</v>
      </c>
      <c r="F26" s="34">
        <v>1922710</v>
      </c>
      <c r="G26" s="35">
        <v>116</v>
      </c>
    </row>
    <row r="27" spans="1:20" ht="15.75" thickBot="1" x14ac:dyDescent="0.3">
      <c r="A27" s="31" t="s">
        <v>29</v>
      </c>
      <c r="B27" s="34">
        <v>0</v>
      </c>
      <c r="C27" s="34">
        <v>153500</v>
      </c>
      <c r="D27" s="34">
        <v>0</v>
      </c>
      <c r="E27" s="34">
        <v>7</v>
      </c>
      <c r="F27" s="34">
        <v>153500</v>
      </c>
      <c r="G27" s="35">
        <v>7</v>
      </c>
    </row>
    <row r="28" spans="1:20" ht="15.75" thickBot="1" x14ac:dyDescent="0.3">
      <c r="A28" s="36" t="s">
        <v>30</v>
      </c>
      <c r="B28" s="37">
        <v>2460850</v>
      </c>
      <c r="C28" s="37">
        <v>466090</v>
      </c>
      <c r="D28" s="37">
        <v>217</v>
      </c>
      <c r="E28" s="37">
        <v>64</v>
      </c>
      <c r="F28" s="37">
        <v>2926940</v>
      </c>
      <c r="G28" s="38">
        <v>281</v>
      </c>
    </row>
    <row r="29" spans="1:20" x14ac:dyDescent="0.25">
      <c r="A29" s="39"/>
      <c r="B29" s="40"/>
      <c r="C29" s="40"/>
      <c r="D29" s="40"/>
      <c r="E29" s="40"/>
      <c r="F29" s="40"/>
      <c r="G29" s="40"/>
      <c r="H29" s="41"/>
    </row>
    <row r="30" spans="1:20" x14ac:dyDescent="0.25">
      <c r="A30" s="17" t="s">
        <v>31</v>
      </c>
      <c r="B30" s="41"/>
      <c r="C30" s="41"/>
    </row>
    <row r="31" spans="1:20" s="22" customFormat="1" ht="2.1" customHeight="1" thickBot="1" x14ac:dyDescent="0.3">
      <c r="A31" s="19"/>
      <c r="B31" s="20" t="s">
        <v>19</v>
      </c>
      <c r="C31" s="20"/>
      <c r="D31" s="21"/>
      <c r="E31" s="21"/>
      <c r="F31" s="21"/>
      <c r="G31" s="21"/>
    </row>
    <row r="32" spans="1:20" ht="45.75" thickBot="1" x14ac:dyDescent="0.3">
      <c r="A32" s="23"/>
      <c r="B32" s="24" t="s">
        <v>15</v>
      </c>
      <c r="C32" s="25"/>
      <c r="D32" s="24" t="s">
        <v>32</v>
      </c>
      <c r="E32" s="25"/>
      <c r="F32" s="42" t="s">
        <v>33</v>
      </c>
      <c r="G32" s="42" t="s">
        <v>34</v>
      </c>
    </row>
    <row r="33" spans="1:10" ht="15.75" customHeight="1" thickBot="1" x14ac:dyDescent="0.3">
      <c r="A33" s="43" t="s">
        <v>23</v>
      </c>
      <c r="B33" s="44" t="s">
        <v>24</v>
      </c>
      <c r="C33" s="44" t="s">
        <v>25</v>
      </c>
      <c r="D33" s="44" t="s">
        <v>24</v>
      </c>
      <c r="E33" s="44" t="s">
        <v>25</v>
      </c>
      <c r="F33" s="45"/>
      <c r="G33" s="45"/>
    </row>
    <row r="34" spans="1:10" x14ac:dyDescent="0.25">
      <c r="A34" s="46" t="s">
        <v>26</v>
      </c>
      <c r="B34" s="32">
        <v>11780</v>
      </c>
      <c r="C34" s="32">
        <v>15000</v>
      </c>
      <c r="D34" s="32">
        <v>3</v>
      </c>
      <c r="E34" s="32">
        <v>4</v>
      </c>
      <c r="F34" s="32">
        <v>26780</v>
      </c>
      <c r="G34" s="33">
        <v>7</v>
      </c>
    </row>
    <row r="35" spans="1:10" x14ac:dyDescent="0.25">
      <c r="A35" s="31" t="s">
        <v>27</v>
      </c>
      <c r="B35" s="34">
        <v>59850</v>
      </c>
      <c r="C35" s="34">
        <v>18000</v>
      </c>
      <c r="D35" s="34">
        <v>6</v>
      </c>
      <c r="E35" s="34">
        <v>2</v>
      </c>
      <c r="F35" s="34">
        <v>77850</v>
      </c>
      <c r="G35" s="35">
        <v>8</v>
      </c>
    </row>
    <row r="36" spans="1:10" x14ac:dyDescent="0.25">
      <c r="A36" s="31" t="s">
        <v>28</v>
      </c>
      <c r="B36" s="34">
        <v>886660</v>
      </c>
      <c r="C36" s="34">
        <v>0</v>
      </c>
      <c r="D36" s="34">
        <v>51</v>
      </c>
      <c r="E36" s="34">
        <v>0</v>
      </c>
      <c r="F36" s="34">
        <v>886660</v>
      </c>
      <c r="G36" s="35">
        <v>51</v>
      </c>
    </row>
    <row r="37" spans="1:10" ht="15.75" thickBot="1" x14ac:dyDescent="0.3">
      <c r="A37" s="31" t="s">
        <v>29</v>
      </c>
      <c r="B37" s="34">
        <v>0</v>
      </c>
      <c r="C37" s="34">
        <v>21600</v>
      </c>
      <c r="D37" s="34">
        <v>0</v>
      </c>
      <c r="E37" s="34">
        <v>1</v>
      </c>
      <c r="F37" s="34">
        <v>21600</v>
      </c>
      <c r="G37" s="35">
        <v>1</v>
      </c>
    </row>
    <row r="38" spans="1:10" ht="15.75" thickBot="1" x14ac:dyDescent="0.3">
      <c r="A38" s="36" t="s">
        <v>30</v>
      </c>
      <c r="B38" s="37">
        <v>958290</v>
      </c>
      <c r="C38" s="37">
        <v>54600</v>
      </c>
      <c r="D38" s="37">
        <v>60</v>
      </c>
      <c r="E38" s="37">
        <v>7</v>
      </c>
      <c r="F38" s="37">
        <v>1012890</v>
      </c>
      <c r="G38" s="38">
        <v>67</v>
      </c>
    </row>
    <row r="39" spans="1:10" x14ac:dyDescent="0.25">
      <c r="A39" s="41"/>
      <c r="B39" s="41"/>
      <c r="C39" s="41"/>
    </row>
    <row r="40" spans="1:10" x14ac:dyDescent="0.25">
      <c r="F40" s="41"/>
      <c r="G40" s="41"/>
      <c r="H40" s="41"/>
    </row>
    <row r="41" spans="1:10" ht="18.75" x14ac:dyDescent="0.3">
      <c r="A41" s="8" t="s">
        <v>35</v>
      </c>
    </row>
    <row r="42" spans="1:10" x14ac:dyDescent="0.25">
      <c r="A42" s="17" t="s">
        <v>18</v>
      </c>
      <c r="B42" s="18"/>
      <c r="C42" s="18"/>
    </row>
    <row r="43" spans="1:10" s="22" customFormat="1" ht="2.1" customHeight="1" thickBot="1" x14ac:dyDescent="0.3">
      <c r="A43" s="19"/>
      <c r="B43" s="20" t="s">
        <v>19</v>
      </c>
      <c r="C43" s="20"/>
      <c r="D43" s="21"/>
      <c r="E43" s="21"/>
      <c r="F43" s="21"/>
      <c r="G43" s="21"/>
      <c r="H43" s="21"/>
      <c r="I43" s="21"/>
      <c r="J43" s="21"/>
    </row>
    <row r="44" spans="1:10" ht="60.75" thickBot="1" x14ac:dyDescent="0.3">
      <c r="A44" s="23"/>
      <c r="B44" s="44" t="s">
        <v>7</v>
      </c>
      <c r="C44" s="44"/>
      <c r="D44" s="44" t="s">
        <v>20</v>
      </c>
      <c r="E44" s="44"/>
      <c r="F44" s="44" t="s">
        <v>36</v>
      </c>
      <c r="G44" s="44"/>
      <c r="H44" s="26" t="s">
        <v>21</v>
      </c>
      <c r="I44" s="26" t="s">
        <v>22</v>
      </c>
      <c r="J44" s="26" t="s">
        <v>37</v>
      </c>
    </row>
    <row r="45" spans="1:10" ht="15.75" thickBot="1" x14ac:dyDescent="0.3">
      <c r="A45" s="47" t="s">
        <v>38</v>
      </c>
      <c r="B45" s="48" t="s">
        <v>24</v>
      </c>
      <c r="C45" s="48" t="s">
        <v>25</v>
      </c>
      <c r="D45" s="48" t="s">
        <v>24</v>
      </c>
      <c r="E45" s="48" t="s">
        <v>25</v>
      </c>
      <c r="F45" s="48" t="s">
        <v>24</v>
      </c>
      <c r="G45" s="48" t="s">
        <v>25</v>
      </c>
      <c r="H45" s="30"/>
      <c r="I45" s="30"/>
      <c r="J45" s="30"/>
    </row>
    <row r="46" spans="1:10" x14ac:dyDescent="0.25">
      <c r="A46" s="31" t="s">
        <v>39</v>
      </c>
      <c r="B46" s="32">
        <v>34500</v>
      </c>
      <c r="C46" s="32">
        <v>33300</v>
      </c>
      <c r="D46" s="32">
        <v>6</v>
      </c>
      <c r="E46" s="32">
        <v>3</v>
      </c>
      <c r="F46" s="32">
        <v>5750</v>
      </c>
      <c r="G46" s="32">
        <v>11100</v>
      </c>
      <c r="H46" s="32">
        <v>67800</v>
      </c>
      <c r="I46" s="32">
        <v>9</v>
      </c>
      <c r="J46" s="33">
        <v>7533.333333333333</v>
      </c>
    </row>
    <row r="47" spans="1:10" x14ac:dyDescent="0.25">
      <c r="A47" s="31" t="s">
        <v>40</v>
      </c>
      <c r="B47" s="34">
        <v>17400</v>
      </c>
      <c r="C47" s="34">
        <v>10200</v>
      </c>
      <c r="D47" s="34">
        <v>2</v>
      </c>
      <c r="E47" s="34">
        <v>1</v>
      </c>
      <c r="F47" s="34">
        <v>8700</v>
      </c>
      <c r="G47" s="34">
        <v>10200</v>
      </c>
      <c r="H47" s="34">
        <v>27600</v>
      </c>
      <c r="I47" s="34">
        <v>3</v>
      </c>
      <c r="J47" s="35">
        <v>9200</v>
      </c>
    </row>
    <row r="48" spans="1:10" x14ac:dyDescent="0.25">
      <c r="A48" s="31" t="s">
        <v>41</v>
      </c>
      <c r="B48" s="34">
        <v>548320</v>
      </c>
      <c r="C48" s="34">
        <v>62740</v>
      </c>
      <c r="D48" s="34">
        <v>35</v>
      </c>
      <c r="E48" s="34">
        <v>10</v>
      </c>
      <c r="F48" s="34">
        <v>15666.285714285714</v>
      </c>
      <c r="G48" s="34">
        <v>6274</v>
      </c>
      <c r="H48" s="34">
        <v>611060</v>
      </c>
      <c r="I48" s="34">
        <v>45</v>
      </c>
      <c r="J48" s="35">
        <v>13579.111111111111</v>
      </c>
    </row>
    <row r="49" spans="1:18" x14ac:dyDescent="0.25">
      <c r="A49" s="31" t="s">
        <v>42</v>
      </c>
      <c r="B49" s="34">
        <v>126230</v>
      </c>
      <c r="C49" s="34">
        <v>51500</v>
      </c>
      <c r="D49" s="34">
        <v>10</v>
      </c>
      <c r="E49" s="34">
        <v>5</v>
      </c>
      <c r="F49" s="34">
        <v>12623</v>
      </c>
      <c r="G49" s="34">
        <v>10300</v>
      </c>
      <c r="H49" s="34">
        <v>177730</v>
      </c>
      <c r="I49" s="34">
        <v>15</v>
      </c>
      <c r="J49" s="35">
        <v>11848.666666666666</v>
      </c>
    </row>
    <row r="50" spans="1:18" x14ac:dyDescent="0.25">
      <c r="A50" s="31" t="s">
        <v>43</v>
      </c>
      <c r="B50" s="34">
        <v>289780</v>
      </c>
      <c r="C50" s="34">
        <v>11200</v>
      </c>
      <c r="D50" s="34">
        <v>20</v>
      </c>
      <c r="E50" s="34">
        <v>3</v>
      </c>
      <c r="F50" s="34">
        <v>14489</v>
      </c>
      <c r="G50" s="34">
        <v>3733.3333333333335</v>
      </c>
      <c r="H50" s="34">
        <v>300980</v>
      </c>
      <c r="I50" s="34">
        <v>23</v>
      </c>
      <c r="J50" s="35">
        <v>13086.08695652174</v>
      </c>
    </row>
    <row r="51" spans="1:18" x14ac:dyDescent="0.25">
      <c r="A51" s="31" t="s">
        <v>44</v>
      </c>
      <c r="B51" s="34">
        <v>416110</v>
      </c>
      <c r="C51" s="34">
        <v>84100</v>
      </c>
      <c r="D51" s="34">
        <v>37</v>
      </c>
      <c r="E51" s="34">
        <v>12</v>
      </c>
      <c r="F51" s="34">
        <v>11246.216216216217</v>
      </c>
      <c r="G51" s="34">
        <v>7008.333333333333</v>
      </c>
      <c r="H51" s="34">
        <v>500210</v>
      </c>
      <c r="I51" s="34">
        <v>49</v>
      </c>
      <c r="J51" s="35">
        <v>10208.367346938776</v>
      </c>
    </row>
    <row r="52" spans="1:18" x14ac:dyDescent="0.25">
      <c r="A52" s="31" t="s">
        <v>45</v>
      </c>
      <c r="B52" s="34">
        <v>552460</v>
      </c>
      <c r="C52" s="34">
        <v>22100</v>
      </c>
      <c r="D52" s="34">
        <v>52</v>
      </c>
      <c r="E52" s="34">
        <v>4</v>
      </c>
      <c r="F52" s="34">
        <v>10624.23076923077</v>
      </c>
      <c r="G52" s="34">
        <v>5525</v>
      </c>
      <c r="H52" s="34">
        <v>574560</v>
      </c>
      <c r="I52" s="34">
        <v>56</v>
      </c>
      <c r="J52" s="35">
        <v>10260</v>
      </c>
    </row>
    <row r="53" spans="1:18" x14ac:dyDescent="0.25">
      <c r="A53" s="31" t="s">
        <v>46</v>
      </c>
      <c r="B53" s="34">
        <v>26600</v>
      </c>
      <c r="C53" s="34">
        <v>123080</v>
      </c>
      <c r="D53" s="34">
        <v>5</v>
      </c>
      <c r="E53" s="34">
        <v>13</v>
      </c>
      <c r="F53" s="34">
        <v>5320</v>
      </c>
      <c r="G53" s="34">
        <v>9467.6923076923085</v>
      </c>
      <c r="H53" s="34">
        <v>149680</v>
      </c>
      <c r="I53" s="34">
        <v>18</v>
      </c>
      <c r="J53" s="35">
        <v>8315.5555555555547</v>
      </c>
    </row>
    <row r="54" spans="1:18" x14ac:dyDescent="0.25">
      <c r="A54" s="31" t="s">
        <v>47</v>
      </c>
      <c r="B54" s="34">
        <v>35100</v>
      </c>
      <c r="C54" s="34">
        <v>3450</v>
      </c>
      <c r="D54" s="34">
        <v>3</v>
      </c>
      <c r="E54" s="34">
        <v>1</v>
      </c>
      <c r="F54" s="34">
        <v>11700</v>
      </c>
      <c r="G54" s="34">
        <v>3450</v>
      </c>
      <c r="H54" s="34">
        <v>38550</v>
      </c>
      <c r="I54" s="34">
        <v>4</v>
      </c>
      <c r="J54" s="35">
        <v>9637.5</v>
      </c>
    </row>
    <row r="55" spans="1:18" x14ac:dyDescent="0.25">
      <c r="A55" s="31" t="s">
        <v>48</v>
      </c>
      <c r="B55" s="34">
        <v>45600</v>
      </c>
      <c r="C55" s="34">
        <v>28200</v>
      </c>
      <c r="D55" s="34">
        <v>3</v>
      </c>
      <c r="E55" s="34">
        <v>2</v>
      </c>
      <c r="F55" s="34">
        <v>15200</v>
      </c>
      <c r="G55" s="34">
        <v>14100</v>
      </c>
      <c r="H55" s="34">
        <v>73800</v>
      </c>
      <c r="I55" s="34">
        <v>5</v>
      </c>
      <c r="J55" s="35">
        <v>14760</v>
      </c>
    </row>
    <row r="56" spans="1:18" x14ac:dyDescent="0.25">
      <c r="A56" s="31" t="s">
        <v>49</v>
      </c>
      <c r="B56" s="34">
        <v>244750</v>
      </c>
      <c r="C56" s="34">
        <v>5370</v>
      </c>
      <c r="D56" s="34">
        <v>37</v>
      </c>
      <c r="E56" s="34">
        <v>2</v>
      </c>
      <c r="F56" s="34">
        <v>6614.864864864865</v>
      </c>
      <c r="G56" s="34">
        <v>2685</v>
      </c>
      <c r="H56" s="34">
        <v>250120</v>
      </c>
      <c r="I56" s="34">
        <v>39</v>
      </c>
      <c r="J56" s="35">
        <v>6413.333333333333</v>
      </c>
    </row>
    <row r="57" spans="1:18" ht="15.75" thickBot="1" x14ac:dyDescent="0.3">
      <c r="A57" s="31" t="s">
        <v>50</v>
      </c>
      <c r="B57" s="34">
        <v>124000</v>
      </c>
      <c r="C57" s="34">
        <v>30850</v>
      </c>
      <c r="D57" s="34">
        <v>7</v>
      </c>
      <c r="E57" s="34">
        <v>8</v>
      </c>
      <c r="F57" s="34">
        <v>17714.285714285714</v>
      </c>
      <c r="G57" s="34">
        <v>3856.25</v>
      </c>
      <c r="H57" s="34">
        <v>154850</v>
      </c>
      <c r="I57" s="34">
        <v>15</v>
      </c>
      <c r="J57" s="35">
        <v>10323.333333333334</v>
      </c>
    </row>
    <row r="58" spans="1:18" ht="15.75" thickBot="1" x14ac:dyDescent="0.3">
      <c r="A58" s="36" t="s">
        <v>30</v>
      </c>
      <c r="B58" s="37">
        <v>2460850</v>
      </c>
      <c r="C58" s="37">
        <v>466090</v>
      </c>
      <c r="D58" s="37">
        <v>217</v>
      </c>
      <c r="E58" s="37">
        <v>64</v>
      </c>
      <c r="F58" s="37">
        <v>11340.322580645161</v>
      </c>
      <c r="G58" s="37">
        <v>7282.65625</v>
      </c>
      <c r="H58" s="37">
        <v>2926940</v>
      </c>
      <c r="I58" s="37">
        <v>281</v>
      </c>
      <c r="J58" s="38">
        <v>10416.156583629892</v>
      </c>
    </row>
    <row r="61" spans="1:18" x14ac:dyDescent="0.25">
      <c r="A61" s="17" t="s">
        <v>31</v>
      </c>
    </row>
    <row r="62" spans="1:18" s="22" customFormat="1" ht="1.5" customHeight="1" thickBot="1" x14ac:dyDescent="0.35">
      <c r="A62" s="19"/>
      <c r="B62" s="20" t="s">
        <v>19</v>
      </c>
      <c r="C62" s="20"/>
      <c r="D62" s="21"/>
      <c r="E62" s="21"/>
      <c r="F62" s="21"/>
      <c r="G62" s="21"/>
      <c r="H62" s="21"/>
      <c r="I62" s="21"/>
      <c r="J62" s="21"/>
      <c r="O62" s="49"/>
      <c r="P62" s="49"/>
      <c r="Q62" s="49"/>
      <c r="R62" s="49"/>
    </row>
    <row r="63" spans="1:18" s="2" customFormat="1" ht="60.75" thickBot="1" x14ac:dyDescent="0.3">
      <c r="A63" s="23"/>
      <c r="B63" s="44" t="s">
        <v>15</v>
      </c>
      <c r="C63" s="44"/>
      <c r="D63" s="44" t="s">
        <v>32</v>
      </c>
      <c r="E63" s="44"/>
      <c r="F63" s="44" t="s">
        <v>52</v>
      </c>
      <c r="G63" s="44"/>
      <c r="H63" s="26" t="s">
        <v>33</v>
      </c>
      <c r="I63" s="26" t="s">
        <v>34</v>
      </c>
      <c r="J63" s="26" t="s">
        <v>53</v>
      </c>
    </row>
    <row r="64" spans="1:18" ht="15.75" thickBot="1" x14ac:dyDescent="0.3">
      <c r="A64" s="47" t="s">
        <v>38</v>
      </c>
      <c r="B64" s="48" t="s">
        <v>24</v>
      </c>
      <c r="C64" s="48" t="s">
        <v>25</v>
      </c>
      <c r="D64" s="48" t="s">
        <v>24</v>
      </c>
      <c r="E64" s="48" t="s">
        <v>25</v>
      </c>
      <c r="F64" s="48" t="s">
        <v>24</v>
      </c>
      <c r="G64" s="48" t="s">
        <v>25</v>
      </c>
      <c r="H64" s="30"/>
      <c r="I64" s="30"/>
      <c r="J64" s="30"/>
    </row>
    <row r="65" spans="1:10" x14ac:dyDescent="0.25">
      <c r="A65" s="31" t="s">
        <v>40</v>
      </c>
      <c r="B65" s="32">
        <v>4800</v>
      </c>
      <c r="C65" s="32">
        <v>0</v>
      </c>
      <c r="D65" s="32">
        <v>1</v>
      </c>
      <c r="E65" s="32">
        <v>0</v>
      </c>
      <c r="F65" s="32">
        <v>4800</v>
      </c>
      <c r="G65" s="32">
        <v>0</v>
      </c>
      <c r="H65" s="32">
        <v>4800</v>
      </c>
      <c r="I65" s="32">
        <v>1</v>
      </c>
      <c r="J65" s="33">
        <v>4800</v>
      </c>
    </row>
    <row r="66" spans="1:10" x14ac:dyDescent="0.25">
      <c r="A66" s="31" t="s">
        <v>41</v>
      </c>
      <c r="B66" s="34">
        <v>379000</v>
      </c>
      <c r="C66" s="34">
        <v>3750</v>
      </c>
      <c r="D66" s="34">
        <v>22</v>
      </c>
      <c r="E66" s="34">
        <v>1</v>
      </c>
      <c r="F66" s="34">
        <v>17227.272727272728</v>
      </c>
      <c r="G66" s="34">
        <v>3750</v>
      </c>
      <c r="H66" s="34">
        <v>382750</v>
      </c>
      <c r="I66" s="34">
        <v>23</v>
      </c>
      <c r="J66" s="35">
        <v>16641.304347826088</v>
      </c>
    </row>
    <row r="67" spans="1:10" x14ac:dyDescent="0.25">
      <c r="A67" s="31" t="s">
        <v>42</v>
      </c>
      <c r="B67" s="34">
        <v>38780</v>
      </c>
      <c r="C67" s="34">
        <v>0</v>
      </c>
      <c r="D67" s="34">
        <v>3</v>
      </c>
      <c r="E67" s="34">
        <v>0</v>
      </c>
      <c r="F67" s="34">
        <v>12926.666666666666</v>
      </c>
      <c r="G67" s="34">
        <v>0</v>
      </c>
      <c r="H67" s="34">
        <v>38780</v>
      </c>
      <c r="I67" s="34">
        <v>3</v>
      </c>
      <c r="J67" s="35">
        <v>12926.666666666666</v>
      </c>
    </row>
    <row r="68" spans="1:10" x14ac:dyDescent="0.25">
      <c r="A68" s="31" t="s">
        <v>43</v>
      </c>
      <c r="B68" s="34">
        <v>122400</v>
      </c>
      <c r="C68" s="34">
        <v>4200</v>
      </c>
      <c r="D68" s="34">
        <v>7</v>
      </c>
      <c r="E68" s="34">
        <v>1</v>
      </c>
      <c r="F68" s="34">
        <v>17485.714285714286</v>
      </c>
      <c r="G68" s="34">
        <v>4200</v>
      </c>
      <c r="H68" s="34">
        <v>126600</v>
      </c>
      <c r="I68" s="34">
        <v>8</v>
      </c>
      <c r="J68" s="35">
        <v>15825</v>
      </c>
    </row>
    <row r="69" spans="1:10" x14ac:dyDescent="0.25">
      <c r="A69" s="31" t="s">
        <v>44</v>
      </c>
      <c r="B69" s="34">
        <v>217110</v>
      </c>
      <c r="C69" s="34">
        <v>21600</v>
      </c>
      <c r="D69" s="34">
        <v>14</v>
      </c>
      <c r="E69" s="34">
        <v>3</v>
      </c>
      <c r="F69" s="34">
        <v>15507.857142857143</v>
      </c>
      <c r="G69" s="34">
        <v>7200</v>
      </c>
      <c r="H69" s="34">
        <v>238710</v>
      </c>
      <c r="I69" s="34">
        <v>17</v>
      </c>
      <c r="J69" s="35">
        <v>14041.764705882353</v>
      </c>
    </row>
    <row r="70" spans="1:10" x14ac:dyDescent="0.25">
      <c r="A70" s="31" t="s">
        <v>46</v>
      </c>
      <c r="B70" s="34">
        <v>7500</v>
      </c>
      <c r="C70" s="34">
        <v>0</v>
      </c>
      <c r="D70" s="34">
        <v>1</v>
      </c>
      <c r="E70" s="34">
        <v>0</v>
      </c>
      <c r="F70" s="34">
        <v>7500</v>
      </c>
      <c r="G70" s="34">
        <v>0</v>
      </c>
      <c r="H70" s="34">
        <v>7500</v>
      </c>
      <c r="I70" s="34">
        <v>1</v>
      </c>
      <c r="J70" s="35">
        <v>7500</v>
      </c>
    </row>
    <row r="71" spans="1:10" x14ac:dyDescent="0.25">
      <c r="A71" s="31" t="s">
        <v>47</v>
      </c>
      <c r="B71" s="34">
        <v>35100</v>
      </c>
      <c r="C71" s="34">
        <v>0</v>
      </c>
      <c r="D71" s="34">
        <v>3</v>
      </c>
      <c r="E71" s="34">
        <v>0</v>
      </c>
      <c r="F71" s="34">
        <v>11700</v>
      </c>
      <c r="G71" s="34">
        <v>0</v>
      </c>
      <c r="H71" s="34">
        <v>35100</v>
      </c>
      <c r="I71" s="34">
        <v>3</v>
      </c>
      <c r="J71" s="35">
        <v>11700</v>
      </c>
    </row>
    <row r="72" spans="1:10" x14ac:dyDescent="0.25">
      <c r="A72" s="31" t="s">
        <v>48</v>
      </c>
      <c r="B72" s="34">
        <v>27600</v>
      </c>
      <c r="C72" s="34">
        <v>21600</v>
      </c>
      <c r="D72" s="34">
        <v>2</v>
      </c>
      <c r="E72" s="34">
        <v>1</v>
      </c>
      <c r="F72" s="34">
        <v>13800</v>
      </c>
      <c r="G72" s="34">
        <v>21600</v>
      </c>
      <c r="H72" s="34">
        <v>49200</v>
      </c>
      <c r="I72" s="34">
        <v>3</v>
      </c>
      <c r="J72" s="35">
        <v>16400</v>
      </c>
    </row>
    <row r="73" spans="1:10" x14ac:dyDescent="0.25">
      <c r="A73" s="31" t="s">
        <v>49</v>
      </c>
      <c r="B73" s="34">
        <v>36000</v>
      </c>
      <c r="C73" s="34">
        <v>0</v>
      </c>
      <c r="D73" s="34">
        <v>2</v>
      </c>
      <c r="E73" s="34">
        <v>0</v>
      </c>
      <c r="F73" s="34">
        <v>18000</v>
      </c>
      <c r="G73" s="34">
        <v>0</v>
      </c>
      <c r="H73" s="34">
        <v>36000</v>
      </c>
      <c r="I73" s="34">
        <v>2</v>
      </c>
      <c r="J73" s="35">
        <v>18000</v>
      </c>
    </row>
    <row r="74" spans="1:10" ht="15.75" thickBot="1" x14ac:dyDescent="0.3">
      <c r="A74" s="31" t="s">
        <v>50</v>
      </c>
      <c r="B74" s="34">
        <v>90000</v>
      </c>
      <c r="C74" s="34">
        <v>3450</v>
      </c>
      <c r="D74" s="34">
        <v>5</v>
      </c>
      <c r="E74" s="34">
        <v>1</v>
      </c>
      <c r="F74" s="34">
        <v>18000</v>
      </c>
      <c r="G74" s="34">
        <v>3450</v>
      </c>
      <c r="H74" s="34">
        <v>93450</v>
      </c>
      <c r="I74" s="34">
        <v>6</v>
      </c>
      <c r="J74" s="35">
        <v>15575</v>
      </c>
    </row>
    <row r="75" spans="1:10" ht="15.75" thickBot="1" x14ac:dyDescent="0.3">
      <c r="A75" s="36" t="s">
        <v>30</v>
      </c>
      <c r="B75" s="37">
        <v>958290</v>
      </c>
      <c r="C75" s="37">
        <v>54600</v>
      </c>
      <c r="D75" s="37">
        <v>60</v>
      </c>
      <c r="E75" s="37">
        <v>7</v>
      </c>
      <c r="F75" s="37">
        <v>15971.5</v>
      </c>
      <c r="G75" s="37">
        <v>7800</v>
      </c>
      <c r="H75" s="37">
        <v>1012890</v>
      </c>
      <c r="I75" s="37">
        <v>67</v>
      </c>
      <c r="J75" s="38">
        <v>15117.76119402985</v>
      </c>
    </row>
    <row r="79" spans="1:10" x14ac:dyDescent="0.25">
      <c r="D79" s="40"/>
    </row>
    <row r="80" spans="1:10" s="8" customFormat="1" ht="18.75" x14ac:dyDescent="0.3">
      <c r="A80" s="8" t="s">
        <v>54</v>
      </c>
    </row>
    <row r="81" spans="1:9" s="8" customFormat="1" ht="15" customHeight="1" thickBot="1" x14ac:dyDescent="0.35"/>
    <row r="82" spans="1:9" s="8" customFormat="1" ht="15" customHeight="1" thickBot="1" x14ac:dyDescent="0.35">
      <c r="A82" s="9" t="s">
        <v>55</v>
      </c>
      <c r="B82"/>
    </row>
    <row r="83" spans="1:9" s="8" customFormat="1" ht="15" customHeight="1" thickBot="1" x14ac:dyDescent="0.35">
      <c r="A83" s="60">
        <v>322000</v>
      </c>
    </row>
    <row r="84" spans="1:9" s="8" customFormat="1" ht="15" customHeight="1" x14ac:dyDescent="0.3">
      <c r="A84"/>
    </row>
    <row r="85" spans="1:9" x14ac:dyDescent="0.25">
      <c r="A85" s="17" t="s">
        <v>18</v>
      </c>
      <c r="B85" s="18"/>
      <c r="C85" s="18"/>
      <c r="F85" s="17" t="s">
        <v>31</v>
      </c>
    </row>
    <row r="86" spans="1:9" ht="2.1" customHeight="1" thickBot="1" x14ac:dyDescent="0.3"/>
    <row r="87" spans="1:9" ht="60.75" thickBot="1" x14ac:dyDescent="0.3">
      <c r="A87" s="50" t="s">
        <v>56</v>
      </c>
      <c r="B87" s="42" t="s">
        <v>5</v>
      </c>
      <c r="C87" s="42" t="s">
        <v>57</v>
      </c>
      <c r="D87" s="42" t="s">
        <v>58</v>
      </c>
      <c r="F87" s="51" t="s">
        <v>59</v>
      </c>
      <c r="G87" s="42" t="s">
        <v>15</v>
      </c>
      <c r="H87" s="42" t="s">
        <v>14</v>
      </c>
      <c r="I87" s="42" t="s">
        <v>60</v>
      </c>
    </row>
    <row r="88" spans="1:9" x14ac:dyDescent="0.25">
      <c r="A88" s="31" t="s">
        <v>61</v>
      </c>
      <c r="B88" s="32">
        <v>2295390</v>
      </c>
      <c r="C88" s="32">
        <v>210</v>
      </c>
      <c r="D88" s="33">
        <v>10930.428571428571</v>
      </c>
      <c r="F88" s="31" t="s">
        <v>61</v>
      </c>
      <c r="G88" s="32">
        <v>799440</v>
      </c>
      <c r="H88" s="32">
        <v>53</v>
      </c>
      <c r="I88" s="33">
        <v>15083.773584905661</v>
      </c>
    </row>
    <row r="89" spans="1:9" ht="15.75" thickBot="1" x14ac:dyDescent="0.3">
      <c r="A89" s="31" t="s">
        <v>62</v>
      </c>
      <c r="B89" s="34">
        <v>631550</v>
      </c>
      <c r="C89" s="34">
        <v>71</v>
      </c>
      <c r="D89" s="35">
        <v>8895.070422535211</v>
      </c>
      <c r="F89" s="31" t="s">
        <v>62</v>
      </c>
      <c r="G89" s="34">
        <v>213450</v>
      </c>
      <c r="H89" s="34">
        <v>14</v>
      </c>
      <c r="I89" s="35">
        <v>15246.428571428571</v>
      </c>
    </row>
    <row r="90" spans="1:9" ht="15.75" thickBot="1" x14ac:dyDescent="0.3">
      <c r="A90" s="36" t="s">
        <v>30</v>
      </c>
      <c r="B90" s="37">
        <v>2926940</v>
      </c>
      <c r="C90" s="37">
        <v>281</v>
      </c>
      <c r="D90" s="38">
        <v>10416.156583629892</v>
      </c>
      <c r="F90" s="36" t="s">
        <v>30</v>
      </c>
      <c r="G90" s="37">
        <v>1012890</v>
      </c>
      <c r="H90" s="37">
        <v>67</v>
      </c>
      <c r="I90" s="38">
        <v>15117.76119402985</v>
      </c>
    </row>
  </sheetData>
  <protectedRanges>
    <protectedRange sqref="B3" name="Bereich1"/>
  </protectedRanges>
  <mergeCells count="4">
    <mergeCell ref="A10:A11"/>
    <mergeCell ref="B10:B11"/>
    <mergeCell ref="A14:A15"/>
    <mergeCell ref="B14:B15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512">
    <tabColor rgb="FF0070C0"/>
  </sheetPr>
  <dimension ref="A1:T90"/>
  <sheetViews>
    <sheetView showGridLines="0" zoomScale="85" zoomScaleNormal="85" workbookViewId="0">
      <selection activeCell="A82" sqref="A82:XFD83"/>
    </sheetView>
  </sheetViews>
  <sheetFormatPr defaultColWidth="9.140625" defaultRowHeight="15" x14ac:dyDescent="0.25"/>
  <cols>
    <col min="1" max="1" width="25.28515625" customWidth="1"/>
    <col min="2" max="10" width="15.7109375" customWidth="1"/>
    <col min="11" max="11" width="24.7109375" customWidth="1"/>
    <col min="12" max="13" width="28.85546875" customWidth="1"/>
    <col min="14" max="14" width="29.140625" customWidth="1"/>
    <col min="15" max="15" width="33.5703125" customWidth="1"/>
    <col min="16" max="16" width="18.140625" customWidth="1"/>
    <col min="17" max="17" width="20.28515625" customWidth="1"/>
    <col min="18" max="18" width="24.7109375" customWidth="1"/>
    <col min="19" max="19" width="12.5703125" customWidth="1"/>
    <col min="28" max="28" width="7.85546875" customWidth="1"/>
    <col min="29" max="30" width="7.28515625" customWidth="1"/>
  </cols>
  <sheetData>
    <row r="1" spans="1:8" s="2" customFormat="1" ht="38.25" customHeight="1" x14ac:dyDescent="0.25">
      <c r="A1" s="1" t="s">
        <v>0</v>
      </c>
    </row>
    <row r="2" spans="1:8" s="2" customFormat="1" ht="5.25" customHeight="1" x14ac:dyDescent="0.25">
      <c r="A2" s="1"/>
    </row>
    <row r="3" spans="1:8" x14ac:dyDescent="0.25">
      <c r="A3" s="3" t="s">
        <v>1</v>
      </c>
      <c r="B3" s="4">
        <v>42856</v>
      </c>
      <c r="C3" s="5">
        <v>9</v>
      </c>
    </row>
    <row r="4" spans="1:8" x14ac:dyDescent="0.25">
      <c r="A4" s="6"/>
      <c r="B4" s="7"/>
    </row>
    <row r="6" spans="1:8" ht="19.5" thickBot="1" x14ac:dyDescent="0.35">
      <c r="A6" s="8" t="s">
        <v>2</v>
      </c>
    </row>
    <row r="7" spans="1:8" ht="45.75" thickBot="1" x14ac:dyDescent="0.3">
      <c r="A7" s="9" t="s">
        <v>3</v>
      </c>
      <c r="B7" s="10" t="s">
        <v>4</v>
      </c>
    </row>
    <row r="8" spans="1:8" ht="15.75" thickBot="1" x14ac:dyDescent="0.3">
      <c r="A8" s="52">
        <v>800000</v>
      </c>
      <c r="B8" s="59">
        <v>7</v>
      </c>
    </row>
    <row r="9" spans="1:8" ht="19.5" thickBot="1" x14ac:dyDescent="0.35">
      <c r="A9" s="8"/>
    </row>
    <row r="10" spans="1:8" ht="15.75" thickBot="1" x14ac:dyDescent="0.3">
      <c r="A10" s="343" t="s">
        <v>5</v>
      </c>
      <c r="B10" s="343" t="s">
        <v>6</v>
      </c>
      <c r="C10" s="11" t="s">
        <v>7</v>
      </c>
      <c r="D10" s="12"/>
      <c r="E10" s="13"/>
      <c r="F10" s="11" t="s">
        <v>8</v>
      </c>
      <c r="G10" s="12"/>
      <c r="H10" s="13"/>
    </row>
    <row r="11" spans="1:8" ht="15.75" thickBot="1" x14ac:dyDescent="0.3">
      <c r="A11" s="344"/>
      <c r="B11" s="345"/>
      <c r="C11" s="14" t="s">
        <v>9</v>
      </c>
      <c r="D11" s="14" t="s">
        <v>10</v>
      </c>
      <c r="E11" s="14" t="s">
        <v>11</v>
      </c>
      <c r="F11" s="14" t="s">
        <v>9</v>
      </c>
      <c r="G11" s="14" t="s">
        <v>10</v>
      </c>
      <c r="H11" s="14" t="s">
        <v>12</v>
      </c>
    </row>
    <row r="12" spans="1:8" ht="15.75" thickBot="1" x14ac:dyDescent="0.3">
      <c r="A12" s="52">
        <v>2136730</v>
      </c>
      <c r="B12" s="53">
        <v>256</v>
      </c>
      <c r="C12" s="52">
        <v>2000</v>
      </c>
      <c r="D12" s="54">
        <v>23100</v>
      </c>
      <c r="E12" s="55">
        <v>8346.6015625</v>
      </c>
      <c r="F12" s="56">
        <v>4.2</v>
      </c>
      <c r="G12" s="57">
        <v>7</v>
      </c>
      <c r="H12" s="58">
        <v>5.8181988365399464</v>
      </c>
    </row>
    <row r="13" spans="1:8" ht="15.75" thickBot="1" x14ac:dyDescent="0.3">
      <c r="A13" s="15"/>
      <c r="B13" s="15"/>
    </row>
    <row r="14" spans="1:8" ht="15.75" thickBot="1" x14ac:dyDescent="0.3">
      <c r="A14" s="343" t="s">
        <v>13</v>
      </c>
      <c r="B14" s="343" t="s">
        <v>14</v>
      </c>
      <c r="C14" s="11" t="s">
        <v>15</v>
      </c>
      <c r="D14" s="12"/>
      <c r="E14" s="13"/>
      <c r="F14" s="11" t="s">
        <v>16</v>
      </c>
      <c r="G14" s="12"/>
      <c r="H14" s="13"/>
    </row>
    <row r="15" spans="1:8" ht="15.75" thickBot="1" x14ac:dyDescent="0.3">
      <c r="A15" s="345"/>
      <c r="B15" s="344"/>
      <c r="C15" s="14" t="s">
        <v>9</v>
      </c>
      <c r="D15" s="14" t="s">
        <v>10</v>
      </c>
      <c r="E15" s="14" t="s">
        <v>11</v>
      </c>
      <c r="F15" s="14" t="s">
        <v>9</v>
      </c>
      <c r="G15" s="14" t="s">
        <v>10</v>
      </c>
      <c r="H15" s="14" t="s">
        <v>12</v>
      </c>
    </row>
    <row r="16" spans="1:8" ht="15.75" thickBot="1" x14ac:dyDescent="0.3">
      <c r="A16" s="52">
        <v>806660</v>
      </c>
      <c r="B16" s="53">
        <v>70</v>
      </c>
      <c r="C16" s="52">
        <v>2000</v>
      </c>
      <c r="D16" s="54">
        <v>22400</v>
      </c>
      <c r="E16" s="55">
        <v>11523.714285714286</v>
      </c>
      <c r="F16" s="56">
        <v>5.25</v>
      </c>
      <c r="G16" s="57">
        <v>5.7800002098083496</v>
      </c>
      <c r="H16" s="58">
        <v>5.7068069557517846</v>
      </c>
    </row>
    <row r="19" spans="1:20" ht="18.75" x14ac:dyDescent="0.3">
      <c r="A19" s="8" t="s">
        <v>17</v>
      </c>
      <c r="F19" s="16"/>
      <c r="G19" s="16"/>
      <c r="H19" s="16"/>
      <c r="I19" s="16"/>
    </row>
    <row r="20" spans="1:20" x14ac:dyDescent="0.25">
      <c r="A20" s="17" t="s">
        <v>18</v>
      </c>
      <c r="B20" s="18"/>
      <c r="C20" s="18"/>
    </row>
    <row r="21" spans="1:20" s="22" customFormat="1" ht="2.1" customHeight="1" thickBot="1" x14ac:dyDescent="0.3">
      <c r="A21" s="19"/>
      <c r="B21" s="20" t="s">
        <v>19</v>
      </c>
      <c r="C21" s="20"/>
      <c r="D21" s="21"/>
      <c r="E21" s="21"/>
      <c r="F21" s="21"/>
      <c r="G21" s="21"/>
      <c r="J21"/>
      <c r="K21"/>
      <c r="L21"/>
      <c r="M21"/>
      <c r="N21"/>
      <c r="O21"/>
      <c r="P21"/>
      <c r="Q21"/>
      <c r="R21"/>
      <c r="S21"/>
      <c r="T21"/>
    </row>
    <row r="22" spans="1:20" ht="45.75" thickBot="1" x14ac:dyDescent="0.3">
      <c r="A22" s="23"/>
      <c r="B22" s="24" t="s">
        <v>7</v>
      </c>
      <c r="C22" s="25"/>
      <c r="D22" s="24" t="s">
        <v>20</v>
      </c>
      <c r="E22" s="25"/>
      <c r="F22" s="26" t="s">
        <v>21</v>
      </c>
      <c r="G22" s="26" t="s">
        <v>22</v>
      </c>
    </row>
    <row r="23" spans="1:20" ht="15.75" thickBot="1" x14ac:dyDescent="0.3">
      <c r="A23" s="27" t="s">
        <v>23</v>
      </c>
      <c r="B23" s="28" t="s">
        <v>24</v>
      </c>
      <c r="C23" s="29" t="s">
        <v>25</v>
      </c>
      <c r="D23" s="28" t="s">
        <v>24</v>
      </c>
      <c r="E23" s="29" t="s">
        <v>25</v>
      </c>
      <c r="F23" s="30"/>
      <c r="G23" s="30"/>
    </row>
    <row r="24" spans="1:20" x14ac:dyDescent="0.25">
      <c r="A24" s="31" t="s">
        <v>26</v>
      </c>
      <c r="B24" s="32">
        <v>207450</v>
      </c>
      <c r="C24" s="32">
        <v>184030</v>
      </c>
      <c r="D24" s="32">
        <v>63</v>
      </c>
      <c r="E24" s="32">
        <v>55</v>
      </c>
      <c r="F24" s="32">
        <v>391480</v>
      </c>
      <c r="G24" s="33">
        <v>118</v>
      </c>
    </row>
    <row r="25" spans="1:20" x14ac:dyDescent="0.25">
      <c r="A25" s="31" t="s">
        <v>27</v>
      </c>
      <c r="B25" s="34">
        <v>442530</v>
      </c>
      <c r="C25" s="34">
        <v>140540</v>
      </c>
      <c r="D25" s="34">
        <v>51</v>
      </c>
      <c r="E25" s="34">
        <v>16</v>
      </c>
      <c r="F25" s="34">
        <v>583070</v>
      </c>
      <c r="G25" s="35">
        <v>67</v>
      </c>
    </row>
    <row r="26" spans="1:20" x14ac:dyDescent="0.25">
      <c r="A26" s="31" t="s">
        <v>28</v>
      </c>
      <c r="B26" s="34">
        <v>873280</v>
      </c>
      <c r="C26" s="34">
        <v>159250</v>
      </c>
      <c r="D26" s="34">
        <v>55</v>
      </c>
      <c r="E26" s="34">
        <v>10</v>
      </c>
      <c r="F26" s="34">
        <v>1032530</v>
      </c>
      <c r="G26" s="35">
        <v>65</v>
      </c>
    </row>
    <row r="27" spans="1:20" ht="15.75" thickBot="1" x14ac:dyDescent="0.3">
      <c r="A27" s="31" t="s">
        <v>29</v>
      </c>
      <c r="B27" s="34">
        <v>0</v>
      </c>
      <c r="C27" s="34">
        <v>129650</v>
      </c>
      <c r="D27" s="34">
        <v>0</v>
      </c>
      <c r="E27" s="34">
        <v>6</v>
      </c>
      <c r="F27" s="34">
        <v>129650</v>
      </c>
      <c r="G27" s="35">
        <v>6</v>
      </c>
    </row>
    <row r="28" spans="1:20" ht="15.75" thickBot="1" x14ac:dyDescent="0.3">
      <c r="A28" s="36" t="s">
        <v>30</v>
      </c>
      <c r="B28" s="37">
        <v>1523260</v>
      </c>
      <c r="C28" s="37">
        <v>613470</v>
      </c>
      <c r="D28" s="37">
        <v>169</v>
      </c>
      <c r="E28" s="37">
        <v>87</v>
      </c>
      <c r="F28" s="37">
        <v>2136730</v>
      </c>
      <c r="G28" s="38">
        <v>256</v>
      </c>
    </row>
    <row r="29" spans="1:20" x14ac:dyDescent="0.25">
      <c r="A29" s="39"/>
      <c r="B29" s="40"/>
      <c r="C29" s="40"/>
      <c r="D29" s="40"/>
      <c r="E29" s="40"/>
      <c r="F29" s="40"/>
      <c r="G29" s="40"/>
      <c r="H29" s="41"/>
    </row>
    <row r="30" spans="1:20" x14ac:dyDescent="0.25">
      <c r="A30" s="17" t="s">
        <v>31</v>
      </c>
      <c r="B30" s="41"/>
      <c r="C30" s="41"/>
    </row>
    <row r="31" spans="1:20" s="22" customFormat="1" ht="2.1" customHeight="1" thickBot="1" x14ac:dyDescent="0.3">
      <c r="A31" s="19"/>
      <c r="B31" s="20" t="s">
        <v>19</v>
      </c>
      <c r="C31" s="20"/>
      <c r="D31" s="21"/>
      <c r="E31" s="21"/>
      <c r="F31" s="21"/>
      <c r="G31" s="21"/>
    </row>
    <row r="32" spans="1:20" ht="45.75" thickBot="1" x14ac:dyDescent="0.3">
      <c r="A32" s="23"/>
      <c r="B32" s="24" t="s">
        <v>15</v>
      </c>
      <c r="C32" s="25"/>
      <c r="D32" s="24" t="s">
        <v>32</v>
      </c>
      <c r="E32" s="25"/>
      <c r="F32" s="42" t="s">
        <v>33</v>
      </c>
      <c r="G32" s="42" t="s">
        <v>34</v>
      </c>
    </row>
    <row r="33" spans="1:10" ht="15.75" customHeight="1" thickBot="1" x14ac:dyDescent="0.3">
      <c r="A33" s="43" t="s">
        <v>23</v>
      </c>
      <c r="B33" s="44" t="s">
        <v>24</v>
      </c>
      <c r="C33" s="44" t="s">
        <v>25</v>
      </c>
      <c r="D33" s="44" t="s">
        <v>24</v>
      </c>
      <c r="E33" s="44" t="s">
        <v>25</v>
      </c>
      <c r="F33" s="45"/>
      <c r="G33" s="45"/>
    </row>
    <row r="34" spans="1:10" x14ac:dyDescent="0.25">
      <c r="A34" s="46" t="s">
        <v>26</v>
      </c>
      <c r="B34" s="32">
        <v>45150</v>
      </c>
      <c r="C34" s="32">
        <v>8400</v>
      </c>
      <c r="D34" s="32">
        <v>13</v>
      </c>
      <c r="E34" s="32">
        <v>4</v>
      </c>
      <c r="F34" s="32">
        <v>53550</v>
      </c>
      <c r="G34" s="33">
        <v>17</v>
      </c>
    </row>
    <row r="35" spans="1:10" x14ac:dyDescent="0.25">
      <c r="A35" s="31" t="s">
        <v>27</v>
      </c>
      <c r="B35" s="34">
        <v>159630</v>
      </c>
      <c r="C35" s="34">
        <v>0</v>
      </c>
      <c r="D35" s="34">
        <v>17</v>
      </c>
      <c r="E35" s="34">
        <v>0</v>
      </c>
      <c r="F35" s="34">
        <v>159630</v>
      </c>
      <c r="G35" s="35">
        <v>17</v>
      </c>
    </row>
    <row r="36" spans="1:10" x14ac:dyDescent="0.25">
      <c r="A36" s="31" t="s">
        <v>28</v>
      </c>
      <c r="B36" s="34">
        <v>571080</v>
      </c>
      <c r="C36" s="34">
        <v>0</v>
      </c>
      <c r="D36" s="34">
        <v>35</v>
      </c>
      <c r="E36" s="34">
        <v>0</v>
      </c>
      <c r="F36" s="34">
        <v>571080</v>
      </c>
      <c r="G36" s="35">
        <v>35</v>
      </c>
    </row>
    <row r="37" spans="1:10" ht="15.75" thickBot="1" x14ac:dyDescent="0.3">
      <c r="A37" s="31" t="s">
        <v>29</v>
      </c>
      <c r="B37" s="34">
        <v>0</v>
      </c>
      <c r="C37" s="34">
        <v>22400</v>
      </c>
      <c r="D37" s="34">
        <v>0</v>
      </c>
      <c r="E37" s="34">
        <v>1</v>
      </c>
      <c r="F37" s="34">
        <v>22400</v>
      </c>
      <c r="G37" s="35">
        <v>1</v>
      </c>
    </row>
    <row r="38" spans="1:10" ht="15.75" thickBot="1" x14ac:dyDescent="0.3">
      <c r="A38" s="36" t="s">
        <v>30</v>
      </c>
      <c r="B38" s="37">
        <v>775860</v>
      </c>
      <c r="C38" s="37">
        <v>30800</v>
      </c>
      <c r="D38" s="37">
        <v>65</v>
      </c>
      <c r="E38" s="37">
        <v>5</v>
      </c>
      <c r="F38" s="37">
        <v>806660</v>
      </c>
      <c r="G38" s="38">
        <v>70</v>
      </c>
    </row>
    <row r="39" spans="1:10" x14ac:dyDescent="0.25">
      <c r="A39" s="41"/>
      <c r="B39" s="41"/>
      <c r="C39" s="41"/>
    </row>
    <row r="40" spans="1:10" x14ac:dyDescent="0.25">
      <c r="F40" s="41"/>
      <c r="G40" s="41"/>
      <c r="H40" s="41"/>
    </row>
    <row r="41" spans="1:10" ht="18.75" x14ac:dyDescent="0.3">
      <c r="A41" s="8" t="s">
        <v>35</v>
      </c>
    </row>
    <row r="42" spans="1:10" x14ac:dyDescent="0.25">
      <c r="A42" s="17" t="s">
        <v>18</v>
      </c>
      <c r="B42" s="18"/>
      <c r="C42" s="18"/>
    </row>
    <row r="43" spans="1:10" s="22" customFormat="1" ht="2.1" customHeight="1" thickBot="1" x14ac:dyDescent="0.3">
      <c r="A43" s="19"/>
      <c r="B43" s="20" t="s">
        <v>19</v>
      </c>
      <c r="C43" s="20"/>
      <c r="D43" s="21"/>
      <c r="E43" s="21"/>
      <c r="F43" s="21"/>
      <c r="G43" s="21"/>
      <c r="H43" s="21"/>
      <c r="I43" s="21"/>
      <c r="J43" s="21"/>
    </row>
    <row r="44" spans="1:10" ht="60.75" thickBot="1" x14ac:dyDescent="0.3">
      <c r="A44" s="23"/>
      <c r="B44" s="44" t="s">
        <v>7</v>
      </c>
      <c r="C44" s="44"/>
      <c r="D44" s="44" t="s">
        <v>20</v>
      </c>
      <c r="E44" s="44"/>
      <c r="F44" s="44" t="s">
        <v>36</v>
      </c>
      <c r="G44" s="44"/>
      <c r="H44" s="26" t="s">
        <v>21</v>
      </c>
      <c r="I44" s="26" t="s">
        <v>22</v>
      </c>
      <c r="J44" s="26" t="s">
        <v>37</v>
      </c>
    </row>
    <row r="45" spans="1:10" ht="15.75" thickBot="1" x14ac:dyDescent="0.3">
      <c r="A45" s="47" t="s">
        <v>38</v>
      </c>
      <c r="B45" s="48" t="s">
        <v>24</v>
      </c>
      <c r="C45" s="48" t="s">
        <v>25</v>
      </c>
      <c r="D45" s="48" t="s">
        <v>24</v>
      </c>
      <c r="E45" s="48" t="s">
        <v>25</v>
      </c>
      <c r="F45" s="48" t="s">
        <v>24</v>
      </c>
      <c r="G45" s="48" t="s">
        <v>25</v>
      </c>
      <c r="H45" s="30"/>
      <c r="I45" s="30"/>
      <c r="J45" s="30"/>
    </row>
    <row r="46" spans="1:10" x14ac:dyDescent="0.25">
      <c r="A46" s="31" t="s">
        <v>39</v>
      </c>
      <c r="B46" s="32">
        <v>21950</v>
      </c>
      <c r="C46" s="32">
        <v>66350</v>
      </c>
      <c r="D46" s="32">
        <v>4</v>
      </c>
      <c r="E46" s="32">
        <v>7</v>
      </c>
      <c r="F46" s="32">
        <v>5487.5</v>
      </c>
      <c r="G46" s="32">
        <v>9478.5714285714294</v>
      </c>
      <c r="H46" s="32">
        <v>88300</v>
      </c>
      <c r="I46" s="32">
        <v>11</v>
      </c>
      <c r="J46" s="33">
        <v>8027.272727272727</v>
      </c>
    </row>
    <row r="47" spans="1:10" x14ac:dyDescent="0.25">
      <c r="A47" s="31" t="s">
        <v>40</v>
      </c>
      <c r="B47" s="34">
        <v>28100</v>
      </c>
      <c r="C47" s="34">
        <v>35120</v>
      </c>
      <c r="D47" s="34">
        <v>4</v>
      </c>
      <c r="E47" s="34">
        <v>5</v>
      </c>
      <c r="F47" s="34">
        <v>7025</v>
      </c>
      <c r="G47" s="34">
        <v>7024</v>
      </c>
      <c r="H47" s="34">
        <v>63220</v>
      </c>
      <c r="I47" s="34">
        <v>9</v>
      </c>
      <c r="J47" s="35">
        <v>7024.4444444444443</v>
      </c>
    </row>
    <row r="48" spans="1:10" x14ac:dyDescent="0.25">
      <c r="A48" s="31" t="s">
        <v>41</v>
      </c>
      <c r="B48" s="34">
        <v>193610</v>
      </c>
      <c r="C48" s="34">
        <v>53050</v>
      </c>
      <c r="D48" s="34">
        <v>17</v>
      </c>
      <c r="E48" s="34">
        <v>10</v>
      </c>
      <c r="F48" s="34">
        <v>11388.823529411764</v>
      </c>
      <c r="G48" s="34">
        <v>5305</v>
      </c>
      <c r="H48" s="34">
        <v>246660</v>
      </c>
      <c r="I48" s="34">
        <v>27</v>
      </c>
      <c r="J48" s="35">
        <v>9135.5555555555547</v>
      </c>
    </row>
    <row r="49" spans="1:18" x14ac:dyDescent="0.25">
      <c r="A49" s="31" t="s">
        <v>42</v>
      </c>
      <c r="B49" s="34">
        <v>83100</v>
      </c>
      <c r="C49" s="34">
        <v>65750</v>
      </c>
      <c r="D49" s="34">
        <v>6</v>
      </c>
      <c r="E49" s="34">
        <v>5</v>
      </c>
      <c r="F49" s="34">
        <v>13850</v>
      </c>
      <c r="G49" s="34">
        <v>13150</v>
      </c>
      <c r="H49" s="34">
        <v>148850</v>
      </c>
      <c r="I49" s="34">
        <v>11</v>
      </c>
      <c r="J49" s="35">
        <v>13531.818181818182</v>
      </c>
    </row>
    <row r="50" spans="1:18" x14ac:dyDescent="0.25">
      <c r="A50" s="31" t="s">
        <v>43</v>
      </c>
      <c r="B50" s="34">
        <v>106600</v>
      </c>
      <c r="C50" s="34">
        <v>29400</v>
      </c>
      <c r="D50" s="34">
        <v>7</v>
      </c>
      <c r="E50" s="34">
        <v>4</v>
      </c>
      <c r="F50" s="34">
        <v>15228.571428571429</v>
      </c>
      <c r="G50" s="34">
        <v>7350</v>
      </c>
      <c r="H50" s="34">
        <v>136000</v>
      </c>
      <c r="I50" s="34">
        <v>11</v>
      </c>
      <c r="J50" s="35">
        <v>12363.636363636364</v>
      </c>
    </row>
    <row r="51" spans="1:18" x14ac:dyDescent="0.25">
      <c r="A51" s="31" t="s">
        <v>44</v>
      </c>
      <c r="B51" s="34">
        <v>367600</v>
      </c>
      <c r="C51" s="34">
        <v>108800</v>
      </c>
      <c r="D51" s="34">
        <v>35</v>
      </c>
      <c r="E51" s="34">
        <v>10</v>
      </c>
      <c r="F51" s="34">
        <v>10502.857142857143</v>
      </c>
      <c r="G51" s="34">
        <v>10880</v>
      </c>
      <c r="H51" s="34">
        <v>476400</v>
      </c>
      <c r="I51" s="34">
        <v>45</v>
      </c>
      <c r="J51" s="35">
        <v>10586.666666666666</v>
      </c>
    </row>
    <row r="52" spans="1:18" x14ac:dyDescent="0.25">
      <c r="A52" s="31" t="s">
        <v>45</v>
      </c>
      <c r="B52" s="34">
        <v>405050</v>
      </c>
      <c r="C52" s="34">
        <v>73600</v>
      </c>
      <c r="D52" s="34">
        <v>50</v>
      </c>
      <c r="E52" s="34">
        <v>14</v>
      </c>
      <c r="F52" s="34">
        <v>8101</v>
      </c>
      <c r="G52" s="34">
        <v>5257.1428571428569</v>
      </c>
      <c r="H52" s="34">
        <v>478650</v>
      </c>
      <c r="I52" s="34">
        <v>64</v>
      </c>
      <c r="J52" s="35">
        <v>7478.90625</v>
      </c>
    </row>
    <row r="53" spans="1:18" x14ac:dyDescent="0.25">
      <c r="A53" s="31" t="s">
        <v>46</v>
      </c>
      <c r="B53" s="34">
        <v>71700</v>
      </c>
      <c r="C53" s="34">
        <v>76630</v>
      </c>
      <c r="D53" s="34">
        <v>10</v>
      </c>
      <c r="E53" s="34">
        <v>12</v>
      </c>
      <c r="F53" s="34">
        <v>7170</v>
      </c>
      <c r="G53" s="34">
        <v>6385.833333333333</v>
      </c>
      <c r="H53" s="34">
        <v>148330</v>
      </c>
      <c r="I53" s="34">
        <v>22</v>
      </c>
      <c r="J53" s="35">
        <v>6742.272727272727</v>
      </c>
    </row>
    <row r="54" spans="1:18" x14ac:dyDescent="0.25">
      <c r="A54" s="31" t="s">
        <v>47</v>
      </c>
      <c r="B54" s="34">
        <v>0</v>
      </c>
      <c r="C54" s="34">
        <v>3450</v>
      </c>
      <c r="D54" s="34">
        <v>0</v>
      </c>
      <c r="E54" s="34">
        <v>1</v>
      </c>
      <c r="F54" s="34">
        <v>0</v>
      </c>
      <c r="G54" s="34">
        <v>3450</v>
      </c>
      <c r="H54" s="34">
        <v>3450</v>
      </c>
      <c r="I54" s="34">
        <v>1</v>
      </c>
      <c r="J54" s="35">
        <v>3450</v>
      </c>
    </row>
    <row r="55" spans="1:18" x14ac:dyDescent="0.25">
      <c r="A55" s="31" t="s">
        <v>48</v>
      </c>
      <c r="B55" s="34">
        <v>16800</v>
      </c>
      <c r="C55" s="34">
        <v>28200</v>
      </c>
      <c r="D55" s="34">
        <v>1</v>
      </c>
      <c r="E55" s="34">
        <v>2</v>
      </c>
      <c r="F55" s="34">
        <v>16800</v>
      </c>
      <c r="G55" s="34">
        <v>14100</v>
      </c>
      <c r="H55" s="34">
        <v>45000</v>
      </c>
      <c r="I55" s="34">
        <v>3</v>
      </c>
      <c r="J55" s="35">
        <v>15000</v>
      </c>
    </row>
    <row r="56" spans="1:18" x14ac:dyDescent="0.25">
      <c r="A56" s="31" t="s">
        <v>49</v>
      </c>
      <c r="B56" s="34">
        <v>216900</v>
      </c>
      <c r="C56" s="34">
        <v>14570</v>
      </c>
      <c r="D56" s="34">
        <v>33</v>
      </c>
      <c r="E56" s="34">
        <v>6</v>
      </c>
      <c r="F56" s="34">
        <v>6572.727272727273</v>
      </c>
      <c r="G56" s="34">
        <v>2428.3333333333335</v>
      </c>
      <c r="H56" s="34">
        <v>231470</v>
      </c>
      <c r="I56" s="34">
        <v>39</v>
      </c>
      <c r="J56" s="35">
        <v>5935.1282051282051</v>
      </c>
    </row>
    <row r="57" spans="1:18" x14ac:dyDescent="0.25">
      <c r="A57" s="31" t="s">
        <v>50</v>
      </c>
      <c r="B57" s="34">
        <v>0</v>
      </c>
      <c r="C57" s="34">
        <v>58550</v>
      </c>
      <c r="D57" s="34">
        <v>0</v>
      </c>
      <c r="E57" s="34">
        <v>11</v>
      </c>
      <c r="F57" s="34">
        <v>0</v>
      </c>
      <c r="G57" s="34">
        <v>5322.727272727273</v>
      </c>
      <c r="H57" s="34">
        <v>58550</v>
      </c>
      <c r="I57" s="34">
        <v>11</v>
      </c>
      <c r="J57" s="35">
        <v>5322.727272727273</v>
      </c>
    </row>
    <row r="58" spans="1:18" ht="15.75" thickBot="1" x14ac:dyDescent="0.3">
      <c r="A58" s="31" t="s">
        <v>51</v>
      </c>
      <c r="B58" s="34">
        <v>11850</v>
      </c>
      <c r="C58" s="34">
        <v>0</v>
      </c>
      <c r="D58" s="34">
        <v>2</v>
      </c>
      <c r="E58" s="34">
        <v>0</v>
      </c>
      <c r="F58" s="34">
        <v>5925</v>
      </c>
      <c r="G58" s="34">
        <v>0</v>
      </c>
      <c r="H58" s="34">
        <v>11850</v>
      </c>
      <c r="I58" s="34">
        <v>2</v>
      </c>
      <c r="J58" s="35">
        <v>5925</v>
      </c>
    </row>
    <row r="59" spans="1:18" ht="15.75" thickBot="1" x14ac:dyDescent="0.3">
      <c r="A59" s="36" t="s">
        <v>30</v>
      </c>
      <c r="B59" s="37">
        <v>1523260</v>
      </c>
      <c r="C59" s="37">
        <v>613470</v>
      </c>
      <c r="D59" s="37">
        <v>169</v>
      </c>
      <c r="E59" s="37">
        <v>87</v>
      </c>
      <c r="F59" s="37">
        <v>9013.3727810650889</v>
      </c>
      <c r="G59" s="37">
        <v>7051.3793103448279</v>
      </c>
      <c r="H59" s="37">
        <v>2136730</v>
      </c>
      <c r="I59" s="37">
        <v>256</v>
      </c>
      <c r="J59" s="38">
        <v>8346.6015625</v>
      </c>
    </row>
    <row r="61" spans="1:18" x14ac:dyDescent="0.25">
      <c r="A61" s="17" t="s">
        <v>31</v>
      </c>
    </row>
    <row r="62" spans="1:18" s="22" customFormat="1" ht="1.5" customHeight="1" thickBot="1" x14ac:dyDescent="0.35">
      <c r="A62" s="19"/>
      <c r="B62" s="20" t="s">
        <v>19</v>
      </c>
      <c r="C62" s="20"/>
      <c r="D62" s="21"/>
      <c r="E62" s="21"/>
      <c r="F62" s="21"/>
      <c r="G62" s="21"/>
      <c r="H62" s="21"/>
      <c r="I62" s="21"/>
      <c r="J62" s="21"/>
      <c r="O62" s="49"/>
      <c r="P62" s="49"/>
      <c r="Q62" s="49"/>
      <c r="R62" s="49"/>
    </row>
    <row r="63" spans="1:18" s="2" customFormat="1" ht="60.75" thickBot="1" x14ac:dyDescent="0.3">
      <c r="A63" s="23"/>
      <c r="B63" s="44" t="s">
        <v>15</v>
      </c>
      <c r="C63" s="44"/>
      <c r="D63" s="44" t="s">
        <v>32</v>
      </c>
      <c r="E63" s="44"/>
      <c r="F63" s="44" t="s">
        <v>52</v>
      </c>
      <c r="G63" s="44"/>
      <c r="H63" s="26" t="s">
        <v>33</v>
      </c>
      <c r="I63" s="26" t="s">
        <v>34</v>
      </c>
      <c r="J63" s="26" t="s">
        <v>53</v>
      </c>
    </row>
    <row r="64" spans="1:18" ht="15.75" thickBot="1" x14ac:dyDescent="0.3">
      <c r="A64" s="47" t="s">
        <v>38</v>
      </c>
      <c r="B64" s="48" t="s">
        <v>24</v>
      </c>
      <c r="C64" s="48" t="s">
        <v>25</v>
      </c>
      <c r="D64" s="48" t="s">
        <v>24</v>
      </c>
      <c r="E64" s="48" t="s">
        <v>25</v>
      </c>
      <c r="F64" s="48" t="s">
        <v>24</v>
      </c>
      <c r="G64" s="48" t="s">
        <v>25</v>
      </c>
      <c r="H64" s="30"/>
      <c r="I64" s="30"/>
      <c r="J64" s="30"/>
    </row>
    <row r="65" spans="1:10" x14ac:dyDescent="0.25">
      <c r="A65" s="31" t="s">
        <v>40</v>
      </c>
      <c r="B65" s="32">
        <v>21400</v>
      </c>
      <c r="C65" s="32">
        <v>0</v>
      </c>
      <c r="D65" s="32">
        <v>2</v>
      </c>
      <c r="E65" s="32">
        <v>0</v>
      </c>
      <c r="F65" s="32">
        <v>10700</v>
      </c>
      <c r="G65" s="32">
        <v>0</v>
      </c>
      <c r="H65" s="32">
        <v>21400</v>
      </c>
      <c r="I65" s="32">
        <v>2</v>
      </c>
      <c r="J65" s="33">
        <v>10700</v>
      </c>
    </row>
    <row r="66" spans="1:10" x14ac:dyDescent="0.25">
      <c r="A66" s="31" t="s">
        <v>41</v>
      </c>
      <c r="B66" s="34">
        <v>157610</v>
      </c>
      <c r="C66" s="34">
        <v>0</v>
      </c>
      <c r="D66" s="34">
        <v>13</v>
      </c>
      <c r="E66" s="34">
        <v>0</v>
      </c>
      <c r="F66" s="34">
        <v>12123.846153846154</v>
      </c>
      <c r="G66" s="34">
        <v>0</v>
      </c>
      <c r="H66" s="34">
        <v>157610</v>
      </c>
      <c r="I66" s="34">
        <v>13</v>
      </c>
      <c r="J66" s="35">
        <v>12123.846153846154</v>
      </c>
    </row>
    <row r="67" spans="1:10" x14ac:dyDescent="0.25">
      <c r="A67" s="31" t="s">
        <v>42</v>
      </c>
      <c r="B67" s="34">
        <v>42150</v>
      </c>
      <c r="C67" s="34">
        <v>0</v>
      </c>
      <c r="D67" s="34">
        <v>3</v>
      </c>
      <c r="E67" s="34">
        <v>0</v>
      </c>
      <c r="F67" s="34">
        <v>14050</v>
      </c>
      <c r="G67" s="34">
        <v>0</v>
      </c>
      <c r="H67" s="34">
        <v>42150</v>
      </c>
      <c r="I67" s="34">
        <v>3</v>
      </c>
      <c r="J67" s="35">
        <v>14050</v>
      </c>
    </row>
    <row r="68" spans="1:10" x14ac:dyDescent="0.25">
      <c r="A68" s="31" t="s">
        <v>43</v>
      </c>
      <c r="B68" s="34">
        <v>76000</v>
      </c>
      <c r="C68" s="34">
        <v>0</v>
      </c>
      <c r="D68" s="34">
        <v>5</v>
      </c>
      <c r="E68" s="34">
        <v>0</v>
      </c>
      <c r="F68" s="34">
        <v>15200</v>
      </c>
      <c r="G68" s="34">
        <v>0</v>
      </c>
      <c r="H68" s="34">
        <v>76000</v>
      </c>
      <c r="I68" s="34">
        <v>5</v>
      </c>
      <c r="J68" s="35">
        <v>15200</v>
      </c>
    </row>
    <row r="69" spans="1:10" x14ac:dyDescent="0.25">
      <c r="A69" s="31" t="s">
        <v>44</v>
      </c>
      <c r="B69" s="34">
        <v>224400</v>
      </c>
      <c r="C69" s="34">
        <v>22400</v>
      </c>
      <c r="D69" s="34">
        <v>17</v>
      </c>
      <c r="E69" s="34">
        <v>1</v>
      </c>
      <c r="F69" s="34">
        <v>13200</v>
      </c>
      <c r="G69" s="34">
        <v>22400</v>
      </c>
      <c r="H69" s="34">
        <v>246800</v>
      </c>
      <c r="I69" s="34">
        <v>18</v>
      </c>
      <c r="J69" s="35">
        <v>13711.111111111111</v>
      </c>
    </row>
    <row r="70" spans="1:10" x14ac:dyDescent="0.25">
      <c r="A70" s="31" t="s">
        <v>45</v>
      </c>
      <c r="B70" s="34">
        <v>94200</v>
      </c>
      <c r="C70" s="34">
        <v>2400</v>
      </c>
      <c r="D70" s="34">
        <v>8</v>
      </c>
      <c r="E70" s="34">
        <v>1</v>
      </c>
      <c r="F70" s="34">
        <v>11775</v>
      </c>
      <c r="G70" s="34">
        <v>2400</v>
      </c>
      <c r="H70" s="34">
        <v>96600</v>
      </c>
      <c r="I70" s="34">
        <v>9</v>
      </c>
      <c r="J70" s="35">
        <v>10733.333333333334</v>
      </c>
    </row>
    <row r="71" spans="1:10" x14ac:dyDescent="0.25">
      <c r="A71" s="31" t="s">
        <v>46</v>
      </c>
      <c r="B71" s="34">
        <v>29400</v>
      </c>
      <c r="C71" s="34">
        <v>0</v>
      </c>
      <c r="D71" s="34">
        <v>2</v>
      </c>
      <c r="E71" s="34">
        <v>0</v>
      </c>
      <c r="F71" s="34">
        <v>14700</v>
      </c>
      <c r="G71" s="34">
        <v>0</v>
      </c>
      <c r="H71" s="34">
        <v>29400</v>
      </c>
      <c r="I71" s="34">
        <v>2</v>
      </c>
      <c r="J71" s="35">
        <v>14700</v>
      </c>
    </row>
    <row r="72" spans="1:10" x14ac:dyDescent="0.25">
      <c r="A72" s="31" t="s">
        <v>48</v>
      </c>
      <c r="B72" s="34">
        <v>16800</v>
      </c>
      <c r="C72" s="34">
        <v>0</v>
      </c>
      <c r="D72" s="34">
        <v>1</v>
      </c>
      <c r="E72" s="34">
        <v>0</v>
      </c>
      <c r="F72" s="34">
        <v>16800</v>
      </c>
      <c r="G72" s="34">
        <v>0</v>
      </c>
      <c r="H72" s="34">
        <v>16800</v>
      </c>
      <c r="I72" s="34">
        <v>1</v>
      </c>
      <c r="J72" s="35">
        <v>16800</v>
      </c>
    </row>
    <row r="73" spans="1:10" ht="15.75" thickBot="1" x14ac:dyDescent="0.3">
      <c r="A73" s="31" t="s">
        <v>49</v>
      </c>
      <c r="B73" s="34">
        <v>113900</v>
      </c>
      <c r="C73" s="34">
        <v>6000</v>
      </c>
      <c r="D73" s="34">
        <v>14</v>
      </c>
      <c r="E73" s="34">
        <v>3</v>
      </c>
      <c r="F73" s="34">
        <v>8135.7142857142853</v>
      </c>
      <c r="G73" s="34">
        <v>2000</v>
      </c>
      <c r="H73" s="34">
        <v>119900</v>
      </c>
      <c r="I73" s="34">
        <v>17</v>
      </c>
      <c r="J73" s="35">
        <v>7052.9411764705883</v>
      </c>
    </row>
    <row r="74" spans="1:10" ht="15.75" thickBot="1" x14ac:dyDescent="0.3">
      <c r="A74" s="36" t="s">
        <v>30</v>
      </c>
      <c r="B74" s="37">
        <v>775860</v>
      </c>
      <c r="C74" s="37">
        <v>30800</v>
      </c>
      <c r="D74" s="37">
        <v>65</v>
      </c>
      <c r="E74" s="37">
        <v>5</v>
      </c>
      <c r="F74" s="37">
        <v>11936.307692307691</v>
      </c>
      <c r="G74" s="37">
        <v>6160</v>
      </c>
      <c r="H74" s="37">
        <v>806660</v>
      </c>
      <c r="I74" s="37">
        <v>70</v>
      </c>
      <c r="J74" s="38">
        <v>11523.714285714286</v>
      </c>
    </row>
    <row r="79" spans="1:10" x14ac:dyDescent="0.25">
      <c r="D79" s="40"/>
    </row>
    <row r="80" spans="1:10" s="8" customFormat="1" ht="18.75" x14ac:dyDescent="0.3">
      <c r="A80" s="8" t="s">
        <v>54</v>
      </c>
    </row>
    <row r="81" spans="1:9" s="8" customFormat="1" ht="15" customHeight="1" thickBot="1" x14ac:dyDescent="0.35"/>
    <row r="82" spans="1:9" s="8" customFormat="1" ht="15" customHeight="1" thickBot="1" x14ac:dyDescent="0.35">
      <c r="A82" s="9" t="s">
        <v>55</v>
      </c>
      <c r="B82"/>
    </row>
    <row r="83" spans="1:9" s="8" customFormat="1" ht="15" customHeight="1" thickBot="1" x14ac:dyDescent="0.35">
      <c r="A83" s="60">
        <v>258000</v>
      </c>
    </row>
    <row r="84" spans="1:9" s="8" customFormat="1" ht="15" customHeight="1" x14ac:dyDescent="0.3">
      <c r="A84"/>
    </row>
    <row r="85" spans="1:9" x14ac:dyDescent="0.25">
      <c r="A85" s="17" t="s">
        <v>18</v>
      </c>
      <c r="B85" s="18"/>
      <c r="C85" s="18"/>
      <c r="F85" s="17" t="s">
        <v>31</v>
      </c>
    </row>
    <row r="86" spans="1:9" ht="2.1" customHeight="1" thickBot="1" x14ac:dyDescent="0.3"/>
    <row r="87" spans="1:9" ht="60.75" thickBot="1" x14ac:dyDescent="0.3">
      <c r="A87" s="50" t="s">
        <v>56</v>
      </c>
      <c r="B87" s="42" t="s">
        <v>5</v>
      </c>
      <c r="C87" s="42" t="s">
        <v>57</v>
      </c>
      <c r="D87" s="42" t="s">
        <v>58</v>
      </c>
      <c r="F87" s="51" t="s">
        <v>59</v>
      </c>
      <c r="G87" s="42" t="s">
        <v>15</v>
      </c>
      <c r="H87" s="42" t="s">
        <v>14</v>
      </c>
      <c r="I87" s="42" t="s">
        <v>60</v>
      </c>
    </row>
    <row r="88" spans="1:9" x14ac:dyDescent="0.25">
      <c r="A88" s="31" t="s">
        <v>61</v>
      </c>
      <c r="B88" s="32">
        <v>1659910</v>
      </c>
      <c r="C88" s="32">
        <v>197</v>
      </c>
      <c r="D88" s="33">
        <v>8425.9390862944165</v>
      </c>
      <c r="F88" s="31" t="s">
        <v>61</v>
      </c>
      <c r="G88" s="32">
        <v>545310</v>
      </c>
      <c r="H88" s="32">
        <v>44</v>
      </c>
      <c r="I88" s="33">
        <v>12393.40909090909</v>
      </c>
    </row>
    <row r="89" spans="1:9" ht="15.75" thickBot="1" x14ac:dyDescent="0.3">
      <c r="A89" s="31" t="s">
        <v>62</v>
      </c>
      <c r="B89" s="34">
        <v>476820</v>
      </c>
      <c r="C89" s="34">
        <v>59</v>
      </c>
      <c r="D89" s="35">
        <v>8081.6949152542375</v>
      </c>
      <c r="F89" s="31" t="s">
        <v>62</v>
      </c>
      <c r="G89" s="34">
        <v>261350</v>
      </c>
      <c r="H89" s="34">
        <v>26</v>
      </c>
      <c r="I89" s="35">
        <v>10051.923076923076</v>
      </c>
    </row>
    <row r="90" spans="1:9" ht="15.75" thickBot="1" x14ac:dyDescent="0.3">
      <c r="A90" s="36" t="s">
        <v>30</v>
      </c>
      <c r="B90" s="37">
        <v>2136730</v>
      </c>
      <c r="C90" s="37">
        <v>256</v>
      </c>
      <c r="D90" s="38">
        <v>8346.6015625</v>
      </c>
      <c r="F90" s="36" t="s">
        <v>30</v>
      </c>
      <c r="G90" s="37">
        <v>806660</v>
      </c>
      <c r="H90" s="37">
        <v>70</v>
      </c>
      <c r="I90" s="38">
        <v>11523.714285714286</v>
      </c>
    </row>
  </sheetData>
  <protectedRanges>
    <protectedRange sqref="B3" name="Bereich1"/>
  </protectedRanges>
  <mergeCells count="4">
    <mergeCell ref="A10:A11"/>
    <mergeCell ref="B10:B11"/>
    <mergeCell ref="A14:A15"/>
    <mergeCell ref="B14:B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2">
    <tabColor rgb="FF0070C0"/>
  </sheetPr>
  <dimension ref="A1:AI34"/>
  <sheetViews>
    <sheetView showGridLines="0" topLeftCell="A4" zoomScale="70" zoomScaleNormal="70" workbookViewId="0">
      <selection activeCell="A2" sqref="A2:XFD2"/>
    </sheetView>
  </sheetViews>
  <sheetFormatPr defaultColWidth="11.42578125" defaultRowHeight="15" x14ac:dyDescent="0.25"/>
  <cols>
    <col min="1" max="1" width="15.28515625" style="180" customWidth="1"/>
    <col min="2" max="2" width="25.85546875" style="180" customWidth="1"/>
    <col min="3" max="35" width="18.28515625" style="180" customWidth="1"/>
    <col min="36" max="16384" width="11.42578125" style="180"/>
  </cols>
  <sheetData>
    <row r="1" spans="1:35" ht="43.5" customHeight="1" x14ac:dyDescent="0.25">
      <c r="A1" s="324" t="s">
        <v>151</v>
      </c>
      <c r="B1" s="324"/>
      <c r="C1" s="324"/>
      <c r="D1" s="324"/>
      <c r="E1" s="324"/>
      <c r="F1" s="324"/>
      <c r="G1" s="324"/>
      <c r="H1" s="324"/>
      <c r="I1" s="324"/>
      <c r="J1" s="324"/>
      <c r="L1" s="222" t="s">
        <v>130</v>
      </c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</row>
    <row r="2" spans="1:35" s="221" customFormat="1" ht="15" customHeight="1" x14ac:dyDescent="0.25">
      <c r="A2" s="223" t="s">
        <v>131</v>
      </c>
      <c r="B2" s="219"/>
      <c r="C2" s="219"/>
      <c r="D2" s="219"/>
      <c r="E2" s="219"/>
      <c r="F2" s="219"/>
      <c r="H2" s="224"/>
      <c r="J2" s="225"/>
    </row>
    <row r="3" spans="1:35" x14ac:dyDescent="0.25">
      <c r="A3" s="226"/>
    </row>
    <row r="4" spans="1:35" x14ac:dyDescent="0.25">
      <c r="A4" s="226"/>
    </row>
    <row r="5" spans="1:35" ht="15.75" thickBot="1" x14ac:dyDescent="0.3"/>
    <row r="6" spans="1:35" ht="15.75" customHeight="1" thickBot="1" x14ac:dyDescent="0.3">
      <c r="A6" s="325" t="s">
        <v>121</v>
      </c>
      <c r="B6" s="327" t="s">
        <v>18</v>
      </c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28"/>
      <c r="R6" s="328"/>
      <c r="S6" s="327" t="s">
        <v>148</v>
      </c>
      <c r="T6" s="328"/>
      <c r="U6" s="328"/>
      <c r="V6" s="328"/>
      <c r="W6" s="328"/>
      <c r="X6" s="328"/>
      <c r="Y6" s="328"/>
      <c r="Z6" s="328"/>
      <c r="AA6" s="328"/>
      <c r="AB6" s="328"/>
      <c r="AC6" s="328"/>
      <c r="AD6" s="328"/>
      <c r="AE6" s="328"/>
      <c r="AF6" s="328"/>
      <c r="AG6" s="328"/>
      <c r="AH6" s="328"/>
      <c r="AI6" s="329"/>
    </row>
    <row r="7" spans="1:35" ht="30.75" thickBot="1" x14ac:dyDescent="0.3">
      <c r="A7" s="326"/>
      <c r="B7" s="143" t="s">
        <v>39</v>
      </c>
      <c r="C7" s="143" t="s">
        <v>40</v>
      </c>
      <c r="D7" s="254" t="s">
        <v>116</v>
      </c>
      <c r="E7" s="254" t="s">
        <v>41</v>
      </c>
      <c r="F7" s="143" t="s">
        <v>81</v>
      </c>
      <c r="G7" s="143" t="s">
        <v>152</v>
      </c>
      <c r="H7" s="143" t="s">
        <v>42</v>
      </c>
      <c r="I7" s="254" t="s">
        <v>43</v>
      </c>
      <c r="J7" s="254" t="s">
        <v>44</v>
      </c>
      <c r="K7" s="143" t="s">
        <v>45</v>
      </c>
      <c r="L7" s="143" t="s">
        <v>46</v>
      </c>
      <c r="M7" s="143" t="s">
        <v>98</v>
      </c>
      <c r="N7" s="143" t="s">
        <v>47</v>
      </c>
      <c r="O7" s="143" t="s">
        <v>48</v>
      </c>
      <c r="P7" s="143" t="s">
        <v>49</v>
      </c>
      <c r="Q7" s="143" t="s">
        <v>50</v>
      </c>
      <c r="R7" s="143" t="s">
        <v>51</v>
      </c>
      <c r="S7" s="143" t="s">
        <v>39</v>
      </c>
      <c r="T7" s="143" t="s">
        <v>40</v>
      </c>
      <c r="U7" s="254" t="s">
        <v>116</v>
      </c>
      <c r="V7" s="254" t="s">
        <v>41</v>
      </c>
      <c r="W7" s="143" t="s">
        <v>81</v>
      </c>
      <c r="X7" s="143" t="s">
        <v>152</v>
      </c>
      <c r="Y7" s="143" t="s">
        <v>42</v>
      </c>
      <c r="Z7" s="254" t="s">
        <v>43</v>
      </c>
      <c r="AA7" s="254" t="s">
        <v>44</v>
      </c>
      <c r="AB7" s="143" t="s">
        <v>45</v>
      </c>
      <c r="AC7" s="143" t="s">
        <v>46</v>
      </c>
      <c r="AD7" s="143" t="s">
        <v>98</v>
      </c>
      <c r="AE7" s="143" t="s">
        <v>47</v>
      </c>
      <c r="AF7" s="143" t="s">
        <v>48</v>
      </c>
      <c r="AG7" s="143" t="s">
        <v>49</v>
      </c>
      <c r="AH7" s="143" t="s">
        <v>50</v>
      </c>
      <c r="AI7" s="143" t="s">
        <v>51</v>
      </c>
    </row>
    <row r="8" spans="1:35" x14ac:dyDescent="0.25">
      <c r="A8" s="255">
        <v>42856</v>
      </c>
      <c r="B8" s="241">
        <v>88300</v>
      </c>
      <c r="C8" s="241">
        <v>63220</v>
      </c>
      <c r="D8" s="241"/>
      <c r="E8" s="241">
        <v>246660</v>
      </c>
      <c r="F8" s="241"/>
      <c r="G8" s="241"/>
      <c r="H8" s="241">
        <v>148850</v>
      </c>
      <c r="I8" s="241">
        <v>136000</v>
      </c>
      <c r="J8" s="241">
        <v>476400</v>
      </c>
      <c r="K8" s="241">
        <v>478650</v>
      </c>
      <c r="L8" s="241">
        <v>148330</v>
      </c>
      <c r="M8" s="241"/>
      <c r="N8" s="241">
        <v>3450</v>
      </c>
      <c r="O8" s="241">
        <v>45000</v>
      </c>
      <c r="P8" s="241">
        <v>231470</v>
      </c>
      <c r="Q8" s="241">
        <v>58550</v>
      </c>
      <c r="R8" s="241">
        <v>11850</v>
      </c>
      <c r="S8" s="241">
        <v>0</v>
      </c>
      <c r="T8" s="241">
        <v>21400</v>
      </c>
      <c r="U8" s="241"/>
      <c r="V8" s="241">
        <v>157610</v>
      </c>
      <c r="W8" s="241"/>
      <c r="X8" s="241"/>
      <c r="Y8" s="241">
        <v>42150</v>
      </c>
      <c r="Z8" s="241">
        <v>76000</v>
      </c>
      <c r="AA8" s="241">
        <v>246800</v>
      </c>
      <c r="AB8" s="241">
        <v>96600</v>
      </c>
      <c r="AC8" s="241">
        <v>29400</v>
      </c>
      <c r="AD8" s="241"/>
      <c r="AE8" s="241">
        <v>0</v>
      </c>
      <c r="AF8" s="241">
        <v>16800</v>
      </c>
      <c r="AG8" s="241">
        <v>119900</v>
      </c>
      <c r="AH8" s="241">
        <v>0</v>
      </c>
      <c r="AI8" s="256">
        <v>0</v>
      </c>
    </row>
    <row r="9" spans="1:35" x14ac:dyDescent="0.25">
      <c r="A9" s="255">
        <v>42948</v>
      </c>
      <c r="B9" s="241">
        <v>67800</v>
      </c>
      <c r="C9" s="241">
        <v>27600</v>
      </c>
      <c r="D9" s="241"/>
      <c r="E9" s="241">
        <v>611060</v>
      </c>
      <c r="F9" s="241"/>
      <c r="G9" s="241"/>
      <c r="H9" s="241">
        <v>177730</v>
      </c>
      <c r="I9" s="241">
        <v>300980</v>
      </c>
      <c r="J9" s="241">
        <v>500210</v>
      </c>
      <c r="K9" s="241">
        <v>574560</v>
      </c>
      <c r="L9" s="241">
        <v>149680</v>
      </c>
      <c r="M9" s="241"/>
      <c r="N9" s="241">
        <v>38550</v>
      </c>
      <c r="O9" s="241">
        <v>73800</v>
      </c>
      <c r="P9" s="241">
        <v>250120</v>
      </c>
      <c r="Q9" s="241">
        <v>154850</v>
      </c>
      <c r="R9" s="241"/>
      <c r="S9" s="241">
        <v>0</v>
      </c>
      <c r="T9" s="241">
        <v>4800</v>
      </c>
      <c r="U9" s="241"/>
      <c r="V9" s="241">
        <v>382750</v>
      </c>
      <c r="W9" s="241"/>
      <c r="X9" s="241"/>
      <c r="Y9" s="241">
        <v>38780</v>
      </c>
      <c r="Z9" s="241">
        <v>126600</v>
      </c>
      <c r="AA9" s="241">
        <v>238710</v>
      </c>
      <c r="AB9" s="241">
        <v>7800</v>
      </c>
      <c r="AC9" s="241">
        <v>7500</v>
      </c>
      <c r="AD9" s="241"/>
      <c r="AE9" s="241">
        <v>35100</v>
      </c>
      <c r="AF9" s="241">
        <v>49200</v>
      </c>
      <c r="AG9" s="241">
        <v>36000</v>
      </c>
      <c r="AH9" s="241">
        <v>93450</v>
      </c>
      <c r="AI9" s="256"/>
    </row>
    <row r="10" spans="1:35" x14ac:dyDescent="0.25">
      <c r="A10" s="255">
        <v>43040</v>
      </c>
      <c r="B10" s="241">
        <v>76000</v>
      </c>
      <c r="C10" s="241">
        <v>28500</v>
      </c>
      <c r="D10" s="241"/>
      <c r="E10" s="241">
        <v>454130</v>
      </c>
      <c r="F10" s="241"/>
      <c r="G10" s="241"/>
      <c r="H10" s="241">
        <v>206670</v>
      </c>
      <c r="I10" s="241">
        <v>353700</v>
      </c>
      <c r="J10" s="241">
        <v>429600</v>
      </c>
      <c r="K10" s="241">
        <v>497775</v>
      </c>
      <c r="L10" s="241">
        <v>104550</v>
      </c>
      <c r="M10" s="241"/>
      <c r="N10" s="241">
        <v>3600</v>
      </c>
      <c r="O10" s="241">
        <v>100500</v>
      </c>
      <c r="P10" s="241">
        <v>254970</v>
      </c>
      <c r="Q10" s="241">
        <v>80850</v>
      </c>
      <c r="R10" s="241"/>
      <c r="S10" s="241">
        <v>0</v>
      </c>
      <c r="T10" s="241">
        <v>18000</v>
      </c>
      <c r="U10" s="241"/>
      <c r="V10" s="241">
        <v>273300</v>
      </c>
      <c r="W10" s="241"/>
      <c r="X10" s="241"/>
      <c r="Y10" s="241">
        <v>95700</v>
      </c>
      <c r="Z10" s="241">
        <v>154800</v>
      </c>
      <c r="AA10" s="241">
        <v>90000</v>
      </c>
      <c r="AB10" s="241">
        <v>271375</v>
      </c>
      <c r="AC10" s="241">
        <v>13200</v>
      </c>
      <c r="AD10" s="241"/>
      <c r="AE10" s="241">
        <v>0</v>
      </c>
      <c r="AF10" s="241">
        <v>0</v>
      </c>
      <c r="AG10" s="241">
        <v>58500</v>
      </c>
      <c r="AH10" s="241">
        <v>36000</v>
      </c>
      <c r="AI10" s="256"/>
    </row>
    <row r="11" spans="1:35" x14ac:dyDescent="0.25">
      <c r="A11" s="255">
        <v>43132</v>
      </c>
      <c r="B11" s="241">
        <v>57900</v>
      </c>
      <c r="C11" s="241">
        <v>20100</v>
      </c>
      <c r="D11" s="241"/>
      <c r="E11" s="241">
        <v>108570</v>
      </c>
      <c r="F11" s="241"/>
      <c r="G11" s="241"/>
      <c r="H11" s="241">
        <v>81350</v>
      </c>
      <c r="I11" s="241">
        <v>37500</v>
      </c>
      <c r="J11" s="241">
        <v>191906</v>
      </c>
      <c r="K11" s="241">
        <v>140550</v>
      </c>
      <c r="L11" s="241">
        <v>166650</v>
      </c>
      <c r="M11" s="241"/>
      <c r="N11" s="241">
        <v>9350</v>
      </c>
      <c r="O11" s="241">
        <v>68280</v>
      </c>
      <c r="P11" s="241">
        <v>52050</v>
      </c>
      <c r="Q11" s="241">
        <v>55100</v>
      </c>
      <c r="R11" s="241"/>
      <c r="S11" s="241">
        <v>23100</v>
      </c>
      <c r="T11" s="241">
        <v>20100</v>
      </c>
      <c r="U11" s="241"/>
      <c r="V11" s="241">
        <v>106270</v>
      </c>
      <c r="W11" s="241"/>
      <c r="X11" s="241"/>
      <c r="Y11" s="241">
        <v>81350</v>
      </c>
      <c r="Z11" s="241">
        <v>16450</v>
      </c>
      <c r="AA11" s="241">
        <v>154306</v>
      </c>
      <c r="AB11" s="241">
        <v>61100</v>
      </c>
      <c r="AC11" s="241">
        <v>124100</v>
      </c>
      <c r="AD11" s="241"/>
      <c r="AE11" s="241">
        <v>7050</v>
      </c>
      <c r="AF11" s="241">
        <v>36600</v>
      </c>
      <c r="AG11" s="241">
        <v>35650</v>
      </c>
      <c r="AH11" s="241">
        <v>42850</v>
      </c>
      <c r="AI11" s="256"/>
    </row>
    <row r="12" spans="1:35" x14ac:dyDescent="0.25">
      <c r="A12" s="255">
        <v>43221</v>
      </c>
      <c r="B12" s="241">
        <v>34800</v>
      </c>
      <c r="C12" s="241">
        <v>2400</v>
      </c>
      <c r="D12" s="241"/>
      <c r="E12" s="241">
        <v>87310</v>
      </c>
      <c r="F12" s="241">
        <v>3400</v>
      </c>
      <c r="G12" s="241"/>
      <c r="H12" s="241">
        <v>24900</v>
      </c>
      <c r="I12" s="241">
        <v>59400</v>
      </c>
      <c r="J12" s="241">
        <v>55300</v>
      </c>
      <c r="K12" s="241">
        <v>139800</v>
      </c>
      <c r="L12" s="241">
        <v>50350</v>
      </c>
      <c r="M12" s="241"/>
      <c r="N12" s="241">
        <v>12650</v>
      </c>
      <c r="O12" s="241">
        <v>79580</v>
      </c>
      <c r="P12" s="241">
        <v>33300</v>
      </c>
      <c r="Q12" s="241">
        <v>20950</v>
      </c>
      <c r="R12" s="241"/>
      <c r="S12" s="241">
        <v>34800</v>
      </c>
      <c r="T12" s="241">
        <v>2400</v>
      </c>
      <c r="U12" s="241"/>
      <c r="V12" s="241">
        <v>87310</v>
      </c>
      <c r="W12" s="241">
        <v>3400</v>
      </c>
      <c r="X12" s="241"/>
      <c r="Y12" s="241">
        <v>24900</v>
      </c>
      <c r="Z12" s="241">
        <v>59400</v>
      </c>
      <c r="AA12" s="241">
        <v>55300</v>
      </c>
      <c r="AB12" s="241">
        <v>139800</v>
      </c>
      <c r="AC12" s="241">
        <v>50350</v>
      </c>
      <c r="AD12" s="241"/>
      <c r="AE12" s="241">
        <v>12650</v>
      </c>
      <c r="AF12" s="241">
        <v>79580</v>
      </c>
      <c r="AG12" s="241">
        <v>33300</v>
      </c>
      <c r="AH12" s="241">
        <v>20950</v>
      </c>
      <c r="AI12" s="256"/>
    </row>
    <row r="13" spans="1:35" x14ac:dyDescent="0.25">
      <c r="A13" s="255">
        <v>43313</v>
      </c>
      <c r="B13" s="241">
        <v>71750</v>
      </c>
      <c r="C13" s="241">
        <v>39200</v>
      </c>
      <c r="D13" s="241"/>
      <c r="E13" s="241">
        <v>136150</v>
      </c>
      <c r="F13" s="241"/>
      <c r="G13" s="241"/>
      <c r="H13" s="241">
        <v>37880</v>
      </c>
      <c r="I13" s="241">
        <v>88950</v>
      </c>
      <c r="J13" s="241">
        <v>36120</v>
      </c>
      <c r="K13" s="241">
        <v>99700</v>
      </c>
      <c r="L13" s="241">
        <v>49550</v>
      </c>
      <c r="M13" s="241">
        <v>9000</v>
      </c>
      <c r="N13" s="241">
        <v>6600</v>
      </c>
      <c r="O13" s="241">
        <v>29600</v>
      </c>
      <c r="P13" s="241">
        <v>95200</v>
      </c>
      <c r="Q13" s="241">
        <v>8900</v>
      </c>
      <c r="R13" s="241"/>
      <c r="S13" s="241">
        <v>71750</v>
      </c>
      <c r="T13" s="241">
        <v>30800</v>
      </c>
      <c r="U13" s="241"/>
      <c r="V13" s="241">
        <v>136150</v>
      </c>
      <c r="W13" s="241"/>
      <c r="X13" s="241"/>
      <c r="Y13" s="241">
        <v>37880</v>
      </c>
      <c r="Z13" s="241">
        <v>70150</v>
      </c>
      <c r="AA13" s="241">
        <v>32520</v>
      </c>
      <c r="AB13" s="241">
        <v>99700</v>
      </c>
      <c r="AC13" s="241">
        <v>49550</v>
      </c>
      <c r="AD13" s="241">
        <v>0</v>
      </c>
      <c r="AE13" s="241">
        <v>6600</v>
      </c>
      <c r="AF13" s="241">
        <v>29600</v>
      </c>
      <c r="AG13" s="241">
        <v>95200</v>
      </c>
      <c r="AH13" s="241">
        <v>6550</v>
      </c>
      <c r="AI13" s="256"/>
    </row>
    <row r="14" spans="1:35" x14ac:dyDescent="0.25">
      <c r="A14" s="255">
        <v>43374</v>
      </c>
      <c r="B14" s="241">
        <v>28200</v>
      </c>
      <c r="C14" s="241">
        <v>76450</v>
      </c>
      <c r="D14" s="241"/>
      <c r="E14" s="241">
        <v>65950</v>
      </c>
      <c r="F14" s="241"/>
      <c r="G14" s="241"/>
      <c r="H14" s="241">
        <v>44500</v>
      </c>
      <c r="I14" s="241">
        <v>42250</v>
      </c>
      <c r="J14" s="241">
        <v>44500</v>
      </c>
      <c r="K14" s="241">
        <v>24950</v>
      </c>
      <c r="L14" s="241">
        <v>14800</v>
      </c>
      <c r="M14" s="241">
        <v>21900</v>
      </c>
      <c r="N14" s="241">
        <v>3300</v>
      </c>
      <c r="O14" s="241"/>
      <c r="P14" s="241">
        <v>15000</v>
      </c>
      <c r="Q14" s="241">
        <v>6550</v>
      </c>
      <c r="R14" s="241"/>
      <c r="S14" s="241">
        <v>28200</v>
      </c>
      <c r="T14" s="241">
        <v>68650</v>
      </c>
      <c r="U14" s="241"/>
      <c r="V14" s="241">
        <v>65950</v>
      </c>
      <c r="W14" s="241"/>
      <c r="X14" s="241"/>
      <c r="Y14" s="241">
        <v>44500</v>
      </c>
      <c r="Z14" s="241">
        <v>42250</v>
      </c>
      <c r="AA14" s="241">
        <v>42150</v>
      </c>
      <c r="AB14" s="241">
        <v>24950</v>
      </c>
      <c r="AC14" s="241">
        <v>14800</v>
      </c>
      <c r="AD14" s="241">
        <v>6900</v>
      </c>
      <c r="AE14" s="241">
        <v>3300</v>
      </c>
      <c r="AF14" s="241"/>
      <c r="AG14" s="241">
        <v>15000</v>
      </c>
      <c r="AH14" s="241">
        <v>6550</v>
      </c>
      <c r="AI14" s="256"/>
    </row>
    <row r="15" spans="1:35" x14ac:dyDescent="0.25">
      <c r="A15" s="255">
        <v>43497</v>
      </c>
      <c r="B15" s="241">
        <v>11000</v>
      </c>
      <c r="C15" s="241">
        <v>12500</v>
      </c>
      <c r="D15" s="241"/>
      <c r="E15" s="241">
        <v>89870</v>
      </c>
      <c r="F15" s="241"/>
      <c r="G15" s="241"/>
      <c r="H15" s="241">
        <v>2780</v>
      </c>
      <c r="I15" s="241"/>
      <c r="J15" s="241">
        <v>173300</v>
      </c>
      <c r="K15" s="241">
        <v>103990</v>
      </c>
      <c r="L15" s="241">
        <v>8800</v>
      </c>
      <c r="M15" s="241">
        <v>9000</v>
      </c>
      <c r="N15" s="241">
        <v>5500</v>
      </c>
      <c r="O15" s="241">
        <v>42900</v>
      </c>
      <c r="P15" s="241">
        <v>27150</v>
      </c>
      <c r="Q15" s="241">
        <v>12600</v>
      </c>
      <c r="R15" s="241"/>
      <c r="S15" s="241">
        <v>11000</v>
      </c>
      <c r="T15" s="241">
        <v>12500</v>
      </c>
      <c r="U15" s="241"/>
      <c r="V15" s="241">
        <v>89870</v>
      </c>
      <c r="W15" s="241"/>
      <c r="X15" s="241"/>
      <c r="Y15" s="241">
        <v>2780</v>
      </c>
      <c r="Z15" s="241"/>
      <c r="AA15" s="241">
        <v>173300</v>
      </c>
      <c r="AB15" s="241">
        <v>85300</v>
      </c>
      <c r="AC15" s="241">
        <v>8800</v>
      </c>
      <c r="AD15" s="241">
        <v>9000</v>
      </c>
      <c r="AE15" s="241">
        <v>4700</v>
      </c>
      <c r="AF15" s="241">
        <v>39300</v>
      </c>
      <c r="AG15" s="241">
        <v>27150</v>
      </c>
      <c r="AH15" s="241">
        <v>12600</v>
      </c>
      <c r="AI15" s="256"/>
    </row>
    <row r="16" spans="1:35" x14ac:dyDescent="0.25">
      <c r="A16" s="255">
        <v>43586</v>
      </c>
      <c r="B16" s="241"/>
      <c r="C16" s="241">
        <v>3630</v>
      </c>
      <c r="D16" s="241"/>
      <c r="E16" s="241">
        <v>36800</v>
      </c>
      <c r="F16" s="241"/>
      <c r="G16" s="241"/>
      <c r="H16" s="241"/>
      <c r="I16" s="241">
        <v>12800</v>
      </c>
      <c r="J16" s="241">
        <v>66530</v>
      </c>
      <c r="K16" s="241">
        <v>116500</v>
      </c>
      <c r="L16" s="241"/>
      <c r="M16" s="241"/>
      <c r="N16" s="241"/>
      <c r="O16" s="241">
        <v>10800</v>
      </c>
      <c r="P16" s="241">
        <v>24600</v>
      </c>
      <c r="Q16" s="241">
        <v>23300</v>
      </c>
      <c r="R16" s="241"/>
      <c r="S16" s="241"/>
      <c r="T16" s="241">
        <v>3630</v>
      </c>
      <c r="U16" s="241"/>
      <c r="V16" s="241">
        <v>36800</v>
      </c>
      <c r="W16" s="241"/>
      <c r="X16" s="241"/>
      <c r="Y16" s="241"/>
      <c r="Z16" s="241">
        <v>12800</v>
      </c>
      <c r="AA16" s="241">
        <v>66530</v>
      </c>
      <c r="AB16" s="241">
        <v>91300</v>
      </c>
      <c r="AC16" s="241"/>
      <c r="AD16" s="241"/>
      <c r="AE16" s="241"/>
      <c r="AF16" s="241">
        <v>10800</v>
      </c>
      <c r="AG16" s="241">
        <v>24600</v>
      </c>
      <c r="AH16" s="241">
        <v>23300</v>
      </c>
      <c r="AI16" s="256"/>
    </row>
    <row r="17" spans="1:35" x14ac:dyDescent="0.25">
      <c r="A17" s="255">
        <v>43678</v>
      </c>
      <c r="B17" s="241"/>
      <c r="C17" s="241"/>
      <c r="D17" s="241"/>
      <c r="E17" s="241">
        <v>97900</v>
      </c>
      <c r="F17" s="241"/>
      <c r="G17" s="241"/>
      <c r="H17" s="241">
        <v>21000</v>
      </c>
      <c r="I17" s="241"/>
      <c r="J17" s="241">
        <v>24950</v>
      </c>
      <c r="K17" s="241">
        <v>37200</v>
      </c>
      <c r="L17" s="241"/>
      <c r="M17" s="241">
        <v>17400</v>
      </c>
      <c r="N17" s="241"/>
      <c r="O17" s="241"/>
      <c r="P17" s="241">
        <v>13500</v>
      </c>
      <c r="Q17" s="241">
        <v>27300</v>
      </c>
      <c r="R17" s="241"/>
      <c r="S17" s="241"/>
      <c r="T17" s="241"/>
      <c r="U17" s="241"/>
      <c r="V17" s="241">
        <v>66850</v>
      </c>
      <c r="W17" s="241"/>
      <c r="X17" s="241"/>
      <c r="Y17" s="241">
        <v>21000</v>
      </c>
      <c r="Z17" s="241"/>
      <c r="AA17" s="241">
        <v>24950</v>
      </c>
      <c r="AB17" s="241">
        <v>37200</v>
      </c>
      <c r="AC17" s="241"/>
      <c r="AD17" s="241">
        <v>17400</v>
      </c>
      <c r="AE17" s="241"/>
      <c r="AF17" s="241"/>
      <c r="AG17" s="241">
        <v>13500</v>
      </c>
      <c r="AH17" s="241">
        <v>27300</v>
      </c>
      <c r="AI17" s="256"/>
    </row>
    <row r="18" spans="1:35" x14ac:dyDescent="0.25">
      <c r="A18" s="255">
        <v>43710</v>
      </c>
      <c r="B18" s="241">
        <v>11400</v>
      </c>
      <c r="C18" s="241"/>
      <c r="D18" s="241"/>
      <c r="E18" s="241">
        <v>31050</v>
      </c>
      <c r="F18" s="241"/>
      <c r="G18" s="241"/>
      <c r="H18" s="241">
        <v>8600</v>
      </c>
      <c r="I18" s="241">
        <v>6500</v>
      </c>
      <c r="J18" s="241">
        <v>17900</v>
      </c>
      <c r="K18" s="241">
        <v>64200</v>
      </c>
      <c r="L18" s="241"/>
      <c r="M18" s="241"/>
      <c r="N18" s="241">
        <v>800</v>
      </c>
      <c r="O18" s="241"/>
      <c r="P18" s="241">
        <v>38600</v>
      </c>
      <c r="Q18" s="241">
        <v>8760</v>
      </c>
      <c r="R18" s="241"/>
      <c r="S18" s="241">
        <v>11400</v>
      </c>
      <c r="T18" s="241"/>
      <c r="U18" s="241"/>
      <c r="V18" s="241">
        <v>31050</v>
      </c>
      <c r="W18" s="241"/>
      <c r="X18" s="241"/>
      <c r="Y18" s="241">
        <v>8600</v>
      </c>
      <c r="Z18" s="241">
        <v>6500</v>
      </c>
      <c r="AA18" s="241">
        <v>17900</v>
      </c>
      <c r="AB18" s="241">
        <v>64200</v>
      </c>
      <c r="AC18" s="241"/>
      <c r="AD18" s="241"/>
      <c r="AE18" s="241">
        <v>800</v>
      </c>
      <c r="AF18" s="241"/>
      <c r="AG18" s="241">
        <v>30200</v>
      </c>
      <c r="AH18" s="241">
        <v>8760</v>
      </c>
      <c r="AI18" s="256"/>
    </row>
    <row r="19" spans="1:35" x14ac:dyDescent="0.25">
      <c r="A19" s="255">
        <v>43739</v>
      </c>
      <c r="B19" s="241"/>
      <c r="C19" s="241">
        <v>3000</v>
      </c>
      <c r="D19" s="241"/>
      <c r="E19" s="241">
        <v>74020</v>
      </c>
      <c r="F19" s="241"/>
      <c r="G19" s="241"/>
      <c r="H19" s="241"/>
      <c r="I19" s="241"/>
      <c r="J19" s="241"/>
      <c r="K19" s="241">
        <v>51450</v>
      </c>
      <c r="L19" s="241"/>
      <c r="M19" s="241"/>
      <c r="N19" s="241"/>
      <c r="O19" s="241">
        <v>42000</v>
      </c>
      <c r="P19" s="241">
        <v>28800</v>
      </c>
      <c r="Q19" s="241">
        <v>4800</v>
      </c>
      <c r="R19" s="241"/>
      <c r="S19" s="241"/>
      <c r="T19" s="241">
        <v>3000</v>
      </c>
      <c r="U19" s="241"/>
      <c r="V19" s="241">
        <v>74020</v>
      </c>
      <c r="W19" s="241"/>
      <c r="X19" s="241"/>
      <c r="Y19" s="241"/>
      <c r="Z19" s="241"/>
      <c r="AA19" s="241"/>
      <c r="AB19" s="241">
        <v>51450</v>
      </c>
      <c r="AC19" s="241"/>
      <c r="AD19" s="241"/>
      <c r="AE19" s="241"/>
      <c r="AF19" s="241">
        <v>42000</v>
      </c>
      <c r="AG19" s="241">
        <v>28800</v>
      </c>
      <c r="AH19" s="241">
        <v>4800</v>
      </c>
      <c r="AI19" s="256"/>
    </row>
    <row r="20" spans="1:35" x14ac:dyDescent="0.25">
      <c r="A20" s="255">
        <v>43800</v>
      </c>
      <c r="B20" s="241">
        <v>21000</v>
      </c>
      <c r="C20" s="241">
        <v>15600</v>
      </c>
      <c r="D20" s="241"/>
      <c r="E20" s="241">
        <v>209960</v>
      </c>
      <c r="F20" s="241"/>
      <c r="G20" s="241"/>
      <c r="H20" s="241">
        <v>34800</v>
      </c>
      <c r="I20" s="241">
        <v>37800</v>
      </c>
      <c r="J20" s="241">
        <v>110050</v>
      </c>
      <c r="K20" s="241">
        <v>110030</v>
      </c>
      <c r="L20" s="241">
        <v>24000</v>
      </c>
      <c r="M20" s="241">
        <v>16500</v>
      </c>
      <c r="N20" s="241"/>
      <c r="O20" s="241">
        <v>7200</v>
      </c>
      <c r="P20" s="241">
        <v>55500</v>
      </c>
      <c r="Q20" s="241">
        <v>43400</v>
      </c>
      <c r="R20" s="241"/>
      <c r="S20" s="241">
        <v>4200</v>
      </c>
      <c r="T20" s="241">
        <v>12000</v>
      </c>
      <c r="U20" s="241"/>
      <c r="V20" s="241">
        <v>174260</v>
      </c>
      <c r="W20" s="241"/>
      <c r="X20" s="241"/>
      <c r="Y20" s="241">
        <v>34800</v>
      </c>
      <c r="Z20" s="241">
        <v>37800</v>
      </c>
      <c r="AA20" s="241">
        <v>73250</v>
      </c>
      <c r="AB20" s="241">
        <v>72630</v>
      </c>
      <c r="AC20" s="241">
        <v>24000</v>
      </c>
      <c r="AD20" s="241">
        <v>16500</v>
      </c>
      <c r="AE20" s="241"/>
      <c r="AF20" s="241">
        <v>0</v>
      </c>
      <c r="AG20" s="241">
        <v>48600</v>
      </c>
      <c r="AH20" s="241">
        <v>11000</v>
      </c>
      <c r="AI20" s="256"/>
    </row>
    <row r="21" spans="1:35" x14ac:dyDescent="0.25">
      <c r="A21" s="255">
        <v>43862</v>
      </c>
      <c r="B21" s="241">
        <v>38700</v>
      </c>
      <c r="C21" s="241"/>
      <c r="D21" s="241"/>
      <c r="E21" s="241">
        <v>59500</v>
      </c>
      <c r="F21" s="241"/>
      <c r="G21" s="241"/>
      <c r="H21" s="241">
        <v>22000</v>
      </c>
      <c r="I21" s="241">
        <v>11400</v>
      </c>
      <c r="J21" s="241">
        <v>55850</v>
      </c>
      <c r="K21" s="241">
        <v>100850</v>
      </c>
      <c r="L21" s="241">
        <v>45800</v>
      </c>
      <c r="M21" s="241"/>
      <c r="N21" s="241"/>
      <c r="O21" s="241">
        <v>33600</v>
      </c>
      <c r="P21" s="241">
        <v>102750</v>
      </c>
      <c r="Q21" s="241">
        <v>56100</v>
      </c>
      <c r="R21" s="241"/>
      <c r="S21" s="241">
        <v>38700</v>
      </c>
      <c r="T21" s="241"/>
      <c r="U21" s="241"/>
      <c r="V21" s="241">
        <v>59500</v>
      </c>
      <c r="W21" s="241"/>
      <c r="X21" s="241"/>
      <c r="Y21" s="241">
        <v>22000</v>
      </c>
      <c r="Z21" s="241">
        <v>11400</v>
      </c>
      <c r="AA21" s="241">
        <v>55850</v>
      </c>
      <c r="AB21" s="241">
        <v>97350</v>
      </c>
      <c r="AC21" s="241">
        <v>45800</v>
      </c>
      <c r="AD21" s="241"/>
      <c r="AE21" s="241"/>
      <c r="AF21" s="241">
        <v>33600</v>
      </c>
      <c r="AG21" s="241">
        <v>102750</v>
      </c>
      <c r="AH21" s="241">
        <v>56100</v>
      </c>
      <c r="AI21" s="256"/>
    </row>
    <row r="22" spans="1:35" x14ac:dyDescent="0.25">
      <c r="A22" s="255">
        <v>43891</v>
      </c>
      <c r="B22" s="241"/>
      <c r="C22" s="241">
        <v>13500</v>
      </c>
      <c r="D22" s="241"/>
      <c r="E22" s="241">
        <v>21000</v>
      </c>
      <c r="F22" s="241"/>
      <c r="G22" s="241"/>
      <c r="H22" s="241"/>
      <c r="I22" s="241"/>
      <c r="J22" s="241">
        <v>55500</v>
      </c>
      <c r="K22" s="241">
        <v>40900</v>
      </c>
      <c r="L22" s="241">
        <v>4200</v>
      </c>
      <c r="M22" s="241"/>
      <c r="N22" s="241"/>
      <c r="O22" s="241">
        <v>5600</v>
      </c>
      <c r="P22" s="241">
        <v>40500</v>
      </c>
      <c r="Q22" s="241">
        <v>12600</v>
      </c>
      <c r="R22" s="241"/>
      <c r="S22" s="241"/>
      <c r="T22" s="241">
        <v>0</v>
      </c>
      <c r="U22" s="241"/>
      <c r="V22" s="241">
        <v>21000</v>
      </c>
      <c r="W22" s="241"/>
      <c r="X22" s="241"/>
      <c r="Y22" s="241"/>
      <c r="Z22" s="241"/>
      <c r="AA22" s="241">
        <v>38700</v>
      </c>
      <c r="AB22" s="241">
        <v>40900</v>
      </c>
      <c r="AC22" s="241">
        <v>4200</v>
      </c>
      <c r="AD22" s="241"/>
      <c r="AE22" s="241"/>
      <c r="AF22" s="241">
        <v>5600</v>
      </c>
      <c r="AG22" s="241">
        <v>27900</v>
      </c>
      <c r="AH22" s="241">
        <v>12600</v>
      </c>
      <c r="AI22" s="256"/>
    </row>
    <row r="23" spans="1:35" x14ac:dyDescent="0.25">
      <c r="A23" s="255">
        <v>43983</v>
      </c>
      <c r="B23" s="241"/>
      <c r="C23" s="241">
        <v>13500</v>
      </c>
      <c r="D23" s="241"/>
      <c r="E23" s="241">
        <v>86000</v>
      </c>
      <c r="F23" s="241"/>
      <c r="G23" s="241"/>
      <c r="H23" s="241">
        <v>13500</v>
      </c>
      <c r="I23" s="241">
        <v>2300</v>
      </c>
      <c r="J23" s="241">
        <v>16800</v>
      </c>
      <c r="K23" s="241">
        <v>100450</v>
      </c>
      <c r="L23" s="241">
        <v>32700</v>
      </c>
      <c r="M23" s="241"/>
      <c r="N23" s="241">
        <v>27000</v>
      </c>
      <c r="O23" s="241">
        <v>34000</v>
      </c>
      <c r="P23" s="241">
        <v>128740</v>
      </c>
      <c r="Q23" s="241">
        <v>12600</v>
      </c>
      <c r="R23" s="241"/>
      <c r="S23" s="241"/>
      <c r="T23" s="241">
        <v>13500</v>
      </c>
      <c r="U23" s="241"/>
      <c r="V23" s="241">
        <v>86000</v>
      </c>
      <c r="W23" s="241"/>
      <c r="X23" s="241"/>
      <c r="Y23" s="241">
        <v>13500</v>
      </c>
      <c r="Z23" s="241">
        <v>2300</v>
      </c>
      <c r="AA23" s="241">
        <v>16800</v>
      </c>
      <c r="AB23" s="241">
        <v>96850</v>
      </c>
      <c r="AC23" s="241">
        <v>32700</v>
      </c>
      <c r="AD23" s="241"/>
      <c r="AE23" s="241">
        <v>27000</v>
      </c>
      <c r="AF23" s="241">
        <v>34000</v>
      </c>
      <c r="AG23" s="241">
        <v>128740</v>
      </c>
      <c r="AH23" s="241">
        <v>12600</v>
      </c>
      <c r="AI23" s="256"/>
    </row>
    <row r="24" spans="1:35" x14ac:dyDescent="0.25">
      <c r="A24" s="255">
        <v>44013</v>
      </c>
      <c r="B24" s="241"/>
      <c r="C24" s="241"/>
      <c r="D24" s="241"/>
      <c r="E24" s="241">
        <v>41300</v>
      </c>
      <c r="F24" s="241"/>
      <c r="G24" s="241"/>
      <c r="H24" s="241"/>
      <c r="I24" s="241">
        <v>8300</v>
      </c>
      <c r="J24" s="241">
        <v>48350</v>
      </c>
      <c r="K24" s="241">
        <v>36100</v>
      </c>
      <c r="L24" s="241"/>
      <c r="M24" s="241"/>
      <c r="N24" s="241"/>
      <c r="O24" s="241"/>
      <c r="P24" s="241">
        <v>48600</v>
      </c>
      <c r="Q24" s="241">
        <v>8400</v>
      </c>
      <c r="R24" s="241"/>
      <c r="S24" s="241"/>
      <c r="T24" s="241"/>
      <c r="U24" s="241"/>
      <c r="V24" s="241">
        <v>41300</v>
      </c>
      <c r="W24" s="241"/>
      <c r="X24" s="241"/>
      <c r="Y24" s="241"/>
      <c r="Z24" s="241">
        <v>8300</v>
      </c>
      <c r="AA24" s="241">
        <v>48350</v>
      </c>
      <c r="AB24" s="241">
        <v>36100</v>
      </c>
      <c r="AC24" s="241"/>
      <c r="AD24" s="241"/>
      <c r="AE24" s="241"/>
      <c r="AF24" s="241"/>
      <c r="AG24" s="241">
        <v>48600</v>
      </c>
      <c r="AH24" s="241">
        <v>8400</v>
      </c>
      <c r="AI24" s="256"/>
    </row>
    <row r="25" spans="1:35" x14ac:dyDescent="0.25">
      <c r="A25" s="255">
        <v>44075</v>
      </c>
      <c r="B25" s="241"/>
      <c r="C25" s="241"/>
      <c r="D25" s="241">
        <v>4200</v>
      </c>
      <c r="E25" s="241">
        <v>100400</v>
      </c>
      <c r="F25" s="241"/>
      <c r="G25" s="241"/>
      <c r="H25" s="241">
        <v>8400</v>
      </c>
      <c r="I25" s="241">
        <v>83600</v>
      </c>
      <c r="J25" s="241">
        <v>24000</v>
      </c>
      <c r="K25" s="241">
        <v>46900</v>
      </c>
      <c r="L25" s="241"/>
      <c r="M25" s="241"/>
      <c r="N25" s="241">
        <v>11200</v>
      </c>
      <c r="O25" s="241"/>
      <c r="P25" s="241">
        <v>14950</v>
      </c>
      <c r="Q25" s="241">
        <v>16800</v>
      </c>
      <c r="R25" s="241"/>
      <c r="S25" s="241"/>
      <c r="T25" s="241"/>
      <c r="U25" s="241">
        <v>4200</v>
      </c>
      <c r="V25" s="241">
        <v>100400</v>
      </c>
      <c r="W25" s="241"/>
      <c r="X25" s="241"/>
      <c r="Y25" s="241">
        <v>8400</v>
      </c>
      <c r="Z25" s="241">
        <v>71600</v>
      </c>
      <c r="AA25" s="241">
        <v>24000</v>
      </c>
      <c r="AB25" s="241">
        <v>46900</v>
      </c>
      <c r="AC25" s="241"/>
      <c r="AD25" s="241"/>
      <c r="AE25" s="241">
        <v>0</v>
      </c>
      <c r="AF25" s="241"/>
      <c r="AG25" s="241">
        <v>12600</v>
      </c>
      <c r="AH25" s="241">
        <v>16800</v>
      </c>
      <c r="AI25" s="256"/>
    </row>
    <row r="26" spans="1:35" x14ac:dyDescent="0.25">
      <c r="A26" s="255">
        <v>44105</v>
      </c>
      <c r="B26" s="241">
        <v>40800</v>
      </c>
      <c r="C26" s="241"/>
      <c r="D26" s="241"/>
      <c r="E26" s="241">
        <v>115200</v>
      </c>
      <c r="F26" s="241"/>
      <c r="G26" s="241"/>
      <c r="H26" s="241">
        <v>28000</v>
      </c>
      <c r="I26" s="241">
        <v>10300</v>
      </c>
      <c r="J26" s="241">
        <v>243150</v>
      </c>
      <c r="K26" s="241">
        <v>49200</v>
      </c>
      <c r="L26" s="241">
        <v>7500</v>
      </c>
      <c r="M26" s="241"/>
      <c r="N26" s="241">
        <v>22400</v>
      </c>
      <c r="O26" s="241">
        <v>76100</v>
      </c>
      <c r="P26" s="241">
        <v>176300</v>
      </c>
      <c r="Q26" s="241"/>
      <c r="R26" s="241"/>
      <c r="S26" s="241">
        <v>40800</v>
      </c>
      <c r="T26" s="241"/>
      <c r="U26" s="241"/>
      <c r="V26" s="241">
        <v>85800</v>
      </c>
      <c r="W26" s="241"/>
      <c r="X26" s="241"/>
      <c r="Y26" s="241">
        <v>28000</v>
      </c>
      <c r="Z26" s="241">
        <v>5600</v>
      </c>
      <c r="AA26" s="241">
        <v>234750</v>
      </c>
      <c r="AB26" s="241">
        <v>49200</v>
      </c>
      <c r="AC26" s="241">
        <v>7500</v>
      </c>
      <c r="AD26" s="241"/>
      <c r="AE26" s="241">
        <v>22400</v>
      </c>
      <c r="AF26" s="241">
        <v>76100</v>
      </c>
      <c r="AG26" s="241">
        <v>108500</v>
      </c>
      <c r="AH26" s="241"/>
      <c r="AI26" s="256"/>
    </row>
    <row r="27" spans="1:35" x14ac:dyDescent="0.25">
      <c r="A27" s="255">
        <v>44166</v>
      </c>
      <c r="B27" s="241">
        <v>12600</v>
      </c>
      <c r="C27" s="241"/>
      <c r="D27" s="241"/>
      <c r="E27" s="241">
        <v>82000</v>
      </c>
      <c r="F27" s="241"/>
      <c r="G27" s="241"/>
      <c r="H27" s="241">
        <v>8400</v>
      </c>
      <c r="I27" s="241">
        <v>31100</v>
      </c>
      <c r="J27" s="241">
        <v>113700</v>
      </c>
      <c r="K27" s="241">
        <v>137750</v>
      </c>
      <c r="L27" s="241">
        <v>35700</v>
      </c>
      <c r="M27" s="241"/>
      <c r="N27" s="241">
        <v>3600</v>
      </c>
      <c r="O27" s="241">
        <v>11300</v>
      </c>
      <c r="P27" s="241">
        <v>202700</v>
      </c>
      <c r="Q27" s="241">
        <v>18250</v>
      </c>
      <c r="R27" s="241"/>
      <c r="S27" s="241">
        <v>0</v>
      </c>
      <c r="T27" s="241"/>
      <c r="U27" s="241"/>
      <c r="V27" s="241">
        <v>40100</v>
      </c>
      <c r="W27" s="241"/>
      <c r="X27" s="241"/>
      <c r="Y27" s="241">
        <v>0</v>
      </c>
      <c r="Z27" s="241">
        <v>15600</v>
      </c>
      <c r="AA27" s="241">
        <v>84900</v>
      </c>
      <c r="AB27" s="241">
        <v>89000</v>
      </c>
      <c r="AC27" s="241">
        <v>5300</v>
      </c>
      <c r="AD27" s="241"/>
      <c r="AE27" s="241">
        <v>0</v>
      </c>
      <c r="AF27" s="241">
        <v>0</v>
      </c>
      <c r="AG27" s="241">
        <v>153600</v>
      </c>
      <c r="AH27" s="241">
        <v>11200</v>
      </c>
      <c r="AI27" s="256"/>
    </row>
    <row r="28" spans="1:35" x14ac:dyDescent="0.25">
      <c r="A28" s="255">
        <v>44228</v>
      </c>
      <c r="B28" s="241">
        <v>12600</v>
      </c>
      <c r="C28" s="241"/>
      <c r="D28" s="241"/>
      <c r="E28" s="241">
        <v>167650</v>
      </c>
      <c r="F28" s="241"/>
      <c r="G28" s="241"/>
      <c r="H28" s="241">
        <v>43900</v>
      </c>
      <c r="I28" s="241">
        <v>63400</v>
      </c>
      <c r="J28" s="241">
        <v>45800</v>
      </c>
      <c r="K28" s="241">
        <v>141450</v>
      </c>
      <c r="L28" s="241">
        <v>30400</v>
      </c>
      <c r="M28" s="241"/>
      <c r="N28" s="241">
        <v>7800</v>
      </c>
      <c r="O28" s="241">
        <v>11600</v>
      </c>
      <c r="P28" s="241">
        <v>173300</v>
      </c>
      <c r="Q28" s="241">
        <v>20900</v>
      </c>
      <c r="R28" s="241"/>
      <c r="S28" s="241">
        <v>12600</v>
      </c>
      <c r="T28" s="241"/>
      <c r="U28" s="241"/>
      <c r="V28" s="241">
        <v>165300</v>
      </c>
      <c r="W28" s="241"/>
      <c r="X28" s="241"/>
      <c r="Y28" s="241">
        <v>43900</v>
      </c>
      <c r="Z28" s="241">
        <v>63400</v>
      </c>
      <c r="AA28" s="241">
        <v>45800</v>
      </c>
      <c r="AB28" s="241">
        <v>116450</v>
      </c>
      <c r="AC28" s="241">
        <v>30400</v>
      </c>
      <c r="AD28" s="241"/>
      <c r="AE28" s="241">
        <v>7800</v>
      </c>
      <c r="AF28" s="241">
        <v>11600</v>
      </c>
      <c r="AG28" s="241">
        <v>173300</v>
      </c>
      <c r="AH28" s="241">
        <v>20900</v>
      </c>
      <c r="AI28" s="256"/>
    </row>
    <row r="29" spans="1:35" x14ac:dyDescent="0.25">
      <c r="A29" s="255">
        <v>44317</v>
      </c>
      <c r="B29" s="241">
        <v>20400</v>
      </c>
      <c r="C29" s="241">
        <v>24400</v>
      </c>
      <c r="D29" s="241"/>
      <c r="E29" s="241">
        <v>132960</v>
      </c>
      <c r="F29" s="241"/>
      <c r="G29" s="241"/>
      <c r="H29" s="241">
        <v>45880</v>
      </c>
      <c r="I29" s="241">
        <v>9300</v>
      </c>
      <c r="J29" s="241">
        <v>263150</v>
      </c>
      <c r="K29" s="241">
        <v>149500</v>
      </c>
      <c r="L29" s="241">
        <v>41800</v>
      </c>
      <c r="M29" s="241">
        <v>3450</v>
      </c>
      <c r="N29" s="241">
        <v>5700</v>
      </c>
      <c r="O29" s="241">
        <v>78400</v>
      </c>
      <c r="P29" s="241">
        <v>308850</v>
      </c>
      <c r="Q29" s="241">
        <v>77600</v>
      </c>
      <c r="R29" s="241"/>
      <c r="S29" s="241">
        <v>20400</v>
      </c>
      <c r="T29" s="241">
        <v>24400</v>
      </c>
      <c r="U29" s="241"/>
      <c r="V29" s="241">
        <v>123360</v>
      </c>
      <c r="W29" s="241"/>
      <c r="X29" s="241"/>
      <c r="Y29" s="241">
        <v>45880</v>
      </c>
      <c r="Z29" s="241">
        <v>9300</v>
      </c>
      <c r="AA29" s="241">
        <v>263150</v>
      </c>
      <c r="AB29" s="241">
        <v>121550</v>
      </c>
      <c r="AC29" s="241">
        <v>41800</v>
      </c>
      <c r="AD29" s="241">
        <v>3450</v>
      </c>
      <c r="AE29" s="241">
        <v>5700</v>
      </c>
      <c r="AF29" s="241">
        <v>78400</v>
      </c>
      <c r="AG29" s="241">
        <v>295400</v>
      </c>
      <c r="AH29" s="241">
        <v>77600</v>
      </c>
      <c r="AI29" s="256"/>
    </row>
    <row r="30" spans="1:35" x14ac:dyDescent="0.25">
      <c r="A30" s="255">
        <v>44440</v>
      </c>
      <c r="B30" s="241">
        <v>25200</v>
      </c>
      <c r="C30" s="241">
        <v>43600</v>
      </c>
      <c r="D30" s="241"/>
      <c r="E30" s="241">
        <v>230450</v>
      </c>
      <c r="F30" s="241">
        <v>3600</v>
      </c>
      <c r="G30" s="241"/>
      <c r="H30" s="241">
        <v>116700</v>
      </c>
      <c r="I30" s="241">
        <v>84500</v>
      </c>
      <c r="J30" s="241">
        <v>284850</v>
      </c>
      <c r="K30" s="241">
        <v>416790</v>
      </c>
      <c r="L30" s="241">
        <v>85600</v>
      </c>
      <c r="M30" s="241">
        <v>14400</v>
      </c>
      <c r="N30" s="241">
        <v>34900</v>
      </c>
      <c r="O30" s="241">
        <v>46100</v>
      </c>
      <c r="P30" s="241">
        <v>413150</v>
      </c>
      <c r="Q30" s="241">
        <v>24000</v>
      </c>
      <c r="R30" s="241"/>
      <c r="S30" s="241">
        <v>21000</v>
      </c>
      <c r="T30" s="241">
        <v>27000</v>
      </c>
      <c r="U30" s="241"/>
      <c r="V30" s="241">
        <v>170450</v>
      </c>
      <c r="W30" s="241">
        <v>3600</v>
      </c>
      <c r="X30" s="241"/>
      <c r="Y30" s="241">
        <v>82200</v>
      </c>
      <c r="Z30" s="241">
        <v>84500</v>
      </c>
      <c r="AA30" s="241">
        <v>265450</v>
      </c>
      <c r="AB30" s="241">
        <v>315290</v>
      </c>
      <c r="AC30" s="241">
        <v>80000</v>
      </c>
      <c r="AD30" s="241">
        <v>0</v>
      </c>
      <c r="AE30" s="241">
        <v>9800</v>
      </c>
      <c r="AF30" s="241">
        <v>33500</v>
      </c>
      <c r="AG30" s="241">
        <v>401150</v>
      </c>
      <c r="AH30" s="241">
        <v>0</v>
      </c>
      <c r="AI30" s="256"/>
    </row>
    <row r="31" spans="1:35" x14ac:dyDescent="0.25">
      <c r="A31" s="246" t="s">
        <v>78</v>
      </c>
      <c r="B31" s="248">
        <f>SUBTOTAL(109,Übersicht_Bundesland!$B$8:$B$30)</f>
        <v>618450</v>
      </c>
      <c r="C31" s="248">
        <f>SUBTOTAL(109,Übersicht_Bundesland!$C$8:$C$30)</f>
        <v>387200</v>
      </c>
      <c r="D31" s="248">
        <f>SUBTOTAL(109,Übersicht_Bundesland!$D$8:$D$30)</f>
        <v>4200</v>
      </c>
      <c r="E31" s="248">
        <f>SUBTOTAL(109,Übersicht_Bundesland!$E$8:$E$30)</f>
        <v>3285890</v>
      </c>
      <c r="F31" s="248">
        <f>SUBTOTAL(109,Übersicht_Bundesland!$F$8:$F$30)</f>
        <v>7000</v>
      </c>
      <c r="G31" s="248">
        <f>SUBTOTAL(109,Übersicht_Bundesland!$G$8:$G$30)</f>
        <v>0</v>
      </c>
      <c r="H31" s="248">
        <f>SUBTOTAL(109,Übersicht_Bundesland!$H$8:$H$30)</f>
        <v>1075840</v>
      </c>
      <c r="I31" s="248">
        <f>SUBTOTAL(109,Übersicht_Bundesland!$I$8:$I$30)</f>
        <v>1380080</v>
      </c>
      <c r="J31" s="248">
        <f>SUBTOTAL(109,Übersicht_Bundesland!$J$8:$J$30)</f>
        <v>3277916</v>
      </c>
      <c r="K31" s="248">
        <f>SUBTOTAL(109,Übersicht_Bundesland!$K$8:$K$30)</f>
        <v>3659245</v>
      </c>
      <c r="L31" s="248">
        <f>SUBTOTAL(109,Übersicht_Bundesland!$L$8:$L$30)</f>
        <v>1000410</v>
      </c>
      <c r="M31" s="248">
        <f>SUBTOTAL(109,Übersicht_Bundesland!$M$8:$M$30)</f>
        <v>91650</v>
      </c>
      <c r="N31" s="248">
        <f>SUBTOTAL(109,Übersicht_Bundesland!$N$8:$N$30)</f>
        <v>196400</v>
      </c>
      <c r="O31" s="248">
        <f>SUBTOTAL(109,Übersicht_Bundesland!$O$8:$O$30)</f>
        <v>796360</v>
      </c>
      <c r="P31" s="248">
        <f>SUBTOTAL(109,Übersicht_Bundesland!$P$8:$P$30)</f>
        <v>2730100</v>
      </c>
      <c r="Q31" s="248">
        <f>SUBTOTAL(109,Übersicht_Bundesland!$Q$8:$Q$30)</f>
        <v>753160</v>
      </c>
      <c r="R31" s="248">
        <f>SUBTOTAL(109,Übersicht_Bundesland!$R$8:$R$30)</f>
        <v>11850</v>
      </c>
      <c r="S31" s="248">
        <f>SUBTOTAL(109,Übersicht_Bundesland!$S$8:$S$30)</f>
        <v>317950</v>
      </c>
      <c r="T31" s="248">
        <f>SUBTOTAL(109,Übersicht_Bundesland!$T$8:$T$30)</f>
        <v>262180</v>
      </c>
      <c r="U31" s="248">
        <f>SUBTOTAL(109,Übersicht_Bundesland!$U$8:$U$30)</f>
        <v>4200</v>
      </c>
      <c r="V31" s="248">
        <f>SUBTOTAL(109,Übersicht_Bundesland!$V$8:$V$30)</f>
        <v>2575400</v>
      </c>
      <c r="W31" s="248">
        <f>SUBTOTAL(109,Übersicht_Bundesland!$W$8:$W$30)</f>
        <v>7000</v>
      </c>
      <c r="X31" s="248">
        <f>SUBTOTAL(109,Übersicht_Bundesland!$X$8:$X$30)</f>
        <v>0</v>
      </c>
      <c r="Y31" s="248">
        <f>SUBTOTAL(109,Übersicht_Bundesland!$Y$8:$Y$30)</f>
        <v>676320</v>
      </c>
      <c r="Z31" s="248">
        <f>SUBTOTAL(109,Übersicht_Bundesland!$Z$8:$Z$30)</f>
        <v>874750</v>
      </c>
      <c r="AA31" s="248">
        <f>SUBTOTAL(109,Übersicht_Bundesland!$AA$8:$AA$30)</f>
        <v>2293466</v>
      </c>
      <c r="AB31" s="248">
        <f>SUBTOTAL(109,Übersicht_Bundesland!$AB$8:$AB$30)</f>
        <v>2112995</v>
      </c>
      <c r="AC31" s="248">
        <f>SUBTOTAL(109,Übersicht_Bundesland!$AC$8:$AC$30)</f>
        <v>569400</v>
      </c>
      <c r="AD31" s="248">
        <f>SUBTOTAL(109,Übersicht_Bundesland!$AD$8:$AD$30)</f>
        <v>53250</v>
      </c>
      <c r="AE31" s="248">
        <f>SUBTOTAL(109,Übersicht_Bundesland!$AE$8:$AE$30)</f>
        <v>142900</v>
      </c>
      <c r="AF31" s="248">
        <f>SUBTOTAL(109,Übersicht_Bundesland!$AF$8:$AF$30)</f>
        <v>576680</v>
      </c>
      <c r="AG31" s="248">
        <f>SUBTOTAL(109,Übersicht_Bundesland!$AG$8:$AG$30)</f>
        <v>2018940</v>
      </c>
      <c r="AH31" s="248">
        <f>SUBTOTAL(109,Übersicht_Bundesland!$AH$8:$AH$30)</f>
        <v>510310</v>
      </c>
      <c r="AI31" s="257">
        <f>SUBTOTAL(109,Übersicht_Bundesland!$AI$8:$AI$30)</f>
        <v>0</v>
      </c>
    </row>
    <row r="34" spans="1:35" ht="15.75" x14ac:dyDescent="0.25">
      <c r="A34" s="229" t="s">
        <v>145</v>
      </c>
      <c r="B34" s="207"/>
      <c r="C34" s="182"/>
      <c r="D34" s="208"/>
      <c r="E34" s="182"/>
      <c r="F34" s="182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</row>
  </sheetData>
  <mergeCells count="4">
    <mergeCell ref="A1:J1"/>
    <mergeCell ref="A6:A7"/>
    <mergeCell ref="B6:R6"/>
    <mergeCell ref="S6:AI6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4">
    <tabColor rgb="FF0070C0"/>
  </sheetPr>
  <dimension ref="A1:AA107"/>
  <sheetViews>
    <sheetView showGridLines="0" zoomScale="70" zoomScaleNormal="70" workbookViewId="0">
      <selection activeCell="A2" sqref="A2:XFD2"/>
    </sheetView>
  </sheetViews>
  <sheetFormatPr defaultColWidth="11.42578125" defaultRowHeight="15" x14ac:dyDescent="0.25"/>
  <cols>
    <col min="1" max="1" width="15.28515625" style="180" customWidth="1"/>
    <col min="2" max="27" width="18.28515625" style="180" customWidth="1"/>
    <col min="28" max="16384" width="11.42578125" style="180"/>
  </cols>
  <sheetData>
    <row r="1" spans="1:27" ht="43.5" customHeight="1" x14ac:dyDescent="0.25">
      <c r="A1" s="324" t="s">
        <v>153</v>
      </c>
      <c r="B1" s="324"/>
      <c r="C1" s="324"/>
      <c r="D1" s="324"/>
      <c r="E1" s="324"/>
      <c r="F1" s="324"/>
      <c r="G1" s="324"/>
      <c r="H1" s="324"/>
      <c r="I1" s="324"/>
      <c r="K1" s="220"/>
      <c r="L1" s="222" t="s">
        <v>130</v>
      </c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</row>
    <row r="2" spans="1:27" s="221" customFormat="1" ht="15" customHeight="1" x14ac:dyDescent="0.25">
      <c r="A2" s="223" t="s">
        <v>131</v>
      </c>
      <c r="B2" s="219"/>
      <c r="C2" s="219"/>
      <c r="D2" s="219"/>
      <c r="E2" s="219"/>
      <c r="F2" s="219"/>
      <c r="H2" s="224"/>
      <c r="J2" s="225"/>
    </row>
    <row r="3" spans="1:27" x14ac:dyDescent="0.25">
      <c r="A3" s="226"/>
    </row>
    <row r="4" spans="1:27" x14ac:dyDescent="0.25">
      <c r="A4" s="226"/>
    </row>
    <row r="5" spans="1:27" ht="15.75" thickBot="1" x14ac:dyDescent="0.3"/>
    <row r="6" spans="1:27" ht="15.75" customHeight="1" thickBot="1" x14ac:dyDescent="0.3">
      <c r="A6" s="325" t="s">
        <v>121</v>
      </c>
      <c r="B6" s="327" t="s">
        <v>18</v>
      </c>
      <c r="C6" s="329"/>
      <c r="D6" s="327" t="s">
        <v>148</v>
      </c>
      <c r="E6" s="329"/>
    </row>
    <row r="7" spans="1:27" x14ac:dyDescent="0.25">
      <c r="A7" s="330"/>
      <c r="B7" s="261" t="s">
        <v>24</v>
      </c>
      <c r="C7" s="261" t="s">
        <v>84</v>
      </c>
      <c r="D7" s="261" t="s">
        <v>24</v>
      </c>
      <c r="E7" s="261" t="s">
        <v>84</v>
      </c>
    </row>
    <row r="8" spans="1:27" x14ac:dyDescent="0.25">
      <c r="A8" s="255">
        <v>42856</v>
      </c>
      <c r="B8" s="241">
        <v>1523260</v>
      </c>
      <c r="C8" s="241">
        <v>613470</v>
      </c>
      <c r="D8" s="241">
        <v>775860</v>
      </c>
      <c r="E8" s="256">
        <v>30800</v>
      </c>
    </row>
    <row r="9" spans="1:27" x14ac:dyDescent="0.25">
      <c r="A9" s="255">
        <v>42948</v>
      </c>
      <c r="B9" s="241">
        <v>2460850</v>
      </c>
      <c r="C9" s="241">
        <v>466090</v>
      </c>
      <c r="D9" s="241">
        <v>966090</v>
      </c>
      <c r="E9" s="256">
        <v>54600</v>
      </c>
    </row>
    <row r="10" spans="1:27" x14ac:dyDescent="0.25">
      <c r="A10" s="255">
        <v>43040</v>
      </c>
      <c r="B10" s="241">
        <v>2307220</v>
      </c>
      <c r="C10" s="241">
        <v>283625</v>
      </c>
      <c r="D10" s="241">
        <v>1003450</v>
      </c>
      <c r="E10" s="256">
        <v>7425</v>
      </c>
    </row>
    <row r="11" spans="1:27" x14ac:dyDescent="0.25">
      <c r="A11" s="255">
        <v>43132</v>
      </c>
      <c r="B11" s="241">
        <v>193650</v>
      </c>
      <c r="C11" s="241">
        <v>795656</v>
      </c>
      <c r="D11" s="241">
        <v>155250</v>
      </c>
      <c r="E11" s="256">
        <v>553676</v>
      </c>
    </row>
    <row r="12" spans="1:27" x14ac:dyDescent="0.25">
      <c r="A12" s="255">
        <v>43221</v>
      </c>
      <c r="B12" s="241">
        <v>113400</v>
      </c>
      <c r="C12" s="241">
        <v>490740</v>
      </c>
      <c r="D12" s="241">
        <v>113400</v>
      </c>
      <c r="E12" s="256">
        <v>490740</v>
      </c>
    </row>
    <row r="13" spans="1:27" x14ac:dyDescent="0.25">
      <c r="A13" s="255">
        <v>43313</v>
      </c>
      <c r="B13" s="241">
        <v>43000</v>
      </c>
      <c r="C13" s="241">
        <v>665600</v>
      </c>
      <c r="D13" s="241">
        <v>43000</v>
      </c>
      <c r="E13" s="256">
        <v>623450</v>
      </c>
    </row>
    <row r="14" spans="1:27" x14ac:dyDescent="0.25">
      <c r="A14" s="255">
        <v>43374</v>
      </c>
      <c r="B14" s="241">
        <v>58200</v>
      </c>
      <c r="C14" s="241">
        <v>330150</v>
      </c>
      <c r="D14" s="241">
        <v>58200</v>
      </c>
      <c r="E14" s="256">
        <v>305000</v>
      </c>
    </row>
    <row r="15" spans="1:27" x14ac:dyDescent="0.25">
      <c r="A15" s="255">
        <v>43497</v>
      </c>
      <c r="B15" s="241">
        <v>91820</v>
      </c>
      <c r="C15" s="241">
        <v>407570</v>
      </c>
      <c r="D15" s="241">
        <v>91820</v>
      </c>
      <c r="E15" s="256">
        <v>384480</v>
      </c>
    </row>
    <row r="16" spans="1:27" x14ac:dyDescent="0.25">
      <c r="A16" s="255">
        <v>43586</v>
      </c>
      <c r="B16" s="241">
        <v>11600</v>
      </c>
      <c r="C16" s="241">
        <v>283360</v>
      </c>
      <c r="D16" s="241">
        <v>11600</v>
      </c>
      <c r="E16" s="256">
        <v>258160</v>
      </c>
    </row>
    <row r="17" spans="1:5" x14ac:dyDescent="0.25">
      <c r="A17" s="255">
        <v>43678</v>
      </c>
      <c r="B17" s="241"/>
      <c r="C17" s="241">
        <v>239250</v>
      </c>
      <c r="D17" s="241"/>
      <c r="E17" s="256">
        <v>208200</v>
      </c>
    </row>
    <row r="18" spans="1:5" x14ac:dyDescent="0.25">
      <c r="A18" s="255">
        <v>43710</v>
      </c>
      <c r="B18" s="241">
        <v>5300</v>
      </c>
      <c r="C18" s="241">
        <v>182510</v>
      </c>
      <c r="D18" s="241">
        <v>5300</v>
      </c>
      <c r="E18" s="256">
        <v>174110</v>
      </c>
    </row>
    <row r="19" spans="1:5" x14ac:dyDescent="0.25">
      <c r="A19" s="255">
        <v>43739</v>
      </c>
      <c r="B19" s="241">
        <v>5300</v>
      </c>
      <c r="C19" s="241">
        <v>198770</v>
      </c>
      <c r="D19" s="241">
        <v>5300</v>
      </c>
      <c r="E19" s="256">
        <v>198770</v>
      </c>
    </row>
    <row r="20" spans="1:5" x14ac:dyDescent="0.25">
      <c r="A20" s="255">
        <v>43800</v>
      </c>
      <c r="B20" s="241">
        <v>60010</v>
      </c>
      <c r="C20" s="241">
        <v>625830</v>
      </c>
      <c r="D20" s="241">
        <v>60010</v>
      </c>
      <c r="E20" s="256">
        <v>449030</v>
      </c>
    </row>
    <row r="21" spans="1:5" x14ac:dyDescent="0.25">
      <c r="A21" s="255">
        <v>43862</v>
      </c>
      <c r="B21" s="241">
        <v>5300</v>
      </c>
      <c r="C21" s="241">
        <v>521250</v>
      </c>
      <c r="D21" s="241">
        <v>5300</v>
      </c>
      <c r="E21" s="256">
        <v>517750</v>
      </c>
    </row>
    <row r="22" spans="1:5" x14ac:dyDescent="0.25">
      <c r="A22" s="255">
        <v>43891</v>
      </c>
      <c r="B22" s="241">
        <v>19800</v>
      </c>
      <c r="C22" s="241">
        <v>174000</v>
      </c>
      <c r="D22" s="241">
        <v>15600</v>
      </c>
      <c r="E22" s="256">
        <v>135300</v>
      </c>
    </row>
    <row r="23" spans="1:5" x14ac:dyDescent="0.25">
      <c r="A23" s="255">
        <v>43983</v>
      </c>
      <c r="B23" s="241">
        <v>43140</v>
      </c>
      <c r="C23" s="241">
        <v>424450</v>
      </c>
      <c r="D23" s="241">
        <v>43140</v>
      </c>
      <c r="E23" s="256">
        <v>420850</v>
      </c>
    </row>
    <row r="24" spans="1:5" x14ac:dyDescent="0.25">
      <c r="A24" s="255">
        <v>44013</v>
      </c>
      <c r="B24" s="241">
        <v>40100</v>
      </c>
      <c r="C24" s="241">
        <v>150950</v>
      </c>
      <c r="D24" s="241">
        <v>40100</v>
      </c>
      <c r="E24" s="256">
        <v>150950</v>
      </c>
    </row>
    <row r="25" spans="1:5" x14ac:dyDescent="0.25">
      <c r="A25" s="255">
        <v>44075</v>
      </c>
      <c r="B25" s="241">
        <v>11000</v>
      </c>
      <c r="C25" s="241">
        <v>299450</v>
      </c>
      <c r="D25" s="241">
        <v>11000</v>
      </c>
      <c r="E25" s="256">
        <v>273900</v>
      </c>
    </row>
    <row r="26" spans="1:5" x14ac:dyDescent="0.25">
      <c r="A26" s="255">
        <v>44105</v>
      </c>
      <c r="B26" s="241">
        <v>18600</v>
      </c>
      <c r="C26" s="241">
        <v>750350</v>
      </c>
      <c r="D26" s="241">
        <v>4200</v>
      </c>
      <c r="E26" s="256">
        <v>654450</v>
      </c>
    </row>
    <row r="27" spans="1:5" x14ac:dyDescent="0.25">
      <c r="A27" s="255">
        <v>44166</v>
      </c>
      <c r="B27" s="241">
        <v>3600</v>
      </c>
      <c r="C27" s="241">
        <v>653500</v>
      </c>
      <c r="D27" s="241">
        <v>3600</v>
      </c>
      <c r="E27" s="256">
        <v>396100</v>
      </c>
    </row>
    <row r="28" spans="1:5" x14ac:dyDescent="0.25">
      <c r="A28" s="255">
        <v>44228</v>
      </c>
      <c r="B28" s="241"/>
      <c r="C28" s="241">
        <v>718800</v>
      </c>
      <c r="D28" s="241"/>
      <c r="E28" s="256">
        <v>691450</v>
      </c>
    </row>
    <row r="29" spans="1:5" x14ac:dyDescent="0.25">
      <c r="A29" s="255">
        <v>44317</v>
      </c>
      <c r="B29" s="241">
        <v>72600</v>
      </c>
      <c r="C29" s="241">
        <v>1088790</v>
      </c>
      <c r="D29" s="241">
        <v>72600</v>
      </c>
      <c r="E29" s="256">
        <v>1037790</v>
      </c>
    </row>
    <row r="30" spans="1:5" x14ac:dyDescent="0.25">
      <c r="A30" s="255">
        <v>44440</v>
      </c>
      <c r="B30" s="241">
        <v>87900</v>
      </c>
      <c r="C30" s="241">
        <v>1735940</v>
      </c>
      <c r="D30" s="241">
        <v>87900</v>
      </c>
      <c r="E30" s="256">
        <v>1406040</v>
      </c>
    </row>
    <row r="31" spans="1:5" x14ac:dyDescent="0.25">
      <c r="A31" s="246" t="s">
        <v>78</v>
      </c>
      <c r="B31" s="248">
        <f>SUBTOTAL(109,Übersicht_Bietertyp!$B$8:$B$30)</f>
        <v>7175650</v>
      </c>
      <c r="C31" s="248">
        <f>SUBTOTAL(109,Übersicht_Bietertyp!$C$8:$C$30)</f>
        <v>12100101</v>
      </c>
      <c r="D31" s="248">
        <f>SUBTOTAL(109,Übersicht_Bietertyp!$D$8:$D$30)</f>
        <v>3572720</v>
      </c>
      <c r="E31" s="257">
        <f>SUBTOTAL(109,Übersicht_Bietertyp!$E$8:$E$30)</f>
        <v>9423021</v>
      </c>
    </row>
    <row r="32" spans="1:5" x14ac:dyDescent="0.25">
      <c r="A32" s="262"/>
      <c r="B32" s="262"/>
      <c r="C32" s="262"/>
      <c r="D32" s="262"/>
      <c r="E32" s="262"/>
    </row>
    <row r="33" spans="1:5" x14ac:dyDescent="0.25">
      <c r="A33" s="262"/>
      <c r="B33" s="262"/>
      <c r="C33" s="262"/>
      <c r="D33" s="262"/>
      <c r="E33" s="262"/>
    </row>
    <row r="34" spans="1:5" ht="15.75" x14ac:dyDescent="0.25">
      <c r="A34" s="229" t="s">
        <v>145</v>
      </c>
      <c r="B34" s="207"/>
      <c r="C34" s="182"/>
      <c r="D34" s="182"/>
      <c r="E34" s="182"/>
    </row>
    <row r="65" spans="1:27" x14ac:dyDescent="0.25">
      <c r="F65" s="260"/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0"/>
      <c r="S65" s="260"/>
      <c r="T65" s="260"/>
      <c r="U65" s="260"/>
      <c r="V65" s="260"/>
      <c r="W65" s="260"/>
      <c r="X65" s="260"/>
      <c r="Y65" s="260"/>
      <c r="Z65" s="260"/>
      <c r="AA65" s="260"/>
    </row>
    <row r="66" spans="1:27" x14ac:dyDescent="0.25">
      <c r="A66" s="260"/>
      <c r="B66" s="260"/>
      <c r="C66" s="260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</row>
    <row r="67" spans="1:27" x14ac:dyDescent="0.25">
      <c r="A67" s="260"/>
      <c r="B67" s="260"/>
      <c r="C67" s="260"/>
      <c r="D67" s="260"/>
      <c r="E67" s="260"/>
      <c r="F67" s="260"/>
      <c r="G67" s="260"/>
      <c r="H67" s="260"/>
      <c r="I67" s="260"/>
      <c r="J67" s="260"/>
      <c r="K67" s="260"/>
      <c r="L67" s="260"/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0"/>
    </row>
    <row r="68" spans="1:27" x14ac:dyDescent="0.25">
      <c r="A68" s="260"/>
      <c r="B68" s="260"/>
      <c r="C68" s="260"/>
      <c r="D68" s="260"/>
      <c r="E68" s="260"/>
      <c r="F68" s="260"/>
      <c r="G68" s="260"/>
      <c r="H68" s="260"/>
      <c r="I68" s="260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</row>
    <row r="69" spans="1:27" x14ac:dyDescent="0.25">
      <c r="A69" s="260"/>
      <c r="B69" s="260"/>
      <c r="C69" s="260"/>
      <c r="D69" s="260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</row>
    <row r="70" spans="1:27" x14ac:dyDescent="0.25">
      <c r="A70" s="260"/>
      <c r="B70" s="260"/>
      <c r="C70" s="260"/>
      <c r="D70" s="260"/>
      <c r="E70" s="260"/>
      <c r="F70" s="260"/>
      <c r="G70" s="260"/>
      <c r="H70" s="260"/>
      <c r="I70" s="260"/>
      <c r="J70" s="260"/>
      <c r="K70" s="260"/>
      <c r="L70" s="260"/>
      <c r="M70" s="260"/>
      <c r="N70" s="260"/>
      <c r="O70" s="260"/>
      <c r="P70" s="260"/>
      <c r="Q70" s="260"/>
      <c r="R70" s="260"/>
      <c r="S70" s="260"/>
      <c r="T70" s="260"/>
      <c r="U70" s="260"/>
      <c r="V70" s="260"/>
      <c r="W70" s="260"/>
      <c r="X70" s="260"/>
      <c r="Y70" s="260"/>
      <c r="Z70" s="260"/>
      <c r="AA70" s="260"/>
    </row>
    <row r="71" spans="1:27" x14ac:dyDescent="0.25">
      <c r="A71" s="260"/>
      <c r="B71" s="260"/>
      <c r="C71" s="260"/>
      <c r="D71" s="260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</row>
    <row r="72" spans="1:27" x14ac:dyDescent="0.25">
      <c r="A72" s="260"/>
      <c r="B72" s="260"/>
      <c r="C72" s="260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</row>
    <row r="73" spans="1:27" x14ac:dyDescent="0.25">
      <c r="A73" s="260"/>
      <c r="B73" s="260"/>
      <c r="C73" s="260"/>
      <c r="D73" s="260"/>
      <c r="E73" s="260"/>
      <c r="F73" s="260"/>
      <c r="G73" s="260"/>
      <c r="H73" s="260"/>
      <c r="I73" s="260"/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</row>
    <row r="74" spans="1:27" x14ac:dyDescent="0.25">
      <c r="A74" s="260"/>
      <c r="B74" s="260"/>
      <c r="C74" s="260"/>
      <c r="D74" s="260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</row>
    <row r="75" spans="1:27" x14ac:dyDescent="0.25">
      <c r="A75" s="260"/>
      <c r="B75" s="260"/>
      <c r="C75" s="260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</row>
    <row r="76" spans="1:27" x14ac:dyDescent="0.25">
      <c r="A76" s="260"/>
      <c r="B76" s="260"/>
      <c r="C76" s="260"/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</row>
    <row r="77" spans="1:27" x14ac:dyDescent="0.25">
      <c r="A77" s="260"/>
      <c r="B77" s="260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0"/>
    </row>
    <row r="78" spans="1:27" x14ac:dyDescent="0.25">
      <c r="A78" s="260"/>
      <c r="B78" s="260"/>
      <c r="C78" s="260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</row>
    <row r="79" spans="1:27" x14ac:dyDescent="0.25">
      <c r="A79" s="260"/>
      <c r="B79" s="260"/>
      <c r="C79" s="260"/>
      <c r="D79" s="260"/>
      <c r="E79" s="260"/>
      <c r="F79" s="260"/>
      <c r="G79" s="260"/>
      <c r="H79" s="260"/>
      <c r="I79" s="260"/>
      <c r="J79" s="260"/>
      <c r="K79" s="260"/>
      <c r="L79" s="260"/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0"/>
      <c r="X79" s="260"/>
      <c r="Y79" s="260"/>
      <c r="Z79" s="260"/>
      <c r="AA79" s="260"/>
    </row>
    <row r="80" spans="1:27" x14ac:dyDescent="0.25">
      <c r="A80" s="260"/>
      <c r="B80" s="260"/>
      <c r="C80" s="260"/>
      <c r="D80" s="260"/>
      <c r="E80" s="260"/>
      <c r="F80" s="260"/>
      <c r="G80" s="260"/>
      <c r="H80" s="260"/>
      <c r="I80" s="260"/>
      <c r="J80" s="260"/>
      <c r="K80" s="260"/>
      <c r="L80" s="260"/>
      <c r="M80" s="260"/>
      <c r="N80" s="260"/>
      <c r="O80" s="260"/>
      <c r="P80" s="260"/>
      <c r="Q80" s="260"/>
      <c r="R80" s="260"/>
      <c r="S80" s="260"/>
      <c r="T80" s="260"/>
      <c r="U80" s="260"/>
      <c r="V80" s="260"/>
      <c r="W80" s="260"/>
      <c r="X80" s="260"/>
      <c r="Y80" s="260"/>
      <c r="Z80" s="260"/>
      <c r="AA80" s="260"/>
    </row>
    <row r="81" spans="1:27" x14ac:dyDescent="0.25">
      <c r="A81" s="260"/>
      <c r="B81" s="260"/>
      <c r="C81" s="260"/>
      <c r="D81" s="260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</row>
    <row r="82" spans="1:27" x14ac:dyDescent="0.25">
      <c r="A82" s="260"/>
      <c r="B82" s="260"/>
      <c r="C82" s="260"/>
      <c r="D82" s="260"/>
      <c r="E82" s="260"/>
      <c r="F82" s="260"/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0"/>
      <c r="X82" s="260"/>
      <c r="Y82" s="260"/>
      <c r="Z82" s="260"/>
      <c r="AA82" s="260"/>
    </row>
    <row r="83" spans="1:27" x14ac:dyDescent="0.25">
      <c r="A83" s="260"/>
      <c r="B83" s="260"/>
      <c r="C83" s="260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</row>
    <row r="84" spans="1:27" x14ac:dyDescent="0.25">
      <c r="A84" s="260"/>
      <c r="B84" s="260"/>
      <c r="C84" s="260"/>
      <c r="D84" s="260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</row>
    <row r="85" spans="1:27" x14ac:dyDescent="0.25">
      <c r="A85" s="260"/>
      <c r="B85" s="260"/>
      <c r="C85" s="260"/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0"/>
      <c r="Q85" s="260"/>
      <c r="R85" s="260"/>
      <c r="S85" s="260"/>
      <c r="T85" s="260"/>
      <c r="U85" s="260"/>
      <c r="V85" s="260"/>
      <c r="W85" s="260"/>
      <c r="X85" s="260"/>
      <c r="Y85" s="260"/>
      <c r="Z85" s="260"/>
      <c r="AA85" s="260"/>
    </row>
    <row r="86" spans="1:27" x14ac:dyDescent="0.25">
      <c r="A86" s="260"/>
      <c r="B86" s="260"/>
      <c r="C86" s="260"/>
      <c r="D86" s="260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</row>
    <row r="87" spans="1:27" x14ac:dyDescent="0.25">
      <c r="A87" s="260"/>
      <c r="B87" s="260"/>
      <c r="C87" s="260"/>
      <c r="D87" s="260"/>
      <c r="E87" s="260"/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</row>
    <row r="88" spans="1:27" x14ac:dyDescent="0.25">
      <c r="A88" s="260"/>
      <c r="B88" s="260"/>
      <c r="C88" s="260"/>
      <c r="D88" s="260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</row>
    <row r="89" spans="1:27" x14ac:dyDescent="0.25">
      <c r="A89" s="260"/>
      <c r="B89" s="260"/>
      <c r="C89" s="260"/>
      <c r="D89" s="260"/>
      <c r="E89" s="260"/>
      <c r="F89" s="260"/>
      <c r="G89" s="260"/>
      <c r="H89" s="260"/>
      <c r="I89" s="260"/>
      <c r="J89" s="260"/>
      <c r="K89" s="260"/>
      <c r="L89" s="260"/>
      <c r="M89" s="260"/>
      <c r="N89" s="260"/>
      <c r="O89" s="260"/>
      <c r="P89" s="260"/>
      <c r="Q89" s="260"/>
      <c r="R89" s="260"/>
      <c r="S89" s="260"/>
      <c r="T89" s="260"/>
      <c r="U89" s="260"/>
      <c r="V89" s="260"/>
      <c r="W89" s="260"/>
      <c r="X89" s="260"/>
      <c r="Y89" s="260"/>
      <c r="Z89" s="260"/>
      <c r="AA89" s="260"/>
    </row>
    <row r="90" spans="1:27" x14ac:dyDescent="0.25">
      <c r="A90" s="260"/>
      <c r="B90" s="260"/>
      <c r="C90" s="260"/>
      <c r="D90" s="260"/>
      <c r="E90" s="260"/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</row>
    <row r="91" spans="1:27" x14ac:dyDescent="0.25">
      <c r="A91" s="260"/>
      <c r="B91" s="260"/>
      <c r="C91" s="260"/>
      <c r="D91" s="260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</row>
    <row r="92" spans="1:27" x14ac:dyDescent="0.25">
      <c r="A92" s="260"/>
      <c r="B92" s="260"/>
      <c r="C92" s="260"/>
      <c r="D92" s="260"/>
      <c r="E92" s="260"/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</row>
    <row r="93" spans="1:27" x14ac:dyDescent="0.25">
      <c r="A93" s="260"/>
      <c r="B93" s="260"/>
      <c r="C93" s="260"/>
      <c r="D93" s="260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</row>
    <row r="94" spans="1:27" x14ac:dyDescent="0.25">
      <c r="A94" s="260"/>
      <c r="B94" s="260"/>
      <c r="C94" s="260"/>
      <c r="D94" s="260"/>
      <c r="E94" s="260"/>
      <c r="F94" s="260"/>
      <c r="G94" s="260"/>
      <c r="H94" s="260"/>
      <c r="I94" s="260"/>
      <c r="J94" s="260"/>
      <c r="K94" s="260"/>
      <c r="L94" s="260"/>
      <c r="M94" s="260"/>
      <c r="N94" s="260"/>
      <c r="O94" s="260"/>
      <c r="P94" s="260"/>
      <c r="Q94" s="260"/>
      <c r="R94" s="260"/>
      <c r="S94" s="260"/>
      <c r="T94" s="260"/>
      <c r="U94" s="260"/>
      <c r="V94" s="260"/>
      <c r="W94" s="260"/>
      <c r="X94" s="260"/>
      <c r="Y94" s="260"/>
      <c r="Z94" s="260"/>
      <c r="AA94" s="260"/>
    </row>
    <row r="95" spans="1:27" x14ac:dyDescent="0.25">
      <c r="A95" s="260"/>
      <c r="B95" s="260"/>
      <c r="C95" s="260"/>
      <c r="D95" s="260"/>
      <c r="E95" s="260"/>
      <c r="F95" s="260"/>
      <c r="G95" s="260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0"/>
    </row>
    <row r="96" spans="1:27" x14ac:dyDescent="0.25">
      <c r="A96" s="260"/>
      <c r="B96" s="260"/>
      <c r="C96" s="260"/>
      <c r="D96" s="260"/>
      <c r="E96" s="260"/>
      <c r="F96" s="260"/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</row>
    <row r="97" spans="1:27" x14ac:dyDescent="0.25">
      <c r="A97" s="260"/>
      <c r="B97" s="260"/>
      <c r="C97" s="260"/>
      <c r="D97" s="260"/>
      <c r="E97" s="260"/>
      <c r="F97" s="260"/>
      <c r="G97" s="260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60"/>
      <c r="S97" s="260"/>
      <c r="T97" s="260"/>
      <c r="U97" s="260"/>
      <c r="V97" s="260"/>
      <c r="W97" s="260"/>
      <c r="X97" s="260"/>
      <c r="Y97" s="260"/>
      <c r="Z97" s="260"/>
      <c r="AA97" s="260"/>
    </row>
    <row r="98" spans="1:27" x14ac:dyDescent="0.25">
      <c r="A98" s="260"/>
      <c r="B98" s="260"/>
      <c r="C98" s="260"/>
      <c r="D98" s="260"/>
      <c r="E98" s="260"/>
      <c r="F98" s="260"/>
      <c r="G98" s="260"/>
      <c r="H98" s="260"/>
      <c r="I98" s="260"/>
      <c r="J98" s="260"/>
      <c r="K98" s="260"/>
      <c r="L98" s="260"/>
      <c r="M98" s="260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</row>
    <row r="99" spans="1:27" x14ac:dyDescent="0.25">
      <c r="A99" s="260"/>
      <c r="B99" s="260"/>
      <c r="C99" s="260"/>
      <c r="D99" s="260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</row>
    <row r="100" spans="1:27" x14ac:dyDescent="0.25">
      <c r="A100" s="260"/>
      <c r="B100" s="260"/>
      <c r="C100" s="260"/>
      <c r="D100" s="260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</row>
    <row r="101" spans="1:27" x14ac:dyDescent="0.25">
      <c r="A101" s="260"/>
      <c r="B101" s="260"/>
      <c r="C101" s="260"/>
      <c r="D101" s="260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</row>
    <row r="102" spans="1:27" x14ac:dyDescent="0.25">
      <c r="A102" s="260"/>
      <c r="B102" s="260"/>
      <c r="C102" s="260"/>
      <c r="D102" s="260"/>
      <c r="E102" s="260"/>
      <c r="F102" s="260"/>
      <c r="G102" s="260"/>
      <c r="H102" s="260"/>
      <c r="I102" s="260"/>
      <c r="J102" s="260"/>
      <c r="K102" s="260"/>
      <c r="L102" s="260"/>
      <c r="M102" s="260"/>
      <c r="N102" s="260"/>
      <c r="O102" s="260"/>
      <c r="P102" s="260"/>
      <c r="Q102" s="260"/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</row>
    <row r="103" spans="1:27" x14ac:dyDescent="0.25">
      <c r="A103" s="260"/>
      <c r="B103" s="260"/>
      <c r="C103" s="260"/>
      <c r="D103" s="260"/>
      <c r="E103" s="260"/>
      <c r="F103" s="260"/>
      <c r="G103" s="260"/>
      <c r="H103" s="260"/>
      <c r="I103" s="260"/>
      <c r="J103" s="260"/>
      <c r="K103" s="260"/>
      <c r="L103" s="260"/>
      <c r="M103" s="260"/>
      <c r="N103" s="260"/>
      <c r="O103" s="260"/>
      <c r="P103" s="260"/>
      <c r="Q103" s="260"/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</row>
    <row r="104" spans="1:27" x14ac:dyDescent="0.25">
      <c r="A104" s="260"/>
      <c r="B104" s="260"/>
      <c r="C104" s="260"/>
      <c r="D104" s="260"/>
      <c r="E104" s="260"/>
      <c r="F104" s="260"/>
      <c r="G104" s="260"/>
      <c r="H104" s="260"/>
      <c r="I104" s="260"/>
      <c r="J104" s="260"/>
      <c r="K104" s="260"/>
      <c r="L104" s="260"/>
      <c r="M104" s="260"/>
      <c r="N104" s="260"/>
      <c r="O104" s="260"/>
      <c r="P104" s="260"/>
      <c r="Q104" s="260"/>
      <c r="R104" s="260"/>
      <c r="S104" s="260"/>
      <c r="T104" s="260"/>
      <c r="U104" s="260"/>
      <c r="V104" s="260"/>
      <c r="W104" s="260"/>
      <c r="X104" s="260"/>
      <c r="Y104" s="260"/>
      <c r="Z104" s="260"/>
      <c r="AA104" s="260"/>
    </row>
    <row r="105" spans="1:27" x14ac:dyDescent="0.25">
      <c r="A105" s="260"/>
      <c r="B105" s="260"/>
      <c r="C105" s="260"/>
      <c r="D105" s="260"/>
      <c r="E105" s="260"/>
      <c r="F105" s="260"/>
      <c r="G105" s="260"/>
      <c r="H105" s="260"/>
      <c r="I105" s="260"/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</row>
    <row r="106" spans="1:27" x14ac:dyDescent="0.25">
      <c r="A106" s="260"/>
      <c r="B106" s="260"/>
      <c r="C106" s="260"/>
      <c r="D106" s="260"/>
      <c r="E106" s="260"/>
      <c r="F106" s="260"/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</row>
    <row r="107" spans="1:27" x14ac:dyDescent="0.25">
      <c r="A107" s="260"/>
      <c r="B107" s="260"/>
      <c r="C107" s="260"/>
      <c r="D107" s="260"/>
      <c r="E107" s="260"/>
    </row>
  </sheetData>
  <mergeCells count="4">
    <mergeCell ref="A1:I1"/>
    <mergeCell ref="A6:A7"/>
    <mergeCell ref="B6:C6"/>
    <mergeCell ref="D6:E6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12">
    <tabColor rgb="FF0070C0"/>
  </sheetPr>
  <dimension ref="A1:J114"/>
  <sheetViews>
    <sheetView showGridLines="0" topLeftCell="A61" zoomScale="70" zoomScaleNormal="70" workbookViewId="0">
      <selection activeCell="A2" sqref="A2:XFD2"/>
    </sheetView>
  </sheetViews>
  <sheetFormatPr defaultColWidth="9.140625" defaultRowHeight="15" x14ac:dyDescent="0.25"/>
  <cols>
    <col min="1" max="1" width="40" style="218" customWidth="1"/>
    <col min="2" max="8" width="21.5703125" style="180" customWidth="1"/>
    <col min="9" max="16384" width="9.140625" style="180"/>
  </cols>
  <sheetData>
    <row r="1" spans="1:10" s="221" customFormat="1" ht="48" customHeight="1" x14ac:dyDescent="0.25">
      <c r="A1" s="324" t="s">
        <v>154</v>
      </c>
      <c r="B1" s="324"/>
      <c r="C1" s="324"/>
      <c r="D1" s="324"/>
      <c r="E1" s="324"/>
      <c r="F1" s="324"/>
      <c r="G1" s="220"/>
      <c r="H1" s="224" t="s">
        <v>155</v>
      </c>
      <c r="J1" s="225"/>
    </row>
    <row r="2" spans="1:10" s="221" customFormat="1" ht="15" customHeight="1" x14ac:dyDescent="0.25">
      <c r="A2" s="223" t="s">
        <v>131</v>
      </c>
      <c r="B2" s="219"/>
      <c r="C2" s="219"/>
      <c r="D2" s="219"/>
      <c r="E2" s="219"/>
      <c r="F2" s="219"/>
      <c r="H2" s="224"/>
      <c r="J2" s="225"/>
    </row>
    <row r="3" spans="1:10" s="221" customFormat="1" ht="5.25" customHeight="1" x14ac:dyDescent="0.25">
      <c r="A3" s="220"/>
    </row>
    <row r="4" spans="1:10" ht="21" x14ac:dyDescent="0.35">
      <c r="A4" s="263" t="s">
        <v>1</v>
      </c>
      <c r="B4" s="264" t="s">
        <v>156</v>
      </c>
      <c r="C4" s="265"/>
    </row>
    <row r="5" spans="1:10" x14ac:dyDescent="0.25">
      <c r="A5" s="266"/>
      <c r="B5" s="141"/>
      <c r="H5" s="145"/>
    </row>
    <row r="6" spans="1:10" x14ac:dyDescent="0.25">
      <c r="E6" s="144"/>
      <c r="F6" s="144"/>
      <c r="G6" s="144"/>
      <c r="H6" s="144"/>
    </row>
    <row r="7" spans="1:10" ht="19.5" thickBot="1" x14ac:dyDescent="0.3">
      <c r="A7" s="267" t="s">
        <v>2</v>
      </c>
      <c r="D7" s="268"/>
      <c r="E7" s="144"/>
      <c r="F7" s="144"/>
      <c r="G7" s="144"/>
      <c r="H7" s="144"/>
    </row>
    <row r="8" spans="1:10" ht="30.75" customHeight="1" thickBot="1" x14ac:dyDescent="0.3">
      <c r="A8" s="143" t="s">
        <v>3</v>
      </c>
      <c r="B8" s="143" t="s">
        <v>4</v>
      </c>
      <c r="F8" s="144"/>
      <c r="G8" s="145"/>
      <c r="H8" s="145"/>
    </row>
    <row r="9" spans="1:10" ht="15.75" customHeight="1" x14ac:dyDescent="0.25">
      <c r="A9" s="269">
        <v>670161</v>
      </c>
      <c r="B9" s="270">
        <v>6.3000001907348633</v>
      </c>
      <c r="D9" s="218"/>
      <c r="E9" s="218"/>
      <c r="F9" s="218"/>
      <c r="G9" s="218"/>
      <c r="H9" s="218"/>
    </row>
    <row r="10" spans="1:10" ht="9.9499999999999993" customHeight="1" x14ac:dyDescent="0.25">
      <c r="A10" s="271"/>
      <c r="B10" s="271"/>
      <c r="D10" s="218"/>
      <c r="E10" s="218"/>
      <c r="F10" s="218"/>
      <c r="G10" s="218"/>
      <c r="H10" s="218"/>
    </row>
    <row r="11" spans="1:10" ht="15.75" customHeight="1" thickBot="1" x14ac:dyDescent="0.3">
      <c r="A11" s="272" t="s">
        <v>18</v>
      </c>
    </row>
    <row r="12" spans="1:10" ht="15.75" customHeight="1" thickBot="1" x14ac:dyDescent="0.3">
      <c r="A12" s="331" t="s">
        <v>5</v>
      </c>
      <c r="B12" s="331" t="s">
        <v>6</v>
      </c>
      <c r="C12" s="333" t="s">
        <v>7</v>
      </c>
      <c r="D12" s="334"/>
      <c r="E12" s="335"/>
      <c r="F12" s="333" t="s">
        <v>8</v>
      </c>
      <c r="G12" s="334"/>
      <c r="H12" s="335"/>
    </row>
    <row r="13" spans="1:10" ht="15.75" thickBot="1" x14ac:dyDescent="0.3">
      <c r="A13" s="332"/>
      <c r="B13" s="332"/>
      <c r="C13" s="148" t="s">
        <v>9</v>
      </c>
      <c r="D13" s="148" t="s">
        <v>10</v>
      </c>
      <c r="E13" s="148" t="s">
        <v>11</v>
      </c>
      <c r="F13" s="148" t="s">
        <v>9</v>
      </c>
      <c r="G13" s="148" t="s">
        <v>10</v>
      </c>
      <c r="H13" s="148" t="s">
        <v>12</v>
      </c>
    </row>
    <row r="14" spans="1:10" ht="15.75" customHeight="1" thickBot="1" x14ac:dyDescent="0.3">
      <c r="A14" s="273">
        <v>708600</v>
      </c>
      <c r="B14" s="274">
        <v>91</v>
      </c>
      <c r="C14" s="275">
        <v>800</v>
      </c>
      <c r="D14" s="276">
        <v>41400</v>
      </c>
      <c r="E14" s="277">
        <v>7786.8131868131868</v>
      </c>
      <c r="F14" s="278">
        <v>4</v>
      </c>
      <c r="G14" s="279">
        <v>6.3</v>
      </c>
      <c r="H14" s="280">
        <v>6.1146848715777589</v>
      </c>
    </row>
    <row r="15" spans="1:10" ht="9.9499999999999993" customHeight="1" x14ac:dyDescent="0.25">
      <c r="A15" s="281"/>
      <c r="B15" s="281"/>
      <c r="C15" s="281"/>
      <c r="D15" s="281"/>
      <c r="E15" s="281"/>
      <c r="F15" s="281"/>
      <c r="G15" s="281"/>
      <c r="H15" s="281"/>
    </row>
    <row r="16" spans="1:10" ht="15.75" customHeight="1" thickBot="1" x14ac:dyDescent="0.3">
      <c r="A16" s="272" t="s">
        <v>157</v>
      </c>
      <c r="B16" s="151"/>
      <c r="C16" s="151"/>
      <c r="D16" s="151"/>
      <c r="E16" s="151"/>
      <c r="F16" s="146"/>
      <c r="G16" s="146"/>
      <c r="H16" s="146"/>
    </row>
    <row r="17" spans="1:8" ht="15.75" customHeight="1" thickBot="1" x14ac:dyDescent="0.3">
      <c r="A17" s="331" t="s">
        <v>66</v>
      </c>
      <c r="B17" s="331" t="s">
        <v>67</v>
      </c>
      <c r="C17" s="333" t="s">
        <v>15</v>
      </c>
      <c r="D17" s="334"/>
      <c r="E17" s="335"/>
      <c r="F17" s="336" t="s">
        <v>138</v>
      </c>
      <c r="G17" s="337"/>
      <c r="H17" s="143" t="s">
        <v>158</v>
      </c>
    </row>
    <row r="18" spans="1:8" ht="15.75" thickBot="1" x14ac:dyDescent="0.3">
      <c r="A18" s="332"/>
      <c r="B18" s="332"/>
      <c r="C18" s="148" t="s">
        <v>9</v>
      </c>
      <c r="D18" s="148" t="s">
        <v>10</v>
      </c>
      <c r="E18" s="148" t="s">
        <v>11</v>
      </c>
      <c r="F18" s="282" t="s">
        <v>9</v>
      </c>
      <c r="G18" s="283" t="s">
        <v>10</v>
      </c>
      <c r="H18" s="143" t="s">
        <v>12</v>
      </c>
    </row>
    <row r="19" spans="1:8" ht="15.75" customHeight="1" thickBot="1" x14ac:dyDescent="0.3">
      <c r="A19" s="284">
        <v>666450</v>
      </c>
      <c r="B19" s="285">
        <v>86</v>
      </c>
      <c r="C19" s="286">
        <v>800</v>
      </c>
      <c r="D19" s="287">
        <v>41400</v>
      </c>
      <c r="E19" s="288">
        <v>7749.4186046511632</v>
      </c>
      <c r="F19" s="289">
        <v>4</v>
      </c>
      <c r="G19" s="290">
        <v>6.3</v>
      </c>
      <c r="H19" s="291">
        <v>6.1618624549892624</v>
      </c>
    </row>
    <row r="20" spans="1:8" ht="9.9499999999999993" customHeight="1" x14ac:dyDescent="0.25">
      <c r="A20" s="271"/>
      <c r="B20" s="271"/>
      <c r="C20" s="271"/>
      <c r="D20" s="271"/>
      <c r="E20" s="271"/>
      <c r="F20" s="271"/>
      <c r="G20" s="271"/>
      <c r="H20" s="271"/>
    </row>
    <row r="21" spans="1:8" ht="15.75" customHeight="1" thickBot="1" x14ac:dyDescent="0.3">
      <c r="A21" s="272" t="s">
        <v>69</v>
      </c>
      <c r="B21" s="151"/>
      <c r="C21" s="151"/>
      <c r="D21" s="151"/>
      <c r="E21" s="151"/>
      <c r="F21" s="146"/>
      <c r="G21" s="146"/>
      <c r="H21" s="146"/>
    </row>
    <row r="22" spans="1:8" ht="30.75" customHeight="1" thickBot="1" x14ac:dyDescent="0.3">
      <c r="A22" s="10" t="s">
        <v>70</v>
      </c>
      <c r="B22" s="10" t="s">
        <v>71</v>
      </c>
    </row>
    <row r="23" spans="1:8" ht="15.75" customHeight="1" thickBot="1" x14ac:dyDescent="0.3">
      <c r="A23" s="292">
        <v>42150</v>
      </c>
      <c r="B23" s="293">
        <v>5</v>
      </c>
    </row>
    <row r="24" spans="1:8" ht="15.75" customHeight="1" x14ac:dyDescent="0.25">
      <c r="A24" s="294"/>
      <c r="B24" s="294"/>
    </row>
    <row r="25" spans="1:8" ht="15.75" customHeight="1" x14ac:dyDescent="0.25">
      <c r="A25" s="229" t="s">
        <v>145</v>
      </c>
      <c r="F25" s="144"/>
      <c r="G25" s="145"/>
      <c r="H25" s="145"/>
    </row>
    <row r="27" spans="1:8" ht="19.5" thickBot="1" x14ac:dyDescent="0.35">
      <c r="A27" s="79" t="s">
        <v>159</v>
      </c>
    </row>
    <row r="28" spans="1:8" ht="15.75" customHeight="1" thickBot="1" x14ac:dyDescent="0.3">
      <c r="A28" s="325" t="s">
        <v>23</v>
      </c>
      <c r="B28" s="327" t="s">
        <v>18</v>
      </c>
      <c r="C28" s="328"/>
      <c r="D28" s="329"/>
      <c r="E28" s="327" t="s">
        <v>148</v>
      </c>
      <c r="F28" s="328"/>
      <c r="G28" s="329"/>
    </row>
    <row r="29" spans="1:8" ht="30.75" customHeight="1" thickBot="1" x14ac:dyDescent="0.3">
      <c r="A29" s="330"/>
      <c r="B29" s="261" t="s">
        <v>63</v>
      </c>
      <c r="C29" s="261" t="s">
        <v>20</v>
      </c>
      <c r="D29" s="261" t="s">
        <v>74</v>
      </c>
      <c r="E29" s="295" t="s">
        <v>75</v>
      </c>
      <c r="F29" s="261" t="s">
        <v>32</v>
      </c>
      <c r="G29" s="261" t="s">
        <v>76</v>
      </c>
    </row>
    <row r="30" spans="1:8" x14ac:dyDescent="0.25">
      <c r="A30" s="296" t="s">
        <v>150</v>
      </c>
      <c r="B30" s="297">
        <v>188600</v>
      </c>
      <c r="C30" s="297">
        <v>56</v>
      </c>
      <c r="D30" s="297">
        <v>3367.8571428571427</v>
      </c>
      <c r="E30" s="297">
        <v>182650</v>
      </c>
      <c r="F30" s="297">
        <v>54</v>
      </c>
      <c r="G30" s="298">
        <v>3382.4074074074074</v>
      </c>
    </row>
    <row r="31" spans="1:8" x14ac:dyDescent="0.25">
      <c r="A31" s="299" t="s">
        <v>27</v>
      </c>
      <c r="B31" s="300">
        <v>147900</v>
      </c>
      <c r="C31" s="300">
        <v>17</v>
      </c>
      <c r="D31" s="300">
        <v>8700</v>
      </c>
      <c r="E31" s="300">
        <v>130500</v>
      </c>
      <c r="F31" s="300">
        <v>15</v>
      </c>
      <c r="G31" s="301">
        <v>8700</v>
      </c>
    </row>
    <row r="32" spans="1:8" x14ac:dyDescent="0.25">
      <c r="A32" s="299" t="s">
        <v>28</v>
      </c>
      <c r="B32" s="300">
        <v>156600</v>
      </c>
      <c r="C32" s="300">
        <v>10</v>
      </c>
      <c r="D32" s="300">
        <v>15660</v>
      </c>
      <c r="E32" s="300">
        <v>156600</v>
      </c>
      <c r="F32" s="300">
        <v>10</v>
      </c>
      <c r="G32" s="301">
        <v>15660</v>
      </c>
    </row>
    <row r="33" spans="1:9" x14ac:dyDescent="0.25">
      <c r="A33" s="299" t="s">
        <v>29</v>
      </c>
      <c r="B33" s="300">
        <v>215500</v>
      </c>
      <c r="C33" s="300">
        <v>8</v>
      </c>
      <c r="D33" s="300">
        <v>26937.5</v>
      </c>
      <c r="E33" s="300">
        <v>196700</v>
      </c>
      <c r="F33" s="300">
        <v>7</v>
      </c>
      <c r="G33" s="301">
        <v>28100</v>
      </c>
    </row>
    <row r="34" spans="1:9" x14ac:dyDescent="0.25">
      <c r="A34" s="302"/>
      <c r="B34" s="303">
        <f>SUBTOTAL(109,'01.11.2021'!$B$30:$B$33)</f>
        <v>708600</v>
      </c>
      <c r="C34" s="303">
        <f>SUBTOTAL(109,'01.11.2021'!$C$30:$C$33)</f>
        <v>91</v>
      </c>
      <c r="D34" s="304"/>
      <c r="E34" s="303">
        <f>SUBTOTAL(109,'01.11.2021'!$E$30:$E$33)</f>
        <v>666450</v>
      </c>
      <c r="F34" s="303">
        <f>SUBTOTAL(109,'01.11.2021'!$F$30:$F$33)</f>
        <v>86</v>
      </c>
      <c r="G34" s="305"/>
    </row>
    <row r="35" spans="1:9" x14ac:dyDescent="0.25">
      <c r="A35" s="180"/>
      <c r="B35" s="156"/>
      <c r="C35" s="156"/>
      <c r="D35" s="156"/>
      <c r="E35" s="156"/>
      <c r="F35" s="156"/>
      <c r="G35" s="156"/>
    </row>
    <row r="37" spans="1:9" ht="15.75" customHeight="1" thickBot="1" x14ac:dyDescent="0.35">
      <c r="A37" s="79" t="s">
        <v>160</v>
      </c>
    </row>
    <row r="38" spans="1:9" ht="15.75" thickBot="1" x14ac:dyDescent="0.3">
      <c r="A38" s="325" t="s">
        <v>80</v>
      </c>
      <c r="B38" s="327" t="s">
        <v>18</v>
      </c>
      <c r="C38" s="328"/>
      <c r="D38" s="329"/>
      <c r="E38" s="327" t="s">
        <v>148</v>
      </c>
      <c r="F38" s="328"/>
      <c r="G38" s="329"/>
    </row>
    <row r="39" spans="1:9" ht="30.75" thickBot="1" x14ac:dyDescent="0.3">
      <c r="A39" s="330"/>
      <c r="B39" s="261" t="s">
        <v>63</v>
      </c>
      <c r="C39" s="261" t="s">
        <v>20</v>
      </c>
      <c r="D39" s="261" t="s">
        <v>74</v>
      </c>
      <c r="E39" s="295" t="s">
        <v>75</v>
      </c>
      <c r="F39" s="261" t="s">
        <v>32</v>
      </c>
      <c r="G39" s="261" t="s">
        <v>76</v>
      </c>
    </row>
    <row r="40" spans="1:9" x14ac:dyDescent="0.25">
      <c r="A40" s="296" t="s">
        <v>39</v>
      </c>
      <c r="B40" s="297">
        <v>71750</v>
      </c>
      <c r="C40" s="297">
        <v>6</v>
      </c>
      <c r="D40" s="297">
        <v>11958.333333333334</v>
      </c>
      <c r="E40" s="297">
        <v>71750</v>
      </c>
      <c r="F40" s="297">
        <v>6</v>
      </c>
      <c r="G40" s="298">
        <v>11958.333333333334</v>
      </c>
    </row>
    <row r="41" spans="1:9" x14ac:dyDescent="0.25">
      <c r="A41" s="299" t="s">
        <v>40</v>
      </c>
      <c r="B41" s="300">
        <v>39200</v>
      </c>
      <c r="C41" s="300">
        <v>4</v>
      </c>
      <c r="D41" s="300">
        <v>9800</v>
      </c>
      <c r="E41" s="300">
        <v>30800</v>
      </c>
      <c r="F41" s="300">
        <v>3</v>
      </c>
      <c r="G41" s="301">
        <v>10266.666666666666</v>
      </c>
      <c r="H41" s="306"/>
      <c r="I41" s="306"/>
    </row>
    <row r="42" spans="1:9" x14ac:dyDescent="0.25">
      <c r="A42" s="299" t="s">
        <v>41</v>
      </c>
      <c r="B42" s="300">
        <v>136150</v>
      </c>
      <c r="C42" s="300">
        <v>23</v>
      </c>
      <c r="D42" s="300">
        <v>5919.565217391304</v>
      </c>
      <c r="E42" s="300">
        <v>136150</v>
      </c>
      <c r="F42" s="300">
        <v>23</v>
      </c>
      <c r="G42" s="301">
        <v>5919.565217391304</v>
      </c>
      <c r="H42" s="306"/>
      <c r="I42" s="306"/>
    </row>
    <row r="43" spans="1:9" x14ac:dyDescent="0.25">
      <c r="A43" s="299" t="s">
        <v>42</v>
      </c>
      <c r="B43" s="300">
        <v>37880</v>
      </c>
      <c r="C43" s="300">
        <v>3</v>
      </c>
      <c r="D43" s="300">
        <v>12626.666666666666</v>
      </c>
      <c r="E43" s="300">
        <v>37880</v>
      </c>
      <c r="F43" s="300">
        <v>3</v>
      </c>
      <c r="G43" s="301">
        <v>12626.666666666666</v>
      </c>
      <c r="H43" s="306"/>
      <c r="I43" s="306"/>
    </row>
    <row r="44" spans="1:9" x14ac:dyDescent="0.25">
      <c r="A44" s="299" t="s">
        <v>43</v>
      </c>
      <c r="B44" s="300">
        <v>88950</v>
      </c>
      <c r="C44" s="300">
        <v>8</v>
      </c>
      <c r="D44" s="300">
        <v>11118.75</v>
      </c>
      <c r="E44" s="300">
        <v>70150</v>
      </c>
      <c r="F44" s="300">
        <v>7</v>
      </c>
      <c r="G44" s="301">
        <v>10021.428571428571</v>
      </c>
      <c r="H44" s="306"/>
      <c r="I44" s="306"/>
    </row>
    <row r="45" spans="1:9" x14ac:dyDescent="0.25">
      <c r="A45" s="299" t="s">
        <v>44</v>
      </c>
      <c r="B45" s="300">
        <v>36120</v>
      </c>
      <c r="C45" s="300">
        <v>4</v>
      </c>
      <c r="D45" s="300">
        <v>9030</v>
      </c>
      <c r="E45" s="300">
        <v>32520</v>
      </c>
      <c r="F45" s="300">
        <v>3</v>
      </c>
      <c r="G45" s="301">
        <v>10840</v>
      </c>
      <c r="H45" s="306"/>
      <c r="I45" s="306"/>
    </row>
    <row r="46" spans="1:9" x14ac:dyDescent="0.25">
      <c r="A46" s="299" t="s">
        <v>45</v>
      </c>
      <c r="B46" s="300">
        <v>99700</v>
      </c>
      <c r="C46" s="300">
        <v>12</v>
      </c>
      <c r="D46" s="300">
        <v>8308.3333333333339</v>
      </c>
      <c r="E46" s="300">
        <v>99700</v>
      </c>
      <c r="F46" s="300">
        <v>12</v>
      </c>
      <c r="G46" s="301">
        <v>8308.3333333333339</v>
      </c>
      <c r="H46" s="306"/>
      <c r="I46" s="306"/>
    </row>
    <row r="47" spans="1:9" x14ac:dyDescent="0.25">
      <c r="A47" s="299" t="s">
        <v>46</v>
      </c>
      <c r="B47" s="300">
        <v>49550</v>
      </c>
      <c r="C47" s="300">
        <v>7</v>
      </c>
      <c r="D47" s="300">
        <v>7078.5714285714284</v>
      </c>
      <c r="E47" s="300">
        <v>49550</v>
      </c>
      <c r="F47" s="300">
        <v>7</v>
      </c>
      <c r="G47" s="301">
        <v>7078.5714285714284</v>
      </c>
      <c r="H47" s="306"/>
      <c r="I47" s="306"/>
    </row>
    <row r="48" spans="1:9" x14ac:dyDescent="0.25">
      <c r="A48" s="299" t="s">
        <v>98</v>
      </c>
      <c r="B48" s="300">
        <v>9000</v>
      </c>
      <c r="C48" s="300">
        <v>1</v>
      </c>
      <c r="D48" s="300">
        <v>9000</v>
      </c>
      <c r="E48" s="300">
        <v>0</v>
      </c>
      <c r="F48" s="300">
        <v>0</v>
      </c>
      <c r="G48" s="301">
        <v>0</v>
      </c>
      <c r="H48" s="306"/>
      <c r="I48" s="306"/>
    </row>
    <row r="49" spans="1:9" x14ac:dyDescent="0.25">
      <c r="A49" s="299" t="s">
        <v>47</v>
      </c>
      <c r="B49" s="300">
        <v>6600</v>
      </c>
      <c r="C49" s="300">
        <v>2</v>
      </c>
      <c r="D49" s="300">
        <v>3300</v>
      </c>
      <c r="E49" s="300">
        <v>6600</v>
      </c>
      <c r="F49" s="300">
        <v>2</v>
      </c>
      <c r="G49" s="301">
        <v>3300</v>
      </c>
      <c r="H49" s="306"/>
      <c r="I49" s="306"/>
    </row>
    <row r="50" spans="1:9" x14ac:dyDescent="0.25">
      <c r="A50" s="299" t="s">
        <v>48</v>
      </c>
      <c r="B50" s="300">
        <v>29600</v>
      </c>
      <c r="C50" s="300">
        <v>2</v>
      </c>
      <c r="D50" s="300">
        <v>14800</v>
      </c>
      <c r="E50" s="300">
        <v>29600</v>
      </c>
      <c r="F50" s="300">
        <v>2</v>
      </c>
      <c r="G50" s="301">
        <v>14800</v>
      </c>
      <c r="H50" s="306"/>
      <c r="I50" s="306"/>
    </row>
    <row r="51" spans="1:9" x14ac:dyDescent="0.25">
      <c r="A51" s="299" t="s">
        <v>49</v>
      </c>
      <c r="B51" s="300">
        <v>95200</v>
      </c>
      <c r="C51" s="300">
        <v>16</v>
      </c>
      <c r="D51" s="300">
        <v>5950</v>
      </c>
      <c r="E51" s="300">
        <v>95200</v>
      </c>
      <c r="F51" s="300">
        <v>16</v>
      </c>
      <c r="G51" s="301">
        <v>5950</v>
      </c>
    </row>
    <row r="52" spans="1:9" x14ac:dyDescent="0.25">
      <c r="A52" s="299" t="s">
        <v>50</v>
      </c>
      <c r="B52" s="300">
        <v>8900</v>
      </c>
      <c r="C52" s="300">
        <v>3</v>
      </c>
      <c r="D52" s="300">
        <v>2966.6666666666665</v>
      </c>
      <c r="E52" s="300">
        <v>6550</v>
      </c>
      <c r="F52" s="300">
        <v>2</v>
      </c>
      <c r="G52" s="301">
        <v>3275</v>
      </c>
      <c r="H52" s="306"/>
      <c r="I52" s="306"/>
    </row>
    <row r="53" spans="1:9" x14ac:dyDescent="0.25">
      <c r="A53" s="302"/>
      <c r="B53" s="303">
        <f>SUBTOTAL(109,'01.11.2021'!$B$40:$B$52)</f>
        <v>708600</v>
      </c>
      <c r="C53" s="303">
        <f>SUBTOTAL(109,'01.11.2021'!$C$40:$C$52)</f>
        <v>91</v>
      </c>
      <c r="D53" s="304"/>
      <c r="E53" s="303">
        <f>SUBTOTAL(109,'01.11.2021'!$E$40:$E$52)</f>
        <v>666450</v>
      </c>
      <c r="F53" s="303">
        <f>SUBTOTAL(109,'01.11.2021'!$F$40:$F$52)</f>
        <v>86</v>
      </c>
      <c r="G53" s="305"/>
    </row>
    <row r="54" spans="1:9" x14ac:dyDescent="0.25">
      <c r="A54" s="116"/>
      <c r="B54" s="144"/>
      <c r="C54" s="144"/>
      <c r="D54" s="144"/>
      <c r="E54" s="144"/>
      <c r="F54" s="144"/>
      <c r="G54" s="144"/>
    </row>
    <row r="55" spans="1:9" ht="15.75" customHeight="1" x14ac:dyDescent="0.25">
      <c r="A55" s="116"/>
      <c r="B55" s="145"/>
      <c r="C55" s="145"/>
      <c r="D55" s="145"/>
      <c r="E55" s="145"/>
      <c r="F55" s="145"/>
      <c r="G55" s="145"/>
    </row>
    <row r="56" spans="1:9" ht="19.5" thickBot="1" x14ac:dyDescent="0.35">
      <c r="A56" s="79" t="s">
        <v>161</v>
      </c>
    </row>
    <row r="57" spans="1:9" ht="15.75" thickBot="1" x14ac:dyDescent="0.3">
      <c r="A57" s="325" t="s">
        <v>83</v>
      </c>
      <c r="B57" s="327" t="s">
        <v>18</v>
      </c>
      <c r="C57" s="328"/>
      <c r="D57" s="329"/>
      <c r="E57" s="327" t="s">
        <v>148</v>
      </c>
      <c r="F57" s="328"/>
      <c r="G57" s="329"/>
    </row>
    <row r="58" spans="1:9" ht="30.75" thickBot="1" x14ac:dyDescent="0.3">
      <c r="A58" s="330"/>
      <c r="B58" s="261" t="s">
        <v>63</v>
      </c>
      <c r="C58" s="261" t="s">
        <v>20</v>
      </c>
      <c r="D58" s="261" t="s">
        <v>74</v>
      </c>
      <c r="E58" s="295" t="s">
        <v>75</v>
      </c>
      <c r="F58" s="261" t="s">
        <v>32</v>
      </c>
      <c r="G58" s="261" t="s">
        <v>76</v>
      </c>
    </row>
    <row r="59" spans="1:9" x14ac:dyDescent="0.25">
      <c r="A59" s="296" t="s">
        <v>24</v>
      </c>
      <c r="B59" s="297">
        <v>43000</v>
      </c>
      <c r="C59" s="297">
        <v>4</v>
      </c>
      <c r="D59" s="297">
        <v>10750</v>
      </c>
      <c r="E59" s="297">
        <v>43000</v>
      </c>
      <c r="F59" s="297">
        <v>4</v>
      </c>
      <c r="G59" s="298">
        <v>10750</v>
      </c>
      <c r="H59" s="306"/>
      <c r="I59" s="306"/>
    </row>
    <row r="60" spans="1:9" x14ac:dyDescent="0.25">
      <c r="A60" s="299" t="s">
        <v>84</v>
      </c>
      <c r="B60" s="300">
        <v>665600</v>
      </c>
      <c r="C60" s="300">
        <v>87</v>
      </c>
      <c r="D60" s="300">
        <v>7650.5747126436781</v>
      </c>
      <c r="E60" s="300">
        <v>623450</v>
      </c>
      <c r="F60" s="300">
        <v>82</v>
      </c>
      <c r="G60" s="301">
        <v>7603.0487804878048</v>
      </c>
      <c r="H60" s="306"/>
      <c r="I60" s="306"/>
    </row>
    <row r="61" spans="1:9" x14ac:dyDescent="0.25">
      <c r="A61" s="302"/>
      <c r="B61" s="303">
        <f>SUBTOTAL(109,'01.11.2021'!$B$59:$B$60)</f>
        <v>708600</v>
      </c>
      <c r="C61" s="303">
        <f>SUBTOTAL(109,'01.11.2021'!$C$59:$C$60)</f>
        <v>91</v>
      </c>
      <c r="D61" s="304"/>
      <c r="E61" s="303">
        <f>SUBTOTAL(109,'01.11.2021'!$E$59:$E$60)</f>
        <v>666450</v>
      </c>
      <c r="F61" s="303">
        <f>SUBTOTAL(109,'01.11.2021'!$F$59:$F$60)</f>
        <v>86</v>
      </c>
      <c r="G61" s="305"/>
      <c r="H61" s="306"/>
      <c r="I61" s="306"/>
    </row>
    <row r="62" spans="1:9" ht="15.75" customHeight="1" x14ac:dyDescent="0.25">
      <c r="A62" s="180"/>
      <c r="B62" s="156"/>
      <c r="C62" s="156"/>
      <c r="D62" s="156"/>
      <c r="E62" s="156"/>
      <c r="F62" s="156"/>
      <c r="G62" s="156"/>
      <c r="H62" s="306"/>
      <c r="I62" s="306"/>
    </row>
    <row r="63" spans="1:9" x14ac:dyDescent="0.25">
      <c r="A63" s="116"/>
      <c r="B63" s="145"/>
      <c r="C63" s="145"/>
      <c r="D63" s="145"/>
      <c r="E63" s="145"/>
      <c r="F63" s="145"/>
      <c r="G63" s="145"/>
      <c r="H63" s="306"/>
      <c r="I63" s="306"/>
    </row>
    <row r="64" spans="1:9" ht="19.5" thickBot="1" x14ac:dyDescent="0.35">
      <c r="A64" s="79" t="s">
        <v>162</v>
      </c>
      <c r="B64" s="307"/>
      <c r="C64" s="307"/>
      <c r="D64" s="307"/>
      <c r="E64" s="307"/>
      <c r="F64" s="307"/>
      <c r="G64" s="307"/>
      <c r="H64" s="306"/>
      <c r="I64" s="306"/>
    </row>
    <row r="65" spans="1:9" ht="15.75" thickBot="1" x14ac:dyDescent="0.3">
      <c r="A65" s="325" t="s">
        <v>86</v>
      </c>
      <c r="B65" s="327" t="s">
        <v>18</v>
      </c>
      <c r="C65" s="328"/>
      <c r="D65" s="329"/>
      <c r="E65" s="327" t="s">
        <v>148</v>
      </c>
      <c r="F65" s="328"/>
      <c r="G65" s="329"/>
    </row>
    <row r="66" spans="1:9" s="308" customFormat="1" ht="30.75" thickBot="1" x14ac:dyDescent="0.3">
      <c r="A66" s="330"/>
      <c r="B66" s="261" t="s">
        <v>63</v>
      </c>
      <c r="C66" s="261" t="s">
        <v>20</v>
      </c>
      <c r="D66" s="261" t="s">
        <v>74</v>
      </c>
      <c r="E66" s="295" t="s">
        <v>75</v>
      </c>
      <c r="F66" s="261" t="s">
        <v>32</v>
      </c>
      <c r="G66" s="261" t="s">
        <v>76</v>
      </c>
    </row>
    <row r="67" spans="1:9" x14ac:dyDescent="0.25">
      <c r="A67" s="296" t="s">
        <v>97</v>
      </c>
      <c r="B67" s="297">
        <v>3050</v>
      </c>
      <c r="C67" s="297">
        <v>1</v>
      </c>
      <c r="D67" s="297">
        <v>3050</v>
      </c>
      <c r="E67" s="297">
        <v>3050</v>
      </c>
      <c r="F67" s="297">
        <v>1</v>
      </c>
      <c r="G67" s="298">
        <v>3050</v>
      </c>
    </row>
    <row r="68" spans="1:9" x14ac:dyDescent="0.25">
      <c r="A68" s="299" t="s">
        <v>87</v>
      </c>
      <c r="B68" s="300">
        <v>58600</v>
      </c>
      <c r="C68" s="300">
        <v>6</v>
      </c>
      <c r="D68" s="300">
        <v>9766.6666666666661</v>
      </c>
      <c r="E68" s="300">
        <v>58600</v>
      </c>
      <c r="F68" s="300">
        <v>6</v>
      </c>
      <c r="G68" s="301">
        <v>9766.6666666666661</v>
      </c>
    </row>
    <row r="69" spans="1:9" x14ac:dyDescent="0.25">
      <c r="A69" s="299" t="s">
        <v>89</v>
      </c>
      <c r="B69" s="300">
        <v>6600</v>
      </c>
      <c r="C69" s="300">
        <v>1</v>
      </c>
      <c r="D69" s="300">
        <v>6600</v>
      </c>
      <c r="E69" s="300">
        <v>6600</v>
      </c>
      <c r="F69" s="300">
        <v>1</v>
      </c>
      <c r="G69" s="301">
        <v>6600</v>
      </c>
    </row>
    <row r="70" spans="1:9" x14ac:dyDescent="0.25">
      <c r="A70" s="299" t="s">
        <v>90</v>
      </c>
      <c r="B70" s="300">
        <v>10500</v>
      </c>
      <c r="C70" s="300">
        <v>3</v>
      </c>
      <c r="D70" s="300">
        <v>3500</v>
      </c>
      <c r="E70" s="300">
        <v>10500</v>
      </c>
      <c r="F70" s="300">
        <v>3</v>
      </c>
      <c r="G70" s="301">
        <v>3500</v>
      </c>
    </row>
    <row r="71" spans="1:9" x14ac:dyDescent="0.25">
      <c r="A71" s="299" t="s">
        <v>91</v>
      </c>
      <c r="B71" s="300">
        <v>146680</v>
      </c>
      <c r="C71" s="300">
        <v>15</v>
      </c>
      <c r="D71" s="300">
        <v>9778.6666666666661</v>
      </c>
      <c r="E71" s="300">
        <v>137680</v>
      </c>
      <c r="F71" s="300">
        <v>14</v>
      </c>
      <c r="G71" s="301">
        <v>9834.2857142857138</v>
      </c>
    </row>
    <row r="72" spans="1:9" x14ac:dyDescent="0.25">
      <c r="A72" s="299" t="s">
        <v>92</v>
      </c>
      <c r="B72" s="300">
        <v>474570</v>
      </c>
      <c r="C72" s="300">
        <v>61</v>
      </c>
      <c r="D72" s="300">
        <v>7779.8360655737706</v>
      </c>
      <c r="E72" s="300">
        <v>441420</v>
      </c>
      <c r="F72" s="300">
        <v>57</v>
      </c>
      <c r="G72" s="301">
        <v>7744.2105263157891</v>
      </c>
    </row>
    <row r="73" spans="1:9" x14ac:dyDescent="0.25">
      <c r="A73" s="299" t="s">
        <v>93</v>
      </c>
      <c r="B73" s="300">
        <v>4600</v>
      </c>
      <c r="C73" s="300">
        <v>3</v>
      </c>
      <c r="D73" s="300">
        <v>1533.3333333333333</v>
      </c>
      <c r="E73" s="300">
        <v>4600</v>
      </c>
      <c r="F73" s="300">
        <v>3</v>
      </c>
      <c r="G73" s="301">
        <v>1533.3333333333333</v>
      </c>
    </row>
    <row r="74" spans="1:9" x14ac:dyDescent="0.25">
      <c r="A74" s="299" t="s">
        <v>94</v>
      </c>
      <c r="B74" s="300">
        <v>4000</v>
      </c>
      <c r="C74" s="300">
        <v>1</v>
      </c>
      <c r="D74" s="300">
        <v>4000</v>
      </c>
      <c r="E74" s="300">
        <v>4000</v>
      </c>
      <c r="F74" s="300">
        <v>1</v>
      </c>
      <c r="G74" s="301">
        <v>4000</v>
      </c>
    </row>
    <row r="75" spans="1:9" ht="15.75" customHeight="1" x14ac:dyDescent="0.25">
      <c r="A75" s="302"/>
      <c r="B75" s="303">
        <f>SUBTOTAL(109,'01.11.2021'!$B$67:$B$74)</f>
        <v>708600</v>
      </c>
      <c r="C75" s="303">
        <f>SUBTOTAL(109,'01.11.2021'!$C$67:$C$74)</f>
        <v>91</v>
      </c>
      <c r="D75" s="304"/>
      <c r="E75" s="303">
        <f>SUBTOTAL(109,'01.11.2021'!$E$67:$E$74)</f>
        <v>666450</v>
      </c>
      <c r="F75" s="303">
        <f>SUBTOTAL(109,'01.11.2021'!$F$67:$F$74)</f>
        <v>86</v>
      </c>
      <c r="G75" s="305"/>
      <c r="H75" s="306"/>
      <c r="I75" s="306"/>
    </row>
    <row r="76" spans="1:9" x14ac:dyDescent="0.25">
      <c r="A76" s="180"/>
      <c r="B76" s="156"/>
      <c r="C76" s="156"/>
      <c r="D76" s="156"/>
      <c r="E76" s="156"/>
      <c r="F76" s="156"/>
      <c r="G76" s="156"/>
      <c r="H76" s="306"/>
      <c r="I76" s="306"/>
    </row>
    <row r="77" spans="1:9" x14ac:dyDescent="0.25">
      <c r="A77" s="180"/>
      <c r="B77" s="156"/>
      <c r="C77" s="156"/>
      <c r="D77" s="156"/>
      <c r="E77" s="156"/>
      <c r="F77" s="156"/>
      <c r="G77" s="156"/>
      <c r="H77" s="306"/>
      <c r="I77" s="306"/>
    </row>
    <row r="78" spans="1:9" ht="19.5" thickBot="1" x14ac:dyDescent="0.35">
      <c r="A78" s="79" t="s">
        <v>163</v>
      </c>
      <c r="B78" s="307"/>
      <c r="C78" s="307"/>
      <c r="D78" s="307"/>
      <c r="E78" s="307"/>
      <c r="F78" s="307"/>
      <c r="G78" s="307"/>
      <c r="H78" s="306"/>
      <c r="I78" s="306"/>
    </row>
    <row r="79" spans="1:9" ht="15.75" thickBot="1" x14ac:dyDescent="0.3">
      <c r="A79" s="325" t="s">
        <v>164</v>
      </c>
      <c r="B79" s="327" t="s">
        <v>18</v>
      </c>
      <c r="C79" s="328"/>
      <c r="D79" s="329"/>
      <c r="E79" s="327" t="s">
        <v>148</v>
      </c>
      <c r="F79" s="328"/>
      <c r="G79" s="329"/>
      <c r="H79" s="306"/>
      <c r="I79" s="306"/>
    </row>
    <row r="80" spans="1:9" ht="30.75" thickBot="1" x14ac:dyDescent="0.3">
      <c r="A80" s="330"/>
      <c r="B80" s="261" t="s">
        <v>63</v>
      </c>
      <c r="C80" s="261" t="s">
        <v>20</v>
      </c>
      <c r="D80" s="261" t="s">
        <v>74</v>
      </c>
      <c r="E80" s="295" t="s">
        <v>75</v>
      </c>
      <c r="F80" s="261" t="s">
        <v>32</v>
      </c>
      <c r="G80" s="261" t="s">
        <v>76</v>
      </c>
      <c r="H80" s="306"/>
      <c r="I80" s="306"/>
    </row>
    <row r="81" spans="1:9" x14ac:dyDescent="0.25">
      <c r="A81" s="296" t="s">
        <v>165</v>
      </c>
      <c r="B81" s="297">
        <v>708600</v>
      </c>
      <c r="C81" s="297">
        <v>91</v>
      </c>
      <c r="D81" s="297">
        <v>7786.8131868131868</v>
      </c>
      <c r="E81" s="297">
        <v>666450</v>
      </c>
      <c r="F81" s="297">
        <v>86</v>
      </c>
      <c r="G81" s="298">
        <v>7749.4186046511632</v>
      </c>
      <c r="H81" s="306"/>
      <c r="I81" s="306"/>
    </row>
    <row r="82" spans="1:9" x14ac:dyDescent="0.25">
      <c r="A82" s="309"/>
      <c r="B82" s="303">
        <f>SUBTOTAL(109,'01.11.2021'!$B$81:$B$81)</f>
        <v>708600</v>
      </c>
      <c r="C82" s="303">
        <f>SUBTOTAL(109,'01.11.2021'!$C$81:$C$81)</f>
        <v>91</v>
      </c>
      <c r="D82" s="304"/>
      <c r="E82" s="303">
        <f>SUBTOTAL(109,'01.11.2021'!$E$81:$E$81)</f>
        <v>666450</v>
      </c>
      <c r="F82" s="303">
        <f>SUBTOTAL(109,'01.11.2021'!$F$81:$F$81)</f>
        <v>86</v>
      </c>
      <c r="G82" s="305"/>
      <c r="H82" s="306"/>
      <c r="I82" s="306"/>
    </row>
    <row r="83" spans="1:9" x14ac:dyDescent="0.25">
      <c r="A83" s="180"/>
      <c r="B83" s="156"/>
      <c r="C83" s="156"/>
      <c r="D83" s="156"/>
      <c r="E83" s="156"/>
      <c r="F83" s="156"/>
      <c r="G83" s="156"/>
      <c r="H83" s="306"/>
      <c r="I83" s="306"/>
    </row>
    <row r="84" spans="1:9" x14ac:dyDescent="0.25">
      <c r="A84" s="180"/>
      <c r="B84" s="156"/>
      <c r="C84" s="156"/>
      <c r="D84" s="156"/>
      <c r="E84" s="156"/>
      <c r="F84" s="156"/>
      <c r="G84" s="156"/>
      <c r="H84" s="306"/>
      <c r="I84" s="306"/>
    </row>
    <row r="85" spans="1:9" x14ac:dyDescent="0.25">
      <c r="A85" s="180"/>
      <c r="B85" s="156"/>
      <c r="C85" s="156"/>
      <c r="D85" s="156"/>
      <c r="E85" s="156"/>
      <c r="F85" s="156"/>
      <c r="G85" s="156"/>
    </row>
    <row r="86" spans="1:9" x14ac:dyDescent="0.25">
      <c r="A86" s="180"/>
      <c r="B86" s="156"/>
      <c r="C86" s="156"/>
      <c r="D86" s="156"/>
      <c r="E86" s="156"/>
      <c r="F86" s="156"/>
      <c r="G86" s="156"/>
    </row>
    <row r="87" spans="1:9" ht="15" customHeight="1" x14ac:dyDescent="0.25">
      <c r="A87" s="180"/>
      <c r="B87" s="156"/>
      <c r="C87" s="156"/>
      <c r="D87" s="156"/>
      <c r="E87" s="156"/>
      <c r="F87" s="156"/>
      <c r="G87" s="156"/>
      <c r="H87" s="156"/>
    </row>
    <row r="88" spans="1:9" ht="15" customHeight="1" x14ac:dyDescent="0.25">
      <c r="A88" s="180"/>
      <c r="B88" s="156"/>
      <c r="C88" s="156"/>
      <c r="D88" s="156"/>
      <c r="E88" s="156"/>
      <c r="F88" s="156"/>
      <c r="G88" s="156"/>
      <c r="H88" s="156"/>
    </row>
    <row r="89" spans="1:9" ht="15" customHeight="1" x14ac:dyDescent="0.25">
      <c r="A89" s="180"/>
      <c r="B89" s="156"/>
      <c r="C89" s="156"/>
      <c r="D89" s="156"/>
      <c r="E89" s="156"/>
      <c r="F89" s="156"/>
      <c r="G89" s="156"/>
      <c r="H89" s="156"/>
    </row>
    <row r="90" spans="1:9" ht="15" customHeight="1" x14ac:dyDescent="0.25">
      <c r="A90" s="180"/>
      <c r="B90" s="156"/>
      <c r="C90" s="156"/>
      <c r="D90" s="156"/>
      <c r="E90" s="156"/>
      <c r="F90" s="156"/>
      <c r="G90" s="156"/>
      <c r="H90" s="306"/>
    </row>
    <row r="91" spans="1:9" ht="15" customHeight="1" x14ac:dyDescent="0.25">
      <c r="A91" s="180"/>
      <c r="B91" s="156"/>
      <c r="C91" s="156"/>
      <c r="D91" s="156"/>
      <c r="E91" s="156"/>
      <c r="F91" s="156"/>
      <c r="G91" s="156"/>
    </row>
    <row r="92" spans="1:9" ht="15" customHeight="1" x14ac:dyDescent="0.25">
      <c r="B92" s="156"/>
      <c r="C92" s="156"/>
      <c r="D92" s="156"/>
      <c r="E92" s="156"/>
      <c r="F92" s="156"/>
      <c r="G92" s="156"/>
    </row>
    <row r="93" spans="1:9" ht="15" customHeight="1" x14ac:dyDescent="0.25">
      <c r="B93" s="218"/>
      <c r="C93" s="218"/>
      <c r="D93" s="218"/>
      <c r="E93" s="218"/>
      <c r="F93" s="218"/>
      <c r="G93" s="218"/>
    </row>
    <row r="94" spans="1:9" ht="15" customHeight="1" x14ac:dyDescent="0.25">
      <c r="B94" s="218"/>
      <c r="C94" s="218"/>
      <c r="D94" s="218"/>
      <c r="E94" s="218"/>
      <c r="F94" s="218"/>
      <c r="G94" s="218"/>
    </row>
    <row r="95" spans="1:9" ht="15" customHeight="1" x14ac:dyDescent="0.25"/>
    <row r="96" spans="1:9" ht="15" customHeight="1" x14ac:dyDescent="0.25">
      <c r="A96" s="180"/>
    </row>
    <row r="97" spans="1:1" ht="15" customHeight="1" x14ac:dyDescent="0.25">
      <c r="A97" s="180"/>
    </row>
    <row r="98" spans="1:1" ht="15" customHeight="1" x14ac:dyDescent="0.25">
      <c r="A98" s="180"/>
    </row>
    <row r="99" spans="1:1" ht="15" customHeight="1" x14ac:dyDescent="0.25">
      <c r="A99" s="180"/>
    </row>
    <row r="100" spans="1:1" ht="15" customHeight="1" x14ac:dyDescent="0.25">
      <c r="A100" s="180"/>
    </row>
    <row r="101" spans="1:1" x14ac:dyDescent="0.25">
      <c r="A101" s="180"/>
    </row>
    <row r="102" spans="1:1" x14ac:dyDescent="0.25">
      <c r="A102" s="180"/>
    </row>
    <row r="103" spans="1:1" x14ac:dyDescent="0.25">
      <c r="A103" s="180"/>
    </row>
    <row r="104" spans="1:1" x14ac:dyDescent="0.25">
      <c r="A104" s="180"/>
    </row>
    <row r="105" spans="1:1" x14ac:dyDescent="0.25">
      <c r="A105" s="180"/>
    </row>
    <row r="106" spans="1:1" x14ac:dyDescent="0.25">
      <c r="A106" s="180"/>
    </row>
    <row r="107" spans="1:1" x14ac:dyDescent="0.25">
      <c r="A107" s="180"/>
    </row>
    <row r="108" spans="1:1" ht="15" customHeight="1" x14ac:dyDescent="0.25">
      <c r="A108" s="180"/>
    </row>
    <row r="109" spans="1:1" x14ac:dyDescent="0.25">
      <c r="A109" s="180"/>
    </row>
    <row r="110" spans="1:1" x14ac:dyDescent="0.25">
      <c r="A110" s="180"/>
    </row>
    <row r="111" spans="1:1" x14ac:dyDescent="0.25">
      <c r="A111" s="180"/>
    </row>
    <row r="112" spans="1:1" x14ac:dyDescent="0.25">
      <c r="A112" s="180"/>
    </row>
    <row r="113" spans="1:1" x14ac:dyDescent="0.25">
      <c r="A113" s="180"/>
    </row>
    <row r="114" spans="1:1" x14ac:dyDescent="0.25">
      <c r="A114" s="180"/>
    </row>
  </sheetData>
  <protectedRanges>
    <protectedRange sqref="B4" name="Bereich1"/>
  </protectedRanges>
  <dataConsolidate/>
  <mergeCells count="24">
    <mergeCell ref="A17:A18"/>
    <mergeCell ref="B17:B18"/>
    <mergeCell ref="C17:E17"/>
    <mergeCell ref="F17:G17"/>
    <mergeCell ref="A1:F1"/>
    <mergeCell ref="A12:A13"/>
    <mergeCell ref="B12:B13"/>
    <mergeCell ref="C12:E12"/>
    <mergeCell ref="F12:H12"/>
    <mergeCell ref="A28:A29"/>
    <mergeCell ref="B28:D28"/>
    <mergeCell ref="E28:G28"/>
    <mergeCell ref="A38:A39"/>
    <mergeCell ref="B38:D38"/>
    <mergeCell ref="E38:G38"/>
    <mergeCell ref="A79:A80"/>
    <mergeCell ref="B79:D79"/>
    <mergeCell ref="E79:G79"/>
    <mergeCell ref="A57:A58"/>
    <mergeCell ref="B57:D57"/>
    <mergeCell ref="E57:G57"/>
    <mergeCell ref="A65:A66"/>
    <mergeCell ref="B65:D65"/>
    <mergeCell ref="E65:G65"/>
  </mergeCells>
  <dataValidations count="1">
    <dataValidation showInputMessage="1" showErrorMessage="1" sqref="B4" xr:uid="{00000000-0002-0000-0400-000000000000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>
    <tabColor rgb="FF0070C0"/>
  </sheetPr>
  <dimension ref="A1:H83"/>
  <sheetViews>
    <sheetView showGridLines="0" topLeftCell="A40" zoomScaleNormal="100" workbookViewId="0">
      <selection activeCell="A43" sqref="A43:G58"/>
    </sheetView>
  </sheetViews>
  <sheetFormatPr defaultColWidth="9.140625" defaultRowHeight="15" x14ac:dyDescent="0.25"/>
  <cols>
    <col min="1" max="1" width="47.5703125" style="180" customWidth="1"/>
    <col min="2" max="43" width="19.28515625" style="180" customWidth="1"/>
    <col min="44" max="16384" width="9.140625" style="180"/>
  </cols>
  <sheetData>
    <row r="1" spans="1:8" s="217" customFormat="1" ht="45.75" customHeight="1" x14ac:dyDescent="0.25">
      <c r="A1" s="339" t="s">
        <v>64</v>
      </c>
      <c r="B1" s="340"/>
      <c r="C1" s="340"/>
      <c r="D1" s="340"/>
      <c r="E1" s="340"/>
      <c r="F1" s="340"/>
      <c r="H1" s="136" t="s">
        <v>128</v>
      </c>
    </row>
    <row r="2" spans="1:8" s="217" customFormat="1" ht="9" customHeight="1" x14ac:dyDescent="0.25">
      <c r="A2" s="181"/>
    </row>
    <row r="3" spans="1:8" x14ac:dyDescent="0.25">
      <c r="A3" s="137" t="s">
        <v>1</v>
      </c>
      <c r="B3" s="138">
        <v>44317</v>
      </c>
      <c r="C3" s="139" t="e">
        <f ca="1">OFFSET([1]!Gebotstermine[[#Headers],[terGebotsterminID]],MATCH(Gebotstermin,[1]!Gebotstermine[terGebotstermin],0),,,)</f>
        <v>#REF!</v>
      </c>
    </row>
    <row r="4" spans="1:8" x14ac:dyDescent="0.25">
      <c r="A4" s="140"/>
      <c r="B4" s="141"/>
    </row>
    <row r="6" spans="1:8" ht="19.5" thickBot="1" x14ac:dyDescent="0.35">
      <c r="A6" s="142" t="s">
        <v>2</v>
      </c>
    </row>
    <row r="7" spans="1:8" ht="45.75" thickBot="1" x14ac:dyDescent="0.3">
      <c r="A7" s="143" t="s">
        <v>3</v>
      </c>
      <c r="B7" s="143" t="s">
        <v>4</v>
      </c>
      <c r="F7" s="144"/>
      <c r="G7" s="145"/>
      <c r="H7" s="145"/>
    </row>
    <row r="8" spans="1:8" x14ac:dyDescent="0.25">
      <c r="A8" s="133">
        <v>1243230</v>
      </c>
      <c r="B8" s="146">
        <v>6</v>
      </c>
    </row>
    <row r="9" spans="1:8" ht="18.75" x14ac:dyDescent="0.3">
      <c r="A9" s="142"/>
    </row>
    <row r="10" spans="1:8" ht="15.75" thickBot="1" x14ac:dyDescent="0.3">
      <c r="A10" s="147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11" t="s">
        <v>7</v>
      </c>
      <c r="D11" s="12"/>
      <c r="E11" s="13"/>
      <c r="F11" s="11" t="s">
        <v>8</v>
      </c>
      <c r="G11" s="12"/>
      <c r="H11" s="13"/>
    </row>
    <row r="12" spans="1:8" ht="15.75" thickBot="1" x14ac:dyDescent="0.3">
      <c r="A12" s="332"/>
      <c r="B12" s="332"/>
      <c r="C12" s="148" t="s">
        <v>9</v>
      </c>
      <c r="D12" s="148" t="s">
        <v>10</v>
      </c>
      <c r="E12" s="148" t="s">
        <v>11</v>
      </c>
      <c r="F12" s="148" t="s">
        <v>9</v>
      </c>
      <c r="G12" s="148" t="s">
        <v>10</v>
      </c>
      <c r="H12" s="149" t="s">
        <v>12</v>
      </c>
    </row>
    <row r="13" spans="1:8" x14ac:dyDescent="0.25">
      <c r="A13" s="132">
        <v>1161390</v>
      </c>
      <c r="B13" s="131">
        <v>137</v>
      </c>
      <c r="C13" s="130">
        <v>750</v>
      </c>
      <c r="D13" s="129">
        <v>38500</v>
      </c>
      <c r="E13" s="128">
        <v>8477.2992700729919</v>
      </c>
      <c r="F13" s="127">
        <v>4.5</v>
      </c>
      <c r="G13" s="126">
        <v>6</v>
      </c>
      <c r="H13" s="125">
        <v>5.8775423415045767</v>
      </c>
    </row>
    <row r="14" spans="1:8" ht="4.5" customHeight="1" x14ac:dyDescent="0.25">
      <c r="A14" s="182"/>
      <c r="B14" s="182"/>
      <c r="C14" s="182"/>
      <c r="D14" s="182"/>
      <c r="E14" s="182"/>
      <c r="F14" s="182"/>
      <c r="G14" s="182"/>
      <c r="H14" s="182"/>
    </row>
    <row r="15" spans="1:8" ht="15.75" thickBot="1" x14ac:dyDescent="0.3">
      <c r="A15" s="147" t="s">
        <v>65</v>
      </c>
      <c r="B15" s="151"/>
      <c r="C15" s="151"/>
      <c r="D15" s="151"/>
      <c r="E15" s="151"/>
      <c r="F15" s="146"/>
      <c r="G15" s="146"/>
      <c r="H15" s="146"/>
    </row>
    <row r="16" spans="1:8" ht="15.75" customHeight="1" thickBot="1" x14ac:dyDescent="0.3">
      <c r="A16" s="331" t="s">
        <v>66</v>
      </c>
      <c r="B16" s="331" t="s">
        <v>67</v>
      </c>
      <c r="C16" s="11" t="s">
        <v>15</v>
      </c>
      <c r="D16" s="12"/>
      <c r="E16" s="13"/>
      <c r="F16" s="11" t="s">
        <v>16</v>
      </c>
      <c r="G16" s="12"/>
      <c r="H16" s="13"/>
    </row>
    <row r="17" spans="1:8" ht="15.75" thickBot="1" x14ac:dyDescent="0.3">
      <c r="A17" s="332"/>
      <c r="B17" s="332"/>
      <c r="C17" s="148" t="s">
        <v>9</v>
      </c>
      <c r="D17" s="148" t="s">
        <v>10</v>
      </c>
      <c r="E17" s="148" t="s">
        <v>11</v>
      </c>
      <c r="F17" s="148" t="s">
        <v>9</v>
      </c>
      <c r="G17" s="148" t="s">
        <v>10</v>
      </c>
      <c r="H17" s="148" t="s">
        <v>12</v>
      </c>
    </row>
    <row r="18" spans="1:8" x14ac:dyDescent="0.25">
      <c r="A18" s="120">
        <v>1110390</v>
      </c>
      <c r="B18" s="119">
        <v>127</v>
      </c>
      <c r="C18" s="124">
        <v>2350</v>
      </c>
      <c r="D18" s="32">
        <v>38500</v>
      </c>
      <c r="E18" s="33">
        <v>8743.2283464566935</v>
      </c>
      <c r="F18" s="123">
        <v>5.679999828338623</v>
      </c>
      <c r="G18" s="122">
        <v>6</v>
      </c>
      <c r="H18" s="121">
        <v>5.9099918528971918</v>
      </c>
    </row>
    <row r="19" spans="1:8" ht="4.5" customHeight="1" x14ac:dyDescent="0.25">
      <c r="A19" s="182"/>
      <c r="B19" s="182"/>
      <c r="C19" s="182"/>
      <c r="D19" s="182"/>
      <c r="E19" s="182"/>
      <c r="F19" s="182"/>
      <c r="G19" s="182"/>
      <c r="H19" s="182"/>
    </row>
    <row r="20" spans="1:8" ht="16.5" thickBot="1" x14ac:dyDescent="0.3">
      <c r="A20" s="152" t="s">
        <v>68</v>
      </c>
      <c r="B20" s="151"/>
      <c r="C20" s="151"/>
      <c r="D20" s="151"/>
      <c r="E20" s="151"/>
      <c r="F20" s="146"/>
      <c r="G20" s="146"/>
      <c r="H20" s="146"/>
    </row>
    <row r="21" spans="1:8" ht="30" x14ac:dyDescent="0.25">
      <c r="A21" s="216" t="s">
        <v>66</v>
      </c>
      <c r="B21" s="216" t="s">
        <v>14</v>
      </c>
      <c r="C21" s="151"/>
      <c r="D21" s="151"/>
      <c r="E21" s="151"/>
      <c r="F21" s="146"/>
      <c r="G21" s="146"/>
      <c r="H21" s="146"/>
    </row>
    <row r="22" spans="1:8" x14ac:dyDescent="0.25">
      <c r="A22" s="120">
        <v>1110390</v>
      </c>
      <c r="B22" s="119">
        <v>127</v>
      </c>
    </row>
    <row r="23" spans="1:8" ht="4.5" customHeight="1" x14ac:dyDescent="0.25">
      <c r="A23" s="182"/>
      <c r="B23" s="182"/>
      <c r="C23" s="151"/>
      <c r="D23" s="151"/>
      <c r="E23" s="151"/>
      <c r="F23" s="146"/>
      <c r="G23" s="146"/>
      <c r="H23" s="146"/>
    </row>
    <row r="24" spans="1:8" ht="15.75" thickBot="1" x14ac:dyDescent="0.3">
      <c r="A24" s="147" t="s">
        <v>69</v>
      </c>
      <c r="B24" s="151"/>
      <c r="C24" s="151"/>
      <c r="D24" s="151"/>
      <c r="E24" s="151"/>
      <c r="F24" s="146"/>
      <c r="G24" s="146"/>
      <c r="H24" s="146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118">
        <v>51000</v>
      </c>
      <c r="B27" s="117">
        <v>10</v>
      </c>
    </row>
    <row r="28" spans="1:8" ht="15.75" x14ac:dyDescent="0.25">
      <c r="A28" s="153" t="s">
        <v>100</v>
      </c>
    </row>
    <row r="31" spans="1:8" ht="19.5" thickBot="1" x14ac:dyDescent="0.35">
      <c r="A31" s="79" t="s">
        <v>73</v>
      </c>
    </row>
    <row r="32" spans="1:8" ht="15.75" thickBot="1" x14ac:dyDescent="0.3">
      <c r="A32" s="325" t="s">
        <v>23</v>
      </c>
      <c r="B32" s="80" t="s">
        <v>18</v>
      </c>
      <c r="C32" s="81"/>
      <c r="D32" s="82"/>
      <c r="E32" s="81" t="s">
        <v>31</v>
      </c>
      <c r="F32" s="81"/>
      <c r="G32" s="82"/>
      <c r="H32" s="144"/>
    </row>
    <row r="33" spans="1:8" ht="30.75" thickBot="1" x14ac:dyDescent="0.3">
      <c r="A33" s="326"/>
      <c r="B33" s="143" t="s">
        <v>63</v>
      </c>
      <c r="C33" s="143" t="s">
        <v>20</v>
      </c>
      <c r="D33" s="143" t="s">
        <v>74</v>
      </c>
      <c r="E33" s="154" t="s">
        <v>75</v>
      </c>
      <c r="F33" s="143" t="s">
        <v>32</v>
      </c>
      <c r="G33" s="143" t="s">
        <v>76</v>
      </c>
      <c r="H33" s="144"/>
    </row>
    <row r="34" spans="1:8" x14ac:dyDescent="0.25">
      <c r="A34" s="116"/>
      <c r="B34" s="145">
        <v>2250</v>
      </c>
      <c r="C34" s="145">
        <v>3</v>
      </c>
      <c r="D34" s="145">
        <v>750</v>
      </c>
      <c r="E34" s="145">
        <v>0</v>
      </c>
      <c r="F34" s="145">
        <v>0</v>
      </c>
      <c r="G34" s="145">
        <v>0</v>
      </c>
      <c r="H34" s="144"/>
    </row>
    <row r="35" spans="1:8" x14ac:dyDescent="0.25">
      <c r="A35" s="116" t="s">
        <v>26</v>
      </c>
      <c r="B35" s="145">
        <v>415140</v>
      </c>
      <c r="C35" s="145">
        <v>87</v>
      </c>
      <c r="D35" s="145">
        <v>4771.7241379310344</v>
      </c>
      <c r="E35" s="145">
        <v>401040</v>
      </c>
      <c r="F35" s="145">
        <v>84</v>
      </c>
      <c r="G35" s="145">
        <v>4774.2857142857147</v>
      </c>
      <c r="H35" s="144"/>
    </row>
    <row r="36" spans="1:8" x14ac:dyDescent="0.25">
      <c r="A36" s="116" t="s">
        <v>27</v>
      </c>
      <c r="B36" s="145">
        <v>208050</v>
      </c>
      <c r="C36" s="145">
        <v>22</v>
      </c>
      <c r="D36" s="145">
        <v>9456.818181818182</v>
      </c>
      <c r="E36" s="145">
        <v>173400</v>
      </c>
      <c r="F36" s="145">
        <v>18</v>
      </c>
      <c r="G36" s="145">
        <v>9633.3333333333339</v>
      </c>
      <c r="H36" s="144"/>
    </row>
    <row r="37" spans="1:8" x14ac:dyDescent="0.25">
      <c r="A37" s="116" t="s">
        <v>28</v>
      </c>
      <c r="B37" s="145">
        <v>170400</v>
      </c>
      <c r="C37" s="145">
        <v>11</v>
      </c>
      <c r="D37" s="145">
        <v>15490.90909090909</v>
      </c>
      <c r="E37" s="145">
        <v>170400</v>
      </c>
      <c r="F37" s="145">
        <v>11</v>
      </c>
      <c r="G37" s="145">
        <v>15490.90909090909</v>
      </c>
      <c r="H37" s="144"/>
    </row>
    <row r="38" spans="1:8" x14ac:dyDescent="0.25">
      <c r="A38" s="180" t="s">
        <v>77</v>
      </c>
      <c r="B38" s="156">
        <v>365550</v>
      </c>
      <c r="C38" s="156">
        <v>14</v>
      </c>
      <c r="D38" s="156">
        <v>26110.714285714286</v>
      </c>
      <c r="E38" s="156">
        <v>365550</v>
      </c>
      <c r="F38" s="156">
        <v>14</v>
      </c>
      <c r="G38" s="156">
        <v>26110.714285714286</v>
      </c>
      <c r="H38" s="144"/>
    </row>
    <row r="39" spans="1:8" x14ac:dyDescent="0.25">
      <c r="A39" s="215" t="s">
        <v>78</v>
      </c>
      <c r="B39" s="156">
        <f>SUBTOTAL(109,Tabelle_PV_FFA_Datenbank_FE.accdb213107[Gebotsmenge])</f>
        <v>1161390</v>
      </c>
      <c r="C39" s="156">
        <f>SUBTOTAL(109,Tabelle_PV_FFA_Datenbank_FE.accdb213107[Anzahl Gebote])</f>
        <v>137</v>
      </c>
      <c r="E39" s="156">
        <f>SUBTOTAL(109,Tabelle_PV_FFA_Datenbank_FE.accdb213107[Zuschlagsmenge])</f>
        <v>1110390</v>
      </c>
      <c r="F39" s="156">
        <f>SUBTOTAL(109,Tabelle_PV_FFA_Datenbank_FE.accdb213107[Anzahl Zuschläge])</f>
        <v>127</v>
      </c>
      <c r="G39" s="156"/>
      <c r="H39" s="144"/>
    </row>
    <row r="40" spans="1:8" x14ac:dyDescent="0.25">
      <c r="A40" s="215"/>
      <c r="B40" s="156"/>
      <c r="C40" s="156"/>
      <c r="E40" s="156"/>
      <c r="F40" s="156"/>
      <c r="G40" s="156"/>
      <c r="H40" s="144"/>
    </row>
    <row r="41" spans="1:8" x14ac:dyDescent="0.25">
      <c r="A41" s="215"/>
      <c r="B41" s="156"/>
      <c r="C41" s="156"/>
      <c r="E41" s="156"/>
      <c r="F41" s="156"/>
      <c r="G41" s="156"/>
      <c r="H41" s="144"/>
    </row>
    <row r="42" spans="1:8" ht="19.5" thickBot="1" x14ac:dyDescent="0.35">
      <c r="A42" s="157" t="s">
        <v>79</v>
      </c>
    </row>
    <row r="43" spans="1:8" ht="15.75" thickBot="1" x14ac:dyDescent="0.3">
      <c r="A43" s="325" t="s">
        <v>80</v>
      </c>
      <c r="B43" s="80" t="s">
        <v>18</v>
      </c>
      <c r="C43" s="81"/>
      <c r="D43" s="82"/>
      <c r="E43" s="81" t="s">
        <v>31</v>
      </c>
      <c r="F43" s="81"/>
      <c r="G43" s="82"/>
    </row>
    <row r="44" spans="1:8" ht="30.75" thickBot="1" x14ac:dyDescent="0.3">
      <c r="A44" s="326"/>
      <c r="B44" s="143" t="s">
        <v>63</v>
      </c>
      <c r="C44" s="143" t="s">
        <v>20</v>
      </c>
      <c r="D44" s="143" t="s">
        <v>74</v>
      </c>
      <c r="E44" s="154" t="s">
        <v>75</v>
      </c>
      <c r="F44" s="143" t="s">
        <v>32</v>
      </c>
      <c r="G44" s="143" t="s">
        <v>76</v>
      </c>
    </row>
    <row r="45" spans="1:8" x14ac:dyDescent="0.25">
      <c r="A45" s="116" t="s">
        <v>39</v>
      </c>
      <c r="B45" s="145">
        <v>20400</v>
      </c>
      <c r="C45" s="145">
        <v>2</v>
      </c>
      <c r="D45" s="145">
        <v>10200</v>
      </c>
      <c r="E45" s="145">
        <v>20400</v>
      </c>
      <c r="F45" s="145">
        <v>2</v>
      </c>
      <c r="G45" s="145">
        <v>10200</v>
      </c>
    </row>
    <row r="46" spans="1:8" x14ac:dyDescent="0.25">
      <c r="A46" s="116" t="s">
        <v>40</v>
      </c>
      <c r="B46" s="145">
        <v>24400</v>
      </c>
      <c r="C46" s="145">
        <v>3</v>
      </c>
      <c r="D46" s="145">
        <v>8133.333333333333</v>
      </c>
      <c r="E46" s="145">
        <v>24400</v>
      </c>
      <c r="F46" s="145">
        <v>3</v>
      </c>
      <c r="G46" s="145">
        <v>8133.333333333333</v>
      </c>
    </row>
    <row r="47" spans="1:8" x14ac:dyDescent="0.25">
      <c r="A47" s="215" t="s">
        <v>41</v>
      </c>
      <c r="B47" s="156">
        <v>132960</v>
      </c>
      <c r="C47" s="156">
        <v>16</v>
      </c>
      <c r="D47" s="156">
        <v>8310</v>
      </c>
      <c r="E47" s="156">
        <v>123360</v>
      </c>
      <c r="F47" s="156">
        <v>14</v>
      </c>
      <c r="G47" s="156">
        <v>8811.4285714285706</v>
      </c>
    </row>
    <row r="48" spans="1:8" x14ac:dyDescent="0.25">
      <c r="A48" s="215" t="s">
        <v>42</v>
      </c>
      <c r="B48" s="156">
        <v>45880</v>
      </c>
      <c r="C48" s="156">
        <v>4</v>
      </c>
      <c r="D48" s="156">
        <v>11470</v>
      </c>
      <c r="E48" s="156">
        <v>45880</v>
      </c>
      <c r="F48" s="156">
        <v>4</v>
      </c>
      <c r="G48" s="156">
        <v>11470</v>
      </c>
    </row>
    <row r="49" spans="1:7" x14ac:dyDescent="0.25">
      <c r="A49" s="215" t="s">
        <v>43</v>
      </c>
      <c r="B49" s="156">
        <v>9300</v>
      </c>
      <c r="C49" s="156">
        <v>1</v>
      </c>
      <c r="D49" s="156">
        <v>9300</v>
      </c>
      <c r="E49" s="156">
        <v>9300</v>
      </c>
      <c r="F49" s="156">
        <v>1</v>
      </c>
      <c r="G49" s="156">
        <v>9300</v>
      </c>
    </row>
    <row r="50" spans="1:7" x14ac:dyDescent="0.25">
      <c r="A50" s="215" t="s">
        <v>44</v>
      </c>
      <c r="B50" s="156">
        <v>263150</v>
      </c>
      <c r="C50" s="156">
        <v>23</v>
      </c>
      <c r="D50" s="156">
        <v>11441.304347826086</v>
      </c>
      <c r="E50" s="156">
        <v>263150</v>
      </c>
      <c r="F50" s="156">
        <v>23</v>
      </c>
      <c r="G50" s="156">
        <v>11441.304347826086</v>
      </c>
    </row>
    <row r="51" spans="1:7" x14ac:dyDescent="0.25">
      <c r="A51" s="215" t="s">
        <v>45</v>
      </c>
      <c r="B51" s="156">
        <v>149500</v>
      </c>
      <c r="C51" s="156">
        <v>23</v>
      </c>
      <c r="D51" s="156">
        <v>6500</v>
      </c>
      <c r="E51" s="156">
        <v>121550</v>
      </c>
      <c r="F51" s="156">
        <v>19</v>
      </c>
      <c r="G51" s="156">
        <v>6397.3684210526317</v>
      </c>
    </row>
    <row r="52" spans="1:7" x14ac:dyDescent="0.25">
      <c r="A52" s="215" t="s">
        <v>46</v>
      </c>
      <c r="B52" s="156">
        <v>41800</v>
      </c>
      <c r="C52" s="156">
        <v>4</v>
      </c>
      <c r="D52" s="156">
        <v>10450</v>
      </c>
      <c r="E52" s="156">
        <v>41800</v>
      </c>
      <c r="F52" s="156">
        <v>4</v>
      </c>
      <c r="G52" s="156">
        <v>10450</v>
      </c>
    </row>
    <row r="53" spans="1:7" x14ac:dyDescent="0.25">
      <c r="A53" s="180" t="s">
        <v>98</v>
      </c>
      <c r="B53" s="156">
        <v>3450</v>
      </c>
      <c r="C53" s="156">
        <v>1</v>
      </c>
      <c r="D53" s="156">
        <v>3450</v>
      </c>
      <c r="E53" s="156">
        <v>3450</v>
      </c>
      <c r="F53" s="156">
        <v>1</v>
      </c>
      <c r="G53" s="156">
        <v>3450</v>
      </c>
    </row>
    <row r="54" spans="1:7" x14ac:dyDescent="0.25">
      <c r="A54" s="180" t="s">
        <v>47</v>
      </c>
      <c r="B54" s="156">
        <v>5700</v>
      </c>
      <c r="C54" s="156">
        <v>1</v>
      </c>
      <c r="D54" s="156">
        <v>5700</v>
      </c>
      <c r="E54" s="156">
        <v>5700</v>
      </c>
      <c r="F54" s="156">
        <v>1</v>
      </c>
      <c r="G54" s="156">
        <v>5700</v>
      </c>
    </row>
    <row r="55" spans="1:7" x14ac:dyDescent="0.25">
      <c r="A55" s="180" t="s">
        <v>48</v>
      </c>
      <c r="B55" s="156">
        <v>78400</v>
      </c>
      <c r="C55" s="156">
        <v>5</v>
      </c>
      <c r="D55" s="156">
        <v>15680</v>
      </c>
      <c r="E55" s="156">
        <v>78400</v>
      </c>
      <c r="F55" s="156">
        <v>5</v>
      </c>
      <c r="G55" s="156">
        <v>15680</v>
      </c>
    </row>
    <row r="56" spans="1:7" x14ac:dyDescent="0.25">
      <c r="A56" s="180" t="s">
        <v>49</v>
      </c>
      <c r="B56" s="156">
        <v>308850</v>
      </c>
      <c r="C56" s="156">
        <v>41</v>
      </c>
      <c r="D56" s="156">
        <v>7532.9268292682927</v>
      </c>
      <c r="E56" s="156">
        <v>295400</v>
      </c>
      <c r="F56" s="156">
        <v>37</v>
      </c>
      <c r="G56" s="156">
        <v>7983.7837837837842</v>
      </c>
    </row>
    <row r="57" spans="1:7" x14ac:dyDescent="0.25">
      <c r="A57" s="180" t="s">
        <v>50</v>
      </c>
      <c r="B57" s="156">
        <v>77600</v>
      </c>
      <c r="C57" s="156">
        <v>13</v>
      </c>
      <c r="D57" s="156">
        <v>5969.2307692307695</v>
      </c>
      <c r="E57" s="156">
        <v>77600</v>
      </c>
      <c r="F57" s="156">
        <v>13</v>
      </c>
      <c r="G57" s="156">
        <v>5969.2307692307695</v>
      </c>
    </row>
    <row r="58" spans="1:7" x14ac:dyDescent="0.25">
      <c r="A58" s="180" t="s">
        <v>78</v>
      </c>
      <c r="B58" s="156">
        <f>SUBTOTAL(109,Tabelle_PV_FFA_Datenbank_FE.accdb2456718109[Gebotsmenge])</f>
        <v>1161390</v>
      </c>
      <c r="C58" s="156">
        <f>SUBTOTAL(109,Tabelle_PV_FFA_Datenbank_FE.accdb2456718109[Anzahl Gebote])</f>
        <v>137</v>
      </c>
      <c r="E58" s="156">
        <f>SUBTOTAL(109,Tabelle_PV_FFA_Datenbank_FE.accdb2456718109[Zuschlagsmenge])</f>
        <v>1110390</v>
      </c>
      <c r="F58" s="156">
        <f>SUBTOTAL(109,Tabelle_PV_FFA_Datenbank_FE.accdb2456718109[Anzahl Zuschläge])</f>
        <v>127</v>
      </c>
      <c r="G58" s="156"/>
    </row>
    <row r="59" spans="1:7" x14ac:dyDescent="0.25">
      <c r="B59" s="156"/>
      <c r="C59" s="156"/>
      <c r="E59" s="156"/>
      <c r="F59" s="156"/>
    </row>
    <row r="60" spans="1:7" ht="15" customHeight="1" x14ac:dyDescent="0.25">
      <c r="B60" s="156"/>
      <c r="C60" s="156"/>
      <c r="D60" s="156"/>
      <c r="E60" s="156"/>
      <c r="F60" s="156"/>
      <c r="G60" s="156"/>
    </row>
    <row r="61" spans="1:7" ht="19.5" thickBot="1" x14ac:dyDescent="0.35">
      <c r="A61" s="79" t="s">
        <v>82</v>
      </c>
    </row>
    <row r="62" spans="1:7" ht="15.75" thickBot="1" x14ac:dyDescent="0.3">
      <c r="A62" s="325" t="s">
        <v>83</v>
      </c>
      <c r="B62" s="80" t="s">
        <v>18</v>
      </c>
      <c r="C62" s="81"/>
      <c r="D62" s="82"/>
      <c r="E62" s="81" t="s">
        <v>31</v>
      </c>
      <c r="F62" s="81"/>
      <c r="G62" s="82"/>
    </row>
    <row r="63" spans="1:7" ht="30.75" thickBot="1" x14ac:dyDescent="0.3">
      <c r="A63" s="326"/>
      <c r="B63" s="143" t="s">
        <v>63</v>
      </c>
      <c r="C63" s="143" t="s">
        <v>20</v>
      </c>
      <c r="D63" s="143" t="s">
        <v>74</v>
      </c>
      <c r="E63" s="154" t="s">
        <v>75</v>
      </c>
      <c r="F63" s="143" t="s">
        <v>32</v>
      </c>
      <c r="G63" s="143" t="s">
        <v>76</v>
      </c>
    </row>
    <row r="64" spans="1:7" x14ac:dyDescent="0.25">
      <c r="A64" s="116" t="s">
        <v>24</v>
      </c>
      <c r="B64" s="145">
        <v>72600</v>
      </c>
      <c r="C64" s="145">
        <v>8</v>
      </c>
      <c r="D64" s="145">
        <v>9075</v>
      </c>
      <c r="E64" s="145">
        <v>72600</v>
      </c>
      <c r="F64" s="145">
        <v>8</v>
      </c>
      <c r="G64" s="145">
        <v>9075</v>
      </c>
    </row>
    <row r="65" spans="1:7" x14ac:dyDescent="0.25">
      <c r="A65" s="180" t="s">
        <v>84</v>
      </c>
      <c r="B65" s="156">
        <v>1088790</v>
      </c>
      <c r="C65" s="156">
        <v>129</v>
      </c>
      <c r="D65" s="156">
        <v>8440.2325581395344</v>
      </c>
      <c r="E65" s="156">
        <v>1037790</v>
      </c>
      <c r="F65" s="156">
        <v>119</v>
      </c>
      <c r="G65" s="156">
        <v>8720.9243697478996</v>
      </c>
    </row>
    <row r="66" spans="1:7" x14ac:dyDescent="0.25">
      <c r="A66" s="180" t="s">
        <v>78</v>
      </c>
      <c r="B66" s="156">
        <f>SUBTOTAL(109,Tabelle_PV_FFA_Datenbank_FE.accdb245616110[Gebotsmenge])</f>
        <v>1161390</v>
      </c>
      <c r="C66" s="156">
        <f>SUBTOTAL(109,Tabelle_PV_FFA_Datenbank_FE.accdb245616110[Anzahl Gebote])</f>
        <v>137</v>
      </c>
      <c r="E66" s="156">
        <f>SUBTOTAL(109,Tabelle_PV_FFA_Datenbank_FE.accdb245616110[Zuschlagsmenge])</f>
        <v>1110390</v>
      </c>
      <c r="F66" s="156">
        <f>SUBTOTAL(109,Tabelle_PV_FFA_Datenbank_FE.accdb245616110[Anzahl Zuschläge])</f>
        <v>127</v>
      </c>
      <c r="G66" s="156"/>
    </row>
    <row r="67" spans="1:7" x14ac:dyDescent="0.25">
      <c r="B67" s="156"/>
      <c r="C67" s="156"/>
      <c r="E67" s="156"/>
      <c r="F67" s="156"/>
    </row>
    <row r="68" spans="1:7" x14ac:dyDescent="0.25">
      <c r="A68" s="215"/>
      <c r="B68" s="156"/>
      <c r="C68" s="156"/>
      <c r="D68" s="156"/>
      <c r="E68" s="156"/>
      <c r="F68" s="156"/>
      <c r="G68" s="156"/>
    </row>
    <row r="69" spans="1:7" ht="19.5" thickBot="1" x14ac:dyDescent="0.35">
      <c r="A69" s="79" t="s">
        <v>85</v>
      </c>
    </row>
    <row r="70" spans="1:7" ht="15.75" thickBot="1" x14ac:dyDescent="0.3">
      <c r="A70" s="325" t="s">
        <v>86</v>
      </c>
      <c r="B70" s="80" t="s">
        <v>18</v>
      </c>
      <c r="C70" s="81"/>
      <c r="D70" s="82"/>
      <c r="E70" s="81" t="s">
        <v>31</v>
      </c>
      <c r="F70" s="81"/>
      <c r="G70" s="82"/>
    </row>
    <row r="71" spans="1:7" ht="30.75" thickBot="1" x14ac:dyDescent="0.3">
      <c r="A71" s="338"/>
      <c r="B71" s="143" t="s">
        <v>63</v>
      </c>
      <c r="C71" s="143" t="s">
        <v>20</v>
      </c>
      <c r="D71" s="143" t="s">
        <v>74</v>
      </c>
      <c r="E71" s="154" t="s">
        <v>75</v>
      </c>
      <c r="F71" s="143" t="s">
        <v>32</v>
      </c>
      <c r="G71" s="143" t="s">
        <v>76</v>
      </c>
    </row>
    <row r="72" spans="1:7" x14ac:dyDescent="0.25">
      <c r="A72" s="116"/>
      <c r="B72" s="145">
        <v>4200</v>
      </c>
      <c r="C72" s="145">
        <v>1</v>
      </c>
      <c r="D72" s="145">
        <v>4200</v>
      </c>
      <c r="E72" s="145">
        <v>0</v>
      </c>
      <c r="F72" s="145">
        <v>0</v>
      </c>
      <c r="G72" s="145">
        <v>0</v>
      </c>
    </row>
    <row r="73" spans="1:7" x14ac:dyDescent="0.25">
      <c r="A73" s="180" t="s">
        <v>87</v>
      </c>
      <c r="B73" s="156">
        <v>75900</v>
      </c>
      <c r="C73" s="156">
        <v>4</v>
      </c>
      <c r="D73" s="156">
        <v>18975</v>
      </c>
      <c r="E73" s="156">
        <v>75900</v>
      </c>
      <c r="F73" s="156">
        <v>4</v>
      </c>
      <c r="G73" s="156">
        <v>18975</v>
      </c>
    </row>
    <row r="74" spans="1:7" x14ac:dyDescent="0.25">
      <c r="A74" s="180" t="s">
        <v>88</v>
      </c>
      <c r="B74" s="156">
        <v>3660</v>
      </c>
      <c r="C74" s="156">
        <v>1</v>
      </c>
      <c r="D74" s="156">
        <v>3660</v>
      </c>
      <c r="E74" s="156">
        <v>3660</v>
      </c>
      <c r="F74" s="156">
        <v>1</v>
      </c>
      <c r="G74" s="156">
        <v>3660</v>
      </c>
    </row>
    <row r="75" spans="1:7" x14ac:dyDescent="0.25">
      <c r="A75" s="180" t="s">
        <v>89</v>
      </c>
      <c r="B75" s="180">
        <v>6000</v>
      </c>
      <c r="C75" s="180">
        <v>1</v>
      </c>
      <c r="D75" s="156">
        <v>6000</v>
      </c>
      <c r="E75" s="180">
        <v>6000</v>
      </c>
      <c r="F75" s="180">
        <v>1</v>
      </c>
      <c r="G75" s="180">
        <v>6000</v>
      </c>
    </row>
    <row r="76" spans="1:7" x14ac:dyDescent="0.25">
      <c r="A76" s="180" t="s">
        <v>90</v>
      </c>
      <c r="B76" s="156">
        <v>19200</v>
      </c>
      <c r="C76" s="156">
        <v>1</v>
      </c>
      <c r="D76" s="156">
        <v>19200</v>
      </c>
      <c r="E76" s="156">
        <v>19200</v>
      </c>
      <c r="F76" s="156">
        <v>1</v>
      </c>
      <c r="G76" s="156">
        <v>19200</v>
      </c>
    </row>
    <row r="77" spans="1:7" x14ac:dyDescent="0.25">
      <c r="A77" s="180" t="s">
        <v>91</v>
      </c>
      <c r="B77" s="156">
        <v>272700</v>
      </c>
      <c r="C77" s="156">
        <v>29</v>
      </c>
      <c r="D77" s="156">
        <v>9403.4482758620688</v>
      </c>
      <c r="E77" s="156">
        <v>249250</v>
      </c>
      <c r="F77" s="156">
        <v>26</v>
      </c>
      <c r="G77" s="156">
        <v>9586.538461538461</v>
      </c>
    </row>
    <row r="78" spans="1:7" x14ac:dyDescent="0.25">
      <c r="A78" s="180" t="s">
        <v>92</v>
      </c>
      <c r="B78" s="156">
        <v>748830</v>
      </c>
      <c r="C78" s="156">
        <v>93</v>
      </c>
      <c r="D78" s="156">
        <v>8051.9354838709678</v>
      </c>
      <c r="E78" s="156">
        <v>721280</v>
      </c>
      <c r="F78" s="156">
        <v>86</v>
      </c>
      <c r="G78" s="156">
        <v>8386.9767441860458</v>
      </c>
    </row>
    <row r="79" spans="1:7" x14ac:dyDescent="0.25">
      <c r="A79" s="180" t="s">
        <v>118</v>
      </c>
      <c r="B79" s="156">
        <v>16200</v>
      </c>
      <c r="C79" s="156">
        <v>3</v>
      </c>
      <c r="D79" s="156">
        <v>5400</v>
      </c>
      <c r="E79" s="156">
        <v>16200</v>
      </c>
      <c r="F79" s="156">
        <v>3</v>
      </c>
      <c r="G79" s="156">
        <v>5400</v>
      </c>
    </row>
    <row r="80" spans="1:7" x14ac:dyDescent="0.25">
      <c r="A80" s="180" t="s">
        <v>94</v>
      </c>
      <c r="B80" s="156">
        <v>14700</v>
      </c>
      <c r="C80" s="156">
        <v>4</v>
      </c>
      <c r="D80" s="156">
        <v>3675</v>
      </c>
      <c r="E80" s="156">
        <v>14700</v>
      </c>
      <c r="F80" s="156">
        <v>4</v>
      </c>
      <c r="G80" s="156">
        <v>3675</v>
      </c>
    </row>
    <row r="81" spans="1:7" x14ac:dyDescent="0.25">
      <c r="A81" s="180" t="s">
        <v>78</v>
      </c>
      <c r="B81" s="156">
        <f>SUBTOTAL(109,Tabelle_PV_FFA_Datenbank_FE.accdb2412108[Gebotsmenge])</f>
        <v>1161390</v>
      </c>
      <c r="C81" s="156">
        <f>SUBTOTAL(109,Tabelle_PV_FFA_Datenbank_FE.accdb2412108[Anzahl Gebote])</f>
        <v>137</v>
      </c>
      <c r="E81" s="156">
        <f>SUBTOTAL(109,Tabelle_PV_FFA_Datenbank_FE.accdb2412108[Zuschlagsmenge])</f>
        <v>1106190</v>
      </c>
      <c r="F81" s="156">
        <f>SUBTOTAL(109,Tabelle_PV_FFA_Datenbank_FE.accdb2412108[Anzahl Zuschläge])</f>
        <v>126</v>
      </c>
      <c r="G81" s="156"/>
    </row>
    <row r="82" spans="1:7" x14ac:dyDescent="0.25">
      <c r="B82" s="156"/>
      <c r="C82" s="156"/>
      <c r="D82" s="156"/>
      <c r="E82" s="156"/>
      <c r="F82" s="156"/>
      <c r="G82" s="156"/>
    </row>
    <row r="83" spans="1:7" x14ac:dyDescent="0.25">
      <c r="B83" s="156"/>
      <c r="C83" s="156"/>
      <c r="D83" s="156"/>
      <c r="E83" s="156"/>
      <c r="F83" s="156"/>
      <c r="G83" s="156"/>
    </row>
  </sheetData>
  <protectedRanges>
    <protectedRange sqref="B3" name="Bereich1"/>
  </protectedRanges>
  <mergeCells count="11">
    <mergeCell ref="B25:B26"/>
    <mergeCell ref="A1:F1"/>
    <mergeCell ref="A11:A12"/>
    <mergeCell ref="B11:B12"/>
    <mergeCell ref="A16:A17"/>
    <mergeCell ref="B16:B17"/>
    <mergeCell ref="A70:A71"/>
    <mergeCell ref="A32:A33"/>
    <mergeCell ref="A43:A44"/>
    <mergeCell ref="A62:A63"/>
    <mergeCell ref="A25:A26"/>
  </mergeCells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custom" allowBlank="1" showInputMessage="1" showErrorMessage="1" xr:uid="{00000000-0002-0000-0500-000000000000}">
          <x14:formula1>
            <xm:f>VLOOKUP(C3,'C:\Users\625f\Desktop\[210615_Statistik_Veröffentlichung_Wind.xlsm]Gebotstermine'!#REF!,2,FALSE)</xm:f>
          </x14:formula1>
          <xm:sqref>D3</xm:sqref>
        </x14:dataValidation>
        <x14:dataValidation type="list" showInputMessage="1" showErrorMessage="1" xr:uid="{00000000-0002-0000-0500-000001000000}">
          <x14:formula1>
            <xm:f>'C:\Users\625f\Desktop\[210615_Statistik_Veröffentlichung_Wind.xlsm]Gebotstermine'!#REF!</xm:f>
          </x14:formula1>
          <xm:sqref>B3</xm:sqref>
        </x14:dataValidation>
        <x14:dataValidation type="list" allowBlank="1" showInputMessage="1" showErrorMessage="1" xr:uid="{00000000-0002-0000-0500-000002000000}">
          <x14:formula1>
            <xm:f>'C:\Users\625f\Desktop\[210615_Statistik_Veröffentlichung_Wind.xlsm]Gebotstermine'!#REF!</xm:f>
          </x14:formula1>
          <xm:sqref>I3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1">
    <tabColor rgb="FF0070C0"/>
  </sheetPr>
  <dimension ref="A1:H77"/>
  <sheetViews>
    <sheetView showGridLines="0" topLeftCell="A34" zoomScaleNormal="100" workbookViewId="0">
      <selection activeCell="A43" sqref="A43:G56"/>
    </sheetView>
  </sheetViews>
  <sheetFormatPr defaultColWidth="9.140625" defaultRowHeight="15" x14ac:dyDescent="0.25"/>
  <cols>
    <col min="1" max="1" width="47.5703125" style="180" customWidth="1"/>
    <col min="2" max="43" width="19.28515625" style="180" customWidth="1"/>
    <col min="44" max="16384" width="9.140625" style="180"/>
  </cols>
  <sheetData>
    <row r="1" spans="1:8" s="214" customFormat="1" ht="42" customHeight="1" x14ac:dyDescent="0.25">
      <c r="A1" s="339" t="s">
        <v>64</v>
      </c>
      <c r="B1" s="340"/>
      <c r="C1" s="340"/>
      <c r="D1" s="340"/>
      <c r="E1" s="340"/>
      <c r="F1" s="340"/>
      <c r="H1" s="136" t="s">
        <v>126</v>
      </c>
    </row>
    <row r="2" spans="1:8" s="214" customFormat="1" ht="23.25" x14ac:dyDescent="0.25">
      <c r="A2" s="181"/>
    </row>
    <row r="3" spans="1:8" x14ac:dyDescent="0.25">
      <c r="A3" s="137" t="s">
        <v>1</v>
      </c>
      <c r="B3" s="138">
        <v>44228</v>
      </c>
      <c r="C3" s="139" t="e">
        <f ca="1">OFFSET([2]!Gebotstermine[[#Headers],[terGebotsterminID]],MATCH(Gebotstermin,[2]!Gebotstermine[terGebotstermin],0),,,)</f>
        <v>#REF!</v>
      </c>
    </row>
    <row r="4" spans="1:8" x14ac:dyDescent="0.25">
      <c r="A4" s="140"/>
      <c r="B4" s="141"/>
    </row>
    <row r="6" spans="1:8" ht="19.5" thickBot="1" x14ac:dyDescent="0.35">
      <c r="A6" s="142" t="s">
        <v>2</v>
      </c>
    </row>
    <row r="7" spans="1:8" ht="45.75" thickBot="1" x14ac:dyDescent="0.3">
      <c r="A7" s="143" t="s">
        <v>3</v>
      </c>
      <c r="B7" s="143" t="s">
        <v>4</v>
      </c>
      <c r="F7" s="144"/>
      <c r="G7" s="145"/>
      <c r="H7" s="145"/>
    </row>
    <row r="8" spans="1:8" x14ac:dyDescent="0.25">
      <c r="A8" s="133">
        <v>1500000</v>
      </c>
      <c r="B8" s="146">
        <v>6</v>
      </c>
    </row>
    <row r="9" spans="1:8" ht="18.75" x14ac:dyDescent="0.3">
      <c r="A9" s="142"/>
    </row>
    <row r="10" spans="1:8" ht="15.75" thickBot="1" x14ac:dyDescent="0.3">
      <c r="A10" s="147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11" t="s">
        <v>7</v>
      </c>
      <c r="D11" s="12"/>
      <c r="E11" s="13"/>
      <c r="F11" s="11" t="s">
        <v>8</v>
      </c>
      <c r="G11" s="12"/>
      <c r="H11" s="13"/>
    </row>
    <row r="12" spans="1:8" ht="15.75" thickBot="1" x14ac:dyDescent="0.3">
      <c r="A12" s="332"/>
      <c r="B12" s="332"/>
      <c r="C12" s="148" t="s">
        <v>9</v>
      </c>
      <c r="D12" s="148" t="s">
        <v>10</v>
      </c>
      <c r="E12" s="148" t="s">
        <v>11</v>
      </c>
      <c r="F12" s="148" t="s">
        <v>9</v>
      </c>
      <c r="G12" s="148" t="s">
        <v>10</v>
      </c>
      <c r="H12" s="149" t="s">
        <v>12</v>
      </c>
    </row>
    <row r="13" spans="1:8" x14ac:dyDescent="0.25">
      <c r="A13" s="132">
        <v>718800</v>
      </c>
      <c r="B13" s="131">
        <v>91</v>
      </c>
      <c r="C13" s="130">
        <v>350</v>
      </c>
      <c r="D13" s="129">
        <v>39900</v>
      </c>
      <c r="E13" s="128">
        <v>7898.9010989010985</v>
      </c>
      <c r="F13" s="127">
        <v>5.15</v>
      </c>
      <c r="G13" s="126">
        <v>6</v>
      </c>
      <c r="H13" s="125">
        <v>5.9967890929326657</v>
      </c>
    </row>
    <row r="14" spans="1:8" ht="4.5" customHeight="1" x14ac:dyDescent="0.25">
      <c r="A14" s="182"/>
      <c r="B14" s="182"/>
      <c r="C14" s="182"/>
      <c r="D14" s="182"/>
      <c r="E14" s="182"/>
      <c r="F14" s="182"/>
      <c r="G14" s="182"/>
      <c r="H14" s="182"/>
    </row>
    <row r="15" spans="1:8" ht="15.75" thickBot="1" x14ac:dyDescent="0.3">
      <c r="A15" s="147" t="s">
        <v>65</v>
      </c>
      <c r="B15" s="151"/>
      <c r="C15" s="151"/>
      <c r="D15" s="151"/>
      <c r="E15" s="151"/>
      <c r="F15" s="146"/>
      <c r="G15" s="146"/>
      <c r="H15" s="146"/>
    </row>
    <row r="16" spans="1:8" ht="15.75" customHeight="1" thickBot="1" x14ac:dyDescent="0.3">
      <c r="A16" s="331" t="s">
        <v>66</v>
      </c>
      <c r="B16" s="331" t="s">
        <v>67</v>
      </c>
      <c r="C16" s="11" t="s">
        <v>15</v>
      </c>
      <c r="D16" s="12"/>
      <c r="E16" s="13"/>
      <c r="F16" s="11" t="s">
        <v>16</v>
      </c>
      <c r="G16" s="12"/>
      <c r="H16" s="13"/>
    </row>
    <row r="17" spans="1:8" ht="15.75" thickBot="1" x14ac:dyDescent="0.3">
      <c r="A17" s="332"/>
      <c r="B17" s="332"/>
      <c r="C17" s="148" t="s">
        <v>9</v>
      </c>
      <c r="D17" s="148" t="s">
        <v>10</v>
      </c>
      <c r="E17" s="148" t="s">
        <v>11</v>
      </c>
      <c r="F17" s="148" t="s">
        <v>9</v>
      </c>
      <c r="G17" s="148" t="s">
        <v>10</v>
      </c>
      <c r="H17" s="148" t="s">
        <v>12</v>
      </c>
    </row>
    <row r="18" spans="1:8" x14ac:dyDescent="0.25">
      <c r="A18" s="120">
        <v>691450</v>
      </c>
      <c r="B18" s="119">
        <v>89</v>
      </c>
      <c r="C18" s="124">
        <v>350</v>
      </c>
      <c r="D18" s="32">
        <v>39900</v>
      </c>
      <c r="E18" s="33">
        <v>7769.1011235955057</v>
      </c>
      <c r="F18" s="123">
        <v>5.1500000953674316</v>
      </c>
      <c r="G18" s="122">
        <v>6</v>
      </c>
      <c r="H18" s="121">
        <v>5.9967300244496249</v>
      </c>
    </row>
    <row r="19" spans="1:8" ht="4.5" customHeight="1" x14ac:dyDescent="0.25">
      <c r="A19" s="182"/>
      <c r="B19" s="182"/>
      <c r="C19" s="182"/>
      <c r="D19" s="182"/>
      <c r="E19" s="182"/>
      <c r="F19" s="182"/>
      <c r="G19" s="182"/>
      <c r="H19" s="182"/>
    </row>
    <row r="20" spans="1:8" ht="16.5" thickBot="1" x14ac:dyDescent="0.3">
      <c r="A20" s="152" t="s">
        <v>68</v>
      </c>
      <c r="B20" s="151"/>
      <c r="C20" s="151"/>
      <c r="D20" s="151"/>
      <c r="E20" s="151"/>
      <c r="F20" s="146"/>
      <c r="G20" s="146"/>
      <c r="H20" s="146"/>
    </row>
    <row r="21" spans="1:8" ht="30" x14ac:dyDescent="0.25">
      <c r="A21" s="213" t="s">
        <v>66</v>
      </c>
      <c r="B21" s="213" t="s">
        <v>14</v>
      </c>
      <c r="C21" s="151"/>
      <c r="D21" s="151"/>
      <c r="E21" s="151"/>
      <c r="F21" s="146"/>
      <c r="G21" s="146"/>
      <c r="H21" s="146"/>
    </row>
    <row r="22" spans="1:8" x14ac:dyDescent="0.25">
      <c r="A22" s="120">
        <v>691450</v>
      </c>
      <c r="B22" s="119">
        <v>89</v>
      </c>
    </row>
    <row r="23" spans="1:8" ht="4.5" customHeight="1" x14ac:dyDescent="0.25">
      <c r="A23" s="182"/>
      <c r="B23" s="182"/>
      <c r="C23" s="151"/>
      <c r="D23" s="151"/>
      <c r="E23" s="151"/>
      <c r="F23" s="146"/>
      <c r="G23" s="146"/>
      <c r="H23" s="146"/>
    </row>
    <row r="24" spans="1:8" ht="15.75" thickBot="1" x14ac:dyDescent="0.3">
      <c r="A24" s="147" t="s">
        <v>69</v>
      </c>
      <c r="B24" s="151"/>
      <c r="C24" s="151"/>
      <c r="D24" s="151"/>
      <c r="E24" s="151"/>
      <c r="F24" s="146"/>
      <c r="G24" s="146"/>
      <c r="H24" s="146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118">
        <v>27350</v>
      </c>
      <c r="B27" s="117">
        <v>2</v>
      </c>
    </row>
    <row r="28" spans="1:8" ht="15.75" x14ac:dyDescent="0.25">
      <c r="A28" s="153" t="s">
        <v>100</v>
      </c>
    </row>
    <row r="31" spans="1:8" ht="19.5" thickBot="1" x14ac:dyDescent="0.35">
      <c r="A31" s="79" t="s">
        <v>73</v>
      </c>
    </row>
    <row r="32" spans="1:8" ht="15.75" thickBot="1" x14ac:dyDescent="0.3">
      <c r="A32" s="325" t="s">
        <v>23</v>
      </c>
      <c r="B32" s="80" t="s">
        <v>18</v>
      </c>
      <c r="C32" s="81"/>
      <c r="D32" s="82"/>
      <c r="E32" s="81" t="s">
        <v>31</v>
      </c>
      <c r="F32" s="81"/>
      <c r="G32" s="82"/>
      <c r="H32" s="144"/>
    </row>
    <row r="33" spans="1:8" ht="30.75" thickBot="1" x14ac:dyDescent="0.3">
      <c r="A33" s="326"/>
      <c r="B33" s="143" t="s">
        <v>63</v>
      </c>
      <c r="C33" s="143" t="s">
        <v>20</v>
      </c>
      <c r="D33" s="143" t="s">
        <v>74</v>
      </c>
      <c r="E33" s="154" t="s">
        <v>75</v>
      </c>
      <c r="F33" s="143" t="s">
        <v>32</v>
      </c>
      <c r="G33" s="143" t="s">
        <v>76</v>
      </c>
      <c r="H33" s="144"/>
    </row>
    <row r="34" spans="1:8" x14ac:dyDescent="0.25">
      <c r="A34" s="116"/>
      <c r="B34" s="145">
        <v>700</v>
      </c>
      <c r="C34" s="145">
        <v>2</v>
      </c>
      <c r="D34" s="145">
        <v>350</v>
      </c>
      <c r="E34" s="145">
        <v>0</v>
      </c>
      <c r="F34" s="145">
        <v>0</v>
      </c>
      <c r="G34" s="145">
        <v>0</v>
      </c>
      <c r="H34" s="144"/>
    </row>
    <row r="35" spans="1:8" x14ac:dyDescent="0.25">
      <c r="A35" s="116" t="s">
        <v>26</v>
      </c>
      <c r="B35" s="145">
        <v>275850</v>
      </c>
      <c r="C35" s="145">
        <v>63</v>
      </c>
      <c r="D35" s="145">
        <v>4378.5714285714284</v>
      </c>
      <c r="E35" s="145">
        <v>273500</v>
      </c>
      <c r="F35" s="145">
        <v>62</v>
      </c>
      <c r="G35" s="145">
        <v>4411.2903225806449</v>
      </c>
      <c r="H35" s="144"/>
    </row>
    <row r="36" spans="1:8" x14ac:dyDescent="0.25">
      <c r="A36" s="116" t="s">
        <v>27</v>
      </c>
      <c r="B36" s="145">
        <v>96200</v>
      </c>
      <c r="C36" s="145">
        <v>10</v>
      </c>
      <c r="D36" s="145">
        <v>9620</v>
      </c>
      <c r="E36" s="145">
        <v>96200</v>
      </c>
      <c r="F36" s="145">
        <v>10</v>
      </c>
      <c r="G36" s="145">
        <v>9620</v>
      </c>
      <c r="H36" s="144"/>
    </row>
    <row r="37" spans="1:8" x14ac:dyDescent="0.25">
      <c r="A37" s="116" t="s">
        <v>28</v>
      </c>
      <c r="B37" s="145">
        <v>96750</v>
      </c>
      <c r="C37" s="145">
        <v>6</v>
      </c>
      <c r="D37" s="145">
        <v>16125</v>
      </c>
      <c r="E37" s="145">
        <v>96750</v>
      </c>
      <c r="F37" s="145">
        <v>6</v>
      </c>
      <c r="G37" s="145">
        <v>16125</v>
      </c>
      <c r="H37" s="144"/>
    </row>
    <row r="38" spans="1:8" x14ac:dyDescent="0.25">
      <c r="A38" s="180" t="s">
        <v>77</v>
      </c>
      <c r="B38" s="156">
        <v>249300</v>
      </c>
      <c r="C38" s="156">
        <v>10</v>
      </c>
      <c r="D38" s="156">
        <v>24930</v>
      </c>
      <c r="E38" s="156">
        <v>224300</v>
      </c>
      <c r="F38" s="156">
        <v>9</v>
      </c>
      <c r="G38" s="156">
        <v>24922.222222222223</v>
      </c>
      <c r="H38" s="144"/>
    </row>
    <row r="39" spans="1:8" x14ac:dyDescent="0.25">
      <c r="A39" s="215" t="s">
        <v>78</v>
      </c>
      <c r="B39" s="156">
        <f>SUBTOTAL(109,Tabelle_PV_FFA_Datenbank_FE.accdb21398[Gebotsmenge])</f>
        <v>718800</v>
      </c>
      <c r="C39" s="156">
        <f>SUBTOTAL(109,Tabelle_PV_FFA_Datenbank_FE.accdb21398[Anzahl Gebote])</f>
        <v>91</v>
      </c>
      <c r="E39" s="156">
        <f>SUBTOTAL(109,Tabelle_PV_FFA_Datenbank_FE.accdb21398[Zuschlagsmenge])</f>
        <v>690750</v>
      </c>
      <c r="F39" s="156">
        <f>SUBTOTAL(109,Tabelle_PV_FFA_Datenbank_FE.accdb21398[Anzahl Zuschläge])</f>
        <v>87</v>
      </c>
      <c r="G39" s="156"/>
      <c r="H39" s="144"/>
    </row>
    <row r="40" spans="1:8" x14ac:dyDescent="0.25">
      <c r="A40" s="215"/>
      <c r="B40" s="156"/>
      <c r="C40" s="156"/>
      <c r="E40" s="156"/>
      <c r="F40" s="156"/>
      <c r="G40" s="156"/>
      <c r="H40" s="144"/>
    </row>
    <row r="41" spans="1:8" x14ac:dyDescent="0.25">
      <c r="A41" s="215"/>
      <c r="B41" s="156"/>
      <c r="C41" s="156"/>
      <c r="E41" s="156"/>
      <c r="F41" s="156"/>
      <c r="G41" s="156"/>
      <c r="H41" s="144"/>
    </row>
    <row r="42" spans="1:8" ht="19.5" thickBot="1" x14ac:dyDescent="0.35">
      <c r="A42" s="157" t="s">
        <v>79</v>
      </c>
    </row>
    <row r="43" spans="1:8" ht="15.75" thickBot="1" x14ac:dyDescent="0.3">
      <c r="A43" s="325" t="s">
        <v>80</v>
      </c>
      <c r="B43" s="80" t="s">
        <v>18</v>
      </c>
      <c r="C43" s="81"/>
      <c r="D43" s="82"/>
      <c r="E43" s="81" t="s">
        <v>31</v>
      </c>
      <c r="F43" s="81"/>
      <c r="G43" s="82"/>
    </row>
    <row r="44" spans="1:8" ht="30.75" thickBot="1" x14ac:dyDescent="0.3">
      <c r="A44" s="326"/>
      <c r="B44" s="143" t="s">
        <v>63</v>
      </c>
      <c r="C44" s="143" t="s">
        <v>20</v>
      </c>
      <c r="D44" s="143" t="s">
        <v>74</v>
      </c>
      <c r="E44" s="154" t="s">
        <v>75</v>
      </c>
      <c r="F44" s="143" t="s">
        <v>32</v>
      </c>
      <c r="G44" s="143" t="s">
        <v>76</v>
      </c>
    </row>
    <row r="45" spans="1:8" x14ac:dyDescent="0.25">
      <c r="A45" s="116" t="s">
        <v>39</v>
      </c>
      <c r="B45" s="145">
        <v>12600</v>
      </c>
      <c r="C45" s="145">
        <v>1</v>
      </c>
      <c r="D45" s="145">
        <v>12600</v>
      </c>
      <c r="E45" s="145">
        <v>12600</v>
      </c>
      <c r="F45" s="145">
        <v>1</v>
      </c>
      <c r="G45" s="145">
        <v>12600</v>
      </c>
    </row>
    <row r="46" spans="1:8" x14ac:dyDescent="0.25">
      <c r="A46" s="116" t="s">
        <v>41</v>
      </c>
      <c r="B46" s="145">
        <v>167650</v>
      </c>
      <c r="C46" s="145">
        <v>19</v>
      </c>
      <c r="D46" s="145">
        <v>8823.6842105263149</v>
      </c>
      <c r="E46" s="145">
        <v>165300</v>
      </c>
      <c r="F46" s="145">
        <v>18</v>
      </c>
      <c r="G46" s="145">
        <v>9183.3333333333339</v>
      </c>
    </row>
    <row r="47" spans="1:8" x14ac:dyDescent="0.25">
      <c r="A47" s="215" t="s">
        <v>42</v>
      </c>
      <c r="B47" s="156">
        <v>43900</v>
      </c>
      <c r="C47" s="156">
        <v>4</v>
      </c>
      <c r="D47" s="156">
        <v>10975</v>
      </c>
      <c r="E47" s="156">
        <v>43900</v>
      </c>
      <c r="F47" s="156">
        <v>4</v>
      </c>
      <c r="G47" s="156">
        <v>10975</v>
      </c>
    </row>
    <row r="48" spans="1:8" x14ac:dyDescent="0.25">
      <c r="A48" s="215" t="s">
        <v>43</v>
      </c>
      <c r="B48" s="156">
        <v>63400</v>
      </c>
      <c r="C48" s="156">
        <v>6</v>
      </c>
      <c r="D48" s="156">
        <v>10566.666666666666</v>
      </c>
      <c r="E48" s="156">
        <v>63400</v>
      </c>
      <c r="F48" s="156">
        <v>6</v>
      </c>
      <c r="G48" s="156">
        <v>10566.666666666666</v>
      </c>
    </row>
    <row r="49" spans="1:7" x14ac:dyDescent="0.25">
      <c r="A49" s="215" t="s">
        <v>44</v>
      </c>
      <c r="B49" s="156">
        <v>45800</v>
      </c>
      <c r="C49" s="156">
        <v>7</v>
      </c>
      <c r="D49" s="156">
        <v>6542.8571428571431</v>
      </c>
      <c r="E49" s="156">
        <v>45800</v>
      </c>
      <c r="F49" s="156">
        <v>7</v>
      </c>
      <c r="G49" s="156">
        <v>6542.8571428571431</v>
      </c>
    </row>
    <row r="50" spans="1:7" x14ac:dyDescent="0.25">
      <c r="A50" s="215" t="s">
        <v>45</v>
      </c>
      <c r="B50" s="156">
        <v>141450</v>
      </c>
      <c r="C50" s="156">
        <v>21</v>
      </c>
      <c r="D50" s="156">
        <v>6735.7142857142853</v>
      </c>
      <c r="E50" s="156">
        <v>116450</v>
      </c>
      <c r="F50" s="156">
        <v>20</v>
      </c>
      <c r="G50" s="156">
        <v>5822.5</v>
      </c>
    </row>
    <row r="51" spans="1:7" x14ac:dyDescent="0.25">
      <c r="A51" s="215" t="s">
        <v>46</v>
      </c>
      <c r="B51" s="156">
        <v>30400</v>
      </c>
      <c r="C51" s="156">
        <v>5</v>
      </c>
      <c r="D51" s="156">
        <v>6080</v>
      </c>
      <c r="E51" s="156">
        <v>30400</v>
      </c>
      <c r="F51" s="156">
        <v>5</v>
      </c>
      <c r="G51" s="156">
        <v>6080</v>
      </c>
    </row>
    <row r="52" spans="1:7" x14ac:dyDescent="0.25">
      <c r="A52" s="215" t="s">
        <v>47</v>
      </c>
      <c r="B52" s="156">
        <v>7800</v>
      </c>
      <c r="C52" s="156">
        <v>2</v>
      </c>
      <c r="D52" s="156">
        <v>3900</v>
      </c>
      <c r="E52" s="156">
        <v>7800</v>
      </c>
      <c r="F52" s="156">
        <v>2</v>
      </c>
      <c r="G52" s="156">
        <v>3900</v>
      </c>
    </row>
    <row r="53" spans="1:7" x14ac:dyDescent="0.25">
      <c r="A53" s="180" t="s">
        <v>48</v>
      </c>
      <c r="B53" s="156">
        <v>11600</v>
      </c>
      <c r="C53" s="156">
        <v>2</v>
      </c>
      <c r="D53" s="156">
        <v>5800</v>
      </c>
      <c r="E53" s="156">
        <v>11600</v>
      </c>
      <c r="F53" s="156">
        <v>2</v>
      </c>
      <c r="G53" s="156">
        <v>5800</v>
      </c>
    </row>
    <row r="54" spans="1:7" x14ac:dyDescent="0.25">
      <c r="A54" s="180" t="s">
        <v>49</v>
      </c>
      <c r="B54" s="156">
        <v>173300</v>
      </c>
      <c r="C54" s="156">
        <v>20</v>
      </c>
      <c r="D54" s="156">
        <v>8665</v>
      </c>
      <c r="E54" s="156">
        <v>173300</v>
      </c>
      <c r="F54" s="156">
        <v>20</v>
      </c>
      <c r="G54" s="156">
        <v>8665</v>
      </c>
    </row>
    <row r="55" spans="1:7" x14ac:dyDescent="0.25">
      <c r="A55" s="180" t="s">
        <v>50</v>
      </c>
      <c r="B55" s="156">
        <v>20900</v>
      </c>
      <c r="C55" s="156">
        <v>4</v>
      </c>
      <c r="D55" s="156">
        <v>5225</v>
      </c>
      <c r="E55" s="156">
        <v>20900</v>
      </c>
      <c r="F55" s="156">
        <v>4</v>
      </c>
      <c r="G55" s="156">
        <v>5225</v>
      </c>
    </row>
    <row r="56" spans="1:7" x14ac:dyDescent="0.25">
      <c r="A56" s="180" t="s">
        <v>78</v>
      </c>
      <c r="B56" s="156">
        <f>SUBTOTAL(109,Tabelle_PV_FFA_Datenbank_FE.accdb2456718100[Gebotsmenge])</f>
        <v>718800</v>
      </c>
      <c r="C56" s="156">
        <f>SUBTOTAL(109,Tabelle_PV_FFA_Datenbank_FE.accdb2456718100[Anzahl Gebote])</f>
        <v>91</v>
      </c>
      <c r="E56" s="156">
        <f>SUBTOTAL(109,Tabelle_PV_FFA_Datenbank_FE.accdb2456718100[Zuschlagsmenge])</f>
        <v>691450</v>
      </c>
      <c r="F56" s="156">
        <f>SUBTOTAL(109,Tabelle_PV_FFA_Datenbank_FE.accdb2456718100[Anzahl Zuschläge])</f>
        <v>89</v>
      </c>
      <c r="G56" s="156"/>
    </row>
    <row r="57" spans="1:7" x14ac:dyDescent="0.25">
      <c r="B57" s="156"/>
      <c r="C57" s="156"/>
      <c r="D57" s="156"/>
      <c r="E57" s="156"/>
      <c r="F57" s="156"/>
      <c r="G57" s="156"/>
    </row>
    <row r="58" spans="1:7" ht="15" customHeight="1" x14ac:dyDescent="0.25">
      <c r="B58" s="156"/>
      <c r="C58" s="156"/>
      <c r="D58" s="156"/>
      <c r="E58" s="156"/>
      <c r="F58" s="156"/>
      <c r="G58" s="156"/>
    </row>
    <row r="59" spans="1:7" ht="19.5" thickBot="1" x14ac:dyDescent="0.35">
      <c r="A59" s="79" t="s">
        <v>82</v>
      </c>
    </row>
    <row r="60" spans="1:7" ht="15.75" thickBot="1" x14ac:dyDescent="0.3">
      <c r="A60" s="325" t="s">
        <v>83</v>
      </c>
      <c r="B60" s="80" t="s">
        <v>18</v>
      </c>
      <c r="C60" s="81"/>
      <c r="D60" s="82"/>
      <c r="E60" s="81" t="s">
        <v>31</v>
      </c>
      <c r="F60" s="81"/>
      <c r="G60" s="82"/>
    </row>
    <row r="61" spans="1:7" ht="30.75" thickBot="1" x14ac:dyDescent="0.3">
      <c r="A61" s="326"/>
      <c r="B61" s="143" t="s">
        <v>63</v>
      </c>
      <c r="C61" s="143" t="s">
        <v>20</v>
      </c>
      <c r="D61" s="143" t="s">
        <v>74</v>
      </c>
      <c r="E61" s="154" t="s">
        <v>75</v>
      </c>
      <c r="F61" s="143" t="s">
        <v>32</v>
      </c>
      <c r="G61" s="143" t="s">
        <v>76</v>
      </c>
    </row>
    <row r="62" spans="1:7" x14ac:dyDescent="0.25">
      <c r="A62" s="116" t="s">
        <v>84</v>
      </c>
      <c r="B62" s="145">
        <v>718800</v>
      </c>
      <c r="C62" s="145">
        <v>91</v>
      </c>
      <c r="D62" s="145">
        <v>7898.9010989010985</v>
      </c>
      <c r="E62" s="145">
        <v>691450</v>
      </c>
      <c r="F62" s="145">
        <v>89</v>
      </c>
      <c r="G62" s="145">
        <v>7769.1011235955057</v>
      </c>
    </row>
    <row r="63" spans="1:7" x14ac:dyDescent="0.25">
      <c r="A63" s="215" t="s">
        <v>78</v>
      </c>
      <c r="B63" s="156">
        <f>SUBTOTAL(109,Tabelle_PV_FFA_Datenbank_FE.accdb245616102[Gebotsmenge])</f>
        <v>718800</v>
      </c>
      <c r="C63" s="156">
        <f>SUBTOTAL(109,Tabelle_PV_FFA_Datenbank_FE.accdb245616102[Anzahl Gebote])</f>
        <v>91</v>
      </c>
      <c r="E63" s="156">
        <f>SUBTOTAL(109,Tabelle_PV_FFA_Datenbank_FE.accdb245616102[Zuschlagsmenge])</f>
        <v>691450</v>
      </c>
      <c r="F63" s="156">
        <f>SUBTOTAL(109,Tabelle_PV_FFA_Datenbank_FE.accdb245616102[Anzahl Zuschläge])</f>
        <v>89</v>
      </c>
      <c r="G63" s="156"/>
    </row>
    <row r="64" spans="1:7" x14ac:dyDescent="0.25">
      <c r="B64" s="156"/>
      <c r="C64" s="156"/>
      <c r="D64" s="156"/>
      <c r="E64" s="156"/>
      <c r="F64" s="156"/>
      <c r="G64" s="156"/>
    </row>
    <row r="65" spans="1:7" x14ac:dyDescent="0.25">
      <c r="A65" s="215"/>
      <c r="B65" s="156"/>
      <c r="C65" s="156"/>
      <c r="D65" s="156"/>
      <c r="E65" s="156"/>
      <c r="F65" s="156"/>
      <c r="G65" s="156"/>
    </row>
    <row r="66" spans="1:7" ht="19.5" thickBot="1" x14ac:dyDescent="0.35">
      <c r="A66" s="79" t="s">
        <v>85</v>
      </c>
    </row>
    <row r="67" spans="1:7" ht="15.75" thickBot="1" x14ac:dyDescent="0.3">
      <c r="A67" s="325" t="s">
        <v>86</v>
      </c>
      <c r="B67" s="80" t="s">
        <v>18</v>
      </c>
      <c r="C67" s="81"/>
      <c r="D67" s="82"/>
      <c r="E67" s="81" t="s">
        <v>31</v>
      </c>
      <c r="F67" s="81"/>
      <c r="G67" s="82"/>
    </row>
    <row r="68" spans="1:7" ht="30.75" thickBot="1" x14ac:dyDescent="0.3">
      <c r="A68" s="338"/>
      <c r="B68" s="143" t="s">
        <v>63</v>
      </c>
      <c r="C68" s="143" t="s">
        <v>20</v>
      </c>
      <c r="D68" s="143" t="s">
        <v>74</v>
      </c>
      <c r="E68" s="154" t="s">
        <v>75</v>
      </c>
      <c r="F68" s="143" t="s">
        <v>32</v>
      </c>
      <c r="G68" s="143" t="s">
        <v>76</v>
      </c>
    </row>
    <row r="69" spans="1:7" x14ac:dyDescent="0.25">
      <c r="A69" s="116" t="s">
        <v>87</v>
      </c>
      <c r="B69" s="145">
        <v>27900</v>
      </c>
      <c r="C69" s="145">
        <v>2</v>
      </c>
      <c r="D69" s="145">
        <v>13950</v>
      </c>
      <c r="E69" s="145">
        <v>27900</v>
      </c>
      <c r="F69" s="145">
        <v>2</v>
      </c>
      <c r="G69" s="145">
        <v>13950</v>
      </c>
    </row>
    <row r="70" spans="1:7" x14ac:dyDescent="0.25">
      <c r="A70" s="180" t="s">
        <v>89</v>
      </c>
      <c r="B70" s="156">
        <v>12600</v>
      </c>
      <c r="C70" s="156">
        <v>1</v>
      </c>
      <c r="D70" s="156">
        <v>12600</v>
      </c>
      <c r="E70" s="156">
        <v>12600</v>
      </c>
      <c r="F70" s="156">
        <v>1</v>
      </c>
      <c r="G70" s="156">
        <v>12600</v>
      </c>
    </row>
    <row r="71" spans="1:7" x14ac:dyDescent="0.25">
      <c r="A71" s="180" t="s">
        <v>90</v>
      </c>
      <c r="B71" s="156">
        <v>28250</v>
      </c>
      <c r="C71" s="156">
        <v>6</v>
      </c>
      <c r="D71" s="156">
        <v>4708.333333333333</v>
      </c>
      <c r="E71" s="156">
        <v>28250</v>
      </c>
      <c r="F71" s="156">
        <v>6</v>
      </c>
      <c r="G71" s="156">
        <v>4708.333333333333</v>
      </c>
    </row>
    <row r="72" spans="1:7" x14ac:dyDescent="0.25">
      <c r="A72" s="180" t="s">
        <v>91</v>
      </c>
      <c r="B72" s="180">
        <v>102500</v>
      </c>
      <c r="C72" s="180">
        <v>15</v>
      </c>
      <c r="D72" s="156">
        <v>6833.333333333333</v>
      </c>
      <c r="E72" s="180">
        <v>75150</v>
      </c>
      <c r="F72" s="180">
        <v>13</v>
      </c>
      <c r="G72" s="180">
        <v>5780.7692307692305</v>
      </c>
    </row>
    <row r="73" spans="1:7" x14ac:dyDescent="0.25">
      <c r="A73" s="180" t="s">
        <v>92</v>
      </c>
      <c r="B73" s="156">
        <v>539350</v>
      </c>
      <c r="C73" s="156">
        <v>65</v>
      </c>
      <c r="D73" s="156">
        <v>8297.6923076923085</v>
      </c>
      <c r="E73" s="156">
        <v>539350</v>
      </c>
      <c r="F73" s="156">
        <v>65</v>
      </c>
      <c r="G73" s="156">
        <v>8297.6923076923085</v>
      </c>
    </row>
    <row r="74" spans="1:7" x14ac:dyDescent="0.25">
      <c r="A74" s="180" t="s">
        <v>93</v>
      </c>
      <c r="B74" s="156">
        <v>8200</v>
      </c>
      <c r="C74" s="156">
        <v>2</v>
      </c>
      <c r="D74" s="156">
        <v>4100</v>
      </c>
      <c r="E74" s="156">
        <v>8200</v>
      </c>
      <c r="F74" s="156">
        <v>2</v>
      </c>
      <c r="G74" s="156">
        <v>4100</v>
      </c>
    </row>
    <row r="75" spans="1:7" x14ac:dyDescent="0.25">
      <c r="A75" s="180" t="s">
        <v>78</v>
      </c>
      <c r="B75" s="156">
        <f>SUBTOTAL(109,Tabelle_PV_FFA_Datenbank_FE.accdb241299[Gebotsmenge])</f>
        <v>718800</v>
      </c>
      <c r="C75" s="156">
        <f>SUBTOTAL(109,Tabelle_PV_FFA_Datenbank_FE.accdb241299[Anzahl Gebote])</f>
        <v>91</v>
      </c>
      <c r="E75" s="156">
        <f>SUBTOTAL(109,Tabelle_PV_FFA_Datenbank_FE.accdb241299[Zuschlagsmenge])</f>
        <v>691450</v>
      </c>
      <c r="F75" s="156">
        <f>SUBTOTAL(109,Tabelle_PV_FFA_Datenbank_FE.accdb241299[Anzahl Zuschläge])</f>
        <v>89</v>
      </c>
      <c r="G75" s="156"/>
    </row>
    <row r="76" spans="1:7" x14ac:dyDescent="0.25">
      <c r="B76" s="156"/>
      <c r="C76" s="156"/>
      <c r="D76" s="156"/>
      <c r="E76" s="156"/>
      <c r="F76" s="156"/>
      <c r="G76" s="156"/>
    </row>
    <row r="77" spans="1:7" x14ac:dyDescent="0.25">
      <c r="B77" s="156"/>
      <c r="C77" s="156"/>
      <c r="D77" s="156"/>
      <c r="E77" s="156"/>
      <c r="F77" s="156"/>
      <c r="G77" s="156"/>
    </row>
  </sheetData>
  <protectedRanges>
    <protectedRange sqref="B3" name="Bereich1"/>
  </protectedRanges>
  <mergeCells count="11">
    <mergeCell ref="A67:A68"/>
    <mergeCell ref="A32:A33"/>
    <mergeCell ref="A43:A44"/>
    <mergeCell ref="A60:A61"/>
    <mergeCell ref="A25:A26"/>
    <mergeCell ref="B25:B26"/>
    <mergeCell ref="A1:F1"/>
    <mergeCell ref="A11:A12"/>
    <mergeCell ref="B11:B12"/>
    <mergeCell ref="A16:A17"/>
    <mergeCell ref="B16:B17"/>
  </mergeCells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custom" allowBlank="1" showInputMessage="1" showErrorMessage="1" xr:uid="{00000000-0002-0000-0600-000000000000}">
          <x14:formula1>
            <xm:f>VLOOKUP(C3,'J:\Referatslaufwerk\EEG\8175 Ausschreibungen\8175-00 Allgemein\Statistik_Veröffentlichung\[Statistik_Veröffentlichung_Wind.xlsm]Gebotstermine'!#REF!,2,FALSE)</xm:f>
          </x14:formula1>
          <xm:sqref>D3</xm:sqref>
        </x14:dataValidation>
        <x14:dataValidation type="list" showInputMessage="1" showErrorMessage="1" xr:uid="{00000000-0002-0000-0600-000001000000}">
          <x14:formula1>
            <xm:f>'J:\Referatslaufwerk\EEG\8175 Ausschreibungen\8175-00 Allgemein\Statistik_Veröffentlichung\[Statistik_Veröffentlichung_Wind.xlsm]Gebotstermine'!#REF!</xm:f>
          </x14:formula1>
          <xm:sqref>B3</xm:sqref>
        </x14:dataValidation>
        <x14:dataValidation type="list" allowBlank="1" showInputMessage="1" showErrorMessage="1" xr:uid="{00000000-0002-0000-0600-000002000000}">
          <x14:formula1>
            <xm:f>'J:\Referatslaufwerk\EEG\8175 Ausschreibungen\8175-00 Allgemein\Statistik_Veröffentlichung\[Statistik_Veröffentlichung_Wind.xlsm]Gebotstermine'!#REF!</xm:f>
          </x14:formula1>
          <xm:sqref>I3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52">
    <tabColor rgb="FF0070C0"/>
  </sheetPr>
  <dimension ref="A1:H84"/>
  <sheetViews>
    <sheetView showGridLines="0" topLeftCell="A40" zoomScaleNormal="100" workbookViewId="0">
      <selection activeCell="F56" sqref="F56"/>
    </sheetView>
  </sheetViews>
  <sheetFormatPr defaultColWidth="9.140625" defaultRowHeight="15" x14ac:dyDescent="0.25"/>
  <cols>
    <col min="1" max="1" width="47.5703125" style="180" customWidth="1"/>
    <col min="2" max="43" width="19.28515625" style="180" customWidth="1"/>
    <col min="44" max="16384" width="9.140625" style="180"/>
  </cols>
  <sheetData>
    <row r="1" spans="1:8" s="212" customFormat="1" x14ac:dyDescent="0.25">
      <c r="A1" s="339" t="s">
        <v>64</v>
      </c>
      <c r="B1" s="340"/>
      <c r="C1" s="340"/>
      <c r="D1" s="340"/>
      <c r="E1" s="340"/>
      <c r="F1" s="340"/>
      <c r="H1" s="136" t="s">
        <v>124</v>
      </c>
    </row>
    <row r="2" spans="1:8" s="212" customFormat="1" ht="23.25" x14ac:dyDescent="0.25">
      <c r="A2" s="181"/>
    </row>
    <row r="3" spans="1:8" x14ac:dyDescent="0.25">
      <c r="A3" s="137" t="s">
        <v>1</v>
      </c>
      <c r="B3" s="138">
        <v>44166</v>
      </c>
      <c r="C3" s="139" t="e">
        <f ca="1">OFFSET([2]!Gebotstermine[[#Headers],[terGebotsterminID]],MATCH(Gebotstermin,[2]!Gebotstermine[terGebotstermin],0),,,)</f>
        <v>#REF!</v>
      </c>
    </row>
    <row r="4" spans="1:8" x14ac:dyDescent="0.25">
      <c r="A4" s="140"/>
      <c r="B4" s="141"/>
    </row>
    <row r="6" spans="1:8" ht="19.5" thickBot="1" x14ac:dyDescent="0.35">
      <c r="A6" s="142" t="s">
        <v>2</v>
      </c>
    </row>
    <row r="7" spans="1:8" ht="45.75" thickBot="1" x14ac:dyDescent="0.3">
      <c r="A7" s="143" t="s">
        <v>3</v>
      </c>
      <c r="B7" s="143" t="s">
        <v>4</v>
      </c>
      <c r="F7" s="144"/>
      <c r="G7" s="145"/>
      <c r="H7" s="145"/>
    </row>
    <row r="8" spans="1:8" x14ac:dyDescent="0.25">
      <c r="A8" s="133">
        <v>366901</v>
      </c>
      <c r="B8" s="146">
        <v>6.1999998092651367</v>
      </c>
    </row>
    <row r="9" spans="1:8" ht="18.75" x14ac:dyDescent="0.3">
      <c r="A9" s="142"/>
    </row>
    <row r="10" spans="1:8" ht="15.75" thickBot="1" x14ac:dyDescent="0.3">
      <c r="A10" s="147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11" t="s">
        <v>7</v>
      </c>
      <c r="D11" s="12"/>
      <c r="E11" s="13"/>
      <c r="F11" s="11" t="s">
        <v>8</v>
      </c>
      <c r="G11" s="12"/>
      <c r="H11" s="13"/>
    </row>
    <row r="12" spans="1:8" ht="15.75" thickBot="1" x14ac:dyDescent="0.3">
      <c r="A12" s="332"/>
      <c r="B12" s="332"/>
      <c r="C12" s="148" t="s">
        <v>9</v>
      </c>
      <c r="D12" s="148" t="s">
        <v>10</v>
      </c>
      <c r="E12" s="148" t="s">
        <v>11</v>
      </c>
      <c r="F12" s="148" t="s">
        <v>9</v>
      </c>
      <c r="G12" s="148" t="s">
        <v>10</v>
      </c>
      <c r="H12" s="149" t="s">
        <v>12</v>
      </c>
    </row>
    <row r="13" spans="1:8" x14ac:dyDescent="0.25">
      <c r="A13" s="132">
        <v>657100</v>
      </c>
      <c r="B13" s="131">
        <v>96</v>
      </c>
      <c r="C13" s="130">
        <v>2350</v>
      </c>
      <c r="D13" s="129">
        <v>39900</v>
      </c>
      <c r="E13" s="128">
        <v>6844.791666666667</v>
      </c>
      <c r="F13" s="127">
        <v>5.59</v>
      </c>
      <c r="G13" s="126">
        <v>6.2</v>
      </c>
      <c r="H13" s="125">
        <v>5.9824828793182165</v>
      </c>
    </row>
    <row r="14" spans="1:8" ht="4.5" customHeight="1" x14ac:dyDescent="0.25">
      <c r="A14" s="182"/>
      <c r="B14" s="182"/>
      <c r="C14" s="182"/>
      <c r="D14" s="182"/>
      <c r="E14" s="182"/>
      <c r="F14" s="182"/>
      <c r="G14" s="182"/>
      <c r="H14" s="182"/>
    </row>
    <row r="15" spans="1:8" ht="15.75" thickBot="1" x14ac:dyDescent="0.3">
      <c r="A15" s="147" t="s">
        <v>65</v>
      </c>
      <c r="B15" s="151"/>
      <c r="C15" s="151"/>
      <c r="D15" s="151"/>
      <c r="E15" s="151"/>
      <c r="F15" s="146"/>
      <c r="G15" s="146"/>
      <c r="H15" s="146"/>
    </row>
    <row r="16" spans="1:8" ht="15.75" customHeight="1" thickBot="1" x14ac:dyDescent="0.3">
      <c r="A16" s="331" t="s">
        <v>66</v>
      </c>
      <c r="B16" s="331" t="s">
        <v>67</v>
      </c>
      <c r="C16" s="11" t="s">
        <v>15</v>
      </c>
      <c r="D16" s="12"/>
      <c r="E16" s="13"/>
      <c r="F16" s="11" t="s">
        <v>16</v>
      </c>
      <c r="G16" s="12"/>
      <c r="H16" s="13"/>
    </row>
    <row r="17" spans="1:8" ht="15.75" thickBot="1" x14ac:dyDescent="0.3">
      <c r="A17" s="332"/>
      <c r="B17" s="332"/>
      <c r="C17" s="148" t="s">
        <v>9</v>
      </c>
      <c r="D17" s="148" t="s">
        <v>10</v>
      </c>
      <c r="E17" s="148" t="s">
        <v>11</v>
      </c>
      <c r="F17" s="148" t="s">
        <v>9</v>
      </c>
      <c r="G17" s="148" t="s">
        <v>10</v>
      </c>
      <c r="H17" s="148" t="s">
        <v>12</v>
      </c>
    </row>
    <row r="18" spans="1:8" x14ac:dyDescent="0.25">
      <c r="A18" s="120">
        <v>399700</v>
      </c>
      <c r="B18" s="119">
        <v>58</v>
      </c>
      <c r="C18" s="124">
        <v>3450</v>
      </c>
      <c r="D18" s="32">
        <v>38500</v>
      </c>
      <c r="E18" s="33">
        <v>6891.3793103448279</v>
      </c>
      <c r="F18" s="123">
        <v>5.5900001525878906</v>
      </c>
      <c r="G18" s="122">
        <v>6.070000171661377</v>
      </c>
      <c r="H18" s="121">
        <v>5.9082336706729839</v>
      </c>
    </row>
    <row r="19" spans="1:8" ht="4.5" customHeight="1" x14ac:dyDescent="0.25">
      <c r="A19" s="182"/>
      <c r="B19" s="182"/>
      <c r="C19" s="182"/>
      <c r="D19" s="182"/>
      <c r="E19" s="182"/>
      <c r="F19" s="182"/>
      <c r="G19" s="182"/>
      <c r="H19" s="182"/>
    </row>
    <row r="20" spans="1:8" ht="16.5" thickBot="1" x14ac:dyDescent="0.3">
      <c r="A20" s="152" t="s">
        <v>68</v>
      </c>
      <c r="B20" s="151"/>
      <c r="C20" s="151"/>
      <c r="D20" s="151"/>
      <c r="E20" s="151"/>
      <c r="F20" s="146"/>
      <c r="G20" s="146"/>
      <c r="H20" s="146"/>
    </row>
    <row r="21" spans="1:8" ht="30" x14ac:dyDescent="0.25">
      <c r="A21" s="211" t="s">
        <v>66</v>
      </c>
      <c r="B21" s="211" t="s">
        <v>14</v>
      </c>
      <c r="C21" s="151"/>
      <c r="D21" s="151"/>
      <c r="E21" s="151"/>
      <c r="F21" s="146"/>
      <c r="G21" s="146"/>
      <c r="H21" s="146"/>
    </row>
    <row r="22" spans="1:8" x14ac:dyDescent="0.25">
      <c r="A22" s="120">
        <v>399700</v>
      </c>
      <c r="B22" s="119">
        <v>58</v>
      </c>
    </row>
    <row r="23" spans="1:8" ht="4.5" customHeight="1" x14ac:dyDescent="0.25">
      <c r="A23" s="182"/>
      <c r="B23" s="182"/>
      <c r="C23" s="151"/>
      <c r="D23" s="151"/>
      <c r="E23" s="151"/>
      <c r="F23" s="146"/>
      <c r="G23" s="146"/>
      <c r="H23" s="146"/>
    </row>
    <row r="24" spans="1:8" ht="15.75" thickBot="1" x14ac:dyDescent="0.3">
      <c r="A24" s="147" t="s">
        <v>69</v>
      </c>
      <c r="B24" s="151"/>
      <c r="C24" s="151"/>
      <c r="D24" s="151"/>
      <c r="E24" s="151"/>
      <c r="F24" s="146"/>
      <c r="G24" s="146"/>
      <c r="H24" s="146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118">
        <v>20500</v>
      </c>
      <c r="B27" s="117">
        <v>3</v>
      </c>
    </row>
    <row r="28" spans="1:8" ht="15.75" x14ac:dyDescent="0.25">
      <c r="A28" s="153" t="s">
        <v>100</v>
      </c>
    </row>
    <row r="30" spans="1:8" ht="19.5" thickBot="1" x14ac:dyDescent="0.35">
      <c r="A30" s="79" t="s">
        <v>73</v>
      </c>
    </row>
    <row r="31" spans="1:8" ht="15.75" thickBot="1" x14ac:dyDescent="0.3">
      <c r="A31" s="325" t="s">
        <v>23</v>
      </c>
      <c r="B31" s="80" t="s">
        <v>18</v>
      </c>
      <c r="C31" s="81"/>
      <c r="D31" s="82"/>
      <c r="E31" s="81" t="s">
        <v>31</v>
      </c>
      <c r="F31" s="81"/>
      <c r="G31" s="82"/>
      <c r="H31" s="144"/>
    </row>
    <row r="32" spans="1:8" ht="30.75" thickBot="1" x14ac:dyDescent="0.3">
      <c r="A32" s="326"/>
      <c r="B32" s="143" t="s">
        <v>63</v>
      </c>
      <c r="C32" s="143" t="s">
        <v>20</v>
      </c>
      <c r="D32" s="143" t="s">
        <v>74</v>
      </c>
      <c r="E32" s="154" t="s">
        <v>75</v>
      </c>
      <c r="F32" s="143" t="s">
        <v>32</v>
      </c>
      <c r="G32" s="143" t="s">
        <v>76</v>
      </c>
      <c r="H32" s="144"/>
    </row>
    <row r="33" spans="1:8" x14ac:dyDescent="0.25">
      <c r="A33" s="116" t="s">
        <v>26</v>
      </c>
      <c r="B33" s="145">
        <v>294800</v>
      </c>
      <c r="C33" s="145">
        <v>71</v>
      </c>
      <c r="D33" s="145">
        <v>4152.1126760563384</v>
      </c>
      <c r="E33" s="145">
        <v>172600</v>
      </c>
      <c r="F33" s="145">
        <v>43</v>
      </c>
      <c r="G33" s="145">
        <v>4013.953488372093</v>
      </c>
      <c r="H33" s="144"/>
    </row>
    <row r="34" spans="1:8" x14ac:dyDescent="0.25">
      <c r="A34" s="116" t="s">
        <v>27</v>
      </c>
      <c r="B34" s="145">
        <v>139400</v>
      </c>
      <c r="C34" s="145">
        <v>15</v>
      </c>
      <c r="D34" s="145">
        <v>9293.3333333333339</v>
      </c>
      <c r="E34" s="145">
        <v>77700</v>
      </c>
      <c r="F34" s="145">
        <v>8</v>
      </c>
      <c r="G34" s="145">
        <v>9712.5</v>
      </c>
      <c r="H34" s="144"/>
    </row>
    <row r="35" spans="1:8" x14ac:dyDescent="0.25">
      <c r="A35" s="116" t="s">
        <v>28</v>
      </c>
      <c r="B35" s="145">
        <v>55100</v>
      </c>
      <c r="C35" s="145">
        <v>4</v>
      </c>
      <c r="D35" s="145">
        <v>13775</v>
      </c>
      <c r="E35" s="145">
        <v>42500</v>
      </c>
      <c r="F35" s="145">
        <v>3</v>
      </c>
      <c r="G35" s="145">
        <v>14166.666666666666</v>
      </c>
      <c r="H35" s="144"/>
    </row>
    <row r="36" spans="1:8" x14ac:dyDescent="0.25">
      <c r="A36" s="116" t="s">
        <v>77</v>
      </c>
      <c r="B36" s="145">
        <v>167800</v>
      </c>
      <c r="C36" s="145">
        <v>6</v>
      </c>
      <c r="D36" s="145">
        <v>27966.666666666668</v>
      </c>
      <c r="E36" s="145">
        <v>106900</v>
      </c>
      <c r="F36" s="145">
        <v>4</v>
      </c>
      <c r="G36" s="145">
        <v>26725</v>
      </c>
      <c r="H36" s="144"/>
    </row>
    <row r="37" spans="1:8" x14ac:dyDescent="0.25">
      <c r="A37" s="201" t="s">
        <v>78</v>
      </c>
      <c r="B37" s="156">
        <f>SUBTOTAL(109,Tabelle_PV_FFA_Datenbank_FE.accdb21388[Gebotsmenge])</f>
        <v>657100</v>
      </c>
      <c r="C37" s="156">
        <f>SUBTOTAL(109,Tabelle_PV_FFA_Datenbank_FE.accdb21388[Anzahl Gebote])</f>
        <v>96</v>
      </c>
      <c r="E37" s="156">
        <f>SUBTOTAL(109,Tabelle_PV_FFA_Datenbank_FE.accdb21388[Zuschlagsmenge])</f>
        <v>399700</v>
      </c>
      <c r="F37" s="156">
        <f>SUBTOTAL(109,Tabelle_PV_FFA_Datenbank_FE.accdb21388[Anzahl Zuschläge])</f>
        <v>58</v>
      </c>
      <c r="G37" s="156"/>
      <c r="H37" s="144"/>
    </row>
    <row r="38" spans="1:8" x14ac:dyDescent="0.25">
      <c r="A38" s="201"/>
      <c r="B38" s="156"/>
      <c r="C38" s="156"/>
      <c r="E38" s="156"/>
      <c r="F38" s="156"/>
      <c r="G38" s="156"/>
      <c r="H38" s="144"/>
    </row>
    <row r="39" spans="1:8" x14ac:dyDescent="0.25">
      <c r="A39" s="201"/>
      <c r="B39" s="156"/>
      <c r="C39" s="156"/>
      <c r="E39" s="156"/>
      <c r="F39" s="156"/>
      <c r="G39" s="156"/>
      <c r="H39" s="144"/>
    </row>
    <row r="40" spans="1:8" ht="19.5" thickBot="1" x14ac:dyDescent="0.35">
      <c r="A40" s="157" t="s">
        <v>79</v>
      </c>
    </row>
    <row r="41" spans="1:8" ht="15.75" thickBot="1" x14ac:dyDescent="0.3">
      <c r="A41" s="325" t="s">
        <v>80</v>
      </c>
      <c r="B41" s="80" t="s">
        <v>18</v>
      </c>
      <c r="C41" s="81"/>
      <c r="D41" s="82"/>
      <c r="E41" s="81" t="s">
        <v>31</v>
      </c>
      <c r="F41" s="81"/>
      <c r="G41" s="82"/>
    </row>
    <row r="42" spans="1:8" ht="30.75" thickBot="1" x14ac:dyDescent="0.3">
      <c r="A42" s="326"/>
      <c r="B42" s="143" t="s">
        <v>63</v>
      </c>
      <c r="C42" s="143" t="s">
        <v>20</v>
      </c>
      <c r="D42" s="143" t="s">
        <v>74</v>
      </c>
      <c r="E42" s="154" t="s">
        <v>75</v>
      </c>
      <c r="F42" s="143" t="s">
        <v>32</v>
      </c>
      <c r="G42" s="143" t="s">
        <v>76</v>
      </c>
    </row>
    <row r="43" spans="1:8" x14ac:dyDescent="0.25">
      <c r="A43" s="116" t="s">
        <v>39</v>
      </c>
      <c r="B43" s="145">
        <v>12600</v>
      </c>
      <c r="C43" s="145">
        <v>1</v>
      </c>
      <c r="D43" s="145">
        <v>12600</v>
      </c>
      <c r="E43" s="145">
        <v>0</v>
      </c>
      <c r="F43" s="145">
        <v>0</v>
      </c>
      <c r="G43" s="145">
        <v>0</v>
      </c>
    </row>
    <row r="44" spans="1:8" x14ac:dyDescent="0.25">
      <c r="A44" s="116" t="s">
        <v>41</v>
      </c>
      <c r="B44" s="145">
        <v>82000</v>
      </c>
      <c r="C44" s="145">
        <v>12</v>
      </c>
      <c r="D44" s="145">
        <v>6833.333333333333</v>
      </c>
      <c r="E44" s="145">
        <v>40100</v>
      </c>
      <c r="F44" s="145">
        <v>4</v>
      </c>
      <c r="G44" s="145">
        <v>10025</v>
      </c>
    </row>
    <row r="45" spans="1:8" x14ac:dyDescent="0.25">
      <c r="A45" s="201" t="s">
        <v>42</v>
      </c>
      <c r="B45" s="156">
        <v>8400</v>
      </c>
      <c r="C45" s="156">
        <v>1</v>
      </c>
      <c r="D45" s="156">
        <v>8400</v>
      </c>
      <c r="E45" s="156">
        <v>0</v>
      </c>
      <c r="F45" s="156">
        <v>0</v>
      </c>
      <c r="G45" s="156">
        <v>0</v>
      </c>
    </row>
    <row r="46" spans="1:8" x14ac:dyDescent="0.25">
      <c r="A46" s="201" t="s">
        <v>43</v>
      </c>
      <c r="B46" s="156">
        <v>31100</v>
      </c>
      <c r="C46" s="156">
        <v>6</v>
      </c>
      <c r="D46" s="156">
        <v>5183.333333333333</v>
      </c>
      <c r="E46" s="156">
        <v>15600</v>
      </c>
      <c r="F46" s="156">
        <v>2</v>
      </c>
      <c r="G46" s="156">
        <v>7800</v>
      </c>
    </row>
    <row r="47" spans="1:8" x14ac:dyDescent="0.25">
      <c r="A47" s="201" t="s">
        <v>44</v>
      </c>
      <c r="B47" s="156">
        <v>113700</v>
      </c>
      <c r="C47" s="156">
        <v>12</v>
      </c>
      <c r="D47" s="156">
        <v>9475</v>
      </c>
      <c r="E47" s="156">
        <v>84900</v>
      </c>
      <c r="F47" s="156">
        <v>8</v>
      </c>
      <c r="G47" s="156">
        <v>10612.5</v>
      </c>
    </row>
    <row r="48" spans="1:8" x14ac:dyDescent="0.25">
      <c r="A48" s="201" t="s">
        <v>45</v>
      </c>
      <c r="B48" s="156">
        <v>137750</v>
      </c>
      <c r="C48" s="156">
        <v>20</v>
      </c>
      <c r="D48" s="156">
        <v>6887.5</v>
      </c>
      <c r="E48" s="156">
        <v>89000</v>
      </c>
      <c r="F48" s="156">
        <v>11</v>
      </c>
      <c r="G48" s="156">
        <v>8090.909090909091</v>
      </c>
    </row>
    <row r="49" spans="1:7" x14ac:dyDescent="0.25">
      <c r="A49" s="201" t="s">
        <v>46</v>
      </c>
      <c r="B49" s="156">
        <v>35700</v>
      </c>
      <c r="C49" s="156">
        <v>6</v>
      </c>
      <c r="D49" s="156">
        <v>5950</v>
      </c>
      <c r="E49" s="156">
        <v>5300</v>
      </c>
      <c r="F49" s="156">
        <v>1</v>
      </c>
      <c r="G49" s="156">
        <v>5300</v>
      </c>
    </row>
    <row r="50" spans="1:7" x14ac:dyDescent="0.25">
      <c r="A50" s="201" t="s">
        <v>47</v>
      </c>
      <c r="B50" s="156">
        <v>3600</v>
      </c>
      <c r="C50" s="156">
        <v>1</v>
      </c>
      <c r="D50" s="156">
        <v>3600</v>
      </c>
      <c r="E50" s="156">
        <v>0</v>
      </c>
      <c r="F50" s="156">
        <v>0</v>
      </c>
      <c r="G50" s="156">
        <v>0</v>
      </c>
    </row>
    <row r="51" spans="1:7" x14ac:dyDescent="0.25">
      <c r="A51" s="180" t="s">
        <v>48</v>
      </c>
      <c r="B51" s="156">
        <v>11300</v>
      </c>
      <c r="C51" s="156">
        <v>2</v>
      </c>
      <c r="D51" s="156">
        <v>5650</v>
      </c>
      <c r="E51" s="156">
        <v>0</v>
      </c>
      <c r="F51" s="156">
        <v>0</v>
      </c>
      <c r="G51" s="156">
        <v>0</v>
      </c>
    </row>
    <row r="52" spans="1:7" x14ac:dyDescent="0.25">
      <c r="A52" s="180" t="s">
        <v>49</v>
      </c>
      <c r="B52" s="156">
        <v>202700</v>
      </c>
      <c r="C52" s="156">
        <v>33</v>
      </c>
      <c r="D52" s="156">
        <v>6142.424242424242</v>
      </c>
      <c r="E52" s="156">
        <v>153600</v>
      </c>
      <c r="F52" s="156">
        <v>31</v>
      </c>
      <c r="G52" s="156">
        <v>4954.8387096774195</v>
      </c>
    </row>
    <row r="53" spans="1:7" x14ac:dyDescent="0.25">
      <c r="A53" s="180" t="s">
        <v>50</v>
      </c>
      <c r="B53" s="156">
        <v>18250</v>
      </c>
      <c r="C53" s="156">
        <v>2</v>
      </c>
      <c r="D53" s="156">
        <v>9125</v>
      </c>
      <c r="E53" s="156">
        <v>11200</v>
      </c>
      <c r="F53" s="156">
        <v>1</v>
      </c>
      <c r="G53" s="156">
        <v>11200</v>
      </c>
    </row>
    <row r="54" spans="1:7" x14ac:dyDescent="0.25">
      <c r="A54" s="180" t="s">
        <v>78</v>
      </c>
      <c r="B54" s="156">
        <f>SUBTOTAL(109,Tabelle_PV_FFA_Datenbank_FE.accdb245671890[Gebotsmenge])</f>
        <v>657100</v>
      </c>
      <c r="C54" s="156">
        <f>SUBTOTAL(109,Tabelle_PV_FFA_Datenbank_FE.accdb245671890[Anzahl Gebote])</f>
        <v>96</v>
      </c>
      <c r="E54" s="156">
        <f>SUBTOTAL(109,Tabelle_PV_FFA_Datenbank_FE.accdb245671890[Zuschlagsmenge])</f>
        <v>399700</v>
      </c>
      <c r="F54" s="156">
        <f>SUBTOTAL(109,Tabelle_PV_FFA_Datenbank_FE.accdb245671890[Anzahl Zuschläge])</f>
        <v>58</v>
      </c>
      <c r="G54" s="156"/>
    </row>
    <row r="55" spans="1:7" x14ac:dyDescent="0.25">
      <c r="B55" s="156"/>
      <c r="C55" s="156"/>
      <c r="D55" s="156"/>
      <c r="E55" s="156"/>
      <c r="F55" s="156"/>
      <c r="G55" s="156"/>
    </row>
    <row r="56" spans="1:7" x14ac:dyDescent="0.25">
      <c r="B56" s="156"/>
      <c r="C56" s="156"/>
      <c r="D56" s="156"/>
      <c r="E56" s="156"/>
      <c r="F56" s="156"/>
      <c r="G56" s="156"/>
    </row>
    <row r="57" spans="1:7" ht="19.5" thickBot="1" x14ac:dyDescent="0.35">
      <c r="A57" s="79" t="s">
        <v>82</v>
      </c>
    </row>
    <row r="58" spans="1:7" ht="15.75" thickBot="1" x14ac:dyDescent="0.3">
      <c r="A58" s="325" t="s">
        <v>83</v>
      </c>
      <c r="B58" s="80" t="s">
        <v>18</v>
      </c>
      <c r="C58" s="81"/>
      <c r="D58" s="82"/>
      <c r="E58" s="81" t="s">
        <v>31</v>
      </c>
      <c r="F58" s="81"/>
      <c r="G58" s="82"/>
    </row>
    <row r="59" spans="1:7" ht="30.75" thickBot="1" x14ac:dyDescent="0.3">
      <c r="A59" s="326"/>
      <c r="B59" s="143" t="s">
        <v>63</v>
      </c>
      <c r="C59" s="143" t="s">
        <v>20</v>
      </c>
      <c r="D59" s="143" t="s">
        <v>74</v>
      </c>
      <c r="E59" s="154" t="s">
        <v>75</v>
      </c>
      <c r="F59" s="143" t="s">
        <v>32</v>
      </c>
      <c r="G59" s="143" t="s">
        <v>76</v>
      </c>
    </row>
    <row r="60" spans="1:7" x14ac:dyDescent="0.25">
      <c r="A60" s="116" t="s">
        <v>24</v>
      </c>
      <c r="B60" s="145">
        <v>3600</v>
      </c>
      <c r="C60" s="145">
        <v>1</v>
      </c>
      <c r="D60" s="145">
        <v>3600</v>
      </c>
      <c r="E60" s="145">
        <v>3600</v>
      </c>
      <c r="F60" s="145">
        <v>1</v>
      </c>
      <c r="G60" s="145">
        <v>3600</v>
      </c>
    </row>
    <row r="61" spans="1:7" x14ac:dyDescent="0.25">
      <c r="A61" s="180" t="s">
        <v>84</v>
      </c>
      <c r="B61" s="156">
        <v>653500</v>
      </c>
      <c r="C61" s="156">
        <v>95</v>
      </c>
      <c r="D61" s="156">
        <v>6878.9473684210525</v>
      </c>
      <c r="E61" s="156">
        <v>396100</v>
      </c>
      <c r="F61" s="156">
        <v>57</v>
      </c>
      <c r="G61" s="156">
        <v>6949.1228070175439</v>
      </c>
    </row>
    <row r="62" spans="1:7" x14ac:dyDescent="0.25">
      <c r="A62" s="180" t="s">
        <v>78</v>
      </c>
      <c r="B62" s="156">
        <f>SUBTOTAL(109,Tabelle_PV_FFA_Datenbank_FE.accdb24561692[Gebotsmenge])</f>
        <v>657100</v>
      </c>
      <c r="C62" s="156">
        <f>SUBTOTAL(109,Tabelle_PV_FFA_Datenbank_FE.accdb24561692[Anzahl Gebote])</f>
        <v>96</v>
      </c>
      <c r="E62" s="156">
        <f>SUBTOTAL(109,Tabelle_PV_FFA_Datenbank_FE.accdb24561692[Zuschlagsmenge])</f>
        <v>399700</v>
      </c>
      <c r="F62" s="156">
        <f>SUBTOTAL(109,Tabelle_PV_FFA_Datenbank_FE.accdb24561692[Anzahl Zuschläge])</f>
        <v>58</v>
      </c>
      <c r="G62" s="156"/>
    </row>
    <row r="63" spans="1:7" x14ac:dyDescent="0.25">
      <c r="B63" s="156"/>
      <c r="C63" s="156"/>
      <c r="E63" s="156"/>
      <c r="F63" s="156"/>
    </row>
    <row r="64" spans="1:7" x14ac:dyDescent="0.25">
      <c r="A64" s="201"/>
      <c r="B64" s="156"/>
      <c r="C64" s="156"/>
      <c r="D64" s="156"/>
      <c r="E64" s="156"/>
      <c r="F64" s="156"/>
      <c r="G64" s="156"/>
    </row>
    <row r="65" spans="1:7" ht="19.5" thickBot="1" x14ac:dyDescent="0.35">
      <c r="A65" s="79" t="s">
        <v>85</v>
      </c>
    </row>
    <row r="66" spans="1:7" ht="15.75" thickBot="1" x14ac:dyDescent="0.3">
      <c r="A66" s="325" t="s">
        <v>86</v>
      </c>
      <c r="B66" s="80" t="s">
        <v>18</v>
      </c>
      <c r="C66" s="81"/>
      <c r="D66" s="82"/>
      <c r="E66" s="81" t="s">
        <v>31</v>
      </c>
      <c r="F66" s="81"/>
      <c r="G66" s="82"/>
    </row>
    <row r="67" spans="1:7" ht="30.75" thickBot="1" x14ac:dyDescent="0.3">
      <c r="A67" s="338"/>
      <c r="B67" s="143" t="s">
        <v>63</v>
      </c>
      <c r="C67" s="143" t="s">
        <v>20</v>
      </c>
      <c r="D67" s="143" t="s">
        <v>74</v>
      </c>
      <c r="E67" s="154" t="s">
        <v>75</v>
      </c>
      <c r="F67" s="143" t="s">
        <v>32</v>
      </c>
      <c r="G67" s="143" t="s">
        <v>76</v>
      </c>
    </row>
    <row r="68" spans="1:7" x14ac:dyDescent="0.25">
      <c r="A68" s="116" t="s">
        <v>87</v>
      </c>
      <c r="B68" s="145">
        <v>43000</v>
      </c>
      <c r="C68" s="145">
        <v>6</v>
      </c>
      <c r="D68" s="145">
        <v>7166.666666666667</v>
      </c>
      <c r="E68" s="145">
        <v>31600</v>
      </c>
      <c r="F68" s="145">
        <v>5</v>
      </c>
      <c r="G68" s="145">
        <v>6320</v>
      </c>
    </row>
    <row r="69" spans="1:7" x14ac:dyDescent="0.25">
      <c r="A69" s="180" t="s">
        <v>89</v>
      </c>
      <c r="B69" s="156">
        <v>12600</v>
      </c>
      <c r="C69" s="156">
        <v>1</v>
      </c>
      <c r="D69" s="156">
        <v>12600</v>
      </c>
      <c r="E69" s="156">
        <v>0</v>
      </c>
      <c r="F69" s="156">
        <v>0</v>
      </c>
      <c r="G69" s="156">
        <v>0</v>
      </c>
    </row>
    <row r="70" spans="1:7" x14ac:dyDescent="0.25">
      <c r="A70" s="180" t="s">
        <v>90</v>
      </c>
      <c r="B70" s="156">
        <v>10750</v>
      </c>
      <c r="C70" s="156">
        <v>3</v>
      </c>
      <c r="D70" s="156">
        <v>3583.3333333333335</v>
      </c>
      <c r="E70" s="156">
        <v>4200</v>
      </c>
      <c r="F70" s="156">
        <v>1</v>
      </c>
      <c r="G70" s="156">
        <v>4200</v>
      </c>
    </row>
    <row r="71" spans="1:7" x14ac:dyDescent="0.25">
      <c r="A71" s="180" t="s">
        <v>91</v>
      </c>
      <c r="B71" s="180">
        <v>28950</v>
      </c>
      <c r="C71" s="180">
        <v>8</v>
      </c>
      <c r="D71" s="156">
        <v>3618.75</v>
      </c>
      <c r="E71" s="180">
        <v>7800</v>
      </c>
      <c r="F71" s="180">
        <v>2</v>
      </c>
      <c r="G71" s="180">
        <v>3900</v>
      </c>
    </row>
    <row r="72" spans="1:7" x14ac:dyDescent="0.25">
      <c r="A72" s="180" t="s">
        <v>92</v>
      </c>
      <c r="B72" s="156">
        <v>557600</v>
      </c>
      <c r="C72" s="156">
        <v>77</v>
      </c>
      <c r="D72" s="156">
        <v>7241.5584415584417</v>
      </c>
      <c r="E72" s="156">
        <v>356100</v>
      </c>
      <c r="F72" s="156">
        <v>50</v>
      </c>
      <c r="G72" s="156">
        <v>7122</v>
      </c>
    </row>
    <row r="73" spans="1:7" x14ac:dyDescent="0.25">
      <c r="A73" s="180" t="s">
        <v>93</v>
      </c>
      <c r="B73" s="156">
        <v>4200</v>
      </c>
      <c r="C73" s="156">
        <v>1</v>
      </c>
      <c r="D73" s="156">
        <v>4200</v>
      </c>
      <c r="E73" s="156">
        <v>0</v>
      </c>
      <c r="F73" s="156">
        <v>0</v>
      </c>
      <c r="G73" s="156">
        <v>0</v>
      </c>
    </row>
    <row r="74" spans="1:7" x14ac:dyDescent="0.25">
      <c r="A74" s="180" t="s">
        <v>78</v>
      </c>
      <c r="B74" s="156">
        <f>SUBTOTAL(109,Tabelle_PV_FFA_Datenbank_FE.accdb241289[Gebotsmenge])</f>
        <v>657100</v>
      </c>
      <c r="C74" s="156">
        <f>SUBTOTAL(109,Tabelle_PV_FFA_Datenbank_FE.accdb241289[Anzahl Gebote])</f>
        <v>96</v>
      </c>
      <c r="E74" s="156">
        <f>SUBTOTAL(109,Tabelle_PV_FFA_Datenbank_FE.accdb241289[Zuschlagsmenge])</f>
        <v>399700</v>
      </c>
      <c r="F74" s="156">
        <f>SUBTOTAL(109,Tabelle_PV_FFA_Datenbank_FE.accdb241289[Anzahl Zuschläge])</f>
        <v>58</v>
      </c>
      <c r="G74" s="156"/>
    </row>
    <row r="75" spans="1:7" x14ac:dyDescent="0.25">
      <c r="B75" s="156"/>
      <c r="C75" s="156"/>
      <c r="D75" s="156"/>
      <c r="E75" s="156"/>
      <c r="F75" s="156"/>
      <c r="G75" s="156"/>
    </row>
    <row r="76" spans="1:7" x14ac:dyDescent="0.25">
      <c r="B76" s="156"/>
      <c r="C76" s="156"/>
      <c r="D76" s="156"/>
      <c r="E76" s="156"/>
      <c r="F76" s="156"/>
      <c r="G76" s="156"/>
    </row>
    <row r="77" spans="1:7" ht="19.5" thickBot="1" x14ac:dyDescent="0.35">
      <c r="A77" s="157" t="s">
        <v>95</v>
      </c>
    </row>
    <row r="78" spans="1:7" ht="15.75" thickBot="1" x14ac:dyDescent="0.3">
      <c r="A78" s="325" t="s">
        <v>80</v>
      </c>
      <c r="B78" s="80" t="s">
        <v>18</v>
      </c>
      <c r="C78" s="81"/>
      <c r="D78" s="82"/>
      <c r="E78" s="81" t="s">
        <v>31</v>
      </c>
      <c r="F78" s="81"/>
      <c r="G78" s="82"/>
    </row>
    <row r="79" spans="1:7" ht="30.75" thickBot="1" x14ac:dyDescent="0.3">
      <c r="A79" s="326"/>
      <c r="B79" s="143" t="s">
        <v>63</v>
      </c>
      <c r="C79" s="143" t="s">
        <v>20</v>
      </c>
      <c r="D79" s="143" t="s">
        <v>74</v>
      </c>
      <c r="E79" s="154" t="s">
        <v>75</v>
      </c>
      <c r="F79" s="143" t="s">
        <v>32</v>
      </c>
      <c r="G79" s="143" t="s">
        <v>76</v>
      </c>
    </row>
    <row r="80" spans="1:7" x14ac:dyDescent="0.25">
      <c r="A80" s="201" t="s">
        <v>43</v>
      </c>
      <c r="B80" s="156">
        <v>31100</v>
      </c>
      <c r="C80" s="156">
        <v>6</v>
      </c>
      <c r="D80" s="156">
        <v>5183.333333333333</v>
      </c>
      <c r="E80" s="156">
        <v>15600</v>
      </c>
      <c r="F80" s="156">
        <v>2</v>
      </c>
      <c r="G80" s="156">
        <v>7800</v>
      </c>
    </row>
    <row r="81" spans="1:7" x14ac:dyDescent="0.25">
      <c r="A81" s="180" t="s">
        <v>44</v>
      </c>
      <c r="B81" s="156">
        <v>52200</v>
      </c>
      <c r="C81" s="156">
        <v>5</v>
      </c>
      <c r="D81" s="156">
        <v>10440</v>
      </c>
      <c r="E81" s="156">
        <v>27600</v>
      </c>
      <c r="F81" s="156">
        <v>2</v>
      </c>
      <c r="G81" s="156">
        <v>13800</v>
      </c>
    </row>
    <row r="82" spans="1:7" x14ac:dyDescent="0.25">
      <c r="A82" s="180" t="s">
        <v>49</v>
      </c>
      <c r="B82" s="156">
        <v>202700</v>
      </c>
      <c r="C82" s="156">
        <v>33</v>
      </c>
      <c r="D82" s="156">
        <v>6142.424242424242</v>
      </c>
      <c r="E82" s="156">
        <v>153600</v>
      </c>
      <c r="F82" s="156">
        <v>31</v>
      </c>
      <c r="G82" s="156">
        <v>4954.8387096774195</v>
      </c>
    </row>
    <row r="83" spans="1:7" x14ac:dyDescent="0.25">
      <c r="A83" s="180" t="s">
        <v>78</v>
      </c>
      <c r="B83" s="156">
        <f>SUBTOTAL(109,Tabelle_PV_FFA_Datenbank_FE.accdb2456792091[Gebotsmenge])</f>
        <v>286000</v>
      </c>
      <c r="C83" s="156">
        <f>SUBTOTAL(109,Tabelle_PV_FFA_Datenbank_FE.accdb2456792091[Anzahl Gebote])</f>
        <v>44</v>
      </c>
      <c r="E83" s="156">
        <f>SUBTOTAL(109,Tabelle_PV_FFA_Datenbank_FE.accdb2456792091[Zuschlagsmenge])</f>
        <v>196800</v>
      </c>
      <c r="F83" s="156">
        <f>SUBTOTAL(109,Tabelle_PV_FFA_Datenbank_FE.accdb2456792091[Anzahl Zuschläge])</f>
        <v>35</v>
      </c>
      <c r="G83" s="156"/>
    </row>
    <row r="84" spans="1:7" x14ac:dyDescent="0.25">
      <c r="B84" s="156"/>
      <c r="C84" s="156"/>
      <c r="D84" s="156"/>
      <c r="E84" s="156"/>
      <c r="F84" s="156"/>
      <c r="G84" s="156"/>
    </row>
  </sheetData>
  <protectedRanges>
    <protectedRange sqref="B3" name="Bereich1"/>
  </protectedRanges>
  <mergeCells count="12">
    <mergeCell ref="A66:A67"/>
    <mergeCell ref="A78:A79"/>
    <mergeCell ref="A31:A32"/>
    <mergeCell ref="A41:A42"/>
    <mergeCell ref="A58:A59"/>
    <mergeCell ref="B25:B26"/>
    <mergeCell ref="A1:F1"/>
    <mergeCell ref="A11:A12"/>
    <mergeCell ref="B11:B12"/>
    <mergeCell ref="A16:A17"/>
    <mergeCell ref="B16:B17"/>
    <mergeCell ref="A25:A26"/>
  </mergeCells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custom" allowBlank="1" showInputMessage="1" showErrorMessage="1" xr:uid="{00000000-0002-0000-0700-000000000000}">
          <x14:formula1>
            <xm:f>VLOOKUP(C3,'J:\Referatslaufwerk\EEG\8175 Ausschreibungen\8175-00 Allgemein\Statistik_Veröffentlichung\[Statistik_Veröffentlichung_Wind.xlsm]Gebotstermine'!#REF!,2,FALSE)</xm:f>
          </x14:formula1>
          <xm:sqref>D3</xm:sqref>
        </x14:dataValidation>
        <x14:dataValidation type="list" showInputMessage="1" showErrorMessage="1" xr:uid="{00000000-0002-0000-0700-000001000000}">
          <x14:formula1>
            <xm:f>'J:\Referatslaufwerk\EEG\8175 Ausschreibungen\8175-00 Allgemein\Statistik_Veröffentlichung\[Statistik_Veröffentlichung_Wind.xlsm]Gebotstermine'!#REF!</xm:f>
          </x14:formula1>
          <xm:sqref>B3</xm:sqref>
        </x14:dataValidation>
        <x14:dataValidation type="list" allowBlank="1" showInputMessage="1" showErrorMessage="1" xr:uid="{00000000-0002-0000-0700-000002000000}">
          <x14:formula1>
            <xm:f>'J:\Referatslaufwerk\EEG\8175 Ausschreibungen\8175-00 Allgemein\Statistik_Veröffentlichung\[Statistik_Veröffentlichung_Wind.xlsm]Gebotstermine'!#REF!</xm:f>
          </x14:formula1>
          <xm:sqref>I3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53">
    <tabColor rgb="FF0070C0"/>
  </sheetPr>
  <dimension ref="A1:H85"/>
  <sheetViews>
    <sheetView showGridLines="0" topLeftCell="A55" zoomScaleNormal="100" workbookViewId="0">
      <selection activeCell="E84" sqref="E84"/>
    </sheetView>
  </sheetViews>
  <sheetFormatPr defaultColWidth="9.140625" defaultRowHeight="15" x14ac:dyDescent="0.25"/>
  <cols>
    <col min="1" max="1" width="47.5703125" style="180" customWidth="1"/>
    <col min="2" max="43" width="19.28515625" style="180" customWidth="1"/>
    <col min="44" max="16384" width="9.140625" style="180"/>
  </cols>
  <sheetData>
    <row r="1" spans="1:8" s="204" customFormat="1" x14ac:dyDescent="0.25">
      <c r="A1" s="339" t="s">
        <v>64</v>
      </c>
      <c r="B1" s="340"/>
      <c r="C1" s="340"/>
      <c r="D1" s="340"/>
      <c r="E1" s="340"/>
      <c r="F1" s="340"/>
      <c r="H1" s="136" t="s">
        <v>117</v>
      </c>
    </row>
    <row r="2" spans="1:8" s="204" customFormat="1" ht="23.25" x14ac:dyDescent="0.25">
      <c r="A2" s="181"/>
    </row>
    <row r="3" spans="1:8" x14ac:dyDescent="0.25">
      <c r="A3" s="137" t="s">
        <v>1</v>
      </c>
      <c r="B3" s="138">
        <v>44105</v>
      </c>
      <c r="C3" s="139" t="e">
        <f ca="1">OFFSET([2]!Gebotstermine[[#Headers],[terGebotsterminID]],MATCH(Gebotstermin,[2]!Gebotstermine[terGebotstermin],0),,,)</f>
        <v>#REF!</v>
      </c>
    </row>
    <row r="4" spans="1:8" x14ac:dyDescent="0.25">
      <c r="A4" s="140"/>
      <c r="B4" s="141"/>
    </row>
    <row r="6" spans="1:8" ht="19.5" thickBot="1" x14ac:dyDescent="0.35">
      <c r="A6" s="142" t="s">
        <v>2</v>
      </c>
    </row>
    <row r="7" spans="1:8" ht="45.75" thickBot="1" x14ac:dyDescent="0.3">
      <c r="A7" s="143" t="s">
        <v>3</v>
      </c>
      <c r="B7" s="143" t="s">
        <v>4</v>
      </c>
      <c r="F7" s="144"/>
      <c r="G7" s="145"/>
      <c r="H7" s="145"/>
    </row>
    <row r="8" spans="1:8" x14ac:dyDescent="0.25">
      <c r="A8" s="133">
        <v>825527</v>
      </c>
      <c r="B8" s="146">
        <v>6.1999998092651367</v>
      </c>
    </row>
    <row r="9" spans="1:8" ht="18.75" x14ac:dyDescent="0.3">
      <c r="A9" s="142"/>
    </row>
    <row r="10" spans="1:8" ht="15.75" thickBot="1" x14ac:dyDescent="0.3">
      <c r="A10" s="147" t="s">
        <v>18</v>
      </c>
    </row>
    <row r="11" spans="1:8" ht="15.75" customHeight="1" thickBot="1" x14ac:dyDescent="0.3">
      <c r="A11" s="331" t="s">
        <v>5</v>
      </c>
      <c r="B11" s="331" t="s">
        <v>6</v>
      </c>
      <c r="C11" s="11" t="s">
        <v>7</v>
      </c>
      <c r="D11" s="12"/>
      <c r="E11" s="13"/>
      <c r="F11" s="11" t="s">
        <v>8</v>
      </c>
      <c r="G11" s="12"/>
      <c r="H11" s="13"/>
    </row>
    <row r="12" spans="1:8" ht="15.75" thickBot="1" x14ac:dyDescent="0.3">
      <c r="A12" s="332"/>
      <c r="B12" s="332"/>
      <c r="C12" s="148" t="s">
        <v>9</v>
      </c>
      <c r="D12" s="148" t="s">
        <v>10</v>
      </c>
      <c r="E12" s="148" t="s">
        <v>11</v>
      </c>
      <c r="F12" s="148" t="s">
        <v>9</v>
      </c>
      <c r="G12" s="148" t="s">
        <v>10</v>
      </c>
      <c r="H12" s="149" t="s">
        <v>12</v>
      </c>
    </row>
    <row r="13" spans="1:8" x14ac:dyDescent="0.25">
      <c r="A13" s="132">
        <v>768950</v>
      </c>
      <c r="B13" s="131">
        <v>89</v>
      </c>
      <c r="C13" s="130">
        <v>2350</v>
      </c>
      <c r="D13" s="129">
        <v>36000</v>
      </c>
      <c r="E13" s="128">
        <v>8639.8876404494385</v>
      </c>
      <c r="F13" s="127">
        <v>5.6</v>
      </c>
      <c r="G13" s="126">
        <v>6.2</v>
      </c>
      <c r="H13" s="125">
        <v>6.1140880421353794</v>
      </c>
    </row>
    <row r="14" spans="1:8" ht="4.5" customHeight="1" x14ac:dyDescent="0.25">
      <c r="A14" s="182"/>
      <c r="B14" s="182"/>
      <c r="C14" s="182"/>
      <c r="D14" s="182"/>
      <c r="E14" s="182"/>
      <c r="F14" s="182"/>
      <c r="G14" s="182"/>
      <c r="H14" s="182"/>
    </row>
    <row r="15" spans="1:8" ht="15.75" thickBot="1" x14ac:dyDescent="0.3">
      <c r="A15" s="147" t="s">
        <v>65</v>
      </c>
      <c r="B15" s="151"/>
      <c r="C15" s="151"/>
      <c r="D15" s="151"/>
      <c r="E15" s="151"/>
      <c r="F15" s="146"/>
      <c r="G15" s="146"/>
      <c r="H15" s="146"/>
    </row>
    <row r="16" spans="1:8" ht="15.75" customHeight="1" thickBot="1" x14ac:dyDescent="0.3">
      <c r="A16" s="331" t="s">
        <v>66</v>
      </c>
      <c r="B16" s="331" t="s">
        <v>67</v>
      </c>
      <c r="C16" s="11" t="s">
        <v>15</v>
      </c>
      <c r="D16" s="12"/>
      <c r="E16" s="13"/>
      <c r="F16" s="11" t="s">
        <v>16</v>
      </c>
      <c r="G16" s="12"/>
      <c r="H16" s="13"/>
    </row>
    <row r="17" spans="1:8" ht="15.75" thickBot="1" x14ac:dyDescent="0.3">
      <c r="A17" s="332"/>
      <c r="B17" s="332"/>
      <c r="C17" s="148" t="s">
        <v>9</v>
      </c>
      <c r="D17" s="148" t="s">
        <v>10</v>
      </c>
      <c r="E17" s="148" t="s">
        <v>11</v>
      </c>
      <c r="F17" s="148" t="s">
        <v>9</v>
      </c>
      <c r="G17" s="148" t="s">
        <v>10</v>
      </c>
      <c r="H17" s="148" t="s">
        <v>12</v>
      </c>
    </row>
    <row r="18" spans="1:8" x14ac:dyDescent="0.25">
      <c r="A18" s="120">
        <v>658650</v>
      </c>
      <c r="B18" s="119">
        <v>74</v>
      </c>
      <c r="C18" s="124">
        <v>3000</v>
      </c>
      <c r="D18" s="32">
        <v>36000</v>
      </c>
      <c r="E18" s="33">
        <v>8900.6756756756749</v>
      </c>
      <c r="F18" s="123">
        <v>5.5999999046325684</v>
      </c>
      <c r="G18" s="122">
        <v>6.1999998092651367</v>
      </c>
      <c r="H18" s="121">
        <v>6.1079723182521271</v>
      </c>
    </row>
    <row r="19" spans="1:8" ht="4.5" customHeight="1" x14ac:dyDescent="0.25">
      <c r="A19" s="182"/>
      <c r="B19" s="182"/>
      <c r="C19" s="182"/>
      <c r="D19" s="182"/>
      <c r="E19" s="182"/>
      <c r="F19" s="182"/>
      <c r="G19" s="182"/>
      <c r="H19" s="182"/>
    </row>
    <row r="20" spans="1:8" ht="16.5" thickBot="1" x14ac:dyDescent="0.3">
      <c r="A20" s="152" t="s">
        <v>68</v>
      </c>
      <c r="B20" s="151"/>
      <c r="C20" s="151"/>
      <c r="D20" s="151"/>
      <c r="E20" s="151"/>
      <c r="F20" s="146"/>
      <c r="G20" s="146"/>
      <c r="H20" s="146"/>
    </row>
    <row r="21" spans="1:8" ht="30" x14ac:dyDescent="0.25">
      <c r="A21" s="205" t="s">
        <v>66</v>
      </c>
      <c r="B21" s="205" t="s">
        <v>14</v>
      </c>
      <c r="C21" s="151"/>
      <c r="D21" s="151"/>
      <c r="E21" s="151"/>
      <c r="F21" s="146"/>
      <c r="G21" s="146"/>
      <c r="H21" s="146"/>
    </row>
    <row r="22" spans="1:8" x14ac:dyDescent="0.25">
      <c r="A22" s="120">
        <v>658650</v>
      </c>
      <c r="B22" s="119">
        <v>74</v>
      </c>
    </row>
    <row r="23" spans="1:8" ht="4.5" customHeight="1" x14ac:dyDescent="0.25">
      <c r="A23" s="182"/>
      <c r="B23" s="182"/>
      <c r="C23" s="151"/>
      <c r="D23" s="151"/>
      <c r="E23" s="151"/>
      <c r="F23" s="146"/>
      <c r="G23" s="146"/>
      <c r="H23" s="146"/>
    </row>
    <row r="24" spans="1:8" ht="15.75" thickBot="1" x14ac:dyDescent="0.3">
      <c r="A24" s="147" t="s">
        <v>69</v>
      </c>
      <c r="B24" s="151"/>
      <c r="C24" s="151"/>
      <c r="D24" s="151"/>
      <c r="E24" s="151"/>
      <c r="F24" s="146"/>
      <c r="G24" s="146"/>
      <c r="H24" s="146"/>
    </row>
    <row r="25" spans="1:8" ht="15" customHeight="1" x14ac:dyDescent="0.25">
      <c r="A25" s="331" t="s">
        <v>70</v>
      </c>
      <c r="B25" s="331" t="s">
        <v>71</v>
      </c>
    </row>
    <row r="26" spans="1:8" ht="15.75" thickBot="1" x14ac:dyDescent="0.3">
      <c r="A26" s="332"/>
      <c r="B26" s="332"/>
    </row>
    <row r="27" spans="1:8" ht="15.75" thickBot="1" x14ac:dyDescent="0.3">
      <c r="A27" s="118">
        <v>48000</v>
      </c>
      <c r="B27" s="117">
        <v>3</v>
      </c>
    </row>
    <row r="28" spans="1:8" ht="15.75" x14ac:dyDescent="0.25">
      <c r="A28" s="153" t="s">
        <v>100</v>
      </c>
    </row>
    <row r="31" spans="1:8" ht="19.5" thickBot="1" x14ac:dyDescent="0.35">
      <c r="A31" s="79" t="s">
        <v>73</v>
      </c>
    </row>
    <row r="32" spans="1:8" ht="15.75" thickBot="1" x14ac:dyDescent="0.3">
      <c r="A32" s="325" t="s">
        <v>23</v>
      </c>
      <c r="B32" s="80" t="s">
        <v>18</v>
      </c>
      <c r="C32" s="81"/>
      <c r="D32" s="82"/>
      <c r="E32" s="81" t="s">
        <v>31</v>
      </c>
      <c r="F32" s="81"/>
      <c r="G32" s="82"/>
      <c r="H32" s="144"/>
    </row>
    <row r="33" spans="1:8" ht="30.75" thickBot="1" x14ac:dyDescent="0.3">
      <c r="A33" s="326"/>
      <c r="B33" s="143" t="s">
        <v>63</v>
      </c>
      <c r="C33" s="143" t="s">
        <v>20</v>
      </c>
      <c r="D33" s="143" t="s">
        <v>74</v>
      </c>
      <c r="E33" s="154" t="s">
        <v>75</v>
      </c>
      <c r="F33" s="143" t="s">
        <v>32</v>
      </c>
      <c r="G33" s="143" t="s">
        <v>76</v>
      </c>
      <c r="H33" s="144"/>
    </row>
    <row r="34" spans="1:8" x14ac:dyDescent="0.25">
      <c r="A34" s="116" t="s">
        <v>26</v>
      </c>
      <c r="B34" s="145">
        <v>279700</v>
      </c>
      <c r="C34" s="145">
        <v>59</v>
      </c>
      <c r="D34" s="145">
        <v>4740.6779661016953</v>
      </c>
      <c r="E34" s="145">
        <v>221600</v>
      </c>
      <c r="F34" s="145">
        <v>47</v>
      </c>
      <c r="G34" s="145">
        <v>4714.8936170212764</v>
      </c>
      <c r="H34" s="144"/>
    </row>
    <row r="35" spans="1:8" x14ac:dyDescent="0.25">
      <c r="A35" s="116" t="s">
        <v>27</v>
      </c>
      <c r="B35" s="145">
        <v>111350</v>
      </c>
      <c r="C35" s="145">
        <v>11</v>
      </c>
      <c r="D35" s="145">
        <v>10122.727272727272</v>
      </c>
      <c r="E35" s="145">
        <v>102950</v>
      </c>
      <c r="F35" s="145">
        <v>10</v>
      </c>
      <c r="G35" s="145">
        <v>10295</v>
      </c>
      <c r="H35" s="144"/>
    </row>
    <row r="36" spans="1:8" x14ac:dyDescent="0.25">
      <c r="A36" s="116" t="s">
        <v>28</v>
      </c>
      <c r="B36" s="145">
        <v>167400</v>
      </c>
      <c r="C36" s="145">
        <v>11</v>
      </c>
      <c r="D36" s="145">
        <v>15218.181818181818</v>
      </c>
      <c r="E36" s="145">
        <v>153000</v>
      </c>
      <c r="F36" s="145">
        <v>10</v>
      </c>
      <c r="G36" s="145">
        <v>15300</v>
      </c>
      <c r="H36" s="144"/>
    </row>
    <row r="37" spans="1:8" x14ac:dyDescent="0.25">
      <c r="A37" s="116" t="s">
        <v>77</v>
      </c>
      <c r="B37" s="145">
        <v>210500</v>
      </c>
      <c r="C37" s="145">
        <v>8</v>
      </c>
      <c r="D37" s="145">
        <v>26312.5</v>
      </c>
      <c r="E37" s="145">
        <v>181100</v>
      </c>
      <c r="F37" s="145">
        <v>7</v>
      </c>
      <c r="G37" s="145">
        <v>25871.428571428572</v>
      </c>
      <c r="H37" s="144"/>
    </row>
    <row r="38" spans="1:8" x14ac:dyDescent="0.25">
      <c r="A38" s="201" t="s">
        <v>78</v>
      </c>
      <c r="B38" s="156">
        <f>SUBTOTAL(109,Tabelle_PV_FFA_Datenbank_FE.accdb21377[Gebotsmenge])</f>
        <v>768950</v>
      </c>
      <c r="C38" s="156">
        <f>SUBTOTAL(109,Tabelle_PV_FFA_Datenbank_FE.accdb21377[Anzahl Gebote])</f>
        <v>89</v>
      </c>
      <c r="E38" s="156">
        <f>SUBTOTAL(109,Tabelle_PV_FFA_Datenbank_FE.accdb21377[Zuschlagsmenge])</f>
        <v>658650</v>
      </c>
      <c r="F38" s="156">
        <f>SUBTOTAL(109,Tabelle_PV_FFA_Datenbank_FE.accdb21377[Anzahl Zuschläge])</f>
        <v>74</v>
      </c>
      <c r="G38" s="156"/>
      <c r="H38" s="144"/>
    </row>
    <row r="39" spans="1:8" x14ac:dyDescent="0.25">
      <c r="A39" s="201"/>
      <c r="B39" s="156"/>
      <c r="C39" s="156"/>
      <c r="E39" s="156"/>
      <c r="F39" s="156"/>
      <c r="G39" s="156"/>
      <c r="H39" s="144"/>
    </row>
    <row r="40" spans="1:8" x14ac:dyDescent="0.25">
      <c r="A40" s="201"/>
      <c r="B40" s="156"/>
      <c r="C40" s="156"/>
      <c r="E40" s="156"/>
      <c r="F40" s="156"/>
      <c r="G40" s="156"/>
      <c r="H40" s="144"/>
    </row>
    <row r="41" spans="1:8" ht="19.5" thickBot="1" x14ac:dyDescent="0.35">
      <c r="A41" s="157" t="s">
        <v>79</v>
      </c>
    </row>
    <row r="42" spans="1:8" ht="15.75" thickBot="1" x14ac:dyDescent="0.3">
      <c r="A42" s="325" t="s">
        <v>80</v>
      </c>
      <c r="B42" s="80" t="s">
        <v>18</v>
      </c>
      <c r="C42" s="81"/>
      <c r="D42" s="82"/>
      <c r="E42" s="81" t="s">
        <v>31</v>
      </c>
      <c r="F42" s="81"/>
      <c r="G42" s="82"/>
    </row>
    <row r="43" spans="1:8" ht="30.75" thickBot="1" x14ac:dyDescent="0.3">
      <c r="A43" s="326"/>
      <c r="B43" s="143" t="s">
        <v>63</v>
      </c>
      <c r="C43" s="143" t="s">
        <v>20</v>
      </c>
      <c r="D43" s="143" t="s">
        <v>74</v>
      </c>
      <c r="E43" s="154" t="s">
        <v>75</v>
      </c>
      <c r="F43" s="143" t="s">
        <v>32</v>
      </c>
      <c r="G43" s="143" t="s">
        <v>76</v>
      </c>
    </row>
    <row r="44" spans="1:8" x14ac:dyDescent="0.25">
      <c r="A44" s="116" t="s">
        <v>39</v>
      </c>
      <c r="B44" s="145">
        <v>40800</v>
      </c>
      <c r="C44" s="145">
        <v>5</v>
      </c>
      <c r="D44" s="145">
        <v>8160</v>
      </c>
      <c r="E44" s="145">
        <v>40800</v>
      </c>
      <c r="F44" s="145">
        <v>5</v>
      </c>
      <c r="G44" s="145">
        <v>8160</v>
      </c>
    </row>
    <row r="45" spans="1:8" x14ac:dyDescent="0.25">
      <c r="A45" s="116" t="s">
        <v>41</v>
      </c>
      <c r="B45" s="145">
        <v>115200</v>
      </c>
      <c r="C45" s="145">
        <v>9</v>
      </c>
      <c r="D45" s="145">
        <v>12800</v>
      </c>
      <c r="E45" s="145">
        <v>85800</v>
      </c>
      <c r="F45" s="145">
        <v>8</v>
      </c>
      <c r="G45" s="145">
        <v>10725</v>
      </c>
    </row>
    <row r="46" spans="1:8" x14ac:dyDescent="0.25">
      <c r="A46" s="201" t="s">
        <v>42</v>
      </c>
      <c r="B46" s="156">
        <v>28000</v>
      </c>
      <c r="C46" s="156">
        <v>1</v>
      </c>
      <c r="D46" s="156">
        <v>28000</v>
      </c>
      <c r="E46" s="156">
        <v>28000</v>
      </c>
      <c r="F46" s="156">
        <v>1</v>
      </c>
      <c r="G46" s="156">
        <v>28000</v>
      </c>
    </row>
    <row r="47" spans="1:8" x14ac:dyDescent="0.25">
      <c r="A47" s="201" t="s">
        <v>43</v>
      </c>
      <c r="B47" s="156">
        <v>10300</v>
      </c>
      <c r="C47" s="156">
        <v>3</v>
      </c>
      <c r="D47" s="156">
        <v>3433.3333333333335</v>
      </c>
      <c r="E47" s="156">
        <v>5600</v>
      </c>
      <c r="F47" s="156">
        <v>1</v>
      </c>
      <c r="G47" s="156">
        <v>5600</v>
      </c>
    </row>
    <row r="48" spans="1:8" x14ac:dyDescent="0.25">
      <c r="A48" s="201" t="s">
        <v>44</v>
      </c>
      <c r="B48" s="156">
        <v>243150</v>
      </c>
      <c r="C48" s="156">
        <v>19</v>
      </c>
      <c r="D48" s="156">
        <v>12797.368421052632</v>
      </c>
      <c r="E48" s="156">
        <v>234750</v>
      </c>
      <c r="F48" s="156">
        <v>18</v>
      </c>
      <c r="G48" s="156">
        <v>13041.666666666666</v>
      </c>
    </row>
    <row r="49" spans="1:7" x14ac:dyDescent="0.25">
      <c r="A49" s="201" t="s">
        <v>45</v>
      </c>
      <c r="B49" s="156">
        <v>49200</v>
      </c>
      <c r="C49" s="156">
        <v>7</v>
      </c>
      <c r="D49" s="156">
        <v>7028.5714285714284</v>
      </c>
      <c r="E49" s="156">
        <v>49200</v>
      </c>
      <c r="F49" s="156">
        <v>7</v>
      </c>
      <c r="G49" s="156">
        <v>7028.5714285714284</v>
      </c>
    </row>
    <row r="50" spans="1:7" x14ac:dyDescent="0.25">
      <c r="A50" s="201" t="s">
        <v>46</v>
      </c>
      <c r="B50" s="156">
        <v>7500</v>
      </c>
      <c r="C50" s="156">
        <v>2</v>
      </c>
      <c r="D50" s="156">
        <v>3750</v>
      </c>
      <c r="E50" s="156">
        <v>7500</v>
      </c>
      <c r="F50" s="156">
        <v>2</v>
      </c>
      <c r="G50" s="156">
        <v>3750</v>
      </c>
    </row>
    <row r="51" spans="1:7" x14ac:dyDescent="0.25">
      <c r="A51" s="201" t="s">
        <v>47</v>
      </c>
      <c r="B51" s="156">
        <v>22400</v>
      </c>
      <c r="C51" s="156">
        <v>2</v>
      </c>
      <c r="D51" s="156">
        <v>11200</v>
      </c>
      <c r="E51" s="156">
        <v>22400</v>
      </c>
      <c r="F51" s="156">
        <v>2</v>
      </c>
      <c r="G51" s="156">
        <v>11200</v>
      </c>
    </row>
    <row r="52" spans="1:7" x14ac:dyDescent="0.25">
      <c r="A52" s="180" t="s">
        <v>48</v>
      </c>
      <c r="B52" s="156">
        <v>76100</v>
      </c>
      <c r="C52" s="156">
        <v>7</v>
      </c>
      <c r="D52" s="156">
        <v>10871.428571428571</v>
      </c>
      <c r="E52" s="156">
        <v>76100</v>
      </c>
      <c r="F52" s="156">
        <v>7</v>
      </c>
      <c r="G52" s="156">
        <v>10871.428571428571</v>
      </c>
    </row>
    <row r="53" spans="1:7" x14ac:dyDescent="0.25">
      <c r="A53" s="180" t="s">
        <v>49</v>
      </c>
      <c r="B53" s="156">
        <v>176300</v>
      </c>
      <c r="C53" s="156">
        <v>34</v>
      </c>
      <c r="D53" s="156">
        <v>5185.2941176470586</v>
      </c>
      <c r="E53" s="156">
        <v>108500</v>
      </c>
      <c r="F53" s="156">
        <v>23</v>
      </c>
      <c r="G53" s="156">
        <v>4717.391304347826</v>
      </c>
    </row>
    <row r="54" spans="1:7" x14ac:dyDescent="0.25">
      <c r="A54" s="201" t="s">
        <v>78</v>
      </c>
      <c r="B54" s="156">
        <f>SUBTOTAL(109,Tabelle_PV_FFA_Datenbank_FE.accdb245671879[Gebotsmenge])</f>
        <v>768950</v>
      </c>
      <c r="C54" s="156">
        <f>SUBTOTAL(109,Tabelle_PV_FFA_Datenbank_FE.accdb245671879[Anzahl Gebote])</f>
        <v>89</v>
      </c>
      <c r="E54" s="156">
        <f>SUBTOTAL(109,Tabelle_PV_FFA_Datenbank_FE.accdb245671879[Zuschlagsmenge])</f>
        <v>658650</v>
      </c>
      <c r="F54" s="156">
        <f>SUBTOTAL(109,Tabelle_PV_FFA_Datenbank_FE.accdb245671879[Anzahl Zuschläge])</f>
        <v>74</v>
      </c>
      <c r="G54" s="156"/>
    </row>
    <row r="55" spans="1:7" x14ac:dyDescent="0.25">
      <c r="B55" s="156"/>
      <c r="C55" s="156"/>
      <c r="D55" s="156"/>
      <c r="E55" s="156"/>
      <c r="F55" s="156"/>
      <c r="G55" s="156"/>
    </row>
    <row r="56" spans="1:7" x14ac:dyDescent="0.25">
      <c r="B56" s="156"/>
      <c r="C56" s="156"/>
      <c r="D56" s="156"/>
      <c r="E56" s="156"/>
      <c r="F56" s="156"/>
      <c r="G56" s="156"/>
    </row>
    <row r="57" spans="1:7" ht="19.5" thickBot="1" x14ac:dyDescent="0.35">
      <c r="A57" s="79" t="s">
        <v>82</v>
      </c>
    </row>
    <row r="58" spans="1:7" ht="15.75" thickBot="1" x14ac:dyDescent="0.3">
      <c r="A58" s="325" t="s">
        <v>83</v>
      </c>
      <c r="B58" s="80" t="s">
        <v>18</v>
      </c>
      <c r="C58" s="81"/>
      <c r="D58" s="82"/>
      <c r="E58" s="81" t="s">
        <v>31</v>
      </c>
      <c r="F58" s="81"/>
      <c r="G58" s="82"/>
    </row>
    <row r="59" spans="1:7" ht="30.75" thickBot="1" x14ac:dyDescent="0.3">
      <c r="A59" s="326"/>
      <c r="B59" s="143" t="s">
        <v>63</v>
      </c>
      <c r="C59" s="143" t="s">
        <v>20</v>
      </c>
      <c r="D59" s="143" t="s">
        <v>74</v>
      </c>
      <c r="E59" s="154" t="s">
        <v>75</v>
      </c>
      <c r="F59" s="143" t="s">
        <v>32</v>
      </c>
      <c r="G59" s="143" t="s">
        <v>76</v>
      </c>
    </row>
    <row r="60" spans="1:7" x14ac:dyDescent="0.25">
      <c r="A60" s="116" t="s">
        <v>24</v>
      </c>
      <c r="B60" s="145">
        <v>18600</v>
      </c>
      <c r="C60" s="145">
        <v>2</v>
      </c>
      <c r="D60" s="145">
        <v>9300</v>
      </c>
      <c r="E60" s="145">
        <v>4200</v>
      </c>
      <c r="F60" s="145">
        <v>1</v>
      </c>
      <c r="G60" s="145">
        <v>4200</v>
      </c>
    </row>
    <row r="61" spans="1:7" x14ac:dyDescent="0.25">
      <c r="A61" s="180" t="s">
        <v>84</v>
      </c>
      <c r="B61" s="156">
        <v>750350</v>
      </c>
      <c r="C61" s="156">
        <v>87</v>
      </c>
      <c r="D61" s="156">
        <v>8624.71264367816</v>
      </c>
      <c r="E61" s="156">
        <v>654450</v>
      </c>
      <c r="F61" s="156">
        <v>73</v>
      </c>
      <c r="G61" s="156">
        <v>8965.0684931506858</v>
      </c>
    </row>
    <row r="62" spans="1:7" x14ac:dyDescent="0.25">
      <c r="A62" s="180" t="s">
        <v>78</v>
      </c>
      <c r="B62" s="156">
        <f>SUBTOTAL(109,Tabelle_PV_FFA_Datenbank_FE.accdb24561681[Gebotsmenge])</f>
        <v>768950</v>
      </c>
      <c r="C62" s="156">
        <f>SUBTOTAL(109,Tabelle_PV_FFA_Datenbank_FE.accdb24561681[Anzahl Gebote])</f>
        <v>89</v>
      </c>
      <c r="E62" s="156">
        <f>SUBTOTAL(109,Tabelle_PV_FFA_Datenbank_FE.accdb24561681[Zuschlagsmenge])</f>
        <v>658650</v>
      </c>
      <c r="F62" s="156">
        <f>SUBTOTAL(109,Tabelle_PV_FFA_Datenbank_FE.accdb24561681[Anzahl Zuschläge])</f>
        <v>74</v>
      </c>
      <c r="G62" s="156"/>
    </row>
    <row r="63" spans="1:7" x14ac:dyDescent="0.25">
      <c r="B63" s="156"/>
      <c r="C63" s="156"/>
      <c r="E63" s="156"/>
      <c r="F63" s="156"/>
    </row>
    <row r="64" spans="1:7" x14ac:dyDescent="0.25">
      <c r="A64" s="201"/>
      <c r="B64" s="156"/>
      <c r="C64" s="156"/>
      <c r="D64" s="156"/>
      <c r="E64" s="156"/>
      <c r="F64" s="156"/>
      <c r="G64" s="156"/>
    </row>
    <row r="65" spans="1:7" ht="19.5" thickBot="1" x14ac:dyDescent="0.35">
      <c r="A65" s="79" t="s">
        <v>85</v>
      </c>
    </row>
    <row r="66" spans="1:7" ht="15.75" thickBot="1" x14ac:dyDescent="0.3">
      <c r="A66" s="325" t="s">
        <v>86</v>
      </c>
      <c r="B66" s="80" t="s">
        <v>18</v>
      </c>
      <c r="C66" s="81"/>
      <c r="D66" s="82"/>
      <c r="E66" s="81" t="s">
        <v>31</v>
      </c>
      <c r="F66" s="81"/>
      <c r="G66" s="82"/>
    </row>
    <row r="67" spans="1:7" ht="30.75" thickBot="1" x14ac:dyDescent="0.3">
      <c r="A67" s="338"/>
      <c r="B67" s="143" t="s">
        <v>63</v>
      </c>
      <c r="C67" s="143" t="s">
        <v>20</v>
      </c>
      <c r="D67" s="143" t="s">
        <v>74</v>
      </c>
      <c r="E67" s="154" t="s">
        <v>75</v>
      </c>
      <c r="F67" s="143" t="s">
        <v>32</v>
      </c>
      <c r="G67" s="143" t="s">
        <v>76</v>
      </c>
    </row>
    <row r="68" spans="1:7" x14ac:dyDescent="0.25">
      <c r="A68" s="116" t="s">
        <v>87</v>
      </c>
      <c r="B68" s="145">
        <v>65500</v>
      </c>
      <c r="C68" s="145">
        <v>7</v>
      </c>
      <c r="D68" s="145">
        <v>9357.1428571428569</v>
      </c>
      <c r="E68" s="145">
        <v>65500</v>
      </c>
      <c r="F68" s="145">
        <v>7</v>
      </c>
      <c r="G68" s="145">
        <v>9357.1428571428569</v>
      </c>
    </row>
    <row r="69" spans="1:7" x14ac:dyDescent="0.25">
      <c r="A69" s="180" t="s">
        <v>89</v>
      </c>
      <c r="B69" s="156">
        <v>5700</v>
      </c>
      <c r="C69" s="156">
        <v>1</v>
      </c>
      <c r="D69" s="156">
        <v>5700</v>
      </c>
      <c r="E69" s="156">
        <v>0</v>
      </c>
      <c r="F69" s="156">
        <v>0</v>
      </c>
      <c r="G69" s="156">
        <v>0</v>
      </c>
    </row>
    <row r="70" spans="1:7" x14ac:dyDescent="0.25">
      <c r="A70" s="180" t="s">
        <v>91</v>
      </c>
      <c r="B70" s="156">
        <v>129100</v>
      </c>
      <c r="C70" s="156">
        <v>11</v>
      </c>
      <c r="D70" s="156">
        <v>11736.363636363636</v>
      </c>
      <c r="E70" s="156">
        <v>129100</v>
      </c>
      <c r="F70" s="156">
        <v>11</v>
      </c>
      <c r="G70" s="156">
        <v>11736.363636363636</v>
      </c>
    </row>
    <row r="71" spans="1:7" x14ac:dyDescent="0.25">
      <c r="A71" s="180" t="s">
        <v>92</v>
      </c>
      <c r="B71" s="180">
        <v>512450</v>
      </c>
      <c r="C71" s="180">
        <v>63</v>
      </c>
      <c r="D71" s="156">
        <v>8134.1269841269841</v>
      </c>
      <c r="E71" s="180">
        <v>407850</v>
      </c>
      <c r="F71" s="180">
        <v>49</v>
      </c>
      <c r="G71" s="180">
        <v>8323.4693877551017</v>
      </c>
    </row>
    <row r="72" spans="1:7" x14ac:dyDescent="0.25">
      <c r="A72" s="180" t="s">
        <v>118</v>
      </c>
      <c r="B72" s="156">
        <v>15600</v>
      </c>
      <c r="C72" s="156">
        <v>3</v>
      </c>
      <c r="D72" s="156">
        <v>5200</v>
      </c>
      <c r="E72" s="156">
        <v>15600</v>
      </c>
      <c r="F72" s="156">
        <v>3</v>
      </c>
      <c r="G72" s="156">
        <v>5200</v>
      </c>
    </row>
    <row r="73" spans="1:7" x14ac:dyDescent="0.25">
      <c r="A73" s="180" t="s">
        <v>110</v>
      </c>
      <c r="B73" s="156">
        <v>28000</v>
      </c>
      <c r="C73" s="156">
        <v>1</v>
      </c>
      <c r="D73" s="156">
        <v>28000</v>
      </c>
      <c r="E73" s="156">
        <v>28000</v>
      </c>
      <c r="F73" s="156">
        <v>1</v>
      </c>
      <c r="G73" s="156">
        <v>28000</v>
      </c>
    </row>
    <row r="74" spans="1:7" x14ac:dyDescent="0.25">
      <c r="A74" s="180" t="s">
        <v>94</v>
      </c>
      <c r="B74" s="156">
        <v>12600</v>
      </c>
      <c r="C74" s="156">
        <v>3</v>
      </c>
      <c r="D74" s="156">
        <v>4200</v>
      </c>
      <c r="E74" s="156">
        <v>12600</v>
      </c>
      <c r="F74" s="156">
        <v>3</v>
      </c>
      <c r="G74" s="156">
        <v>4200</v>
      </c>
    </row>
    <row r="75" spans="1:7" x14ac:dyDescent="0.25">
      <c r="A75" s="180" t="s">
        <v>78</v>
      </c>
      <c r="B75" s="156">
        <f>SUBTOTAL(109,Tabelle_PV_FFA_Datenbank_FE.accdb241278[Gebotsmenge])</f>
        <v>768950</v>
      </c>
      <c r="C75" s="156">
        <f>SUBTOTAL(109,Tabelle_PV_FFA_Datenbank_FE.accdb241278[Anzahl Gebote])</f>
        <v>89</v>
      </c>
      <c r="E75" s="156">
        <f>SUBTOTAL(109,Tabelle_PV_FFA_Datenbank_FE.accdb241278[Zuschlagsmenge])</f>
        <v>658650</v>
      </c>
      <c r="F75" s="156">
        <f>SUBTOTAL(109,Tabelle_PV_FFA_Datenbank_FE.accdb241278[Anzahl Zuschläge])</f>
        <v>74</v>
      </c>
      <c r="G75" s="156"/>
    </row>
    <row r="76" spans="1:7" x14ac:dyDescent="0.25">
      <c r="B76" s="156"/>
      <c r="C76" s="156"/>
      <c r="D76" s="156"/>
      <c r="E76" s="156"/>
      <c r="F76" s="156"/>
      <c r="G76" s="156"/>
    </row>
    <row r="77" spans="1:7" x14ac:dyDescent="0.25">
      <c r="B77" s="156"/>
      <c r="C77" s="156"/>
      <c r="D77" s="156"/>
      <c r="E77" s="156"/>
      <c r="F77" s="156"/>
      <c r="G77" s="156"/>
    </row>
    <row r="78" spans="1:7" ht="19.5" thickBot="1" x14ac:dyDescent="0.35">
      <c r="A78" s="157" t="s">
        <v>95</v>
      </c>
    </row>
    <row r="79" spans="1:7" ht="15.75" thickBot="1" x14ac:dyDescent="0.3">
      <c r="A79" s="325" t="s">
        <v>80</v>
      </c>
      <c r="B79" s="80" t="s">
        <v>18</v>
      </c>
      <c r="C79" s="81"/>
      <c r="D79" s="82"/>
      <c r="E79" s="81" t="s">
        <v>31</v>
      </c>
      <c r="F79" s="81"/>
      <c r="G79" s="82"/>
    </row>
    <row r="80" spans="1:7" ht="30.75" thickBot="1" x14ac:dyDescent="0.3">
      <c r="A80" s="326"/>
      <c r="B80" s="143" t="s">
        <v>63</v>
      </c>
      <c r="C80" s="143" t="s">
        <v>20</v>
      </c>
      <c r="D80" s="143" t="s">
        <v>74</v>
      </c>
      <c r="E80" s="154" t="s">
        <v>75</v>
      </c>
      <c r="F80" s="143" t="s">
        <v>32</v>
      </c>
      <c r="G80" s="143" t="s">
        <v>76</v>
      </c>
    </row>
    <row r="81" spans="1:7" x14ac:dyDescent="0.25">
      <c r="A81" s="201" t="s">
        <v>43</v>
      </c>
      <c r="B81" s="156">
        <v>10300</v>
      </c>
      <c r="C81" s="156">
        <v>3</v>
      </c>
      <c r="D81" s="156">
        <v>3433.3333333333335</v>
      </c>
      <c r="E81" s="156">
        <v>5600</v>
      </c>
      <c r="F81" s="156">
        <v>1</v>
      </c>
      <c r="G81" s="156">
        <v>5600</v>
      </c>
    </row>
    <row r="82" spans="1:7" x14ac:dyDescent="0.25">
      <c r="A82" s="180" t="s">
        <v>44</v>
      </c>
      <c r="B82" s="156">
        <v>162600</v>
      </c>
      <c r="C82" s="156">
        <v>15</v>
      </c>
      <c r="D82" s="156">
        <v>10840</v>
      </c>
      <c r="E82" s="156">
        <v>154200</v>
      </c>
      <c r="F82" s="156">
        <v>14</v>
      </c>
      <c r="G82" s="156">
        <v>11014.285714285714</v>
      </c>
    </row>
    <row r="83" spans="1:7" x14ac:dyDescent="0.25">
      <c r="A83" s="180" t="s">
        <v>49</v>
      </c>
      <c r="B83" s="156">
        <v>176300</v>
      </c>
      <c r="C83" s="156">
        <v>34</v>
      </c>
      <c r="D83" s="156">
        <v>5185.2941176470586</v>
      </c>
      <c r="E83" s="156">
        <v>108500</v>
      </c>
      <c r="F83" s="156">
        <v>23</v>
      </c>
      <c r="G83" s="156">
        <v>4717.391304347826</v>
      </c>
    </row>
    <row r="84" spans="1:7" x14ac:dyDescent="0.25">
      <c r="A84" s="180" t="s">
        <v>78</v>
      </c>
      <c r="B84" s="156">
        <f>SUBTOTAL(109,Tabelle_PV_FFA_Datenbank_FE.accdb2456792080[Gebotsmenge])</f>
        <v>349200</v>
      </c>
      <c r="C84" s="156">
        <f>SUBTOTAL(109,Tabelle_PV_FFA_Datenbank_FE.accdb2456792080[Anzahl Gebote])</f>
        <v>52</v>
      </c>
      <c r="E84" s="156">
        <f>SUBTOTAL(109,Tabelle_PV_FFA_Datenbank_FE.accdb2456792080[Zuschlagsmenge])</f>
        <v>268300</v>
      </c>
      <c r="F84" s="156">
        <f>SUBTOTAL(109,Tabelle_PV_FFA_Datenbank_FE.accdb2456792080[Anzahl Zuschläge])</f>
        <v>38</v>
      </c>
      <c r="G84" s="156"/>
    </row>
    <row r="85" spans="1:7" x14ac:dyDescent="0.25">
      <c r="B85" s="156"/>
      <c r="C85" s="156"/>
      <c r="D85" s="156"/>
      <c r="E85" s="156"/>
      <c r="F85" s="156"/>
      <c r="G85" s="156"/>
    </row>
  </sheetData>
  <protectedRanges>
    <protectedRange sqref="B3" name="Bereich1"/>
  </protectedRanges>
  <mergeCells count="12">
    <mergeCell ref="B25:B26"/>
    <mergeCell ref="A1:F1"/>
    <mergeCell ref="A11:A12"/>
    <mergeCell ref="B11:B12"/>
    <mergeCell ref="A16:A17"/>
    <mergeCell ref="B16:B17"/>
    <mergeCell ref="A25:A26"/>
    <mergeCell ref="A66:A67"/>
    <mergeCell ref="A79:A80"/>
    <mergeCell ref="A32:A33"/>
    <mergeCell ref="A42:A43"/>
    <mergeCell ref="A58:A59"/>
  </mergeCells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custom" allowBlank="1" showInputMessage="1" showErrorMessage="1" xr:uid="{00000000-0002-0000-0800-000000000000}">
          <x14:formula1>
            <xm:f>VLOOKUP(C3,'J:\Referatslaufwerk\EEG\8175 Ausschreibungen\8175-00 Allgemein\Statistik_Veröffentlichung\[Statistik_Veröffentlichung_Wind.xlsm]Gebotstermine'!#REF!,2,FALSE)</xm:f>
          </x14:formula1>
          <xm:sqref>D3</xm:sqref>
        </x14:dataValidation>
        <x14:dataValidation type="list" showInputMessage="1" showErrorMessage="1" xr:uid="{00000000-0002-0000-0800-000001000000}">
          <x14:formula1>
            <xm:f>'J:\Referatslaufwerk\EEG\8175 Ausschreibungen\8175-00 Allgemein\Statistik_Veröffentlichung\[Statistik_Veröffentlichung_Wind.xlsm]Gebotstermine'!#REF!</xm:f>
          </x14:formula1>
          <xm:sqref>B3</xm:sqref>
        </x14:dataValidation>
        <x14:dataValidation type="list" allowBlank="1" showInputMessage="1" showErrorMessage="1" xr:uid="{00000000-0002-0000-0800-000002000000}">
          <x14:formula1>
            <xm:f>'J:\Referatslaufwerk\EEG\8175 Ausschreibungen\8175-00 Allgemein\Statistik_Veröffentlichung\[Statistik_Veröffentlichung_Wind.xlsm]Gebotstermine'!#REF!</xm:f>
          </x14:formula1>
          <xm:sqref>I3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131</vt:i4>
      </vt:variant>
    </vt:vector>
  </HeadingPairs>
  <TitlesOfParts>
    <vt:vector size="158" baseType="lpstr">
      <vt:lpstr>Übersicht</vt:lpstr>
      <vt:lpstr>Übersicht_Größenklasse</vt:lpstr>
      <vt:lpstr>Übersicht_Bundesland</vt:lpstr>
      <vt:lpstr>Übersicht_Bietertyp</vt:lpstr>
      <vt:lpstr>01.11.2021</vt:lpstr>
      <vt:lpstr>01.05.2021</vt:lpstr>
      <vt:lpstr>01.02.2021</vt:lpstr>
      <vt:lpstr>01.12.2020</vt:lpstr>
      <vt:lpstr>01.10.2020</vt:lpstr>
      <vt:lpstr>01.09.2020</vt:lpstr>
      <vt:lpstr>01.07.2020</vt:lpstr>
      <vt:lpstr>01.06.2020</vt:lpstr>
      <vt:lpstr>01.03.2020</vt:lpstr>
      <vt:lpstr>01.02.2020</vt:lpstr>
      <vt:lpstr>01.12.2019</vt:lpstr>
      <vt:lpstr>01.10.2019</vt:lpstr>
      <vt:lpstr>01.09.2019</vt:lpstr>
      <vt:lpstr>01.08.2019</vt:lpstr>
      <vt:lpstr>01.05.2019</vt:lpstr>
      <vt:lpstr>01.02.2019</vt:lpstr>
      <vt:lpstr>01.10.2018</vt:lpstr>
      <vt:lpstr>01.08.2018</vt:lpstr>
      <vt:lpstr>01.05.2018</vt:lpstr>
      <vt:lpstr>01.02.2018</vt:lpstr>
      <vt:lpstr>01.11.2017</vt:lpstr>
      <vt:lpstr>01.08.2017</vt:lpstr>
      <vt:lpstr>01.05.2017</vt:lpstr>
      <vt:lpstr>'01.02.2020'!Datum</vt:lpstr>
      <vt:lpstr>'01.02.2021'!Datum</vt:lpstr>
      <vt:lpstr>'01.05.2021'!Datum</vt:lpstr>
      <vt:lpstr>'01.06.2020'!Datum</vt:lpstr>
      <vt:lpstr>'01.07.2020'!Datum</vt:lpstr>
      <vt:lpstr>'01.09.2019'!Datum</vt:lpstr>
      <vt:lpstr>'01.09.2020'!Datum</vt:lpstr>
      <vt:lpstr>'01.10.2020'!Datum</vt:lpstr>
      <vt:lpstr>'01.12.2019'!Datum</vt:lpstr>
      <vt:lpstr>'01.12.2020'!Datum</vt:lpstr>
      <vt:lpstr>Datum</vt:lpstr>
      <vt:lpstr>'01.02.2020'!Gebotstermin</vt:lpstr>
      <vt:lpstr>'01.02.2021'!Gebotstermin</vt:lpstr>
      <vt:lpstr>'01.05.2021'!Gebotstermin</vt:lpstr>
      <vt:lpstr>'01.06.2020'!Gebotstermin</vt:lpstr>
      <vt:lpstr>'01.07.2020'!Gebotstermin</vt:lpstr>
      <vt:lpstr>'01.08.2019'!Gebotstermin</vt:lpstr>
      <vt:lpstr>'01.09.2019'!Gebotstermin</vt:lpstr>
      <vt:lpstr>'01.09.2020'!Gebotstermin</vt:lpstr>
      <vt:lpstr>'01.10.2020'!Gebotstermin</vt:lpstr>
      <vt:lpstr>'01.12.2019'!Gebotstermin</vt:lpstr>
      <vt:lpstr>'01.12.2020'!Gebotstermin</vt:lpstr>
      <vt:lpstr>'01.02.2020'!GebotsterminID</vt:lpstr>
      <vt:lpstr>'01.02.2021'!GebotsterminID</vt:lpstr>
      <vt:lpstr>'01.05.2021'!GebotsterminID</vt:lpstr>
      <vt:lpstr>'01.06.2020'!GebotsterminID</vt:lpstr>
      <vt:lpstr>'01.07.2020'!GebotsterminID</vt:lpstr>
      <vt:lpstr>'01.09.2019'!GebotsterminID</vt:lpstr>
      <vt:lpstr>'01.09.2020'!GebotsterminID</vt:lpstr>
      <vt:lpstr>'01.10.2020'!GebotsterminID</vt:lpstr>
      <vt:lpstr>'01.12.2019'!GebotsterminID</vt:lpstr>
      <vt:lpstr>'01.12.2020'!GebotsterminID</vt:lpstr>
      <vt:lpstr>GebotsterminID</vt:lpstr>
      <vt:lpstr>'01.02.2020'!PV_FFA_Datenbank_FE.accdb_39</vt:lpstr>
      <vt:lpstr>'01.02.2021'!PV_FFA_Datenbank_FE.accdb_39</vt:lpstr>
      <vt:lpstr>'01.05.2021'!PV_FFA_Datenbank_FE.accdb_39</vt:lpstr>
      <vt:lpstr>'01.06.2020'!PV_FFA_Datenbank_FE.accdb_39</vt:lpstr>
      <vt:lpstr>'01.07.2020'!PV_FFA_Datenbank_FE.accdb_39</vt:lpstr>
      <vt:lpstr>'01.08.2019'!PV_FFA_Datenbank_FE.accdb_39</vt:lpstr>
      <vt:lpstr>'01.09.2019'!PV_FFA_Datenbank_FE.accdb_39</vt:lpstr>
      <vt:lpstr>'01.09.2020'!PV_FFA_Datenbank_FE.accdb_39</vt:lpstr>
      <vt:lpstr>'01.10.2020'!PV_FFA_Datenbank_FE.accdb_39</vt:lpstr>
      <vt:lpstr>'01.12.2020'!PV_FFA_Datenbank_FE.accdb_39</vt:lpstr>
      <vt:lpstr>'01.02.2020'!PV_FFA_Datenbank_FE.accdb_40</vt:lpstr>
      <vt:lpstr>'01.02.2021'!PV_FFA_Datenbank_FE.accdb_40</vt:lpstr>
      <vt:lpstr>'01.05.2021'!PV_FFA_Datenbank_FE.accdb_40</vt:lpstr>
      <vt:lpstr>'01.06.2020'!PV_FFA_Datenbank_FE.accdb_40</vt:lpstr>
      <vt:lpstr>'01.07.2020'!PV_FFA_Datenbank_FE.accdb_40</vt:lpstr>
      <vt:lpstr>'01.08.2019'!PV_FFA_Datenbank_FE.accdb_40</vt:lpstr>
      <vt:lpstr>'01.09.2019'!PV_FFA_Datenbank_FE.accdb_40</vt:lpstr>
      <vt:lpstr>'01.09.2020'!PV_FFA_Datenbank_FE.accdb_40</vt:lpstr>
      <vt:lpstr>'01.10.2020'!PV_FFA_Datenbank_FE.accdb_40</vt:lpstr>
      <vt:lpstr>'01.12.2020'!PV_FFA_Datenbank_FE.accdb_40</vt:lpstr>
      <vt:lpstr>'01.02.2020'!PV_FFA_Datenbank_FE.accdb_41</vt:lpstr>
      <vt:lpstr>'01.02.2021'!PV_FFA_Datenbank_FE.accdb_41</vt:lpstr>
      <vt:lpstr>'01.05.2021'!PV_FFA_Datenbank_FE.accdb_41</vt:lpstr>
      <vt:lpstr>'01.06.2020'!PV_FFA_Datenbank_FE.accdb_41</vt:lpstr>
      <vt:lpstr>'01.07.2020'!PV_FFA_Datenbank_FE.accdb_41</vt:lpstr>
      <vt:lpstr>'01.08.2019'!PV_FFA_Datenbank_FE.accdb_41</vt:lpstr>
      <vt:lpstr>'01.09.2019'!PV_FFA_Datenbank_FE.accdb_41</vt:lpstr>
      <vt:lpstr>'01.09.2020'!PV_FFA_Datenbank_FE.accdb_41</vt:lpstr>
      <vt:lpstr>'01.10.2020'!PV_FFA_Datenbank_FE.accdb_41</vt:lpstr>
      <vt:lpstr>'01.12.2020'!PV_FFA_Datenbank_FE.accdb_41</vt:lpstr>
      <vt:lpstr>'01.02.2020'!PV_FFA_Datenbank_FE.accdb_42</vt:lpstr>
      <vt:lpstr>'01.02.2021'!PV_FFA_Datenbank_FE.accdb_42</vt:lpstr>
      <vt:lpstr>'01.05.2021'!PV_FFA_Datenbank_FE.accdb_42</vt:lpstr>
      <vt:lpstr>'01.06.2020'!PV_FFA_Datenbank_FE.accdb_42</vt:lpstr>
      <vt:lpstr>'01.07.2020'!PV_FFA_Datenbank_FE.accdb_42</vt:lpstr>
      <vt:lpstr>'01.08.2019'!PV_FFA_Datenbank_FE.accdb_42</vt:lpstr>
      <vt:lpstr>'01.09.2019'!PV_FFA_Datenbank_FE.accdb_42</vt:lpstr>
      <vt:lpstr>'01.09.2020'!PV_FFA_Datenbank_FE.accdb_42</vt:lpstr>
      <vt:lpstr>'01.10.2020'!PV_FFA_Datenbank_FE.accdb_42</vt:lpstr>
      <vt:lpstr>'01.12.2020'!PV_FFA_Datenbank_FE.accdb_42</vt:lpstr>
      <vt:lpstr>'01.02.2020'!PV_FFA_Datenbank_FE.accdb_43</vt:lpstr>
      <vt:lpstr>'01.02.2021'!PV_FFA_Datenbank_FE.accdb_43</vt:lpstr>
      <vt:lpstr>'01.05.2021'!PV_FFA_Datenbank_FE.accdb_43</vt:lpstr>
      <vt:lpstr>'01.06.2020'!PV_FFA_Datenbank_FE.accdb_43</vt:lpstr>
      <vt:lpstr>'01.07.2020'!PV_FFA_Datenbank_FE.accdb_43</vt:lpstr>
      <vt:lpstr>'01.08.2019'!PV_FFA_Datenbank_FE.accdb_43</vt:lpstr>
      <vt:lpstr>'01.09.2019'!PV_FFA_Datenbank_FE.accdb_43</vt:lpstr>
      <vt:lpstr>'01.09.2020'!PV_FFA_Datenbank_FE.accdb_43</vt:lpstr>
      <vt:lpstr>'01.10.2020'!PV_FFA_Datenbank_FE.accdb_43</vt:lpstr>
      <vt:lpstr>'01.12.2020'!PV_FFA_Datenbank_FE.accdb_43</vt:lpstr>
      <vt:lpstr>'01.02.2020'!PV_FFA_Datenbank_FE.accdb_44</vt:lpstr>
      <vt:lpstr>'01.02.2021'!PV_FFA_Datenbank_FE.accdb_44</vt:lpstr>
      <vt:lpstr>'01.05.2021'!PV_FFA_Datenbank_FE.accdb_44</vt:lpstr>
      <vt:lpstr>'01.06.2020'!PV_FFA_Datenbank_FE.accdb_44</vt:lpstr>
      <vt:lpstr>'01.07.2020'!PV_FFA_Datenbank_FE.accdb_44</vt:lpstr>
      <vt:lpstr>'01.08.2019'!PV_FFA_Datenbank_FE.accdb_44</vt:lpstr>
      <vt:lpstr>'01.09.2019'!PV_FFA_Datenbank_FE.accdb_44</vt:lpstr>
      <vt:lpstr>'01.09.2020'!PV_FFA_Datenbank_FE.accdb_44</vt:lpstr>
      <vt:lpstr>'01.10.2020'!PV_FFA_Datenbank_FE.accdb_44</vt:lpstr>
      <vt:lpstr>'01.12.2020'!PV_FFA_Datenbank_FE.accdb_44</vt:lpstr>
      <vt:lpstr>'01.02.2020'!PV_FFA_Datenbank_FE.accdb_46</vt:lpstr>
      <vt:lpstr>'01.02.2021'!PV_FFA_Datenbank_FE.accdb_46</vt:lpstr>
      <vt:lpstr>'01.05.2021'!PV_FFA_Datenbank_FE.accdb_46</vt:lpstr>
      <vt:lpstr>'01.06.2020'!PV_FFA_Datenbank_FE.accdb_46</vt:lpstr>
      <vt:lpstr>'01.07.2020'!PV_FFA_Datenbank_FE.accdb_46</vt:lpstr>
      <vt:lpstr>'01.08.2019'!PV_FFA_Datenbank_FE.accdb_46</vt:lpstr>
      <vt:lpstr>'01.09.2019'!PV_FFA_Datenbank_FE.accdb_46</vt:lpstr>
      <vt:lpstr>'01.09.2020'!PV_FFA_Datenbank_FE.accdb_46</vt:lpstr>
      <vt:lpstr>'01.10.2020'!PV_FFA_Datenbank_FE.accdb_46</vt:lpstr>
      <vt:lpstr>'01.12.2020'!PV_FFA_Datenbank_FE.accdb_46</vt:lpstr>
      <vt:lpstr>'01.02.2020'!PV_FFA_Datenbank_FE.accdb_47</vt:lpstr>
      <vt:lpstr>'01.06.2020'!PV_FFA_Datenbank_FE.accdb_47</vt:lpstr>
      <vt:lpstr>'01.07.2020'!PV_FFA_Datenbank_FE.accdb_47</vt:lpstr>
      <vt:lpstr>'01.08.2019'!PV_FFA_Datenbank_FE.accdb_47</vt:lpstr>
      <vt:lpstr>'01.09.2019'!PV_FFA_Datenbank_FE.accdb_47</vt:lpstr>
      <vt:lpstr>'01.09.2020'!PV_FFA_Datenbank_FE.accdb_47</vt:lpstr>
      <vt:lpstr>'01.10.2020'!PV_FFA_Datenbank_FE.accdb_47</vt:lpstr>
      <vt:lpstr>'01.12.2020'!PV_FFA_Datenbank_FE.accdb_47</vt:lpstr>
      <vt:lpstr>'01.02.2020'!PV_FFA_Datenbank_FE.accdb_48</vt:lpstr>
      <vt:lpstr>'01.02.2021'!PV_FFA_Datenbank_FE.accdb_48</vt:lpstr>
      <vt:lpstr>'01.05.2021'!PV_FFA_Datenbank_FE.accdb_48</vt:lpstr>
      <vt:lpstr>'01.06.2020'!PV_FFA_Datenbank_FE.accdb_48</vt:lpstr>
      <vt:lpstr>'01.07.2020'!PV_FFA_Datenbank_FE.accdb_48</vt:lpstr>
      <vt:lpstr>'01.08.2019'!PV_FFA_Datenbank_FE.accdb_48</vt:lpstr>
      <vt:lpstr>'01.09.2019'!PV_FFA_Datenbank_FE.accdb_48</vt:lpstr>
      <vt:lpstr>'01.09.2020'!PV_FFA_Datenbank_FE.accdb_48</vt:lpstr>
      <vt:lpstr>'01.10.2020'!PV_FFA_Datenbank_FE.accdb_48</vt:lpstr>
      <vt:lpstr>'01.12.2020'!PV_FFA_Datenbank_FE.accdb_48</vt:lpstr>
      <vt:lpstr>'01.02.2020'!PV_FFA_Datenbank_FE.accdb_57</vt:lpstr>
      <vt:lpstr>'01.02.2021'!PV_FFA_Datenbank_FE.accdb_57</vt:lpstr>
      <vt:lpstr>'01.05.2021'!PV_FFA_Datenbank_FE.accdb_57</vt:lpstr>
      <vt:lpstr>'01.06.2020'!PV_FFA_Datenbank_FE.accdb_57</vt:lpstr>
      <vt:lpstr>'01.07.2020'!PV_FFA_Datenbank_FE.accdb_57</vt:lpstr>
      <vt:lpstr>'01.08.2019'!PV_FFA_Datenbank_FE.accdb_57</vt:lpstr>
      <vt:lpstr>'01.09.2019'!PV_FFA_Datenbank_FE.accdb_57</vt:lpstr>
      <vt:lpstr>'01.09.2020'!PV_FFA_Datenbank_FE.accdb_57</vt:lpstr>
      <vt:lpstr>'01.10.2020'!PV_FFA_Datenbank_FE.accdb_57</vt:lpstr>
      <vt:lpstr>'01.12.2020'!PV_FFA_Datenbank_FE.accdb_57</vt:lpstr>
    </vt:vector>
  </TitlesOfParts>
  <Company>Bundesnetzagentur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605j</dc:creator>
  <cp:lastModifiedBy>Prokop Čech</cp:lastModifiedBy>
  <dcterms:created xsi:type="dcterms:W3CDTF">2018-03-02T08:38:04Z</dcterms:created>
  <dcterms:modified xsi:type="dcterms:W3CDTF">2021-12-30T15:59:18Z</dcterms:modified>
</cp:coreProperties>
</file>