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0" yWindow="0" windowWidth="20730" windowHeight="11760" tabRatio="732" firstSheet="2" activeTab="9"/>
  </bookViews>
  <sheets>
    <sheet name="Company List" sheetId="1" r:id="rId1"/>
    <sheet name="Asset Valuation" sheetId="5" r:id="rId2"/>
    <sheet name="Statistics" sheetId="3" r:id="rId3"/>
    <sheet name="Symbol Tables" sheetId="4" r:id="rId4"/>
    <sheet name="Advisor Contract Status" sheetId="2" r:id="rId5"/>
    <sheet name="TWEX INDIA" sheetId="6" r:id="rId6"/>
    <sheet name="TWUS" sheetId="7" r:id="rId7"/>
    <sheet name="TW Mov" sheetId="8" r:id="rId8"/>
    <sheet name="TW UAE" sheetId="9" r:id="rId9"/>
    <sheet name="TW Europe" sheetId="11" r:id="rId10"/>
    <sheet name="TWIN" sheetId="12" r:id="rId11"/>
    <sheet name="TWEX %" sheetId="14" r:id="rId12"/>
    <sheet name="TWAF" sheetId="13" r:id="rId13"/>
    <sheet name="TW Magreb" sheetId="10" r:id="rId1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4" l="1"/>
  <c r="G5" i="14"/>
  <c r="H5" i="14"/>
  <c r="I5" i="14"/>
  <c r="J5" i="14"/>
  <c r="K5" i="14"/>
  <c r="L5" i="14"/>
  <c r="G6" i="14"/>
  <c r="G7" i="14"/>
  <c r="G8" i="14"/>
  <c r="G9" i="14"/>
  <c r="G10" i="14"/>
  <c r="G11" i="14"/>
  <c r="G12" i="14"/>
  <c r="G13" i="14"/>
  <c r="G15" i="14"/>
  <c r="H6" i="14"/>
  <c r="H7" i="14"/>
  <c r="H8" i="14"/>
  <c r="H9" i="14"/>
  <c r="H10" i="14"/>
  <c r="H11" i="14"/>
  <c r="H12" i="14"/>
  <c r="H13" i="14"/>
  <c r="H14" i="14"/>
  <c r="H15" i="14"/>
  <c r="I6" i="14"/>
  <c r="I7" i="14"/>
  <c r="I8" i="14"/>
  <c r="I9" i="14"/>
  <c r="I10" i="14"/>
  <c r="I11" i="14"/>
  <c r="I12" i="14"/>
  <c r="I13" i="14"/>
  <c r="I15" i="14"/>
  <c r="J6" i="14"/>
  <c r="J7" i="14"/>
  <c r="J8" i="14"/>
  <c r="J9" i="14"/>
  <c r="J10" i="14"/>
  <c r="J11" i="14"/>
  <c r="J12" i="14"/>
  <c r="J13" i="14"/>
  <c r="J15" i="14"/>
  <c r="K6" i="14"/>
  <c r="K7" i="14"/>
  <c r="K8" i="14"/>
  <c r="K9" i="14"/>
  <c r="K10" i="14"/>
  <c r="K11" i="14"/>
  <c r="K12" i="14"/>
  <c r="K13" i="14"/>
  <c r="K15" i="14"/>
  <c r="L15" i="14"/>
  <c r="M5" i="14"/>
  <c r="F6" i="14"/>
  <c r="L6" i="14"/>
  <c r="M6" i="14"/>
  <c r="F7" i="14"/>
  <c r="L7" i="14"/>
  <c r="M7" i="14"/>
  <c r="F8" i="14"/>
  <c r="L8" i="14"/>
  <c r="M8" i="14"/>
  <c r="F9" i="14"/>
  <c r="L9" i="14"/>
  <c r="M9" i="14"/>
  <c r="F10" i="14"/>
  <c r="L10" i="14"/>
  <c r="M10" i="14"/>
  <c r="F11" i="14"/>
  <c r="L11" i="14"/>
  <c r="M11" i="14"/>
  <c r="F12" i="14"/>
  <c r="L12" i="14"/>
  <c r="M12" i="14"/>
  <c r="F13" i="14"/>
  <c r="L13" i="14"/>
  <c r="M13" i="14"/>
  <c r="L14" i="14"/>
  <c r="M14" i="14"/>
  <c r="F15" i="14"/>
  <c r="L16" i="14"/>
  <c r="C17" i="8"/>
  <c r="C20" i="8"/>
  <c r="C22" i="8"/>
  <c r="K5" i="8"/>
  <c r="K6" i="8"/>
  <c r="K7" i="8"/>
  <c r="K8" i="8"/>
  <c r="K9" i="8"/>
  <c r="K10" i="8"/>
  <c r="K11" i="8"/>
  <c r="K12" i="8"/>
  <c r="K13" i="8"/>
  <c r="I14" i="8"/>
  <c r="K14" i="8"/>
  <c r="K4" i="8"/>
  <c r="C10" i="14"/>
  <c r="C8" i="12"/>
  <c r="C11" i="12"/>
  <c r="C6" i="14"/>
  <c r="C12" i="11"/>
  <c r="C15" i="11"/>
  <c r="C7" i="14"/>
  <c r="C15" i="9"/>
  <c r="C8" i="14"/>
  <c r="C12" i="7"/>
  <c r="C17" i="7"/>
  <c r="C9" i="14"/>
  <c r="C12" i="14"/>
  <c r="D6" i="14"/>
  <c r="D7" i="14"/>
  <c r="D8" i="14"/>
  <c r="D9" i="14"/>
  <c r="D10" i="14"/>
  <c r="D11" i="14"/>
  <c r="D12" i="14"/>
  <c r="H13" i="9"/>
  <c r="C18" i="9"/>
  <c r="C20" i="9"/>
  <c r="C19" i="11"/>
  <c r="C21" i="11"/>
  <c r="H15" i="11"/>
  <c r="I14" i="12"/>
  <c r="C18" i="12"/>
  <c r="C20" i="12"/>
  <c r="I15" i="7"/>
  <c r="C20" i="7"/>
  <c r="C22" i="7"/>
  <c r="D19" i="6"/>
  <c r="D20" i="6"/>
  <c r="D21" i="6"/>
  <c r="H13" i="5"/>
  <c r="H21" i="5"/>
  <c r="E30" i="5"/>
  <c r="E31" i="5"/>
  <c r="G13" i="5"/>
  <c r="G21" i="5"/>
  <c r="D30" i="5"/>
  <c r="D31" i="5"/>
  <c r="E21" i="5"/>
  <c r="F15" i="5"/>
  <c r="F19" i="5"/>
  <c r="F16" i="5"/>
  <c r="F4" i="5"/>
  <c r="F5" i="5"/>
  <c r="F6" i="5"/>
  <c r="F7" i="5"/>
  <c r="F8" i="5"/>
  <c r="F9" i="5"/>
  <c r="F10" i="5"/>
  <c r="F11" i="5"/>
  <c r="F12" i="5"/>
  <c r="F13" i="5"/>
  <c r="F14" i="5"/>
  <c r="F17" i="5"/>
  <c r="F18" i="5"/>
  <c r="F20" i="5"/>
  <c r="F21" i="5"/>
  <c r="E24" i="5"/>
  <c r="P21" i="1"/>
  <c r="Q21" i="1"/>
  <c r="R21" i="1"/>
  <c r="E21" i="1"/>
  <c r="F18" i="1"/>
  <c r="R13" i="5"/>
  <c r="Q13" i="5"/>
  <c r="Q21" i="5"/>
  <c r="P13" i="5"/>
  <c r="P21" i="5"/>
  <c r="O13" i="5"/>
  <c r="O21" i="5"/>
  <c r="N13" i="5"/>
  <c r="N21" i="5"/>
  <c r="M13" i="5"/>
  <c r="M21" i="5"/>
  <c r="L13" i="5"/>
  <c r="L21" i="5"/>
  <c r="K13" i="5"/>
  <c r="K21" i="5"/>
  <c r="J13" i="5"/>
  <c r="J21" i="5"/>
  <c r="I13" i="5"/>
  <c r="I21" i="5"/>
  <c r="R21" i="5"/>
  <c r="R24" i="5"/>
  <c r="H24" i="5"/>
  <c r="I24" i="5"/>
  <c r="J24" i="5"/>
  <c r="K24" i="5"/>
  <c r="L24" i="5"/>
  <c r="M24" i="5"/>
  <c r="N24" i="5"/>
  <c r="O24" i="5"/>
  <c r="P24" i="5"/>
  <c r="Q24" i="5"/>
  <c r="G24" i="5"/>
  <c r="N22" i="5"/>
  <c r="N23" i="5"/>
  <c r="L22" i="5"/>
  <c r="L23" i="5"/>
  <c r="J22" i="5"/>
  <c r="J23" i="5"/>
  <c r="H22" i="5"/>
  <c r="H23" i="5"/>
  <c r="O22" i="5"/>
  <c r="O23" i="5"/>
  <c r="M22" i="5"/>
  <c r="M23" i="5"/>
  <c r="K22" i="5"/>
  <c r="K23" i="5"/>
  <c r="I22" i="5"/>
  <c r="I23" i="5"/>
  <c r="F17" i="1"/>
  <c r="G4" i="3"/>
  <c r="G5" i="3"/>
  <c r="G7" i="3"/>
  <c r="G10" i="3"/>
  <c r="G11" i="3"/>
  <c r="G12" i="3"/>
  <c r="G13" i="3"/>
  <c r="G14" i="3"/>
  <c r="F20" i="1"/>
  <c r="F19" i="1"/>
  <c r="F16" i="1"/>
  <c r="F4" i="1"/>
  <c r="F5" i="1"/>
  <c r="F6" i="1"/>
  <c r="F7" i="1"/>
  <c r="F8" i="1"/>
  <c r="F9" i="1"/>
  <c r="F10" i="1"/>
  <c r="F11" i="1"/>
  <c r="F12" i="1"/>
  <c r="F13" i="1"/>
  <c r="F14" i="1"/>
  <c r="F15" i="1"/>
  <c r="G98" i="4"/>
  <c r="G86" i="4"/>
  <c r="G76" i="4"/>
  <c r="F21" i="1"/>
  <c r="G9" i="4"/>
  <c r="G57" i="4"/>
  <c r="G67" i="4"/>
  <c r="G40" i="4"/>
  <c r="G43" i="4"/>
  <c r="G27" i="4"/>
  <c r="G18" i="4"/>
  <c r="I3" i="3"/>
  <c r="I9" i="3"/>
  <c r="I10" i="3"/>
  <c r="I8" i="3"/>
  <c r="I7" i="3"/>
  <c r="I6" i="3"/>
  <c r="I5" i="3"/>
  <c r="I4" i="3"/>
  <c r="J10" i="3"/>
  <c r="J9" i="3"/>
  <c r="J8" i="3"/>
  <c r="J7" i="3"/>
  <c r="J6" i="3"/>
  <c r="J5" i="3"/>
  <c r="J4" i="3"/>
  <c r="J3" i="3"/>
  <c r="F15" i="3"/>
  <c r="J11" i="3"/>
  <c r="K6" i="3"/>
  <c r="K3" i="3"/>
  <c r="K7" i="3"/>
  <c r="K4" i="3"/>
  <c r="K5" i="3"/>
  <c r="K9" i="3"/>
  <c r="K8" i="3"/>
  <c r="K10" i="3"/>
  <c r="G17" i="1"/>
  <c r="G18" i="1"/>
  <c r="G20" i="1"/>
  <c r="G16" i="1"/>
  <c r="G19" i="1"/>
  <c r="K11" i="3"/>
  <c r="G15" i="1"/>
  <c r="G14" i="1"/>
  <c r="G9" i="1"/>
  <c r="G10" i="1"/>
  <c r="G12" i="1"/>
  <c r="G13" i="1"/>
  <c r="G6" i="1"/>
  <c r="G11" i="1"/>
  <c r="G4" i="1"/>
  <c r="G8" i="1"/>
  <c r="G5" i="1"/>
  <c r="G7" i="1"/>
  <c r="G21" i="1"/>
</calcChain>
</file>

<file path=xl/sharedStrings.xml><?xml version="1.0" encoding="utf-8"?>
<sst xmlns="http://schemas.openxmlformats.org/spreadsheetml/2006/main" count="1025" uniqueCount="427">
  <si>
    <t>Sr No.</t>
  </si>
  <si>
    <t>Mobile No</t>
  </si>
  <si>
    <t>Email Id.</t>
  </si>
  <si>
    <t>Reference</t>
  </si>
  <si>
    <t>Royston Dsouza</t>
  </si>
  <si>
    <t>Micro Logic Technologies</t>
  </si>
  <si>
    <t>971-50-9456643</t>
  </si>
  <si>
    <t>royston@micrologicuae.com</t>
  </si>
  <si>
    <t>ABNL Overseas Ltd</t>
  </si>
  <si>
    <t>44 0780143597</t>
  </si>
  <si>
    <t>Mobile No.</t>
  </si>
  <si>
    <t>44 07930276122</t>
  </si>
  <si>
    <t>Company Email Id.</t>
  </si>
  <si>
    <t>finance@abnl.co.uk</t>
  </si>
  <si>
    <t>Tapan Das</t>
  </si>
  <si>
    <t>Amal Sharma</t>
  </si>
  <si>
    <t>Owner</t>
  </si>
  <si>
    <t>Company Name</t>
  </si>
  <si>
    <t>Amount to be raised</t>
  </si>
  <si>
    <t>Industry</t>
  </si>
  <si>
    <t>Creative</t>
  </si>
  <si>
    <t>Health Care</t>
  </si>
  <si>
    <t>Project Name</t>
  </si>
  <si>
    <t>Sky Village</t>
  </si>
  <si>
    <t>Software Development &amp; Trading</t>
  </si>
  <si>
    <t>Tours &amp; Travel</t>
  </si>
  <si>
    <t>NA</t>
  </si>
  <si>
    <t>TKRS Casting Movie</t>
  </si>
  <si>
    <t>Manufacturing</t>
  </si>
  <si>
    <t>Pierre Boulanger</t>
  </si>
  <si>
    <t>Status</t>
  </si>
  <si>
    <t>Details received Contract to be sent</t>
  </si>
  <si>
    <t>Amal to do needful</t>
  </si>
  <si>
    <t>Mail sent for asking informaition on SLA</t>
  </si>
  <si>
    <t>Executive Summary</t>
  </si>
  <si>
    <t>Company Logo</t>
  </si>
  <si>
    <t>Company Video Pres</t>
  </si>
  <si>
    <t>Product Video Pre</t>
  </si>
  <si>
    <t>Story &amp; Journey</t>
  </si>
  <si>
    <t>Future Expect.</t>
  </si>
  <si>
    <t>Corporate Pres</t>
  </si>
  <si>
    <t>Whitepaper / Business Plan</t>
  </si>
  <si>
    <t>Prospectus</t>
  </si>
  <si>
    <t>Comptenant Person's Report</t>
  </si>
  <si>
    <t>Independent Valuation</t>
  </si>
  <si>
    <t>Yes</t>
  </si>
  <si>
    <t>No</t>
  </si>
  <si>
    <t>Requested</t>
  </si>
  <si>
    <t>TKRS Animation &amp; marketing</t>
  </si>
  <si>
    <t>Marc Payne</t>
  </si>
  <si>
    <t>Crowd Lending</t>
  </si>
  <si>
    <t>Housing</t>
  </si>
  <si>
    <t>Payments</t>
  </si>
  <si>
    <t>Commissions</t>
  </si>
  <si>
    <t>Payable later</t>
  </si>
  <si>
    <t>Registered address of the Company/Firm</t>
  </si>
  <si>
    <t>Belle Vue , Lower Road , Charlton All Saints , Wiltshire , SP5 4HQ , UK</t>
  </si>
  <si>
    <t xml:space="preserve">Company's Representator </t>
  </si>
  <si>
    <t xml:space="preserve">David Hollands </t>
  </si>
  <si>
    <t>Name of the Bank</t>
  </si>
  <si>
    <t>Nat West</t>
  </si>
  <si>
    <t>Address of bank</t>
  </si>
  <si>
    <t>Salisbury</t>
  </si>
  <si>
    <t>Account name</t>
  </si>
  <si>
    <t>IBAN</t>
  </si>
  <si>
    <t>GB55NWBK60720350323571</t>
  </si>
  <si>
    <t>SWIFT CODE</t>
  </si>
  <si>
    <t>NWBKGB2L</t>
  </si>
  <si>
    <t>Data For Preparing Contract</t>
  </si>
  <si>
    <t>Company List &amp; Basic Information</t>
  </si>
  <si>
    <t>Legal Documentation Status</t>
  </si>
  <si>
    <t>Signed</t>
  </si>
  <si>
    <t>Sent</t>
  </si>
  <si>
    <t>Website</t>
  </si>
  <si>
    <t>www.tkrs.in</t>
  </si>
  <si>
    <t>www.alpendesign.com</t>
  </si>
  <si>
    <t xml:space="preserve">Onpointe Management </t>
  </si>
  <si>
    <t>Larry Matthews</t>
  </si>
  <si>
    <t>Contract Sent</t>
  </si>
  <si>
    <t>David Hollands</t>
  </si>
  <si>
    <t>Office 105-5, Key Business Canter , Diera , Dubai UAE</t>
  </si>
  <si>
    <t>Royston D'Souza</t>
  </si>
  <si>
    <t>96 Matador Way, Newman, GA 30261 USA</t>
  </si>
  <si>
    <t>Larry Mathews</t>
  </si>
  <si>
    <t>BB&amp;T Bank </t>
  </si>
  <si>
    <t>250 Peachtree St. NW, Atlanta GA 30303, USA</t>
  </si>
  <si>
    <t>OnPointe Management Group Corporation</t>
  </si>
  <si>
    <t>BRBTUS33</t>
  </si>
  <si>
    <t>www.twex.exchange</t>
  </si>
  <si>
    <t>Veteran Housing/ Hospitality</t>
  </si>
  <si>
    <t>TWEX Ltd.</t>
  </si>
  <si>
    <t>TKRS Ltd.</t>
  </si>
  <si>
    <t>www.micrologicuae.com</t>
  </si>
  <si>
    <t>Sr. No.</t>
  </si>
  <si>
    <t>Name</t>
  </si>
  <si>
    <t>Christophe Ozcan</t>
  </si>
  <si>
    <t>Remi Ozcan</t>
  </si>
  <si>
    <t>Yuriy Habarov</t>
  </si>
  <si>
    <t>Dr. Anthony Sousa</t>
  </si>
  <si>
    <t>Annemieke Dirkes</t>
  </si>
  <si>
    <t>Anouche Karaman</t>
  </si>
  <si>
    <t>Devendra Bharatia</t>
  </si>
  <si>
    <t>Raghu Uppada</t>
  </si>
  <si>
    <t>Sean Brizendine</t>
  </si>
  <si>
    <t>Revert</t>
  </si>
  <si>
    <t>% Fund Raised</t>
  </si>
  <si>
    <t>Leman Laboratory</t>
  </si>
  <si>
    <t>Golden Coast Resort</t>
  </si>
  <si>
    <t>Hospitality</t>
  </si>
  <si>
    <t>www.abnl.co.uk</t>
  </si>
  <si>
    <t>Rohan Handa</t>
  </si>
  <si>
    <t>Shrenik Shah</t>
  </si>
  <si>
    <t>Gerard van de Par</t>
  </si>
  <si>
    <t>706-884-6175</t>
  </si>
  <si>
    <t>Medical</t>
  </si>
  <si>
    <t xml:space="preserve">Arthur Winley SARL </t>
  </si>
  <si>
    <t>Officers Biodata</t>
  </si>
  <si>
    <t>Product Biodata</t>
  </si>
  <si>
    <t>Technovaa Plastic Industries Pvt.  Ltd.</t>
  </si>
  <si>
    <t>Keyur Shah</t>
  </si>
  <si>
    <t>keyur@hsa.net.in</t>
  </si>
  <si>
    <t>Satinder Kapur</t>
  </si>
  <si>
    <t>Paris VTC Cab Company (SARL MND)</t>
  </si>
  <si>
    <t>Accepted</t>
  </si>
  <si>
    <t>TBD</t>
  </si>
  <si>
    <t>Declined</t>
  </si>
  <si>
    <t>Stefan Lucas</t>
  </si>
  <si>
    <t>Zulasan Road, Rajpur Village, Kadi Taluka, Mehsana District, Gujarat-382715, India</t>
  </si>
  <si>
    <t>www.alpendesignstudio.com</t>
  </si>
  <si>
    <t>info@alpendesignstudio.com</t>
  </si>
  <si>
    <t>david.hollands@abnl.co.uk</t>
  </si>
  <si>
    <t>www.lafayettegardeninn.com</t>
  </si>
  <si>
    <t>www.pariscab.com</t>
  </si>
  <si>
    <t>Joy Hotel</t>
  </si>
  <si>
    <t>Joy Hotel &amp; Resorts Private Limited</t>
  </si>
  <si>
    <t>Dilip Bhagtani</t>
  </si>
  <si>
    <t>https://www.bluecoast.in</t>
  </si>
  <si>
    <t>+91-11-23358775</t>
  </si>
  <si>
    <t>+91-11-23358774</t>
  </si>
  <si>
    <t>dilip.bhagtani@bluecoast.in</t>
  </si>
  <si>
    <t>ADSL Group</t>
  </si>
  <si>
    <t>FCA, Legal, Accounting, Exchanger</t>
  </si>
  <si>
    <t>Audited Fin./ Projections</t>
  </si>
  <si>
    <t>Lafayette Garden Inn</t>
  </si>
  <si>
    <t>Creative Design</t>
  </si>
  <si>
    <t>Movie Production</t>
  </si>
  <si>
    <t>Sub-Sector</t>
  </si>
  <si>
    <t>Sector</t>
  </si>
  <si>
    <t>Real Estate</t>
  </si>
  <si>
    <t>Information Technology</t>
  </si>
  <si>
    <t>Finance</t>
  </si>
  <si>
    <t>Total</t>
  </si>
  <si>
    <t>Amount</t>
  </si>
  <si>
    <t>%age</t>
  </si>
  <si>
    <t>Creative &amp; Design</t>
  </si>
  <si>
    <t>Symbol</t>
  </si>
  <si>
    <t>SC - Capital</t>
  </si>
  <si>
    <t>SC - Profit</t>
  </si>
  <si>
    <t>Percentage</t>
  </si>
  <si>
    <t>ADSL</t>
  </si>
  <si>
    <t>Financial Year</t>
  </si>
  <si>
    <t>Alpen Design Studio Ltd. Group</t>
  </si>
  <si>
    <t>2017-18</t>
  </si>
  <si>
    <t>2018-19</t>
  </si>
  <si>
    <t>1.5% Sales + 15%</t>
  </si>
  <si>
    <t>2019-20</t>
  </si>
  <si>
    <t>2020-21</t>
  </si>
  <si>
    <t>2021-22</t>
  </si>
  <si>
    <t>2022-23</t>
  </si>
  <si>
    <t>LL.P2</t>
  </si>
  <si>
    <t>LL.P3</t>
  </si>
  <si>
    <t>LL.P4</t>
  </si>
  <si>
    <t>LL.P5</t>
  </si>
  <si>
    <t>GOLDEN COAST RESORT</t>
  </si>
  <si>
    <t>LL</t>
  </si>
  <si>
    <t>GCR</t>
  </si>
  <si>
    <t>2023-24</t>
  </si>
  <si>
    <t>4210000</t>
  </si>
  <si>
    <t>30%of TWEX Profit</t>
  </si>
  <si>
    <t>1% of sale</t>
  </si>
  <si>
    <t>SLS</t>
  </si>
  <si>
    <t>FundTonic</t>
  </si>
  <si>
    <t>ADSL-SCC1</t>
  </si>
  <si>
    <t>ADSL-SCC2</t>
  </si>
  <si>
    <t>ADSL-SCC3</t>
  </si>
  <si>
    <t>ADSL-SCC4</t>
  </si>
  <si>
    <t>ADSL-SCC5</t>
  </si>
  <si>
    <t>ADSL-SPP1</t>
  </si>
  <si>
    <t>ADSL-SPP2</t>
  </si>
  <si>
    <t>ADSL-SPP3</t>
  </si>
  <si>
    <t>ADSL-SPP4</t>
  </si>
  <si>
    <t>ADSL-SPP5</t>
  </si>
  <si>
    <t>LL-SCC2</t>
  </si>
  <si>
    <t>LL-SCC3</t>
  </si>
  <si>
    <t>LL-SCC4</t>
  </si>
  <si>
    <t>LL-SCC5</t>
  </si>
  <si>
    <t>GCR-SCC1</t>
  </si>
  <si>
    <t>GCR-SCC2</t>
  </si>
  <si>
    <t>GCR-SCC3</t>
  </si>
  <si>
    <t>GCR-SCC4</t>
  </si>
  <si>
    <t>GCR-SCC5</t>
  </si>
  <si>
    <t>GCR-SCC6</t>
  </si>
  <si>
    <t>GCR-SCC7</t>
  </si>
  <si>
    <t>MND</t>
  </si>
  <si>
    <t>MND-SCC2</t>
  </si>
  <si>
    <t>MND-SCC3</t>
  </si>
  <si>
    <t>MND-SCC4</t>
  </si>
  <si>
    <t>MND-SCC5</t>
  </si>
  <si>
    <t>MND-SCC1</t>
  </si>
  <si>
    <t>MND-SCC6</t>
  </si>
  <si>
    <t>GCR-SPP1</t>
  </si>
  <si>
    <t>GCR-SPP2</t>
  </si>
  <si>
    <t>GCR-SPP3</t>
  </si>
  <si>
    <t>GCR-SPP4</t>
  </si>
  <si>
    <t>GCR-SPP5</t>
  </si>
  <si>
    <t>GCR-SPP6</t>
  </si>
  <si>
    <t>GCR-SPP7</t>
  </si>
  <si>
    <t>MND-SPP1</t>
  </si>
  <si>
    <t>MND-SPP2</t>
  </si>
  <si>
    <t>MND-SPP3</t>
  </si>
  <si>
    <t>MND-SPP4</t>
  </si>
  <si>
    <t>MND-SPP5</t>
  </si>
  <si>
    <t>MND-SPP6</t>
  </si>
  <si>
    <t xml:space="preserve"> 5,000,000.00 </t>
  </si>
  <si>
    <t>Technovaa Plastics Industries Limited</t>
  </si>
  <si>
    <t>TPIL</t>
  </si>
  <si>
    <t>TPIL-SCC1</t>
  </si>
  <si>
    <t>TPIL-SCC2</t>
  </si>
  <si>
    <t>TPIL-SCC3</t>
  </si>
  <si>
    <t>TPIL-SCC4</t>
  </si>
  <si>
    <t>TPIL-SCC5</t>
  </si>
  <si>
    <t>TPIL-SCC6</t>
  </si>
  <si>
    <t>TPIL-SPP1</t>
  </si>
  <si>
    <t>TPIL-SPP2</t>
  </si>
  <si>
    <t>TPIL-SPP3</t>
  </si>
  <si>
    <t>TPIL-SPP4</t>
  </si>
  <si>
    <t>TPIL-SPP5</t>
  </si>
  <si>
    <t>TPIL-SPP6</t>
  </si>
  <si>
    <t>TPIL-SCC7</t>
  </si>
  <si>
    <t>TPIL-SCC8</t>
  </si>
  <si>
    <t>2024-25</t>
  </si>
  <si>
    <t>TPIL-SPP7</t>
  </si>
  <si>
    <t>TPIL-SPP8</t>
  </si>
  <si>
    <t xml:space="preserve"> </t>
  </si>
  <si>
    <t>FTSPL</t>
  </si>
  <si>
    <t>FundTonic Service Private Limited</t>
  </si>
  <si>
    <t>FTSL-SCC1</t>
  </si>
  <si>
    <t>FTSL-SCC2</t>
  </si>
  <si>
    <t>FTSL-SCC3</t>
  </si>
  <si>
    <t>FTSL-SCC4</t>
  </si>
  <si>
    <t>FTSL-SCC5</t>
  </si>
  <si>
    <t>FTSL-SCC6</t>
  </si>
  <si>
    <t>FTSL-SPP1</t>
  </si>
  <si>
    <t>FTSL-SPP2</t>
  </si>
  <si>
    <t>FTSL-SPP3</t>
  </si>
  <si>
    <t>FTSL-SPP4</t>
  </si>
  <si>
    <t>FTSL-SPP5</t>
  </si>
  <si>
    <t>FTSL-SPP6</t>
  </si>
  <si>
    <t>2022-24</t>
  </si>
  <si>
    <t>FTSL-SCC7</t>
  </si>
  <si>
    <t>FTSL-SPP7</t>
  </si>
  <si>
    <t>TKRS</t>
  </si>
  <si>
    <t>TKRS-SCC1</t>
  </si>
  <si>
    <t>TKRS-SCC2</t>
  </si>
  <si>
    <t>TKRS-SPP1</t>
  </si>
  <si>
    <t>TKRS-SPP2</t>
  </si>
  <si>
    <t>LL-SCC1</t>
  </si>
  <si>
    <t>LL-SCC6</t>
  </si>
  <si>
    <t>Amount of
TWEX Tokens</t>
  </si>
  <si>
    <t>Amount 
to be raised</t>
  </si>
  <si>
    <t>ABNL</t>
  </si>
  <si>
    <t>ABOVE &amp; BEYOND NORMAL LIMITED</t>
  </si>
  <si>
    <t>2017-19</t>
  </si>
  <si>
    <t>2018-20</t>
  </si>
  <si>
    <t>2017-20</t>
  </si>
  <si>
    <t>2018-21</t>
  </si>
  <si>
    <t>ABNL-C1</t>
  </si>
  <si>
    <t>ABNL-C2</t>
  </si>
  <si>
    <t>ABNL-C3</t>
  </si>
  <si>
    <t>ABNL-C4</t>
  </si>
  <si>
    <t>ABNL-C5</t>
  </si>
  <si>
    <t>ABNL-C6</t>
  </si>
  <si>
    <t>ABNL-P1</t>
  </si>
  <si>
    <t>ABNL-P2</t>
  </si>
  <si>
    <t>ABNL-P3</t>
  </si>
  <si>
    <t>ABNL-P4</t>
  </si>
  <si>
    <t>ABNL-P5</t>
  </si>
  <si>
    <t>ABNL-P6</t>
  </si>
  <si>
    <t xml:space="preserve">1.5% Sales </t>
  </si>
  <si>
    <t>PP</t>
  </si>
  <si>
    <t xml:space="preserve"> Akshit Gupta</t>
  </si>
  <si>
    <t>Shared Workspaces</t>
  </si>
  <si>
    <t>www.fundtonic.com</t>
  </si>
  <si>
    <t>99204 61166</t>
  </si>
  <si>
    <t>FundTonic CoWorks</t>
  </si>
  <si>
    <t xml:space="preserve"> SLS </t>
  </si>
  <si>
    <t>FINANCIAL SERVICES</t>
  </si>
  <si>
    <t>www.sskholdingsfze.com</t>
  </si>
  <si>
    <t>satinderkapur@gmail.com</t>
  </si>
  <si>
    <t>OPMG</t>
  </si>
  <si>
    <t>OnPointe Management  Group Inc</t>
  </si>
  <si>
    <t>1.5% Sales</t>
  </si>
  <si>
    <t>MLT</t>
  </si>
  <si>
    <t>OPMG-SCC1</t>
  </si>
  <si>
    <t>OPMG-SCC2</t>
  </si>
  <si>
    <t>OPMG-SCC3</t>
  </si>
  <si>
    <t>OPMG-SPP1</t>
  </si>
  <si>
    <t>OPMG-SPP2</t>
  </si>
  <si>
    <t>OPMG-SPP3</t>
  </si>
  <si>
    <t xml:space="preserve"> 2018-19</t>
  </si>
  <si>
    <t>MLTL-SCC1</t>
  </si>
  <si>
    <t>MLTL-SCC2</t>
  </si>
  <si>
    <t>MLTL-SCC3</t>
  </si>
  <si>
    <t>MLTL-SCC4</t>
  </si>
  <si>
    <t>MLT-SPP1</t>
  </si>
  <si>
    <t>MLT-SPP2</t>
  </si>
  <si>
    <t>MLT-SPP3</t>
  </si>
  <si>
    <t>MLT-SPP4</t>
  </si>
  <si>
    <t>Akshit Gupta</t>
  </si>
  <si>
    <t>Risk Factors</t>
  </si>
  <si>
    <t>Green Park Hotel</t>
  </si>
  <si>
    <t>JV LLC "Inter Tourism"</t>
  </si>
  <si>
    <t>Merkk Advisory</t>
  </si>
  <si>
    <t>M. Veerappan</t>
  </si>
  <si>
    <t>Lynoel Nurock</t>
  </si>
  <si>
    <t>I.B.O</t>
  </si>
  <si>
    <t>Agudat Sport Hapoel 2 Jerusalem 9695102</t>
  </si>
  <si>
    <t>www.CEEDH.com</t>
  </si>
  <si>
    <t>info@ceedh.com</t>
  </si>
  <si>
    <t>+972587006223</t>
  </si>
  <si>
    <t>Mr Amouyal</t>
  </si>
  <si>
    <t>American Colony Hotel</t>
  </si>
  <si>
    <t>Current Asessts</t>
  </si>
  <si>
    <t>Projected Assets</t>
  </si>
  <si>
    <t>Amount of TWEX Tokens</t>
  </si>
  <si>
    <t>FY 1</t>
  </si>
  <si>
    <t>FY 2</t>
  </si>
  <si>
    <t>FY 3</t>
  </si>
  <si>
    <t>FY 4</t>
  </si>
  <si>
    <t>FY 5</t>
  </si>
  <si>
    <t>FY 6</t>
  </si>
  <si>
    <t>FY 7</t>
  </si>
  <si>
    <t>FY 8</t>
  </si>
  <si>
    <t>FY 9</t>
  </si>
  <si>
    <t>FY 10</t>
  </si>
  <si>
    <t>FY 11</t>
  </si>
  <si>
    <t xml:space="preserve">Current Assests </t>
  </si>
  <si>
    <t xml:space="preserve">
FY 0</t>
  </si>
  <si>
    <t>Asset Valuation</t>
  </si>
  <si>
    <t>Change in Valuation</t>
  </si>
  <si>
    <t>Percentage Change</t>
  </si>
  <si>
    <t>Plam House</t>
  </si>
  <si>
    <t>160 Royal Palm LLC</t>
  </si>
  <si>
    <t>Asset Valuation In Million Euro</t>
  </si>
  <si>
    <t>TKRS Movie</t>
  </si>
  <si>
    <t>MVNO Tel</t>
  </si>
  <si>
    <t>Vasco Portugal</t>
  </si>
  <si>
    <t>Mithai &amp; Ghar  Walla</t>
  </si>
  <si>
    <t>Prestige Gourmet</t>
  </si>
  <si>
    <t>Prestige Food store South of France</t>
  </si>
  <si>
    <t>Telecom</t>
  </si>
  <si>
    <t>Now</t>
  </si>
  <si>
    <t>After ICO/IPSO</t>
  </si>
  <si>
    <t>Twex Token Value</t>
  </si>
  <si>
    <t>Bangladesh/Portugal</t>
  </si>
  <si>
    <t>Hostel</t>
  </si>
  <si>
    <t>Total Asset Value</t>
  </si>
  <si>
    <t>Rounded to</t>
  </si>
  <si>
    <t>0.40</t>
  </si>
  <si>
    <t>0.80</t>
  </si>
  <si>
    <t>TAVP</t>
  </si>
  <si>
    <t>TAVP Movie</t>
  </si>
  <si>
    <t>TWIN TPS</t>
  </si>
  <si>
    <t>Issue 10,000,000 TWIN TPS at 1,000 INR each</t>
  </si>
  <si>
    <t xml:space="preserve">Amount </t>
  </si>
  <si>
    <t>TWEX Group</t>
  </si>
  <si>
    <t>DreamHouse</t>
  </si>
  <si>
    <t>Min Cap</t>
  </si>
  <si>
    <t>Max Cap</t>
  </si>
  <si>
    <t>TWMAGREB</t>
  </si>
  <si>
    <t>Miin Cap</t>
  </si>
  <si>
    <t>Max</t>
  </si>
  <si>
    <t>Aim is to have at least 15 paying companies at net 35,000 Euros each for massive marketing. This comes as a separate ticker and fund later</t>
  </si>
  <si>
    <t>TW UAE</t>
  </si>
  <si>
    <t>Palm House</t>
  </si>
  <si>
    <t>On Pointe</t>
  </si>
  <si>
    <t>IBO Jerusalem</t>
  </si>
  <si>
    <t>USA</t>
  </si>
  <si>
    <t>Israel</t>
  </si>
  <si>
    <t>Portugal</t>
  </si>
  <si>
    <t>Bulgaria</t>
  </si>
  <si>
    <t xml:space="preserve">Bluecoast </t>
  </si>
  <si>
    <t>Golden Coast</t>
  </si>
  <si>
    <t>TWERO</t>
  </si>
  <si>
    <t>Might change based on marketing</t>
  </si>
  <si>
    <t>SSK Holdings</t>
  </si>
  <si>
    <t>Micrologic</t>
  </si>
  <si>
    <t>TWIM</t>
  </si>
  <si>
    <t>TWEX International Movie Fund</t>
  </si>
  <si>
    <t>TWIN</t>
  </si>
  <si>
    <t>Technovaa</t>
  </si>
  <si>
    <t>Fundtonic</t>
  </si>
  <si>
    <t>TWAF</t>
  </si>
  <si>
    <t>TWEX Africa</t>
  </si>
  <si>
    <t>TWUS</t>
  </si>
  <si>
    <t>UK</t>
  </si>
  <si>
    <t>France</t>
  </si>
  <si>
    <t>TWUS Sale</t>
  </si>
  <si>
    <t>Others</t>
  </si>
  <si>
    <t>Marketing</t>
  </si>
  <si>
    <t>Bounty</t>
  </si>
  <si>
    <t>Airdrop</t>
  </si>
  <si>
    <t>Board</t>
  </si>
  <si>
    <t>Amal</t>
  </si>
  <si>
    <t>Tapan</t>
  </si>
  <si>
    <t>Lyonel</t>
  </si>
  <si>
    <t>Dutt</t>
  </si>
  <si>
    <t>Staff</t>
  </si>
  <si>
    <t>TWIN Sale</t>
  </si>
  <si>
    <t>TWEX</t>
  </si>
  <si>
    <t>Components</t>
  </si>
  <si>
    <t>TWUAE</t>
  </si>
  <si>
    <t>Share</t>
  </si>
  <si>
    <t>Artists, etc…</t>
  </si>
  <si>
    <t>TW Mov</t>
  </si>
  <si>
    <t>TW Europe</t>
  </si>
  <si>
    <t>TWEU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</si>
</sst>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 * #,##0_ ;_ * \-#,##0_ ;_ * &quot;-&quot;_ ;_ @_ "/>
    <numFmt numFmtId="165" formatCode="_ * #,##0.00_ ;_ * \-#,##0.00_ ;_ * &quot;-&quot;??_ ;_ @_ "/>
    <numFmt numFmtId="166" formatCode="_-&quot;€&quot;* #,##0.00_-;\-&quot;€&quot;* #,##0.00_-;_-&quot;€&quot;* &quot;-&quot;??_-;_-@_-"/>
    <numFmt numFmtId="167" formatCode="_(* #,##0.00_);_(* \(#,##0.00\);_(* &quot;-&quot;??_);_(@_)"/>
    <numFmt numFmtId="168" formatCode="_([$€-2]\ * #,##0.00_);_([$€-2]\ * \(#,##0.00\);_([$€-2]\ * &quot;-&quot;??_);_(@_)"/>
    <numFmt numFmtId="169" formatCode="&quot;€&quot;#,##0.00"/>
    <numFmt numFmtId="170" formatCode="_ [$€-2]\ * #,##0.00_ ;_ [$€-2]\ * \-#,##0.00_ ;_ [$€-2]\ * &quot;-&quot;??_ ;_ @_ "/>
    <numFmt numFmtId="171" formatCode="_ [$€-2]\ * #,##0_ ;_ [$€-2]\ * \-#,##0_ ;_ [$€-2]\ * &quot;-&quot;??_ ;_ @_ "/>
    <numFmt numFmtId="172" formatCode="_ * #,##0_ ;_ * \-#,##0_ ;_ * &quot;-&quot;??_ ;_ @_ "/>
    <numFmt numFmtId="173" formatCode="_(* #,##0_);_(* \(#,##0\);_(* &quot;-&quot;??_);_(@_)"/>
    <numFmt numFmtId="174" formatCode="_([$€-2]\ * #,##0_);_([$€-2]\ * \(#,##0\);_([$€-2]\ * &quot;-&quot;??_);_(@_)"/>
    <numFmt numFmtId="175" formatCode="0.0%"/>
    <numFmt numFmtId="176" formatCode="_(* #,##0_);_(* \(#,##0\);_(* &quot;&quot;_);_(@_)"/>
    <numFmt numFmtId="177" formatCode="_([$€]* #,##0.00_);_([$€]* \(#,##0.00\);_([$€]* &quot;-&quot;??_);_(@_)"/>
    <numFmt numFmtId="178" formatCode="&quot;€&quot;#,##0.00;[Red]&quot;€&quot;#,##0.00"/>
    <numFmt numFmtId="179" formatCode="[$INR]\ #,##0"/>
    <numFmt numFmtId="180" formatCode="[$INR]\ #,##0.00"/>
    <numFmt numFmtId="181" formatCode="&quot;€&quot;#,##0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B325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  <scheme val="minor"/>
    </font>
    <font>
      <u/>
      <sz val="11"/>
      <name val="Calibri"/>
      <scheme val="minor"/>
    </font>
    <font>
      <u/>
      <sz val="11"/>
      <name val="Arial"/>
      <family val="2"/>
    </font>
    <font>
      <b/>
      <u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b/>
      <sz val="10"/>
      <color indexed="17"/>
      <name val="Times New Roman"/>
      <family val="1"/>
    </font>
    <font>
      <b/>
      <sz val="8"/>
      <name val="Times New Roman"/>
      <family val="1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0" fontId="1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1" fillId="0" borderId="0"/>
    <xf numFmtId="176" fontId="2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38" fontId="25" fillId="0" borderId="0"/>
    <xf numFmtId="15" fontId="26" fillId="0" borderId="0" applyFont="0" applyFill="0" applyBorder="0" applyAlignment="0" applyProtection="0"/>
    <xf numFmtId="177" fontId="25" fillId="0" borderId="0" applyFont="0" applyFill="0" applyBorder="0" applyAlignment="0" applyProtection="0"/>
    <xf numFmtId="175" fontId="27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231">
    <xf numFmtId="0" fontId="0" fillId="0" borderId="0" xfId="0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168" fontId="2" fillId="0" borderId="1" xfId="2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9" fontId="2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wrapText="1"/>
    </xf>
    <xf numFmtId="0" fontId="2" fillId="0" borderId="1" xfId="0" quotePrefix="1" applyFont="1" applyFill="1" applyBorder="1" applyAlignment="1">
      <alignment horizontal="left"/>
    </xf>
    <xf numFmtId="0" fontId="6" fillId="0" borderId="6" xfId="0" applyFont="1" applyFill="1" applyBorder="1" applyAlignment="1">
      <alignment wrapText="1"/>
    </xf>
    <xf numFmtId="0" fontId="2" fillId="0" borderId="0" xfId="0" applyFont="1" applyFill="1" applyAlignment="1">
      <alignment horizontal="center"/>
    </xf>
    <xf numFmtId="10" fontId="2" fillId="0" borderId="1" xfId="3" applyNumberFormat="1" applyFont="1" applyFill="1" applyBorder="1"/>
    <xf numFmtId="0" fontId="8" fillId="0" borderId="1" xfId="0" applyFont="1" applyBorder="1"/>
    <xf numFmtId="0" fontId="2" fillId="3" borderId="1" xfId="0" applyFont="1" applyFill="1" applyBorder="1"/>
    <xf numFmtId="0" fontId="0" fillId="0" borderId="0" xfId="0" applyFont="1"/>
    <xf numFmtId="0" fontId="2" fillId="2" borderId="5" xfId="0" applyFont="1" applyFill="1" applyBorder="1" applyAlignment="1">
      <alignment horizontal="center"/>
    </xf>
    <xf numFmtId="0" fontId="0" fillId="0" borderId="15" xfId="0" applyFont="1" applyBorder="1"/>
    <xf numFmtId="0" fontId="0" fillId="0" borderId="12" xfId="0" applyFont="1" applyBorder="1"/>
    <xf numFmtId="0" fontId="0" fillId="0" borderId="14" xfId="0" applyFont="1" applyBorder="1"/>
    <xf numFmtId="0" fontId="0" fillId="0" borderId="16" xfId="0" applyFont="1" applyBorder="1" applyAlignment="1">
      <alignment horizontal="center"/>
    </xf>
    <xf numFmtId="0" fontId="0" fillId="0" borderId="1" xfId="0" applyFont="1" applyBorder="1"/>
    <xf numFmtId="0" fontId="0" fillId="0" borderId="11" xfId="0" applyFont="1" applyBorder="1"/>
    <xf numFmtId="0" fontId="9" fillId="0" borderId="1" xfId="0" applyFont="1" applyBorder="1"/>
    <xf numFmtId="0" fontId="0" fillId="4" borderId="16" xfId="0" applyFont="1" applyFill="1" applyBorder="1" applyAlignment="1">
      <alignment horizontal="center"/>
    </xf>
    <xf numFmtId="0" fontId="8" fillId="4" borderId="1" xfId="0" applyFont="1" applyFill="1" applyBorder="1"/>
    <xf numFmtId="0" fontId="0" fillId="4" borderId="1" xfId="0" applyFont="1" applyFill="1" applyBorder="1"/>
    <xf numFmtId="0" fontId="0" fillId="4" borderId="11" xfId="0" applyFont="1" applyFill="1" applyBorder="1"/>
    <xf numFmtId="0" fontId="10" fillId="0" borderId="17" xfId="0" applyFont="1" applyBorder="1" applyAlignment="1">
      <alignment horizontal="center"/>
    </xf>
    <xf numFmtId="0" fontId="10" fillId="0" borderId="18" xfId="0" applyFont="1" applyBorder="1"/>
    <xf numFmtId="0" fontId="10" fillId="0" borderId="13" xfId="0" applyFont="1" applyBorder="1"/>
    <xf numFmtId="0" fontId="3" fillId="0" borderId="1" xfId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7" fillId="7" borderId="15" xfId="0" applyFont="1" applyFill="1" applyBorder="1" applyAlignment="1">
      <alignment horizontal="center"/>
    </xf>
    <xf numFmtId="0" fontId="0" fillId="0" borderId="18" xfId="0" applyBorder="1"/>
    <xf numFmtId="170" fontId="0" fillId="0" borderId="18" xfId="0" applyNumberFormat="1" applyBorder="1"/>
    <xf numFmtId="0" fontId="12" fillId="7" borderId="12" xfId="0" applyFont="1" applyFill="1" applyBorder="1" applyAlignment="1">
      <alignment horizontal="center"/>
    </xf>
    <xf numFmtId="0" fontId="0" fillId="0" borderId="1" xfId="0" applyFill="1" applyBorder="1"/>
    <xf numFmtId="0" fontId="12" fillId="7" borderId="14" xfId="0" applyFont="1" applyFill="1" applyBorder="1" applyAlignment="1">
      <alignment horizontal="center"/>
    </xf>
    <xf numFmtId="170" fontId="0" fillId="0" borderId="11" xfId="0" applyNumberFormat="1" applyFill="1" applyBorder="1"/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10" fontId="13" fillId="0" borderId="6" xfId="3" applyNumberFormat="1" applyFont="1" applyBorder="1"/>
    <xf numFmtId="0" fontId="13" fillId="0" borderId="7" xfId="0" applyFont="1" applyBorder="1"/>
    <xf numFmtId="10" fontId="13" fillId="0" borderId="9" xfId="3" applyNumberFormat="1" applyFont="1" applyBorder="1"/>
    <xf numFmtId="0" fontId="13" fillId="0" borderId="20" xfId="0" applyFont="1" applyBorder="1"/>
    <xf numFmtId="10" fontId="13" fillId="0" borderId="19" xfId="3" applyNumberFormat="1" applyFont="1" applyBorder="1"/>
    <xf numFmtId="171" fontId="13" fillId="0" borderId="1" xfId="0" applyNumberFormat="1" applyFont="1" applyBorder="1"/>
    <xf numFmtId="171" fontId="13" fillId="0" borderId="8" xfId="0" applyNumberFormat="1" applyFont="1" applyBorder="1"/>
    <xf numFmtId="171" fontId="13" fillId="0" borderId="10" xfId="0" applyNumberFormat="1" applyFont="1" applyBorder="1"/>
    <xf numFmtId="167" fontId="0" fillId="0" borderId="0" xfId="2" applyFont="1"/>
    <xf numFmtId="0" fontId="0" fillId="0" borderId="0" xfId="0" applyAlignment="1">
      <alignment horizontal="center"/>
    </xf>
    <xf numFmtId="0" fontId="0" fillId="0" borderId="0" xfId="0" applyNumberFormat="1"/>
    <xf numFmtId="167" fontId="14" fillId="0" borderId="0" xfId="2" applyFont="1"/>
    <xf numFmtId="9" fontId="14" fillId="0" borderId="0" xfId="3" applyFont="1"/>
    <xf numFmtId="167" fontId="14" fillId="0" borderId="0" xfId="0" applyNumberFormat="1" applyFont="1"/>
    <xf numFmtId="9" fontId="14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165" fontId="4" fillId="0" borderId="18" xfId="0" applyNumberFormat="1" applyFont="1" applyFill="1" applyBorder="1"/>
    <xf numFmtId="172" fontId="4" fillId="0" borderId="18" xfId="0" applyNumberFormat="1" applyFont="1" applyFill="1" applyBorder="1"/>
    <xf numFmtId="173" fontId="0" fillId="0" borderId="0" xfId="2" applyNumberFormat="1" applyFont="1"/>
    <xf numFmtId="172" fontId="14" fillId="0" borderId="0" xfId="2" applyNumberFormat="1" applyFont="1"/>
    <xf numFmtId="0" fontId="0" fillId="0" borderId="0" xfId="2" quotePrefix="1" applyNumberFormat="1" applyFont="1"/>
    <xf numFmtId="167" fontId="0" fillId="0" borderId="0" xfId="0" applyNumberFormat="1" applyFont="1"/>
    <xf numFmtId="9" fontId="0" fillId="0" borderId="0" xfId="0" applyNumberFormat="1" applyFont="1"/>
    <xf numFmtId="174" fontId="2" fillId="0" borderId="1" xfId="2" applyNumberFormat="1" applyFont="1" applyFill="1" applyBorder="1"/>
    <xf numFmtId="164" fontId="2" fillId="0" borderId="1" xfId="2" applyNumberFormat="1" applyFont="1" applyFill="1" applyBorder="1"/>
    <xf numFmtId="9" fontId="0" fillId="0" borderId="0" xfId="3" applyFont="1"/>
    <xf numFmtId="167" fontId="15" fillId="0" borderId="0" xfId="0" applyNumberFormat="1" applyFont="1"/>
    <xf numFmtId="9" fontId="15" fillId="0" borderId="0" xfId="0" applyNumberFormat="1" applyFont="1"/>
    <xf numFmtId="3" fontId="0" fillId="0" borderId="0" xfId="2" quotePrefix="1" applyNumberFormat="1" applyFont="1"/>
    <xf numFmtId="0" fontId="16" fillId="0" borderId="1" xfId="0" applyFont="1" applyFill="1" applyBorder="1" applyAlignment="1">
      <alignment wrapText="1"/>
    </xf>
    <xf numFmtId="0" fontId="16" fillId="0" borderId="18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6" fillId="0" borderId="1" xfId="0" applyFont="1" applyFill="1" applyBorder="1"/>
    <xf numFmtId="0" fontId="16" fillId="0" borderId="6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3" fillId="0" borderId="1" xfId="1" applyFont="1" applyBorder="1" applyAlignment="1">
      <alignment wrapText="1"/>
    </xf>
    <xf numFmtId="1" fontId="3" fillId="0" borderId="1" xfId="1" applyNumberFormat="1" applyFont="1" applyFill="1" applyBorder="1" applyAlignment="1">
      <alignment wrapText="1"/>
    </xf>
    <xf numFmtId="168" fontId="2" fillId="0" borderId="0" xfId="0" applyNumberFormat="1" applyFont="1" applyFill="1" applyBorder="1" applyAlignment="1"/>
    <xf numFmtId="167" fontId="2" fillId="0" borderId="0" xfId="0" applyNumberFormat="1" applyFont="1" applyFill="1" applyBorder="1"/>
    <xf numFmtId="0" fontId="2" fillId="0" borderId="0" xfId="0" applyFont="1" applyFill="1" applyBorder="1" applyAlignment="1">
      <alignment horizontal="left" wrapText="1"/>
    </xf>
    <xf numFmtId="168" fontId="2" fillId="0" borderId="0" xfId="0" applyNumberFormat="1" applyFont="1" applyFill="1" applyBorder="1" applyAlignment="1">
      <alignment wrapText="1"/>
    </xf>
    <xf numFmtId="168" fontId="2" fillId="0" borderId="0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0" fontId="16" fillId="0" borderId="8" xfId="0" applyFont="1" applyFill="1" applyBorder="1" applyAlignment="1">
      <alignment wrapText="1"/>
    </xf>
    <xf numFmtId="0" fontId="16" fillId="0" borderId="8" xfId="0" applyFont="1" applyFill="1" applyBorder="1"/>
    <xf numFmtId="0" fontId="16" fillId="0" borderId="9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74" fontId="16" fillId="0" borderId="1" xfId="2" applyNumberFormat="1" applyFont="1" applyFill="1" applyBorder="1" applyAlignment="1"/>
    <xf numFmtId="164" fontId="16" fillId="0" borderId="1" xfId="2" applyNumberFormat="1" applyFont="1" applyFill="1" applyBorder="1" applyAlignment="1"/>
    <xf numFmtId="10" fontId="16" fillId="0" borderId="1" xfId="3" applyNumberFormat="1" applyFont="1" applyFill="1" applyBorder="1"/>
    <xf numFmtId="0" fontId="16" fillId="0" borderId="1" xfId="0" applyFont="1" applyFill="1" applyBorder="1" applyAlignment="1">
      <alignment horizontal="left"/>
    </xf>
    <xf numFmtId="0" fontId="17" fillId="0" borderId="1" xfId="1" applyFont="1" applyFill="1" applyBorder="1" applyAlignment="1">
      <alignment wrapText="1"/>
    </xf>
    <xf numFmtId="168" fontId="16" fillId="0" borderId="1" xfId="0" applyNumberFormat="1" applyFont="1" applyFill="1" applyBorder="1"/>
    <xf numFmtId="169" fontId="16" fillId="0" borderId="1" xfId="0" applyNumberFormat="1" applyFont="1" applyFill="1" applyBorder="1"/>
    <xf numFmtId="0" fontId="1" fillId="0" borderId="1" xfId="1" applyFill="1" applyBorder="1" applyAlignment="1">
      <alignment wrapText="1"/>
    </xf>
    <xf numFmtId="167" fontId="16" fillId="0" borderId="1" xfId="2" applyFont="1" applyFill="1" applyBorder="1" applyAlignment="1"/>
    <xf numFmtId="0" fontId="16" fillId="0" borderId="12" xfId="0" applyFont="1" applyFill="1" applyBorder="1" applyAlignment="1">
      <alignment wrapText="1"/>
    </xf>
    <xf numFmtId="0" fontId="20" fillId="0" borderId="12" xfId="0" applyFont="1" applyFill="1" applyBorder="1" applyAlignment="1">
      <alignment horizontal="center" wrapText="1"/>
    </xf>
    <xf numFmtId="0" fontId="16" fillId="0" borderId="12" xfId="0" applyFont="1" applyFill="1" applyBorder="1"/>
    <xf numFmtId="0" fontId="16" fillId="0" borderId="18" xfId="0" applyFont="1" applyFill="1" applyBorder="1"/>
    <xf numFmtId="167" fontId="22" fillId="0" borderId="1" xfId="6" applyFont="1" applyFill="1" applyBorder="1"/>
    <xf numFmtId="172" fontId="2" fillId="0" borderId="1" xfId="2" applyNumberFormat="1" applyFont="1" applyBorder="1"/>
    <xf numFmtId="0" fontId="28" fillId="0" borderId="0" xfId="0" applyFont="1" applyFill="1"/>
    <xf numFmtId="0" fontId="28" fillId="0" borderId="0" xfId="0" applyFont="1" applyFill="1" applyAlignment="1">
      <alignment wrapText="1"/>
    </xf>
    <xf numFmtId="0" fontId="29" fillId="2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wrapText="1"/>
    </xf>
    <xf numFmtId="0" fontId="28" fillId="0" borderId="0" xfId="0" applyFont="1" applyFill="1" applyAlignment="1">
      <alignment horizontal="center"/>
    </xf>
    <xf numFmtId="0" fontId="28" fillId="0" borderId="1" xfId="0" applyFont="1" applyFill="1" applyBorder="1" applyAlignment="1">
      <alignment wrapText="1"/>
    </xf>
    <xf numFmtId="174" fontId="28" fillId="0" borderId="1" xfId="2" applyNumberFormat="1" applyFont="1" applyFill="1" applyBorder="1"/>
    <xf numFmtId="164" fontId="28" fillId="0" borderId="1" xfId="2" applyNumberFormat="1" applyFont="1" applyFill="1" applyBorder="1"/>
    <xf numFmtId="174" fontId="28" fillId="0" borderId="1" xfId="2" applyNumberFormat="1" applyFont="1" applyFill="1" applyBorder="1" applyAlignment="1"/>
    <xf numFmtId="164" fontId="28" fillId="0" borderId="1" xfId="2" applyNumberFormat="1" applyFont="1" applyFill="1" applyBorder="1" applyAlignment="1"/>
    <xf numFmtId="167" fontId="28" fillId="0" borderId="1" xfId="2" applyFont="1" applyFill="1" applyBorder="1" applyAlignment="1"/>
    <xf numFmtId="9" fontId="28" fillId="0" borderId="0" xfId="3" applyFont="1" applyFill="1"/>
    <xf numFmtId="0" fontId="29" fillId="0" borderId="0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wrapText="1"/>
    </xf>
    <xf numFmtId="174" fontId="5" fillId="0" borderId="8" xfId="0" applyNumberFormat="1" applyFont="1" applyFill="1" applyBorder="1" applyAlignment="1"/>
    <xf numFmtId="164" fontId="5" fillId="0" borderId="8" xfId="0" applyNumberFormat="1" applyFont="1" applyFill="1" applyBorder="1" applyAlignment="1"/>
    <xf numFmtId="10" fontId="5" fillId="0" borderId="8" xfId="0" applyNumberFormat="1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horizontal="left"/>
    </xf>
    <xf numFmtId="168" fontId="5" fillId="0" borderId="8" xfId="0" applyNumberFormat="1" applyFont="1" applyFill="1" applyBorder="1"/>
    <xf numFmtId="0" fontId="5" fillId="0" borderId="18" xfId="0" applyFont="1" applyFill="1" applyBorder="1"/>
    <xf numFmtId="167" fontId="28" fillId="0" borderId="1" xfId="2" applyFont="1" applyFill="1" applyBorder="1"/>
    <xf numFmtId="0" fontId="28" fillId="5" borderId="5" xfId="0" applyFont="1" applyFill="1" applyBorder="1" applyAlignment="1">
      <alignment horizontal="center"/>
    </xf>
    <xf numFmtId="0" fontId="28" fillId="6" borderId="5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wrapText="1"/>
    </xf>
    <xf numFmtId="171" fontId="28" fillId="0" borderId="1" xfId="2" applyNumberFormat="1" applyFont="1" applyFill="1" applyBorder="1" applyAlignment="1">
      <alignment wrapText="1"/>
    </xf>
    <xf numFmtId="171" fontId="28" fillId="0" borderId="1" xfId="2" applyNumberFormat="1" applyFont="1" applyFill="1" applyBorder="1"/>
    <xf numFmtId="171" fontId="28" fillId="6" borderId="1" xfId="2" applyNumberFormat="1" applyFont="1" applyFill="1" applyBorder="1" applyAlignment="1">
      <alignment wrapText="1"/>
    </xf>
    <xf numFmtId="171" fontId="28" fillId="6" borderId="1" xfId="2" applyNumberFormat="1" applyFont="1" applyFill="1" applyBorder="1"/>
    <xf numFmtId="171" fontId="28" fillId="5" borderId="1" xfId="2" applyNumberFormat="1" applyFont="1" applyFill="1" applyBorder="1"/>
    <xf numFmtId="171" fontId="31" fillId="0" borderId="0" xfId="0" applyNumberFormat="1" applyFont="1" applyFill="1" applyBorder="1" applyAlignment="1">
      <alignment wrapText="1"/>
    </xf>
    <xf numFmtId="171" fontId="28" fillId="0" borderId="0" xfId="2" applyNumberFormat="1" applyFont="1" applyFill="1"/>
    <xf numFmtId="171" fontId="28" fillId="5" borderId="1" xfId="2" applyNumberFormat="1" applyFont="1" applyFill="1" applyBorder="1" applyAlignment="1">
      <alignment wrapText="1"/>
    </xf>
    <xf numFmtId="0" fontId="28" fillId="5" borderId="0" xfId="0" applyFont="1" applyFill="1" applyAlignment="1">
      <alignment wrapText="1"/>
    </xf>
    <xf numFmtId="9" fontId="28" fillId="5" borderId="0" xfId="3" applyFont="1" applyFill="1"/>
    <xf numFmtId="0" fontId="29" fillId="0" borderId="21" xfId="0" applyFont="1" applyFill="1" applyBorder="1" applyAlignment="1"/>
    <xf numFmtId="0" fontId="29" fillId="0" borderId="0" xfId="0" applyFont="1" applyFill="1" applyBorder="1" applyAlignment="1"/>
    <xf numFmtId="0" fontId="29" fillId="0" borderId="0" xfId="0" applyFont="1" applyFill="1" applyAlignment="1"/>
    <xf numFmtId="170" fontId="29" fillId="0" borderId="0" xfId="2" applyNumberFormat="1" applyFont="1" applyFill="1" applyAlignment="1"/>
    <xf numFmtId="170" fontId="28" fillId="5" borderId="0" xfId="2" applyNumberFormat="1" applyFont="1" applyFill="1"/>
    <xf numFmtId="170" fontId="28" fillId="0" borderId="0" xfId="2" applyNumberFormat="1" applyFont="1" applyFill="1"/>
    <xf numFmtId="0" fontId="28" fillId="0" borderId="22" xfId="0" applyFont="1" applyFill="1" applyBorder="1" applyAlignment="1">
      <alignment horizontal="center"/>
    </xf>
    <xf numFmtId="0" fontId="28" fillId="0" borderId="18" xfId="0" applyFont="1" applyFill="1" applyBorder="1" applyAlignment="1">
      <alignment wrapText="1"/>
    </xf>
    <xf numFmtId="0" fontId="29" fillId="0" borderId="18" xfId="0" applyFont="1" applyFill="1" applyBorder="1" applyAlignment="1">
      <alignment wrapText="1"/>
    </xf>
    <xf numFmtId="170" fontId="31" fillId="0" borderId="18" xfId="0" applyNumberFormat="1" applyFont="1" applyFill="1" applyBorder="1"/>
    <xf numFmtId="167" fontId="31" fillId="0" borderId="18" xfId="0" applyNumberFormat="1" applyFont="1" applyFill="1" applyBorder="1"/>
    <xf numFmtId="171" fontId="31" fillId="0" borderId="18" xfId="0" applyNumberFormat="1" applyFont="1" applyFill="1" applyBorder="1"/>
    <xf numFmtId="171" fontId="28" fillId="10" borderId="1" xfId="0" applyNumberFormat="1" applyFont="1" applyFill="1" applyBorder="1" applyAlignment="1">
      <alignment wrapText="1"/>
    </xf>
    <xf numFmtId="167" fontId="28" fillId="0" borderId="0" xfId="2" applyFont="1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2" fillId="9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74" fontId="2" fillId="9" borderId="1" xfId="2" applyNumberFormat="1" applyFont="1" applyFill="1" applyBorder="1" applyAlignment="1"/>
    <xf numFmtId="174" fontId="2" fillId="8" borderId="1" xfId="2" applyNumberFormat="1" applyFont="1" applyFill="1" applyBorder="1" applyAlignment="1"/>
    <xf numFmtId="174" fontId="2" fillId="8" borderId="1" xfId="2" applyNumberFormat="1" applyFont="1" applyFill="1" applyBorder="1"/>
    <xf numFmtId="174" fontId="2" fillId="9" borderId="1" xfId="2" applyNumberFormat="1" applyFont="1" applyFill="1" applyBorder="1"/>
    <xf numFmtId="169" fontId="28" fillId="0" borderId="0" xfId="0" applyNumberFormat="1" applyFont="1" applyFill="1"/>
    <xf numFmtId="178" fontId="28" fillId="0" borderId="0" xfId="0" applyNumberFormat="1" applyFont="1" applyFill="1"/>
    <xf numFmtId="174" fontId="0" fillId="0" borderId="0" xfId="0" applyNumberFormat="1"/>
    <xf numFmtId="179" fontId="0" fillId="0" borderId="0" xfId="0" applyNumberFormat="1"/>
    <xf numFmtId="180" fontId="0" fillId="0" borderId="0" xfId="0" applyNumberFormat="1"/>
    <xf numFmtId="4" fontId="0" fillId="0" borderId="0" xfId="0" applyNumberFormat="1"/>
    <xf numFmtId="0" fontId="8" fillId="0" borderId="0" xfId="0" applyFont="1"/>
    <xf numFmtId="0" fontId="33" fillId="0" borderId="0" xfId="0" applyFont="1"/>
    <xf numFmtId="0" fontId="8" fillId="0" borderId="0" xfId="0" applyFont="1" applyAlignment="1">
      <alignment horizontal="right"/>
    </xf>
    <xf numFmtId="169" fontId="8" fillId="0" borderId="0" xfId="0" applyNumberFormat="1" applyFont="1" applyAlignment="1">
      <alignment horizontal="right"/>
    </xf>
    <xf numFmtId="3" fontId="0" fillId="0" borderId="0" xfId="0" applyNumberFormat="1" applyFont="1"/>
    <xf numFmtId="169" fontId="0" fillId="0" borderId="0" xfId="0" applyNumberFormat="1" applyFont="1"/>
    <xf numFmtId="4" fontId="0" fillId="0" borderId="0" xfId="0" applyNumberFormat="1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169" fontId="0" fillId="0" borderId="0" xfId="0" applyNumberFormat="1" applyFont="1" applyAlignment="1">
      <alignment horizontal="right"/>
    </xf>
    <xf numFmtId="169" fontId="33" fillId="0" borderId="0" xfId="0" applyNumberFormat="1" applyFont="1" applyAlignment="1">
      <alignment horizontal="right"/>
    </xf>
    <xf numFmtId="0" fontId="0" fillId="2" borderId="0" xfId="0" applyFont="1" applyFill="1"/>
    <xf numFmtId="0" fontId="8" fillId="2" borderId="0" xfId="0" applyFont="1" applyFill="1"/>
    <xf numFmtId="169" fontId="8" fillId="2" borderId="0" xfId="0" applyNumberFormat="1" applyFont="1" applyFill="1" applyAlignment="1">
      <alignment horizontal="right"/>
    </xf>
    <xf numFmtId="169" fontId="0" fillId="2" borderId="0" xfId="0" applyNumberFormat="1" applyFont="1" applyFill="1" applyAlignment="1">
      <alignment horizontal="right"/>
    </xf>
    <xf numFmtId="0" fontId="8" fillId="5" borderId="0" xfId="0" applyFont="1" applyFill="1"/>
    <xf numFmtId="169" fontId="8" fillId="5" borderId="0" xfId="0" applyNumberFormat="1" applyFont="1" applyFill="1" applyAlignment="1">
      <alignment horizontal="right"/>
    </xf>
    <xf numFmtId="0" fontId="8" fillId="4" borderId="0" xfId="0" applyFont="1" applyFill="1"/>
    <xf numFmtId="169" fontId="8" fillId="4" borderId="0" xfId="0" applyNumberFormat="1" applyFont="1" applyFill="1" applyAlignment="1">
      <alignment horizontal="right"/>
    </xf>
    <xf numFmtId="181" fontId="0" fillId="0" borderId="0" xfId="0" applyNumberFormat="1" applyFont="1"/>
    <xf numFmtId="0" fontId="34" fillId="0" borderId="0" xfId="0" applyFont="1"/>
    <xf numFmtId="166" fontId="34" fillId="0" borderId="0" xfId="0" applyNumberFormat="1" applyFont="1" applyAlignment="1">
      <alignment horizontal="right"/>
    </xf>
    <xf numFmtId="166" fontId="33" fillId="0" borderId="0" xfId="0" applyNumberFormat="1" applyFont="1" applyAlignment="1">
      <alignment horizontal="right"/>
    </xf>
    <xf numFmtId="3" fontId="0" fillId="0" borderId="0" xfId="0" applyNumberFormat="1"/>
    <xf numFmtId="0" fontId="0" fillId="4" borderId="0" xfId="0" applyFont="1" applyFill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</cellXfs>
  <cellStyles count="70">
    <cellStyle name="Blank" xfId="5"/>
    <cellStyle name="Comma" xfId="2" builtinId="3"/>
    <cellStyle name="Comma 10" xfId="6"/>
    <cellStyle name="Comma 2" xfId="7"/>
    <cellStyle name="Comma 2 2" xfId="8"/>
    <cellStyle name="Comma 2 2 2" xfId="9"/>
    <cellStyle name="Comma 3" xfId="10"/>
    <cellStyle name="Comma 4" xfId="11"/>
    <cellStyle name="Comma 5" xfId="12"/>
    <cellStyle name="Comma 6" xfId="13"/>
    <cellStyle name="Comma 7" xfId="14"/>
    <cellStyle name="Comma 8" xfId="15"/>
    <cellStyle name="Comma 9" xfId="16"/>
    <cellStyle name="da" xfId="17"/>
    <cellStyle name="Date" xfId="18"/>
    <cellStyle name="Euro" xfId="19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Hyperlink" xfId="1" builtinId="8"/>
    <cellStyle name="n" xfId="20"/>
    <cellStyle name="Normal" xfId="0" builtinId="0"/>
    <cellStyle name="Normal 10" xfId="21"/>
    <cellStyle name="Normal 11" xfId="4"/>
    <cellStyle name="Normal 2" xfId="22"/>
    <cellStyle name="Normal 2 2" xfId="23"/>
    <cellStyle name="Normal 3" xfId="24"/>
    <cellStyle name="Normal 4" xfId="25"/>
    <cellStyle name="Normal 5" xfId="26"/>
    <cellStyle name="Normal 6" xfId="27"/>
    <cellStyle name="Normal 7" xfId="28"/>
    <cellStyle name="Normal 8" xfId="29"/>
    <cellStyle name="Normal 9" xfId="30"/>
    <cellStyle name="Percent" xfId="3" builtinId="5"/>
    <cellStyle name="Percent 2" xfId="32"/>
    <cellStyle name="Percent 2 2" xfId="33"/>
    <cellStyle name="Percent 2 2 2" xfId="34"/>
    <cellStyle name="Percent 3" xfId="35"/>
    <cellStyle name="Percent 4" xfId="36"/>
    <cellStyle name="Percent 5" xfId="37"/>
    <cellStyle name="Percent 6" xfId="38"/>
    <cellStyle name="Percent 7" xfId="39"/>
    <cellStyle name="Percent 8" xfId="31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8" formatCode="_([$€-2]\ * #,##0.00_);_([$€-2]\ * \(#,##0.00\);_([$€-2]\ 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 * #,##0_ ;_ * \-#,##0_ ;_ * &quot;-&quot;_ ;_ 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74" formatCode="_([$€-2]\ * #,##0_);_([$€-2]\ * \(#,##0\);_([$€-2]\ 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4" formatCode="0.00%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4" formatCode="0.00%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70" formatCode="_ [$€-2]\ * #,##0.00_ ;_ [$€-2]\ * \-#,##0.00_ ;_ [$€-2]\ * &quot;-&quot;??_ ;_ @_ 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71" formatCode="_ [$€-2]\ * #,##0_ ;_ [$€-2]\ * \-#,##0_ ;_ [$€-2]\ * &quot;-&quot;??_ ;_ @_ 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0" formatCode="_ [$€-2]\ * #,##0.00_ ;_ [$€-2]\ * \-#,##0.00_ ;_ [$€-2]\ * &quot;-&quot;??_ ;_ 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_ [$€-2]\ * #,##0.00_ ;_ [$€-2]\ * \-#,##0.00_ ;_ [$€-2]\ * &quot;-&quot;??_ ;_ 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([$€-2]\ * #,##0.00_);_([$€-2]\ * \(#,##0.00\);_([$€-2]\ 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auto="1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1" formatCode="_ [$€-2]\ * #,##0_ ;_ [$€-2]\ * \-#,##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67" formatCode="_(* #,##0.00_);_(* \(#,##0.0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numFmt numFmtId="170" formatCode="_ [$€-2]\ * #,##0.00_ ;_ [$€-2]\ * \-#,##0.00_ ;_ [$€-2]\ * &quot;-&quot;??_ ;_ @_ 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colors>
    <mruColors>
      <color rgb="FF1212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Statistics!$J$2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explosion val="8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explosion val="27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explosion val="21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explosion val="17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explosion val="11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explosion val="14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6.5081343138063893E-2"/>
                  <c:y val="-3.37197012222063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B734841-9BA3-4CDE-BE01-A1818E2DD0F2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B6A7C0D-3B09-45EC-892D-3F4BD2BE8CF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B7F2D072-DA07-4A2B-B232-5EEDC2FEF541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"/>
                  <c:y val="-0.2079381575369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77BAC28-226E-4AA8-8FF3-1A449B531CBD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1E7323-4A04-4520-8883-B692EEA5F78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397ED1E7-DFD8-460E-B1CA-8A12750DB8E8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2.5836998503021302E-2"/>
                  <c:y val="-0.1517386554999289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5B3F95-B729-4A28-B99E-29AD82127097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52E10A-C707-4FC7-B279-8A98B2B33FBE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D52C5320-2A6B-41DE-8A60-9862D9279529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8.3437619407772997E-3"/>
                  <c:y val="2.24798008148043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8C9400-F1E5-487E-940F-2A822984C0A1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988BE4-2C28-4A07-A526-702B4D8C1055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E51A40C0-149C-4338-8D6D-EAD33353817E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"/>
                  <c:y val="-8.42992530555160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0A41FC1-9E14-4FB7-B261-7EA83C41250D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03448FF1-AC17-4877-9AF4-9636468399C8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E66F8268-285E-41B7-B489-932C6CDCA37F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layout>
                <c:manualLayout>
                  <c:x val="3.3375047763109702E-3"/>
                  <c:y val="-2.52897759166548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DF1F19-43F6-46B3-B749-4BB9E8FB1B19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FE0181-8EBB-43BA-BC8B-0CBFDCFC6281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F9D59A78-8503-4F9D-9C25-E20D941ECA4F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7"/>
              <c:layout>
                <c:manualLayout>
                  <c:x val="0.13176721421120199"/>
                  <c:y val="-1.96698257129537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5CC003-6CD7-4F85-8396-7E4AABD0A435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</a:t>
                    </a:r>
                  </a:p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5F8E3D08-20A4-431A-921D-A764AD3C3C20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C16C02B6-DE28-4E5B-B147-BB7A825D9ED0}" type="PERCENTAG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Statistics!$I$3:$I$10</c:f>
              <c:strCache>
                <c:ptCount val="8"/>
                <c:pt idx="0">
                  <c:v>Creative &amp; Design</c:v>
                </c:pt>
                <c:pt idx="1">
                  <c:v>Finance</c:v>
                </c:pt>
                <c:pt idx="2">
                  <c:v>Health Care</c:v>
                </c:pt>
                <c:pt idx="3">
                  <c:v>Hospitality</c:v>
                </c:pt>
                <c:pt idx="4">
                  <c:v>Information Technology</c:v>
                </c:pt>
                <c:pt idx="5">
                  <c:v>Manufacturing</c:v>
                </c:pt>
                <c:pt idx="6">
                  <c:v>Real Estate</c:v>
                </c:pt>
                <c:pt idx="7">
                  <c:v>Tours &amp; Travel</c:v>
                </c:pt>
              </c:strCache>
            </c:strRef>
          </c:cat>
          <c:val>
            <c:numRef>
              <c:f>Statistics!$J$3:$J$10</c:f>
              <c:numCache>
                <c:formatCode>_ [$€-2]\ * #,##0_ ;_ [$€-2]\ * \-#,##0_ ;_ [$€-2]\ * "-"??_ ;_ @_ </c:formatCode>
                <c:ptCount val="8"/>
                <c:pt idx="0">
                  <c:v>19500000</c:v>
                </c:pt>
                <c:pt idx="1">
                  <c:v>4500000</c:v>
                </c:pt>
                <c:pt idx="2">
                  <c:v>2500000</c:v>
                </c:pt>
                <c:pt idx="3">
                  <c:v>27200000</c:v>
                </c:pt>
                <c:pt idx="4">
                  <c:v>3000000</c:v>
                </c:pt>
                <c:pt idx="5">
                  <c:v>20000000</c:v>
                </c:pt>
                <c:pt idx="6">
                  <c:v>5000000</c:v>
                </c:pt>
                <c:pt idx="7">
                  <c:v>3000000</c:v>
                </c:pt>
              </c:numCache>
            </c:numRef>
          </c:val>
        </c:ser>
        <c:ser>
          <c:idx val="1"/>
          <c:order val="1"/>
          <c:tx>
            <c:strRef>
              <c:f>Statistics!$K$2</c:f>
              <c:strCache>
                <c:ptCount val="1"/>
                <c:pt idx="0">
                  <c:v>%age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Statistics!$I$3:$I$10</c:f>
              <c:strCache>
                <c:ptCount val="8"/>
                <c:pt idx="0">
                  <c:v>Creative &amp; Design</c:v>
                </c:pt>
                <c:pt idx="1">
                  <c:v>Finance</c:v>
                </c:pt>
                <c:pt idx="2">
                  <c:v>Health Care</c:v>
                </c:pt>
                <c:pt idx="3">
                  <c:v>Hospitality</c:v>
                </c:pt>
                <c:pt idx="4">
                  <c:v>Information Technology</c:v>
                </c:pt>
                <c:pt idx="5">
                  <c:v>Manufacturing</c:v>
                </c:pt>
                <c:pt idx="6">
                  <c:v>Real Estate</c:v>
                </c:pt>
                <c:pt idx="7">
                  <c:v>Tours &amp; Travel</c:v>
                </c:pt>
              </c:strCache>
            </c:strRef>
          </c:cat>
          <c:val>
            <c:numRef>
              <c:f>Statistics!$K$3:$K$10</c:f>
              <c:numCache>
                <c:formatCode>0.00%</c:formatCode>
                <c:ptCount val="8"/>
                <c:pt idx="0">
                  <c:v>0.23022432113341204</c:v>
                </c:pt>
                <c:pt idx="1">
                  <c:v>5.3128689492325853E-2</c:v>
                </c:pt>
                <c:pt idx="2">
                  <c:v>2.9515938606847699E-2</c:v>
                </c:pt>
                <c:pt idx="3">
                  <c:v>0.32113341204250295</c:v>
                </c:pt>
                <c:pt idx="4">
                  <c:v>3.541912632821724E-2</c:v>
                </c:pt>
                <c:pt idx="5">
                  <c:v>0.23612750885478159</c:v>
                </c:pt>
                <c:pt idx="6">
                  <c:v>5.9031877213695398E-2</c:v>
                </c:pt>
                <c:pt idx="7">
                  <c:v>3.541912632821724E-2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380998</xdr:colOff>
      <xdr:row>16</xdr:row>
      <xdr:rowOff>23811</xdr:rowOff>
    </xdr:from>
    <xdr:to>
      <xdr:col>6</xdr:col>
      <xdr:colOff>695325</xdr:colOff>
      <xdr:row>39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3:U21" totalsRowCount="1" headerRowDxfId="204" dataDxfId="202" totalsRowDxfId="200" headerRowBorderDxfId="203" tableBorderDxfId="201" totalsRowBorderDxfId="199">
  <tableColumns count="20">
    <tableColumn id="1" name="Sr No." dataDxfId="198" totalsRowDxfId="19"/>
    <tableColumn id="2" name="Company Name" dataDxfId="197" totalsRowDxfId="18"/>
    <tableColumn id="12" name="Project Name" dataDxfId="196" totalsRowDxfId="17"/>
    <tableColumn id="3" name="Amount _x000a_to be raised" totalsRowFunction="sum" dataDxfId="195" totalsRowDxfId="16" dataCellStyle="Comma"/>
    <tableColumn id="18" name="Amount of_x000a_TWEX Tokens" totalsRowFunction="sum" dataDxfId="194" totalsRowDxfId="15" dataCellStyle="Comma">
      <calculatedColumnFormula>ROUND(Table2[[#This Row],[Amount 
to be raised]]/0.4,0)</calculatedColumnFormula>
    </tableColumn>
    <tableColumn id="10" name="% Fund Raised" totalsRowFunction="sum" dataDxfId="193" totalsRowDxfId="14" dataCellStyle="Percent">
      <calculatedColumnFormula>Table2[[#This Row],[Amount 
to be raised]]/Table2[[#Totals],[Amount 
to be raised]]</calculatedColumnFormula>
    </tableColumn>
    <tableColumn id="9" name="Owner" dataDxfId="192" totalsRowDxfId="13"/>
    <tableColumn id="11" name="Industry" dataDxfId="191" totalsRowDxfId="12"/>
    <tableColumn id="17" name="Website" dataDxfId="190" totalsRowDxfId="11"/>
    <tableColumn id="4" name="Mobile No" dataDxfId="189" totalsRowDxfId="10"/>
    <tableColumn id="5" name="Mobile No." dataDxfId="188" totalsRowDxfId="9"/>
    <tableColumn id="6" name="Company Email Id." dataDxfId="187" totalsRowDxfId="8" dataCellStyle="Hyperlink"/>
    <tableColumn id="7" name="Email Id." dataDxfId="186" totalsRowDxfId="7" dataCellStyle="Hyperlink"/>
    <tableColumn id="8" name="Reference" dataDxfId="185" totalsRowDxfId="6"/>
    <tableColumn id="16" name="Payments" totalsRowFunction="custom" dataDxfId="184" totalsRowDxfId="5">
      <totalsRowFormula>SUBTOTAL(109,P4:P20)</totalsRowFormula>
    </tableColumn>
    <tableColumn id="15" name="Commissions" totalsRowFunction="custom" dataDxfId="183" totalsRowDxfId="4">
      <totalsRowFormula>SUBTOTAL(109,Q4:Q20)</totalsRowFormula>
    </tableColumn>
    <tableColumn id="14" name="Payable later" totalsRowFunction="custom" dataDxfId="182" totalsRowDxfId="3">
      <totalsRowFormula>SUBTOTAL(109,R4:R20)</totalsRowFormula>
    </tableColumn>
    <tableColumn id="13" name="Status" dataDxfId="181" totalsRowDxfId="2"/>
    <tableColumn id="19" name="Current Asessts" dataDxfId="180" totalsRowDxfId="1"/>
    <tableColumn id="20" name="Projected Assets" dataDxfId="179" totalsRowDxfId="0"/>
  </tableColumns>
  <tableStyleInfo name="TableStyleMedium8" showFirstColumn="0" showLastColumn="0" showRowStripes="1" showColumnStripes="0"/>
</table>
</file>

<file path=xl/tables/table10.xml><?xml version="1.0" encoding="utf-8"?>
<table xmlns="http://schemas.openxmlformats.org/spreadsheetml/2006/main" id="7" name="Table79109128" displayName="Table79109128" ref="B39:I46" totalsRowCount="1">
  <tableColumns count="8">
    <tableColumn id="1" name="Sr. No." dataDxfId="70"/>
    <tableColumn id="2" name="Symbol"/>
    <tableColumn id="3" name="Company Name"/>
    <tableColumn id="8" name="Financial Year" dataDxfId="69"/>
    <tableColumn id="4" name="SC - Capital" totalsRowLabel="Total"/>
    <tableColumn id="5" name="Amount" totalsRowLabel=" 5,000,000.00 " dataDxfId="68" totalsRowDxfId="67" dataCellStyle="Comma">
      <calculatedColumnFormula>SUBTOTAL(109,G38:G39)</calculatedColumnFormula>
    </tableColumn>
    <tableColumn id="6" name="SC - Profit"/>
    <tableColumn id="7" name="Percentage" dataDxfId="66" totalsRowDxfId="65" dataCellStyle="Percent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10" name="Table7910912811" displayName="Table7910912811" ref="B48:I57" totalsRowCount="1">
  <tableColumns count="8">
    <tableColumn id="1" name="Sr. No." dataDxfId="64"/>
    <tableColumn id="2" name="Symbol"/>
    <tableColumn id="3" name="Company Name"/>
    <tableColumn id="8" name="Financial Year" dataDxfId="63"/>
    <tableColumn id="4" name="SC - Capital" totalsRowLabel="Total"/>
    <tableColumn id="5" name="Amount" totalsRowFunction="sum" dataDxfId="62" totalsRowDxfId="61" dataCellStyle="Comma"/>
    <tableColumn id="6" name="SC - Profit"/>
    <tableColumn id="7" name="Percentage" dataDxfId="60" totalsRowDxfId="59" dataCellStyle="Percent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13" name="Table7910912814" displayName="Table7910912814" ref="B59:I67" totalsRowCount="1">
  <tableColumns count="8">
    <tableColumn id="1" name="Sr. No." dataDxfId="58"/>
    <tableColumn id="2" name="Symbol"/>
    <tableColumn id="3" name="Company Name"/>
    <tableColumn id="8" name="Financial Year" dataDxfId="57"/>
    <tableColumn id="4" name="SC - Capital" totalsRowLabel="Total"/>
    <tableColumn id="5" name="Amount" totalsRowFunction="sum" dataDxfId="56" totalsRowDxfId="55" dataCellStyle="Comma">
      <calculatedColumnFormula>SUBTOTAL(109,G59:G59)</calculatedColumnFormula>
    </tableColumn>
    <tableColumn id="6" name="SC - Profit"/>
    <tableColumn id="7" name="Percentage" dataDxfId="54" totalsRowDxfId="53" dataCellStyle="Percent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id="14" name="Table791015" displayName="Table791015" ref="B2:I9" totalsRowCount="1">
  <tableColumns count="8">
    <tableColumn id="1" name="Sr. No." dataDxfId="52"/>
    <tableColumn id="2" name="Symbol"/>
    <tableColumn id="3" name="Company Name"/>
    <tableColumn id="8" name="Financial Year" dataDxfId="51"/>
    <tableColumn id="4" name="SC - Capital" totalsRowLabel="Total"/>
    <tableColumn id="5" name="Amount" totalsRowFunction="sum" dataDxfId="50" totalsRowDxfId="49" dataCellStyle="Comma"/>
    <tableColumn id="6" name="SC - Profit"/>
    <tableColumn id="7" name="Percentage" dataDxfId="48" totalsRowDxfId="47" dataCellStyle="Percent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id="15" name="Table79101516" displayName="Table79101516" ref="B69:J76" totalsRowCount="1">
  <tableColumns count="9">
    <tableColumn id="1" name="Sr. No." dataDxfId="46"/>
    <tableColumn id="2" name="Symbol"/>
    <tableColumn id="3" name="Company Name"/>
    <tableColumn id="8" name="Financial Year" dataDxfId="45"/>
    <tableColumn id="4" name="SC - Capital" totalsRowLabel="Total"/>
    <tableColumn id="5" name="Amount" totalsRowFunction="sum" dataDxfId="44" totalsRowDxfId="43" dataCellStyle="Comma"/>
    <tableColumn id="6" name="SC - Profit"/>
    <tableColumn id="7" name="Percentage" dataDxfId="42" totalsRowDxfId="41" dataCellStyle="Percent"/>
    <tableColumn id="9" name="PP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id="18" name="Table791091281419" displayName="Table791091281419" ref="B78:J86" totalsRowCount="1">
  <tableColumns count="9">
    <tableColumn id="1" name="Sr. No." dataDxfId="40"/>
    <tableColumn id="2" name="Symbol"/>
    <tableColumn id="3" name="Company Name"/>
    <tableColumn id="8" name="Financial Year" dataDxfId="39"/>
    <tableColumn id="4" name="SC - Capital" totalsRowLabel="Total"/>
    <tableColumn id="5" name="Amount" totalsRowFunction="sum" dataDxfId="38" totalsRowDxfId="37" dataCellStyle="Comma"/>
    <tableColumn id="6" name="SC - Profit"/>
    <tableColumn id="7" name="Percentage" dataDxfId="36" totalsRowDxfId="35" dataCellStyle="Percent"/>
    <tableColumn id="9" name="PP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id="16" name="Table79109128141917" displayName="Table79109128141917" ref="B90:J98" totalsRowCount="1">
  <tableColumns count="9">
    <tableColumn id="1" name="Sr. No." dataDxfId="34"/>
    <tableColumn id="2" name="Symbol"/>
    <tableColumn id="3" name="Company Name"/>
    <tableColumn id="8" name="Financial Year" dataDxfId="33"/>
    <tableColumn id="4" name="SC - Capital" totalsRowLabel="Total"/>
    <tableColumn id="5" name="Amount" totalsRowFunction="sum" dataDxfId="32" totalsRowDxfId="31" dataCellStyle="Comma">
      <calculatedColumnFormula>SUBTOTAL(109,G88:G90)</calculatedColumnFormula>
    </tableColumn>
    <tableColumn id="6" name="SC - Profit"/>
    <tableColumn id="7" name="Percentage" dataDxfId="30" totalsRowDxfId="29" dataCellStyle="Percent"/>
    <tableColumn id="9" name="PP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id="4" name="Table4" displayName="Table4" ref="B2:E15" totalsRowShown="0" headerRowDxfId="28" dataDxfId="26" headerRowBorderDxfId="27" tableBorderDxfId="25" totalsRowBorderDxfId="24">
  <tableColumns count="4">
    <tableColumn id="1" name="Sr. No." dataDxfId="23"/>
    <tableColumn id="2" name="Name" dataDxfId="22"/>
    <tableColumn id="3" name="Status" dataDxfId="21"/>
    <tableColumn id="4" name="Revert" dataDxfId="2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4:S41" totalsRowShown="0" headerRowDxfId="178" dataDxfId="176" headerRowBorderDxfId="177" tableBorderDxfId="175" totalsRowBorderDxfId="174">
  <tableColumns count="18">
    <tableColumn id="1" name="Sr No." dataDxfId="173"/>
    <tableColumn id="2" name="Company Name" dataDxfId="172"/>
    <tableColumn id="18" name="Contract Sent" dataDxfId="171"/>
    <tableColumn id="3" name="Company Logo" dataDxfId="170"/>
    <tableColumn id="4" name="Company Video Pres" dataDxfId="169"/>
    <tableColumn id="5" name="Product Video Pre" dataDxfId="168"/>
    <tableColumn id="6" name="Officers Biodata" dataDxfId="167"/>
    <tableColumn id="7" name="Product Biodata" dataDxfId="166"/>
    <tableColumn id="8" name="Story &amp; Journey" dataDxfId="165"/>
    <tableColumn id="9" name="Future Expect." dataDxfId="164"/>
    <tableColumn id="10" name="Executive Summary" dataDxfId="163"/>
    <tableColumn id="11" name="Corporate Pres" dataDxfId="162"/>
    <tableColumn id="12" name="Whitepaper / Business Plan" dataDxfId="161"/>
    <tableColumn id="13" name="Prospectus" dataDxfId="160"/>
    <tableColumn id="14" name="Comptenant Person's Report" dataDxfId="159"/>
    <tableColumn id="15" name="Independent Valuation" dataDxfId="158"/>
    <tableColumn id="16" name="Audited Fin./ Projections" dataDxfId="157"/>
    <tableColumn id="17" name="Risk Factors" dataDxfId="1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44:J61" totalsRowShown="0" headerRowDxfId="155" dataDxfId="153" headerRowBorderDxfId="154" tableBorderDxfId="152">
  <tableColumns count="9">
    <tableColumn id="1" name="Sr No." dataDxfId="151"/>
    <tableColumn id="2" name="Company Name" dataDxfId="150"/>
    <tableColumn id="4" name="Registered address of the Company/Firm" dataDxfId="149"/>
    <tableColumn id="5" name="Company's Representator " dataDxfId="148"/>
    <tableColumn id="7" name="Name of the Bank" dataDxfId="147"/>
    <tableColumn id="8" name="Address of bank" dataDxfId="146"/>
    <tableColumn id="9" name="Account name" dataDxfId="145"/>
    <tableColumn id="11" name="IBAN" dataDxfId="144"/>
    <tableColumn id="12" name="SWIFT CODE" dataDxfId="14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8" name="Table29" displayName="Table29" ref="B3:R21" totalsRowCount="1" headerRowDxfId="142" dataDxfId="140" totalsRowDxfId="138" headerRowBorderDxfId="141" tableBorderDxfId="139" totalsRowBorderDxfId="137">
  <tableColumns count="17">
    <tableColumn id="1" name="Sr No." dataDxfId="136" totalsRowDxfId="135"/>
    <tableColumn id="2" name="Company Name" dataDxfId="134" totalsRowDxfId="133"/>
    <tableColumn id="12" name="Project Name" dataDxfId="132" totalsRowDxfId="131"/>
    <tableColumn id="3" name="Amount to be raised" totalsRowFunction="custom" totalsRowDxfId="130" dataCellStyle="Comma">
      <totalsRowFormula>SUBTOTAL(109,E4:E20)</totalsRowFormula>
    </tableColumn>
    <tableColumn id="18" name="Amount of TWEX Tokens" totalsRowFunction="custom" totalsRowDxfId="129" dataCellStyle="Comma">
      <calculatedColumnFormula>ROUND(Table29[[#This Row],[Amount to be raised]]/0.4,0)</calculatedColumnFormula>
      <totalsRowFormula>SUBTOTAL(109,F4:F20)</totalsRowFormula>
    </tableColumn>
    <tableColumn id="19" name="_x000a_FY 0" totalsRowFunction="custom" totalsRowDxfId="128" dataCellStyle="Comma">
      <totalsRowFormula>SUBTOTAL(109,G4:G20)</totalsRowFormula>
    </tableColumn>
    <tableColumn id="20" name="FY 1" totalsRowFunction="custom" totalsRowDxfId="127" dataCellStyle="Comma">
      <totalsRowFormula>SUBTOTAL(109,H4:H20)</totalsRowFormula>
    </tableColumn>
    <tableColumn id="4" name="FY 2" totalsRowFunction="custom" totalsRowDxfId="126" dataCellStyle="Comma">
      <totalsRowFormula>SUBTOTAL(109,I4:I20)</totalsRowFormula>
    </tableColumn>
    <tableColumn id="5" name="FY 3" totalsRowFunction="custom" totalsRowDxfId="125" dataCellStyle="Comma">
      <totalsRowFormula>SUBTOTAL(109,J4:J20)</totalsRowFormula>
    </tableColumn>
    <tableColumn id="6" name="FY 4" totalsRowFunction="custom" totalsRowDxfId="124" dataCellStyle="Comma">
      <totalsRowFormula>SUBTOTAL(109,K4:K20)</totalsRowFormula>
    </tableColumn>
    <tableColumn id="7" name="FY 5" totalsRowFunction="custom" totalsRowDxfId="123" dataCellStyle="Comma">
      <totalsRowFormula>SUBTOTAL(109,L4:L20)</totalsRowFormula>
    </tableColumn>
    <tableColumn id="8" name="FY 6" totalsRowFunction="custom" totalsRowDxfId="122" dataCellStyle="Comma">
      <totalsRowFormula>SUBTOTAL(109,M4:M20)</totalsRowFormula>
    </tableColumn>
    <tableColumn id="9" name="FY 7" totalsRowFunction="custom" totalsRowDxfId="121" dataCellStyle="Comma">
      <totalsRowFormula>SUBTOTAL(109,N4:N20)</totalsRowFormula>
    </tableColumn>
    <tableColumn id="10" name="FY 8" totalsRowFunction="custom" totalsRowDxfId="120" dataCellStyle="Comma">
      <totalsRowFormula>SUBTOTAL(109,O4:O20)</totalsRowFormula>
    </tableColumn>
    <tableColumn id="11" name="FY 9" totalsRowFunction="custom" totalsRowDxfId="119" dataCellStyle="Comma">
      <totalsRowFormula>SUBTOTAL(109,P4:P20)</totalsRowFormula>
    </tableColumn>
    <tableColumn id="13" name="FY 10" totalsRowFunction="custom" totalsRowDxfId="118" dataCellStyle="Comma">
      <totalsRowFormula>SUBTOTAL(109,Q4:Q20)</totalsRowFormula>
    </tableColumn>
    <tableColumn id="16" name="FY 11" totalsRowFunction="custom" totalsRowDxfId="117" dataCellStyle="Comma">
      <totalsRowFormula>SUBTOTAL(109,R4:R20)</totalsRowFormula>
    </tableColumn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2:G15" totalsRowCount="1" headerRowDxfId="116" totalsRowDxfId="113" headerRowBorderDxfId="115" tableBorderDxfId="114" totalsRowBorderDxfId="112">
  <sortState ref="B3:F14">
    <sortCondition ref="E2"/>
  </sortState>
  <tableColumns count="6">
    <tableColumn id="1" name="Sr No." dataDxfId="111" totalsRowDxfId="110"/>
    <tableColumn id="2" name="Company Name" dataDxfId="109" totalsRowDxfId="108"/>
    <tableColumn id="5" name="Sub-Sector" dataDxfId="107" totalsRowDxfId="106"/>
    <tableColumn id="4" name="Sector" dataDxfId="105" totalsRowDxfId="104"/>
    <tableColumn id="6" name="Amount to be raised" totalsRowFunction="sum" dataDxfId="103" totalsRowDxfId="102" dataCellStyle="Comma"/>
    <tableColumn id="8" name="Total" dataDxfId="101" totalsRowDxfId="100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2:K11" totalsRowCount="1" headerRowDxfId="99" dataDxfId="97" totalsRowDxfId="95" headerRowBorderDxfId="98" tableBorderDxfId="96" totalsRowBorderDxfId="94">
  <tableColumns count="3">
    <tableColumn id="1" name="Sector" totalsRowLabel="Total" dataDxfId="93" totalsRowDxfId="92">
      <calculatedColumnFormula>E7</calculatedColumnFormula>
    </tableColumn>
    <tableColumn id="2" name="Amount" totalsRowFunction="sum" dataDxfId="91" totalsRowDxfId="90">
      <calculatedColumnFormula>G7</calculatedColumnFormula>
    </tableColumn>
    <tableColumn id="3" name="%age" totalsRowFunction="sum" dataDxfId="89" totalsRowDxfId="88" dataCellStyle="Percent">
      <calculatedColumnFormula>Table6[[#This Row],[Amount]]/Table6[[#Totals],[Amount]]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9" name="Table7910" displayName="Table7910" ref="B11:I18" totalsRowCount="1">
  <tableColumns count="8">
    <tableColumn id="1" name="Sr. No." dataDxfId="87"/>
    <tableColumn id="2" name="Symbol"/>
    <tableColumn id="3" name="Company Name"/>
    <tableColumn id="8" name="Financial Year" dataDxfId="86"/>
    <tableColumn id="4" name="SC - Capital" totalsRowLabel="Total"/>
    <tableColumn id="5" name="Amount" totalsRowFunction="sum" dataDxfId="85" totalsRowDxfId="84" dataCellStyle="Comma"/>
    <tableColumn id="6" name="SC - Profit"/>
    <tableColumn id="7" name="Percentage" dataDxfId="83" totalsRowDxfId="82" dataCellStyle="Percent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11" name="Table7910912" displayName="Table7910912" ref="B20:I27" totalsRowCount="1">
  <tableColumns count="8">
    <tableColumn id="1" name="Sr. No." dataDxfId="81"/>
    <tableColumn id="2" name="Symbol"/>
    <tableColumn id="3" name="Company Name"/>
    <tableColumn id="8" name="Financial Year" dataDxfId="80"/>
    <tableColumn id="4" name="SC - Capital" totalsRowLabel="Total"/>
    <tableColumn id="5" name="Amount" totalsRowFunction="sum" dataDxfId="79" totalsRowDxfId="78" dataCellStyle="Comma"/>
    <tableColumn id="6" name="SC - Profit"/>
    <tableColumn id="7" name="Percentage" dataDxfId="77" totalsRowDxfId="76" dataCellStyle="Percent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id="12" name="Table791091213" displayName="Table791091213" ref="B29:I37" totalsRowCount="1">
  <tableColumns count="8">
    <tableColumn id="1" name="Sr. No." dataDxfId="75"/>
    <tableColumn id="2" name="Symbol"/>
    <tableColumn id="3" name="Company Name"/>
    <tableColumn id="8" name="Financial Year" dataDxfId="74"/>
    <tableColumn id="4" name="SC - Capital" totalsRowLabel="Total"/>
    <tableColumn id="5" name="Amount" totalsRowLabel="4210000" totalsRowDxfId="73" dataCellStyle="Comma"/>
    <tableColumn id="6" name="SC - Profit"/>
    <tableColumn id="7" name="Percentage" dataDxfId="72" totalsRowDxfId="71" dataCellStyle="Perce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fayettegardeninn.com/" TargetMode="External"/><Relationship Id="rId13" Type="http://schemas.openxmlformats.org/officeDocument/2006/relationships/hyperlink" Target="mailto:info@ceedh.com" TargetMode="External"/><Relationship Id="rId3" Type="http://schemas.openxmlformats.org/officeDocument/2006/relationships/hyperlink" Target="mailto:keyur@hsa.net.in" TargetMode="External"/><Relationship Id="rId7" Type="http://schemas.openxmlformats.org/officeDocument/2006/relationships/hyperlink" Target="mailto:dilip.bhagtani@bluecoast.in" TargetMode="External"/><Relationship Id="rId12" Type="http://schemas.openxmlformats.org/officeDocument/2006/relationships/hyperlink" Target="http://www.ceedh.com/" TargetMode="External"/><Relationship Id="rId2" Type="http://schemas.openxmlformats.org/officeDocument/2006/relationships/hyperlink" Target="http://www.alpendesign.com/" TargetMode="External"/><Relationship Id="rId16" Type="http://schemas.openxmlformats.org/officeDocument/2006/relationships/table" Target="../tables/table3.xml"/><Relationship Id="rId1" Type="http://schemas.openxmlformats.org/officeDocument/2006/relationships/hyperlink" Target="http://www.tkrs.in/" TargetMode="External"/><Relationship Id="rId6" Type="http://schemas.openxmlformats.org/officeDocument/2006/relationships/hyperlink" Target="https://www.bluecoast.in/" TargetMode="External"/><Relationship Id="rId11" Type="http://schemas.openxmlformats.org/officeDocument/2006/relationships/hyperlink" Target="mailto:satinderkapur@gmail.com" TargetMode="External"/><Relationship Id="rId5" Type="http://schemas.openxmlformats.org/officeDocument/2006/relationships/hyperlink" Target="http://www.pariscab.com/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://www.sskholdingsfze.com/" TargetMode="External"/><Relationship Id="rId4" Type="http://schemas.openxmlformats.org/officeDocument/2006/relationships/hyperlink" Target="mailto:info@alpendesignstudio.com" TargetMode="External"/><Relationship Id="rId9" Type="http://schemas.openxmlformats.org/officeDocument/2006/relationships/hyperlink" Target="http://www.fundtonic.com/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61"/>
  <sheetViews>
    <sheetView zoomScale="150" zoomScaleNormal="150" zoomScalePageLayoutView="150" workbookViewId="0">
      <pane xSplit="3" ySplit="3" topLeftCell="D9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ColWidth="8.85546875" defaultRowHeight="15"/>
  <cols>
    <col min="1" max="1" width="3.28515625" style="5" customWidth="1"/>
    <col min="2" max="2" width="9" style="5" bestFit="1" customWidth="1"/>
    <col min="3" max="3" width="33.42578125" style="6" bestFit="1" customWidth="1"/>
    <col min="4" max="4" width="12.7109375" style="6" customWidth="1"/>
    <col min="5" max="5" width="15.42578125" style="5" bestFit="1" customWidth="1"/>
    <col min="6" max="6" width="16.42578125" style="5" bestFit="1" customWidth="1"/>
    <col min="7" max="7" width="13" style="5" customWidth="1"/>
    <col min="8" max="8" width="16.85546875" style="5" bestFit="1" customWidth="1"/>
    <col min="9" max="9" width="20.140625" style="6" customWidth="1"/>
    <col min="10" max="10" width="19.85546875" style="6" customWidth="1"/>
    <col min="11" max="11" width="16.140625" style="5" customWidth="1"/>
    <col min="12" max="12" width="13.140625" style="5" customWidth="1"/>
    <col min="13" max="13" width="19.42578125" style="6" customWidth="1"/>
    <col min="14" max="14" width="18" style="6" bestFit="1" customWidth="1"/>
    <col min="15" max="15" width="13.7109375" style="5" bestFit="1" customWidth="1"/>
    <col min="16" max="16" width="19.140625" style="5" bestFit="1" customWidth="1"/>
    <col min="17" max="17" width="15.42578125" style="5" customWidth="1"/>
    <col min="18" max="18" width="19" style="5" customWidth="1"/>
    <col min="19" max="19" width="16.28515625" style="6" bestFit="1" customWidth="1"/>
    <col min="20" max="20" width="14.140625" style="6" bestFit="1" customWidth="1"/>
    <col min="21" max="21" width="12.7109375" style="5" customWidth="1"/>
    <col min="22" max="44" width="8.85546875" style="5"/>
    <col min="45" max="45" width="7.42578125" style="5" bestFit="1" customWidth="1"/>
    <col min="46" max="47" width="8.85546875" style="5"/>
    <col min="48" max="48" width="11" style="5" bestFit="1" customWidth="1"/>
    <col min="49" max="16384" width="8.85546875" style="5"/>
  </cols>
  <sheetData>
    <row r="1" spans="2:50" ht="15.75" thickBot="1">
      <c r="AA1" s="5" t="s">
        <v>45</v>
      </c>
    </row>
    <row r="2" spans="2:50">
      <c r="B2" s="227" t="s">
        <v>69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109"/>
      <c r="U2" s="109"/>
      <c r="AA2" s="5" t="s">
        <v>46</v>
      </c>
    </row>
    <row r="3" spans="2:50" s="17" customFormat="1" ht="30">
      <c r="B3" s="110" t="s">
        <v>0</v>
      </c>
      <c r="C3" s="111" t="s">
        <v>17</v>
      </c>
      <c r="D3" s="111" t="s">
        <v>22</v>
      </c>
      <c r="E3" s="111" t="s">
        <v>269</v>
      </c>
      <c r="F3" s="111" t="s">
        <v>268</v>
      </c>
      <c r="G3" s="111" t="s">
        <v>105</v>
      </c>
      <c r="H3" s="112" t="s">
        <v>16</v>
      </c>
      <c r="I3" s="111" t="s">
        <v>19</v>
      </c>
      <c r="J3" s="113" t="s">
        <v>73</v>
      </c>
      <c r="K3" s="112" t="s">
        <v>1</v>
      </c>
      <c r="L3" s="112" t="s">
        <v>10</v>
      </c>
      <c r="M3" s="111" t="s">
        <v>12</v>
      </c>
      <c r="N3" s="111" t="s">
        <v>2</v>
      </c>
      <c r="O3" s="112" t="s">
        <v>3</v>
      </c>
      <c r="P3" s="112" t="s">
        <v>52</v>
      </c>
      <c r="Q3" s="112" t="s">
        <v>53</v>
      </c>
      <c r="R3" s="112" t="s">
        <v>54</v>
      </c>
      <c r="S3" s="111" t="s">
        <v>30</v>
      </c>
      <c r="T3" s="129" t="s">
        <v>332</v>
      </c>
      <c r="U3" s="129" t="s">
        <v>333</v>
      </c>
      <c r="AB3" s="17" t="s">
        <v>71</v>
      </c>
      <c r="AX3" s="17" t="s">
        <v>47</v>
      </c>
    </row>
    <row r="4" spans="2:50" ht="45">
      <c r="B4" s="38">
        <v>1</v>
      </c>
      <c r="C4" s="4" t="s">
        <v>140</v>
      </c>
      <c r="D4" s="4" t="s">
        <v>48</v>
      </c>
      <c r="E4" s="79">
        <v>4500000</v>
      </c>
      <c r="F4" s="80">
        <f>ROUND(Table2[[#This Row],[Amount 
to be raised]]/0.4,0)</f>
        <v>11250000</v>
      </c>
      <c r="G4" s="18">
        <f>Table2[[#This Row],[Amount 
to be raised]]/Table2[[#Totals],[Amount 
to be raised]]</f>
        <v>2.1226578395813992E-2</v>
      </c>
      <c r="H4" s="1" t="s">
        <v>14</v>
      </c>
      <c r="I4" s="4" t="s">
        <v>20</v>
      </c>
      <c r="J4" s="92" t="s">
        <v>75</v>
      </c>
      <c r="K4" s="2">
        <v>9890906048</v>
      </c>
      <c r="L4" s="2"/>
      <c r="M4" s="97" t="s">
        <v>128</v>
      </c>
      <c r="N4" s="92" t="s">
        <v>129</v>
      </c>
      <c r="O4" s="1" t="s">
        <v>26</v>
      </c>
      <c r="P4" s="10">
        <v>0</v>
      </c>
      <c r="Q4" s="10">
        <v>0</v>
      </c>
      <c r="R4" s="10">
        <v>80000</v>
      </c>
      <c r="S4" s="4" t="s">
        <v>26</v>
      </c>
      <c r="T4" s="128"/>
      <c r="U4" s="130"/>
      <c r="AB4" s="5" t="s">
        <v>72</v>
      </c>
    </row>
    <row r="5" spans="2:50" ht="30">
      <c r="B5" s="38">
        <v>2</v>
      </c>
      <c r="C5" s="4" t="s">
        <v>91</v>
      </c>
      <c r="D5" s="4" t="s">
        <v>27</v>
      </c>
      <c r="E5" s="79">
        <v>15000000</v>
      </c>
      <c r="F5" s="80">
        <f>ROUND(Table2[[#This Row],[Amount 
to be raised]]/0.4,0)</f>
        <v>37500000</v>
      </c>
      <c r="G5" s="18">
        <f>Table2[[#This Row],[Amount 
to be raised]]/Table2[[#Totals],[Amount 
to be raised]]</f>
        <v>7.0755261319379967E-2</v>
      </c>
      <c r="H5" s="1" t="s">
        <v>15</v>
      </c>
      <c r="I5" s="4" t="s">
        <v>20</v>
      </c>
      <c r="J5" s="92" t="s">
        <v>74</v>
      </c>
      <c r="K5" s="2">
        <v>9890906048</v>
      </c>
      <c r="L5" s="2"/>
      <c r="M5" s="4"/>
      <c r="N5" s="93"/>
      <c r="O5" s="1" t="s">
        <v>26</v>
      </c>
      <c r="P5" s="10">
        <v>0</v>
      </c>
      <c r="Q5" s="10">
        <v>0</v>
      </c>
      <c r="R5" s="10">
        <v>80000</v>
      </c>
      <c r="S5" s="4" t="s">
        <v>26</v>
      </c>
      <c r="T5" s="85"/>
      <c r="U5" s="95"/>
    </row>
    <row r="6" spans="2:50" ht="30">
      <c r="B6" s="40">
        <v>3</v>
      </c>
      <c r="C6" s="4" t="s">
        <v>122</v>
      </c>
      <c r="D6" s="4"/>
      <c r="E6" s="79">
        <v>3000000</v>
      </c>
      <c r="F6" s="80">
        <f>ROUND(Table2[[#This Row],[Amount 
to be raised]]/0.4,0)</f>
        <v>7500000</v>
      </c>
      <c r="G6" s="18">
        <f>Table2[[#This Row],[Amount 
to be raised]]/Table2[[#Totals],[Amount 
to be raised]]</f>
        <v>1.4151052263875995E-2</v>
      </c>
      <c r="H6" s="1" t="s">
        <v>29</v>
      </c>
      <c r="I6" s="4" t="s">
        <v>25</v>
      </c>
      <c r="J6" s="92" t="s">
        <v>132</v>
      </c>
      <c r="K6" s="2"/>
      <c r="L6" s="2"/>
      <c r="M6" s="4"/>
      <c r="N6" s="93"/>
      <c r="O6" s="1" t="s">
        <v>15</v>
      </c>
      <c r="P6" s="10">
        <v>0</v>
      </c>
      <c r="Q6" s="10">
        <v>3000</v>
      </c>
      <c r="R6" s="10">
        <v>10000</v>
      </c>
      <c r="S6" s="4" t="s">
        <v>32</v>
      </c>
      <c r="T6" s="85"/>
      <c r="U6" s="95"/>
    </row>
    <row r="7" spans="2:50" ht="60">
      <c r="B7" s="22">
        <v>4</v>
      </c>
      <c r="C7" s="4" t="s">
        <v>8</v>
      </c>
      <c r="D7" s="4" t="s">
        <v>23</v>
      </c>
      <c r="E7" s="79">
        <v>5000000</v>
      </c>
      <c r="F7" s="80">
        <f>ROUND(Table2[[#This Row],[Amount 
to be raised]]/0.4,0)</f>
        <v>12500000</v>
      </c>
      <c r="G7" s="18">
        <f>Table2[[#This Row],[Amount 
to be raised]]/Table2[[#Totals],[Amount 
to be raised]]</f>
        <v>2.3585087106459991E-2</v>
      </c>
      <c r="H7" s="4" t="s">
        <v>79</v>
      </c>
      <c r="I7" s="4" t="s">
        <v>51</v>
      </c>
      <c r="J7" s="98" t="s">
        <v>109</v>
      </c>
      <c r="K7" s="3" t="s">
        <v>9</v>
      </c>
      <c r="L7" s="3" t="s">
        <v>11</v>
      </c>
      <c r="M7" s="99" t="s">
        <v>13</v>
      </c>
      <c r="N7" s="94" t="s">
        <v>130</v>
      </c>
      <c r="O7" s="1" t="s">
        <v>15</v>
      </c>
      <c r="P7" s="10">
        <v>0</v>
      </c>
      <c r="Q7" s="10">
        <v>0</v>
      </c>
      <c r="R7" s="10">
        <v>80000</v>
      </c>
      <c r="S7" s="4" t="s">
        <v>33</v>
      </c>
      <c r="T7" s="85"/>
      <c r="U7" s="95"/>
    </row>
    <row r="8" spans="2:50" ht="45">
      <c r="B8" s="22">
        <v>5</v>
      </c>
      <c r="C8" s="4" t="s">
        <v>5</v>
      </c>
      <c r="D8" s="4"/>
      <c r="E8" s="79">
        <v>3000000</v>
      </c>
      <c r="F8" s="80">
        <f>ROUND(Table2[[#This Row],[Amount 
to be raised]]/0.4,0)</f>
        <v>7500000</v>
      </c>
      <c r="G8" s="18">
        <f>Table2[[#This Row],[Amount 
to be raised]]/Table2[[#Totals],[Amount 
to be raised]]</f>
        <v>1.4151052263875995E-2</v>
      </c>
      <c r="H8" s="1" t="s">
        <v>4</v>
      </c>
      <c r="I8" s="4" t="s">
        <v>24</v>
      </c>
      <c r="J8" s="92" t="s">
        <v>92</v>
      </c>
      <c r="K8" s="2" t="s">
        <v>6</v>
      </c>
      <c r="L8" s="2"/>
      <c r="M8" s="92" t="s">
        <v>7</v>
      </c>
      <c r="N8" s="92" t="s">
        <v>7</v>
      </c>
      <c r="O8" s="1" t="s">
        <v>14</v>
      </c>
      <c r="P8" s="10">
        <v>0</v>
      </c>
      <c r="Q8" s="10">
        <v>0</v>
      </c>
      <c r="R8" s="10">
        <v>80000</v>
      </c>
      <c r="S8" s="4" t="s">
        <v>31</v>
      </c>
      <c r="T8" s="85"/>
      <c r="U8" s="95"/>
    </row>
    <row r="9" spans="2:50" ht="45">
      <c r="B9" s="22">
        <v>6</v>
      </c>
      <c r="C9" s="4" t="s">
        <v>90</v>
      </c>
      <c r="D9" s="4" t="s">
        <v>141</v>
      </c>
      <c r="E9" s="79">
        <v>4500000</v>
      </c>
      <c r="F9" s="80">
        <f>ROUND(Table2[[#This Row],[Amount 
to be raised]]/0.4,0)</f>
        <v>11250000</v>
      </c>
      <c r="G9" s="18">
        <f>Table2[[#This Row],[Amount 
to be raised]]/Table2[[#Totals],[Amount 
to be raised]]</f>
        <v>2.1226578395813992E-2</v>
      </c>
      <c r="H9" s="1" t="s">
        <v>15</v>
      </c>
      <c r="I9" s="4" t="s">
        <v>50</v>
      </c>
      <c r="J9" s="92" t="s">
        <v>88</v>
      </c>
      <c r="K9" s="2"/>
      <c r="L9" s="2"/>
      <c r="M9" s="37"/>
      <c r="N9" s="92"/>
      <c r="O9" s="1" t="s">
        <v>15</v>
      </c>
      <c r="P9" s="10">
        <v>0</v>
      </c>
      <c r="Q9" s="10">
        <v>0</v>
      </c>
      <c r="R9" s="10">
        <v>0</v>
      </c>
      <c r="S9" s="4"/>
      <c r="T9" s="85"/>
      <c r="U9" s="95"/>
    </row>
    <row r="10" spans="2:50" ht="30">
      <c r="B10" s="38">
        <v>7</v>
      </c>
      <c r="C10" s="4" t="s">
        <v>76</v>
      </c>
      <c r="D10" s="4" t="s">
        <v>143</v>
      </c>
      <c r="E10" s="79">
        <v>1000000</v>
      </c>
      <c r="F10" s="80">
        <f>ROUND(Table2[[#This Row],[Amount 
to be raised]]/0.4,0)</f>
        <v>2500000</v>
      </c>
      <c r="G10" s="18">
        <f>Table2[[#This Row],[Amount 
to be raised]]/Table2[[#Totals],[Amount 
to be raised]]</f>
        <v>4.7170174212919982E-3</v>
      </c>
      <c r="H10" s="1" t="s">
        <v>77</v>
      </c>
      <c r="I10" s="4" t="s">
        <v>89</v>
      </c>
      <c r="J10" s="92" t="s">
        <v>131</v>
      </c>
      <c r="K10" s="90" t="s">
        <v>113</v>
      </c>
      <c r="L10" s="2"/>
      <c r="M10" s="94"/>
      <c r="N10" s="92"/>
      <c r="O10" s="1" t="s">
        <v>49</v>
      </c>
      <c r="P10" s="10">
        <v>0</v>
      </c>
      <c r="Q10" s="10">
        <v>0</v>
      </c>
      <c r="R10" s="10">
        <v>80000</v>
      </c>
      <c r="S10" s="4"/>
      <c r="T10" s="85"/>
      <c r="U10" s="95"/>
    </row>
    <row r="11" spans="2:50" ht="30">
      <c r="B11" s="38">
        <v>8</v>
      </c>
      <c r="C11" s="4" t="s">
        <v>107</v>
      </c>
      <c r="D11" s="4" t="s">
        <v>107</v>
      </c>
      <c r="E11" s="79">
        <v>4200000</v>
      </c>
      <c r="F11" s="80">
        <f>ROUND(Table2[[#This Row],[Amount 
to be raised]]/0.4,0)</f>
        <v>10500000</v>
      </c>
      <c r="G11" s="18">
        <f>Table2[[#This Row],[Amount 
to be raised]]/Table2[[#Totals],[Amount 
to be raised]]</f>
        <v>1.9811473169426393E-2</v>
      </c>
      <c r="H11" s="1"/>
      <c r="I11" s="4" t="s">
        <v>108</v>
      </c>
      <c r="J11" s="92"/>
      <c r="K11" s="15"/>
      <c r="L11" s="2"/>
      <c r="M11" s="37"/>
      <c r="N11" s="92"/>
      <c r="O11" s="1" t="s">
        <v>15</v>
      </c>
      <c r="P11" s="10">
        <v>0</v>
      </c>
      <c r="Q11" s="10">
        <v>0</v>
      </c>
      <c r="R11" s="10">
        <v>80000</v>
      </c>
      <c r="S11" s="4"/>
      <c r="T11" s="133">
        <v>3000000</v>
      </c>
      <c r="U11" s="95"/>
    </row>
    <row r="12" spans="2:50" ht="30">
      <c r="B12" s="38">
        <v>9</v>
      </c>
      <c r="C12" s="4" t="s">
        <v>118</v>
      </c>
      <c r="D12" s="4"/>
      <c r="E12" s="79">
        <v>20000000</v>
      </c>
      <c r="F12" s="80">
        <f>ROUND(Table2[[#This Row],[Amount 
to be raised]]/0.4,0)</f>
        <v>50000000</v>
      </c>
      <c r="G12" s="18">
        <f>Table2[[#This Row],[Amount 
to be raised]]/Table2[[#Totals],[Amount 
to be raised]]</f>
        <v>9.4340348425839965E-2</v>
      </c>
      <c r="H12" s="1" t="s">
        <v>119</v>
      </c>
      <c r="I12" s="4" t="s">
        <v>28</v>
      </c>
      <c r="J12" s="88"/>
      <c r="K12" s="15"/>
      <c r="L12" s="2"/>
      <c r="M12" s="37"/>
      <c r="N12" s="37" t="s">
        <v>120</v>
      </c>
      <c r="O12" s="1" t="s">
        <v>121</v>
      </c>
      <c r="P12" s="10">
        <v>10000</v>
      </c>
      <c r="Q12" s="10">
        <v>5000</v>
      </c>
      <c r="R12" s="10">
        <v>60000</v>
      </c>
      <c r="S12" s="4"/>
      <c r="T12" s="85"/>
      <c r="U12" s="95"/>
    </row>
    <row r="13" spans="2:50" ht="30">
      <c r="B13" s="22">
        <v>10</v>
      </c>
      <c r="C13" s="4" t="s">
        <v>134</v>
      </c>
      <c r="D13" s="4" t="s">
        <v>133</v>
      </c>
      <c r="E13" s="79">
        <v>22000000</v>
      </c>
      <c r="F13" s="80">
        <f>ROUND(Table2[[#This Row],[Amount 
to be raised]]/0.4,0)</f>
        <v>55000000</v>
      </c>
      <c r="G13" s="18">
        <f>Table2[[#This Row],[Amount 
to be raised]]/Table2[[#Totals],[Amount 
to be raised]]</f>
        <v>0.10377438326842396</v>
      </c>
      <c r="H13" s="4" t="s">
        <v>135</v>
      </c>
      <c r="I13" s="4" t="s">
        <v>108</v>
      </c>
      <c r="J13" s="92" t="s">
        <v>136</v>
      </c>
      <c r="K13" s="15" t="s">
        <v>138</v>
      </c>
      <c r="L13" s="15" t="s">
        <v>137</v>
      </c>
      <c r="M13" s="92"/>
      <c r="N13" s="37" t="s">
        <v>139</v>
      </c>
      <c r="O13" s="1" t="s">
        <v>121</v>
      </c>
      <c r="P13" s="10">
        <v>10000</v>
      </c>
      <c r="Q13" s="10">
        <v>5000</v>
      </c>
      <c r="R13" s="10">
        <v>60000</v>
      </c>
      <c r="S13" s="4"/>
      <c r="T13" s="132">
        <v>61.713231962061712</v>
      </c>
      <c r="U13" s="95"/>
    </row>
    <row r="14" spans="2:50" ht="30">
      <c r="B14" s="38">
        <v>11</v>
      </c>
      <c r="C14" s="4" t="s">
        <v>181</v>
      </c>
      <c r="D14" s="4" t="s">
        <v>294</v>
      </c>
      <c r="E14" s="79">
        <v>2500000</v>
      </c>
      <c r="F14" s="80">
        <f>ROUND(Table2[[#This Row],[Amount 
to be raised]]/0.4,0)</f>
        <v>6250000</v>
      </c>
      <c r="G14" s="18">
        <f>Table2[[#This Row],[Amount 
to be raised]]/Table2[[#Totals],[Amount 
to be raised]]</f>
        <v>1.1792543553229996E-2</v>
      </c>
      <c r="H14" s="4" t="s">
        <v>290</v>
      </c>
      <c r="I14" s="4" t="s">
        <v>291</v>
      </c>
      <c r="J14" s="92" t="s">
        <v>292</v>
      </c>
      <c r="K14" s="15" t="s">
        <v>293</v>
      </c>
      <c r="L14" s="15"/>
      <c r="M14" s="92"/>
      <c r="N14" s="37"/>
      <c r="O14" s="1" t="s">
        <v>318</v>
      </c>
      <c r="P14" s="10">
        <v>9000</v>
      </c>
      <c r="Q14" s="10">
        <v>0</v>
      </c>
      <c r="R14" s="10">
        <v>80000</v>
      </c>
      <c r="S14" s="4"/>
      <c r="T14" s="85"/>
      <c r="U14" s="95"/>
    </row>
    <row r="15" spans="2:50" ht="30">
      <c r="B15" s="38">
        <v>12</v>
      </c>
      <c r="C15" s="4" t="s">
        <v>180</v>
      </c>
      <c r="D15" s="4" t="s">
        <v>295</v>
      </c>
      <c r="E15" s="79">
        <v>10000000</v>
      </c>
      <c r="F15" s="80">
        <f>ROUND(Table2[[#This Row],[Amount 
to be raised]]/0.4,0)</f>
        <v>25000000</v>
      </c>
      <c r="G15" s="18">
        <f>Table2[[#This Row],[Amount 
to be raised]]/Table2[[#Totals],[Amount 
to be raised]]</f>
        <v>4.7170174212919982E-2</v>
      </c>
      <c r="H15" s="4" t="s">
        <v>121</v>
      </c>
      <c r="I15" s="4" t="s">
        <v>296</v>
      </c>
      <c r="J15" s="92" t="s">
        <v>297</v>
      </c>
      <c r="K15" s="15">
        <v>9810732606</v>
      </c>
      <c r="L15" s="15"/>
      <c r="M15" s="92"/>
      <c r="N15" s="37" t="s">
        <v>298</v>
      </c>
      <c r="O15" s="1" t="s">
        <v>121</v>
      </c>
      <c r="P15" s="10">
        <v>5000</v>
      </c>
      <c r="Q15" s="10">
        <v>0</v>
      </c>
      <c r="R15" s="10">
        <v>65000</v>
      </c>
      <c r="S15" s="4"/>
      <c r="T15" s="85"/>
      <c r="U15" s="95"/>
    </row>
    <row r="16" spans="2:50">
      <c r="B16" s="38">
        <v>13</v>
      </c>
      <c r="C16" s="85"/>
      <c r="D16" s="85"/>
      <c r="E16" s="119">
        <v>7000000</v>
      </c>
      <c r="F16" s="120">
        <f>ROUND(Table2[[#This Row],[Amount 
to be raised]]/0.4,0)</f>
        <v>17500000</v>
      </c>
      <c r="G16" s="121">
        <f>Table2[[#This Row],[Amount 
to be raised]]/Table2[[#Totals],[Amount 
to be raised]]</f>
        <v>3.3019121949043988E-2</v>
      </c>
      <c r="H16" s="1" t="s">
        <v>324</v>
      </c>
      <c r="I16" s="4" t="s">
        <v>108</v>
      </c>
      <c r="J16" s="85"/>
      <c r="K16" s="122"/>
      <c r="L16" s="122"/>
      <c r="M16" s="123"/>
      <c r="N16" s="123"/>
      <c r="O16" s="1"/>
      <c r="P16" s="124"/>
      <c r="Q16" s="125"/>
      <c r="R16" s="124"/>
      <c r="S16" s="85"/>
      <c r="T16" s="85"/>
      <c r="U16" s="95"/>
    </row>
    <row r="17" spans="2:21" ht="30">
      <c r="B17" s="38">
        <v>14</v>
      </c>
      <c r="C17" s="4" t="s">
        <v>325</v>
      </c>
      <c r="D17" s="4" t="s">
        <v>331</v>
      </c>
      <c r="E17" s="119">
        <v>20000000</v>
      </c>
      <c r="F17" s="127">
        <f>ROUND(Table2[[#This Row],[Amount 
to be raised]]/0.4,0)</f>
        <v>50000000</v>
      </c>
      <c r="G17" s="121">
        <f>Table2[[#This Row],[Amount 
to be raised]]/Table2[[#Totals],[Amount 
to be raised]]</f>
        <v>9.4340348425839965E-2</v>
      </c>
      <c r="H17" s="1" t="s">
        <v>330</v>
      </c>
      <c r="I17" s="4" t="s">
        <v>108</v>
      </c>
      <c r="J17" s="126" t="s">
        <v>327</v>
      </c>
      <c r="K17" s="15" t="s">
        <v>329</v>
      </c>
      <c r="L17" s="122"/>
      <c r="M17" s="126" t="s">
        <v>328</v>
      </c>
      <c r="N17" s="126"/>
      <c r="O17" s="1" t="s">
        <v>15</v>
      </c>
      <c r="P17" s="124">
        <v>0</v>
      </c>
      <c r="Q17" s="125"/>
      <c r="R17" s="124"/>
      <c r="S17" s="85"/>
      <c r="T17" s="86"/>
      <c r="U17" s="131"/>
    </row>
    <row r="18" spans="2:21">
      <c r="B18" s="38">
        <v>15</v>
      </c>
      <c r="C18" s="4" t="s">
        <v>352</v>
      </c>
      <c r="D18" s="4" t="s">
        <v>351</v>
      </c>
      <c r="E18" s="119">
        <v>65298369.030000001</v>
      </c>
      <c r="F18" s="127">
        <f>ROUND(Table2[[#This Row],[Amount 
to be raised]]/0.4,0)</f>
        <v>163245923</v>
      </c>
      <c r="G18" s="121">
        <f>Table2[[#This Row],[Amount 
to be raised]]/Table2[[#Totals],[Amount 
to be raised]]</f>
        <v>0.30801354429646388</v>
      </c>
      <c r="H18" s="1"/>
      <c r="I18" s="4"/>
      <c r="J18" s="126"/>
      <c r="K18" s="15"/>
      <c r="L18" s="122"/>
      <c r="M18" s="126"/>
      <c r="N18" s="126"/>
      <c r="O18" s="1"/>
      <c r="P18" s="124">
        <v>5000</v>
      </c>
      <c r="Q18" s="125"/>
      <c r="R18" s="124"/>
      <c r="S18" s="85"/>
      <c r="T18" s="86"/>
      <c r="U18" s="131"/>
    </row>
    <row r="19" spans="2:21">
      <c r="B19" s="13">
        <v>16</v>
      </c>
      <c r="C19" s="85"/>
      <c r="D19" s="85"/>
      <c r="E19" s="119"/>
      <c r="F19" s="120">
        <f>ROUND(Table2[[#This Row],[Amount 
to be raised]]/0.4,0)</f>
        <v>0</v>
      </c>
      <c r="G19" s="121">
        <f>Table2[[#This Row],[Amount 
to be raised]]/Table2[[#Totals],[Amount 
to be raised]]</f>
        <v>0</v>
      </c>
      <c r="H19" s="1"/>
      <c r="I19" s="4"/>
      <c r="J19" s="85"/>
      <c r="K19" s="122"/>
      <c r="L19" s="122"/>
      <c r="M19" s="123"/>
      <c r="N19" s="123"/>
      <c r="O19" s="1"/>
      <c r="P19" s="124"/>
      <c r="Q19" s="125"/>
      <c r="R19" s="124"/>
      <c r="S19" s="85"/>
      <c r="T19" s="85"/>
      <c r="U19" s="95"/>
    </row>
    <row r="20" spans="2:21">
      <c r="B20" s="13">
        <v>17</v>
      </c>
      <c r="C20" s="4" t="s">
        <v>322</v>
      </c>
      <c r="D20" s="85"/>
      <c r="E20" s="119">
        <v>25000000</v>
      </c>
      <c r="F20" s="120">
        <f>ROUND(Table2[[#This Row],[Amount 
to be raised]]/0.4,0)</f>
        <v>62500000</v>
      </c>
      <c r="G20" s="121">
        <f>Table2[[#This Row],[Amount 
to be raised]]/Table2[[#Totals],[Amount 
to be raised]]</f>
        <v>0.11792543553229995</v>
      </c>
      <c r="H20" s="1" t="s">
        <v>323</v>
      </c>
      <c r="I20" s="4" t="s">
        <v>360</v>
      </c>
      <c r="J20" s="85"/>
      <c r="K20" s="122"/>
      <c r="L20" s="122"/>
      <c r="M20" s="126"/>
      <c r="N20" s="126"/>
      <c r="O20" s="1" t="s">
        <v>15</v>
      </c>
      <c r="P20" s="124"/>
      <c r="Q20" s="125"/>
      <c r="R20" s="124"/>
      <c r="S20" s="85"/>
      <c r="T20" s="85"/>
      <c r="U20" s="95"/>
    </row>
    <row r="21" spans="2:21" ht="15.75" thickBot="1">
      <c r="B21" s="149"/>
      <c r="C21" s="150"/>
      <c r="D21" s="150"/>
      <c r="E21" s="151">
        <f>SUBTOTAL(109,Table2[Amount 
to be raised])</f>
        <v>211998369.03</v>
      </c>
      <c r="F21" s="152">
        <f>SUBTOTAL(109,Table2[Amount of
TWEX Tokens])</f>
        <v>529995923</v>
      </c>
      <c r="G21" s="153">
        <f>SUBTOTAL(109,Table2[% Fund Raised])</f>
        <v>1</v>
      </c>
      <c r="H21" s="154"/>
      <c r="I21" s="150"/>
      <c r="J21" s="150"/>
      <c r="K21" s="155"/>
      <c r="L21" s="155"/>
      <c r="M21" s="150"/>
      <c r="N21" s="150"/>
      <c r="O21" s="154"/>
      <c r="P21" s="156">
        <f>SUBTOTAL(109,P4:P20)</f>
        <v>39000</v>
      </c>
      <c r="Q21" s="156">
        <f>SUBTOTAL(109,Q4:Q20)</f>
        <v>13000</v>
      </c>
      <c r="R21" s="156">
        <f>SUBTOTAL(109,R4:R20)</f>
        <v>755000</v>
      </c>
      <c r="S21" s="150"/>
      <c r="T21" s="157"/>
      <c r="U21" s="157"/>
    </row>
    <row r="22" spans="2:21" ht="15.75" thickBot="1">
      <c r="B22" s="9"/>
      <c r="C22" s="87"/>
      <c r="D22" s="87"/>
      <c r="E22" s="100"/>
      <c r="F22" s="101"/>
      <c r="G22" s="8"/>
      <c r="H22" s="8"/>
      <c r="I22" s="102"/>
      <c r="J22" s="102"/>
      <c r="K22" s="8"/>
      <c r="L22" s="8"/>
      <c r="M22" s="87"/>
      <c r="N22" s="103"/>
      <c r="O22" s="104"/>
      <c r="P22" s="104"/>
      <c r="Q22" s="8"/>
    </row>
    <row r="23" spans="2:21">
      <c r="B23" s="227" t="s">
        <v>70</v>
      </c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9"/>
      <c r="T23" s="5"/>
    </row>
    <row r="24" spans="2:21" s="6" customFormat="1" ht="30">
      <c r="B24" s="12" t="s">
        <v>0</v>
      </c>
      <c r="C24" s="11" t="s">
        <v>17</v>
      </c>
      <c r="D24" s="11" t="s">
        <v>78</v>
      </c>
      <c r="E24" s="11" t="s">
        <v>35</v>
      </c>
      <c r="F24" s="11" t="s">
        <v>36</v>
      </c>
      <c r="G24" s="11" t="s">
        <v>37</v>
      </c>
      <c r="H24" s="11" t="s">
        <v>116</v>
      </c>
      <c r="I24" s="11" t="s">
        <v>117</v>
      </c>
      <c r="J24" s="11" t="s">
        <v>38</v>
      </c>
      <c r="K24" s="11" t="s">
        <v>39</v>
      </c>
      <c r="L24" s="11" t="s">
        <v>34</v>
      </c>
      <c r="M24" s="11" t="s">
        <v>40</v>
      </c>
      <c r="N24" s="11" t="s">
        <v>41</v>
      </c>
      <c r="O24" s="11" t="s">
        <v>42</v>
      </c>
      <c r="P24" s="11" t="s">
        <v>43</v>
      </c>
      <c r="Q24" s="11" t="s">
        <v>44</v>
      </c>
      <c r="R24" s="11" t="s">
        <v>142</v>
      </c>
      <c r="S24" s="16" t="s">
        <v>319</v>
      </c>
      <c r="T24" s="118"/>
    </row>
    <row r="25" spans="2:21">
      <c r="B25" s="38">
        <v>1</v>
      </c>
      <c r="C25" s="4" t="s">
        <v>140</v>
      </c>
      <c r="D25" s="4"/>
      <c r="E25" s="1" t="s">
        <v>45</v>
      </c>
      <c r="F25" s="1" t="s">
        <v>46</v>
      </c>
      <c r="G25" s="1" t="s">
        <v>46</v>
      </c>
      <c r="H25" s="1" t="s">
        <v>45</v>
      </c>
      <c r="I25" s="4" t="s">
        <v>45</v>
      </c>
      <c r="J25" s="4" t="s">
        <v>45</v>
      </c>
      <c r="K25" s="1" t="s">
        <v>45</v>
      </c>
      <c r="L25" s="1" t="s">
        <v>45</v>
      </c>
      <c r="M25" s="4" t="s">
        <v>45</v>
      </c>
      <c r="N25" s="4" t="s">
        <v>45</v>
      </c>
      <c r="O25" s="1" t="s">
        <v>45</v>
      </c>
      <c r="P25" s="1" t="s">
        <v>45</v>
      </c>
      <c r="Q25" s="1" t="s">
        <v>46</v>
      </c>
      <c r="R25" s="1" t="s">
        <v>45</v>
      </c>
      <c r="S25" s="14" t="s">
        <v>45</v>
      </c>
      <c r="T25" s="87"/>
    </row>
    <row r="26" spans="2:21">
      <c r="B26" s="38">
        <v>2</v>
      </c>
      <c r="C26" s="4" t="s">
        <v>91</v>
      </c>
      <c r="D26" s="4"/>
      <c r="E26" s="1" t="s">
        <v>45</v>
      </c>
      <c r="F26" s="1" t="s">
        <v>45</v>
      </c>
      <c r="G26" s="1" t="s">
        <v>46</v>
      </c>
      <c r="H26" s="1" t="s">
        <v>45</v>
      </c>
      <c r="I26" s="4" t="s">
        <v>45</v>
      </c>
      <c r="J26" s="4" t="s">
        <v>45</v>
      </c>
      <c r="K26" s="1" t="s">
        <v>45</v>
      </c>
      <c r="L26" s="1" t="s">
        <v>45</v>
      </c>
      <c r="M26" s="4" t="s">
        <v>46</v>
      </c>
      <c r="N26" s="4" t="s">
        <v>45</v>
      </c>
      <c r="O26" s="1" t="s">
        <v>45</v>
      </c>
      <c r="P26" s="1" t="s">
        <v>46</v>
      </c>
      <c r="Q26" s="1" t="s">
        <v>46</v>
      </c>
      <c r="R26" s="1" t="s">
        <v>45</v>
      </c>
      <c r="S26" s="14" t="s">
        <v>46</v>
      </c>
      <c r="T26" s="87"/>
    </row>
    <row r="27" spans="2:21">
      <c r="B27" s="40">
        <v>3</v>
      </c>
      <c r="C27" s="4" t="s">
        <v>122</v>
      </c>
      <c r="D27" s="4"/>
      <c r="E27" s="1" t="s">
        <v>45</v>
      </c>
      <c r="F27" s="1" t="s">
        <v>46</v>
      </c>
      <c r="G27" s="1" t="s">
        <v>46</v>
      </c>
      <c r="H27" s="1" t="s">
        <v>45</v>
      </c>
      <c r="I27" s="4" t="s">
        <v>45</v>
      </c>
      <c r="J27" s="4" t="s">
        <v>45</v>
      </c>
      <c r="K27" s="1" t="s">
        <v>45</v>
      </c>
      <c r="L27" s="1" t="s">
        <v>45</v>
      </c>
      <c r="M27" s="4" t="s">
        <v>45</v>
      </c>
      <c r="N27" s="4" t="s">
        <v>45</v>
      </c>
      <c r="O27" s="1" t="s">
        <v>46</v>
      </c>
      <c r="P27" s="1" t="s">
        <v>46</v>
      </c>
      <c r="Q27" s="1" t="s">
        <v>46</v>
      </c>
      <c r="R27" s="1"/>
      <c r="S27" s="14" t="s">
        <v>45</v>
      </c>
      <c r="T27" s="87"/>
    </row>
    <row r="28" spans="2:21">
      <c r="B28" s="22">
        <v>4</v>
      </c>
      <c r="C28" s="4" t="s">
        <v>8</v>
      </c>
      <c r="D28" s="4"/>
      <c r="E28" s="1" t="s">
        <v>45</v>
      </c>
      <c r="F28" s="1" t="s">
        <v>45</v>
      </c>
      <c r="G28" s="1" t="s">
        <v>45</v>
      </c>
      <c r="H28" s="2" t="s">
        <v>45</v>
      </c>
      <c r="I28" s="91" t="s">
        <v>45</v>
      </c>
      <c r="J28" s="4" t="s">
        <v>45</v>
      </c>
      <c r="K28" s="2" t="s">
        <v>45</v>
      </c>
      <c r="L28" s="2" t="s">
        <v>45</v>
      </c>
      <c r="M28" s="91" t="s">
        <v>45</v>
      </c>
      <c r="N28" s="4" t="s">
        <v>45</v>
      </c>
      <c r="O28" s="2" t="s">
        <v>46</v>
      </c>
      <c r="P28" s="20" t="s">
        <v>46</v>
      </c>
      <c r="Q28" s="1" t="s">
        <v>46</v>
      </c>
      <c r="R28" s="1" t="s">
        <v>45</v>
      </c>
      <c r="S28" s="14" t="s">
        <v>45</v>
      </c>
      <c r="T28" s="87"/>
    </row>
    <row r="29" spans="2:21">
      <c r="B29" s="22">
        <v>5</v>
      </c>
      <c r="C29" s="4" t="s">
        <v>5</v>
      </c>
      <c r="D29" s="4"/>
      <c r="E29" s="1" t="s">
        <v>45</v>
      </c>
      <c r="F29" s="1" t="s">
        <v>46</v>
      </c>
      <c r="G29" s="1" t="s">
        <v>46</v>
      </c>
      <c r="H29" s="1" t="s">
        <v>45</v>
      </c>
      <c r="I29" s="4" t="s">
        <v>45</v>
      </c>
      <c r="J29" s="4" t="s">
        <v>45</v>
      </c>
      <c r="K29" s="1" t="s">
        <v>45</v>
      </c>
      <c r="L29" s="1" t="s">
        <v>45</v>
      </c>
      <c r="M29" s="4" t="s">
        <v>45</v>
      </c>
      <c r="N29" s="4" t="s">
        <v>45</v>
      </c>
      <c r="O29" s="1" t="s">
        <v>46</v>
      </c>
      <c r="P29" s="1" t="s">
        <v>46</v>
      </c>
      <c r="Q29" s="1" t="s">
        <v>46</v>
      </c>
      <c r="R29" s="1" t="s">
        <v>45</v>
      </c>
      <c r="S29" s="14" t="s">
        <v>45</v>
      </c>
      <c r="T29" s="87"/>
    </row>
    <row r="30" spans="2:21">
      <c r="B30" s="22">
        <v>6</v>
      </c>
      <c r="C30" s="4" t="s">
        <v>90</v>
      </c>
      <c r="D30" s="4"/>
      <c r="E30" s="1"/>
      <c r="F30" s="1"/>
      <c r="G30" s="1"/>
      <c r="H30" s="1"/>
      <c r="I30" s="4"/>
      <c r="J30" s="4"/>
      <c r="K30" s="1"/>
      <c r="L30" s="1"/>
      <c r="M30" s="4"/>
      <c r="N30" s="4"/>
      <c r="O30" s="1"/>
      <c r="P30" s="1"/>
      <c r="Q30" s="1"/>
      <c r="R30" s="1"/>
      <c r="S30" s="14" t="s">
        <v>45</v>
      </c>
      <c r="T30" s="87"/>
    </row>
    <row r="31" spans="2:21">
      <c r="B31" s="38">
        <v>7</v>
      </c>
      <c r="C31" s="4" t="s">
        <v>76</v>
      </c>
      <c r="D31" s="4"/>
      <c r="E31" s="1" t="s">
        <v>45</v>
      </c>
      <c r="F31" s="1" t="s">
        <v>46</v>
      </c>
      <c r="G31" s="1" t="s">
        <v>45</v>
      </c>
      <c r="H31" s="1" t="s">
        <v>45</v>
      </c>
      <c r="I31" s="4" t="s">
        <v>45</v>
      </c>
      <c r="J31" s="4" t="s">
        <v>45</v>
      </c>
      <c r="K31" s="1" t="s">
        <v>45</v>
      </c>
      <c r="L31" s="1" t="s">
        <v>45</v>
      </c>
      <c r="M31" s="4" t="s">
        <v>46</v>
      </c>
      <c r="N31" s="4" t="s">
        <v>45</v>
      </c>
      <c r="O31" s="1" t="s">
        <v>46</v>
      </c>
      <c r="P31" s="1" t="s">
        <v>46</v>
      </c>
      <c r="Q31" s="1" t="s">
        <v>45</v>
      </c>
      <c r="R31" s="1" t="s">
        <v>45</v>
      </c>
      <c r="S31" s="14" t="s">
        <v>45</v>
      </c>
      <c r="T31" s="87"/>
    </row>
    <row r="32" spans="2:21">
      <c r="B32" s="38">
        <v>8</v>
      </c>
      <c r="C32" s="4" t="s">
        <v>107</v>
      </c>
      <c r="D32" s="4"/>
      <c r="E32" s="1" t="s">
        <v>45</v>
      </c>
      <c r="F32" s="1" t="s">
        <v>45</v>
      </c>
      <c r="G32" s="1" t="s">
        <v>45</v>
      </c>
      <c r="H32" s="1" t="s">
        <v>46</v>
      </c>
      <c r="I32" s="4" t="s">
        <v>45</v>
      </c>
      <c r="J32" s="4" t="s">
        <v>45</v>
      </c>
      <c r="K32" s="1" t="s">
        <v>45</v>
      </c>
      <c r="L32" s="1" t="s">
        <v>45</v>
      </c>
      <c r="M32" s="4" t="s">
        <v>46</v>
      </c>
      <c r="N32" s="4" t="s">
        <v>45</v>
      </c>
      <c r="O32" s="1" t="s">
        <v>46</v>
      </c>
      <c r="P32" s="1" t="s">
        <v>46</v>
      </c>
      <c r="Q32" s="1" t="s">
        <v>46</v>
      </c>
      <c r="R32" s="1" t="s">
        <v>45</v>
      </c>
      <c r="S32" s="14" t="s">
        <v>45</v>
      </c>
      <c r="T32" s="87"/>
    </row>
    <row r="33" spans="2:20" ht="30">
      <c r="B33" s="38">
        <v>9</v>
      </c>
      <c r="C33" s="4" t="s">
        <v>118</v>
      </c>
      <c r="D33" s="4"/>
      <c r="E33" s="1"/>
      <c r="F33" s="1"/>
      <c r="G33" s="1"/>
      <c r="H33" s="1"/>
      <c r="I33" s="4"/>
      <c r="J33" s="4"/>
      <c r="K33" s="1"/>
      <c r="L33" s="1"/>
      <c r="M33" s="4"/>
      <c r="N33" s="4"/>
      <c r="O33" s="1"/>
      <c r="P33" s="1"/>
      <c r="Q33" s="1"/>
      <c r="R33" s="1"/>
      <c r="S33" s="14" t="s">
        <v>45</v>
      </c>
      <c r="T33" s="87"/>
    </row>
    <row r="34" spans="2:20">
      <c r="B34" s="22">
        <v>10</v>
      </c>
      <c r="C34" s="4" t="s">
        <v>134</v>
      </c>
      <c r="D34" s="4"/>
      <c r="E34" s="1" t="s">
        <v>45</v>
      </c>
      <c r="F34" s="1" t="s">
        <v>45</v>
      </c>
      <c r="G34" s="1" t="s">
        <v>45</v>
      </c>
      <c r="H34" s="1" t="s">
        <v>45</v>
      </c>
      <c r="I34" s="4" t="s">
        <v>45</v>
      </c>
      <c r="J34" s="4" t="s">
        <v>45</v>
      </c>
      <c r="K34" s="1" t="s">
        <v>45</v>
      </c>
      <c r="L34" s="1" t="s">
        <v>45</v>
      </c>
      <c r="M34" s="4" t="s">
        <v>45</v>
      </c>
      <c r="N34" s="4" t="s">
        <v>45</v>
      </c>
      <c r="O34" s="1" t="s">
        <v>46</v>
      </c>
      <c r="P34" s="1" t="s">
        <v>45</v>
      </c>
      <c r="Q34" s="1"/>
      <c r="R34" s="1"/>
      <c r="S34" s="14" t="s">
        <v>45</v>
      </c>
      <c r="T34" s="87"/>
    </row>
    <row r="35" spans="2:20">
      <c r="B35" s="38">
        <v>11</v>
      </c>
      <c r="C35" s="4" t="s">
        <v>181</v>
      </c>
      <c r="D35" s="4"/>
      <c r="E35" s="1" t="s">
        <v>45</v>
      </c>
      <c r="F35" s="1" t="s">
        <v>45</v>
      </c>
      <c r="G35" s="1" t="s">
        <v>45</v>
      </c>
      <c r="H35" s="1" t="s">
        <v>45</v>
      </c>
      <c r="I35" s="4" t="s">
        <v>45</v>
      </c>
      <c r="J35" s="4" t="s">
        <v>45</v>
      </c>
      <c r="K35" s="1" t="s">
        <v>45</v>
      </c>
      <c r="L35" s="1" t="s">
        <v>45</v>
      </c>
      <c r="M35" s="4" t="s">
        <v>45</v>
      </c>
      <c r="N35" s="4" t="s">
        <v>45</v>
      </c>
      <c r="O35" s="1" t="s">
        <v>46</v>
      </c>
      <c r="P35" s="1" t="s">
        <v>46</v>
      </c>
      <c r="Q35" s="1" t="s">
        <v>46</v>
      </c>
      <c r="R35" s="1" t="s">
        <v>45</v>
      </c>
      <c r="S35" s="14" t="s">
        <v>45</v>
      </c>
      <c r="T35" s="87"/>
    </row>
    <row r="36" spans="2:20">
      <c r="B36" s="38">
        <v>12</v>
      </c>
      <c r="C36" s="4" t="s">
        <v>180</v>
      </c>
      <c r="D36" s="4"/>
      <c r="E36" s="1" t="s">
        <v>45</v>
      </c>
      <c r="F36" s="1" t="s">
        <v>46</v>
      </c>
      <c r="G36" s="1" t="s">
        <v>46</v>
      </c>
      <c r="H36" s="1" t="s">
        <v>45</v>
      </c>
      <c r="I36" s="4" t="s">
        <v>45</v>
      </c>
      <c r="J36" s="4" t="s">
        <v>45</v>
      </c>
      <c r="K36" s="1" t="s">
        <v>45</v>
      </c>
      <c r="L36" s="1" t="s">
        <v>45</v>
      </c>
      <c r="M36" s="4" t="s">
        <v>46</v>
      </c>
      <c r="N36" s="4" t="s">
        <v>45</v>
      </c>
      <c r="O36" s="1" t="s">
        <v>46</v>
      </c>
      <c r="P36" s="1" t="s">
        <v>46</v>
      </c>
      <c r="Q36" s="1" t="s">
        <v>46</v>
      </c>
      <c r="R36" s="1" t="s">
        <v>45</v>
      </c>
      <c r="S36" s="14" t="s">
        <v>45</v>
      </c>
      <c r="T36" s="87"/>
    </row>
    <row r="37" spans="2:20">
      <c r="B37" s="38">
        <v>13</v>
      </c>
      <c r="C37" s="85" t="s">
        <v>320</v>
      </c>
      <c r="D37" s="4"/>
      <c r="E37" s="95"/>
      <c r="F37" s="95"/>
      <c r="G37" s="95"/>
      <c r="H37" s="95"/>
      <c r="I37" s="85"/>
      <c r="J37" s="85"/>
      <c r="K37" s="95"/>
      <c r="L37" s="95"/>
      <c r="M37" s="85"/>
      <c r="N37" s="85"/>
      <c r="O37" s="95"/>
      <c r="P37" s="95"/>
      <c r="Q37" s="95"/>
      <c r="R37" s="95"/>
      <c r="S37" s="96"/>
      <c r="T37" s="117"/>
    </row>
    <row r="38" spans="2:20">
      <c r="B38" s="38">
        <v>14</v>
      </c>
      <c r="C38" s="4" t="s">
        <v>325</v>
      </c>
      <c r="D38" s="4"/>
      <c r="E38" s="95"/>
      <c r="F38" s="95"/>
      <c r="G38" s="95"/>
      <c r="H38" s="95"/>
      <c r="I38" s="85"/>
      <c r="J38" s="85"/>
      <c r="K38" s="95"/>
      <c r="L38" s="95"/>
      <c r="M38" s="85"/>
      <c r="N38" s="85"/>
      <c r="O38" s="95"/>
      <c r="P38" s="95"/>
      <c r="Q38" s="95"/>
      <c r="R38" s="95"/>
      <c r="S38" s="96"/>
      <c r="T38" s="117"/>
    </row>
    <row r="39" spans="2:20">
      <c r="B39" s="38">
        <v>15</v>
      </c>
      <c r="C39" s="4" t="s">
        <v>352</v>
      </c>
      <c r="D39" s="4"/>
      <c r="E39" s="1"/>
      <c r="F39" s="1"/>
      <c r="G39" s="1"/>
      <c r="H39" s="1"/>
      <c r="I39" s="4"/>
      <c r="J39" s="4"/>
      <c r="K39" s="1"/>
      <c r="L39" s="1"/>
      <c r="M39" s="4"/>
      <c r="N39" s="4"/>
      <c r="O39" s="1"/>
      <c r="P39" s="1"/>
      <c r="Q39" s="1"/>
      <c r="R39" s="1"/>
      <c r="S39" s="14"/>
      <c r="T39" s="87"/>
    </row>
    <row r="40" spans="2:20">
      <c r="B40" s="13">
        <v>16</v>
      </c>
      <c r="C40" s="85" t="s">
        <v>321</v>
      </c>
      <c r="D40" s="4"/>
      <c r="E40" s="95"/>
      <c r="F40" s="95"/>
      <c r="G40" s="95"/>
      <c r="H40" s="95"/>
      <c r="I40" s="85"/>
      <c r="J40" s="85"/>
      <c r="K40" s="95"/>
      <c r="L40" s="95"/>
      <c r="M40" s="85"/>
      <c r="N40" s="85"/>
      <c r="O40" s="95"/>
      <c r="P40" s="95"/>
      <c r="Q40" s="95"/>
      <c r="R40" s="95"/>
      <c r="S40" s="96"/>
      <c r="T40" s="117"/>
    </row>
    <row r="41" spans="2:20" ht="15.75" thickBot="1">
      <c r="B41" s="105">
        <v>17</v>
      </c>
      <c r="C41" s="108" t="s">
        <v>322</v>
      </c>
      <c r="D41" s="108"/>
      <c r="E41" s="115"/>
      <c r="F41" s="115"/>
      <c r="G41" s="115"/>
      <c r="H41" s="115"/>
      <c r="I41" s="114"/>
      <c r="J41" s="114"/>
      <c r="K41" s="115"/>
      <c r="L41" s="115"/>
      <c r="M41" s="114"/>
      <c r="N41" s="114"/>
      <c r="O41" s="115"/>
      <c r="P41" s="115"/>
      <c r="Q41" s="115"/>
      <c r="R41" s="115"/>
      <c r="S41" s="116"/>
      <c r="T41" s="117"/>
    </row>
    <row r="42" spans="2:20" ht="15.75" thickBot="1">
      <c r="B42" s="9"/>
      <c r="C42" s="87"/>
      <c r="D42" s="87"/>
      <c r="E42" s="8"/>
      <c r="F42" s="8"/>
      <c r="G42" s="8"/>
      <c r="H42" s="8"/>
      <c r="I42" s="87"/>
      <c r="J42" s="87"/>
      <c r="K42" s="8"/>
      <c r="L42" s="8"/>
      <c r="M42" s="87"/>
      <c r="N42" s="87"/>
      <c r="O42" s="8"/>
      <c r="P42" s="8"/>
      <c r="Q42" s="8"/>
      <c r="R42" s="8"/>
      <c r="S42" s="87"/>
      <c r="T42" s="87"/>
    </row>
    <row r="43" spans="2:20">
      <c r="B43" s="227" t="s">
        <v>68</v>
      </c>
      <c r="C43" s="228"/>
      <c r="D43" s="228"/>
      <c r="E43" s="228"/>
      <c r="F43" s="228"/>
      <c r="G43" s="228"/>
      <c r="H43" s="228"/>
      <c r="I43" s="228"/>
      <c r="J43" s="229"/>
    </row>
    <row r="44" spans="2:20" ht="75">
      <c r="B44" s="89" t="s">
        <v>0</v>
      </c>
      <c r="C44" s="4" t="s">
        <v>17</v>
      </c>
      <c r="D44" s="4" t="s">
        <v>55</v>
      </c>
      <c r="E44" s="4" t="s">
        <v>57</v>
      </c>
      <c r="F44" s="4" t="s">
        <v>59</v>
      </c>
      <c r="G44" s="4" t="s">
        <v>61</v>
      </c>
      <c r="H44" s="4" t="s">
        <v>63</v>
      </c>
      <c r="I44" s="4" t="s">
        <v>64</v>
      </c>
      <c r="J44" s="14" t="s">
        <v>66</v>
      </c>
    </row>
    <row r="45" spans="2:20">
      <c r="B45" s="38">
        <v>1</v>
      </c>
      <c r="C45" s="4" t="s">
        <v>140</v>
      </c>
      <c r="D45" s="4"/>
      <c r="E45" s="4"/>
      <c r="F45" s="4"/>
      <c r="G45" s="4"/>
      <c r="H45" s="4"/>
      <c r="I45" s="4"/>
      <c r="J45" s="14"/>
    </row>
    <row r="46" spans="2:20">
      <c r="B46" s="38">
        <v>2</v>
      </c>
      <c r="C46" s="4" t="s">
        <v>91</v>
      </c>
      <c r="D46" s="4"/>
      <c r="E46" s="4"/>
      <c r="F46" s="4"/>
      <c r="G46" s="4"/>
      <c r="H46" s="4"/>
      <c r="I46" s="4"/>
      <c r="J46" s="14"/>
    </row>
    <row r="47" spans="2:20">
      <c r="B47" s="40">
        <v>3</v>
      </c>
      <c r="C47" s="4" t="s">
        <v>122</v>
      </c>
      <c r="D47" s="4"/>
      <c r="E47" s="4"/>
      <c r="F47" s="4"/>
      <c r="G47" s="4"/>
      <c r="H47" s="4"/>
      <c r="I47" s="4"/>
      <c r="J47" s="14"/>
    </row>
    <row r="48" spans="2:20" ht="90">
      <c r="B48" s="22">
        <v>4</v>
      </c>
      <c r="C48" s="4" t="s">
        <v>8</v>
      </c>
      <c r="D48" s="4" t="s">
        <v>56</v>
      </c>
      <c r="E48" s="4" t="s">
        <v>58</v>
      </c>
      <c r="F48" s="4" t="s">
        <v>60</v>
      </c>
      <c r="G48" s="4" t="s">
        <v>62</v>
      </c>
      <c r="H48" s="4" t="s">
        <v>8</v>
      </c>
      <c r="I48" s="4" t="s">
        <v>65</v>
      </c>
      <c r="J48" s="14" t="s">
        <v>67</v>
      </c>
    </row>
    <row r="49" spans="2:10" ht="75">
      <c r="B49" s="22">
        <v>5</v>
      </c>
      <c r="C49" s="4" t="s">
        <v>5</v>
      </c>
      <c r="D49" s="106" t="s">
        <v>80</v>
      </c>
      <c r="E49" s="4" t="s">
        <v>81</v>
      </c>
      <c r="F49" s="4"/>
      <c r="G49" s="4"/>
      <c r="H49" s="4"/>
      <c r="I49" s="4"/>
      <c r="J49" s="14"/>
    </row>
    <row r="50" spans="2:10">
      <c r="B50" s="22">
        <v>6</v>
      </c>
      <c r="C50" s="4" t="s">
        <v>90</v>
      </c>
      <c r="D50" s="4"/>
      <c r="E50" s="4"/>
      <c r="F50" s="4"/>
      <c r="G50" s="4"/>
      <c r="H50" s="4"/>
      <c r="I50" s="4"/>
      <c r="J50" s="14"/>
    </row>
    <row r="51" spans="2:10" ht="60">
      <c r="B51" s="38">
        <v>7</v>
      </c>
      <c r="C51" s="4" t="s">
        <v>76</v>
      </c>
      <c r="D51" s="106" t="s">
        <v>82</v>
      </c>
      <c r="E51" s="4" t="s">
        <v>83</v>
      </c>
      <c r="F51" s="90" t="s">
        <v>84</v>
      </c>
      <c r="G51" s="90" t="s">
        <v>85</v>
      </c>
      <c r="H51" s="90" t="s">
        <v>86</v>
      </c>
      <c r="I51" s="4"/>
      <c r="J51" s="107" t="s">
        <v>87</v>
      </c>
    </row>
    <row r="52" spans="2:10">
      <c r="B52" s="38">
        <v>8</v>
      </c>
      <c r="C52" s="4" t="s">
        <v>107</v>
      </c>
      <c r="D52" s="4"/>
      <c r="E52" s="4"/>
      <c r="F52" s="4"/>
      <c r="G52" s="4"/>
      <c r="H52" s="4"/>
      <c r="I52" s="4"/>
      <c r="J52" s="14"/>
    </row>
    <row r="53" spans="2:10" ht="120">
      <c r="B53" s="38">
        <v>9</v>
      </c>
      <c r="C53" s="4" t="s">
        <v>118</v>
      </c>
      <c r="D53" s="4" t="s">
        <v>127</v>
      </c>
      <c r="E53" s="4" t="s">
        <v>119</v>
      </c>
      <c r="F53" s="4"/>
      <c r="G53" s="4"/>
      <c r="H53" s="4"/>
      <c r="I53" s="4"/>
      <c r="J53" s="14"/>
    </row>
    <row r="54" spans="2:10">
      <c r="B54" s="22">
        <v>10</v>
      </c>
      <c r="C54" s="4" t="s">
        <v>134</v>
      </c>
      <c r="D54" s="4"/>
      <c r="E54" s="4" t="s">
        <v>135</v>
      </c>
      <c r="F54" s="4"/>
      <c r="G54" s="4"/>
      <c r="H54" s="4"/>
      <c r="I54" s="4"/>
      <c r="J54" s="14"/>
    </row>
    <row r="55" spans="2:10">
      <c r="B55" s="38">
        <v>11</v>
      </c>
      <c r="C55" s="4" t="s">
        <v>181</v>
      </c>
      <c r="D55" s="4"/>
      <c r="E55" s="4"/>
      <c r="F55" s="4"/>
      <c r="G55" s="4"/>
      <c r="H55" s="4"/>
      <c r="I55" s="4"/>
      <c r="J55" s="14"/>
    </row>
    <row r="56" spans="2:10">
      <c r="B56" s="38">
        <v>12</v>
      </c>
      <c r="C56" s="4" t="s">
        <v>180</v>
      </c>
      <c r="D56" s="4"/>
      <c r="E56" s="4"/>
      <c r="F56" s="4"/>
      <c r="G56" s="4"/>
      <c r="H56" s="4"/>
      <c r="I56" s="4"/>
      <c r="J56" s="14"/>
    </row>
    <row r="57" spans="2:10">
      <c r="B57" s="38">
        <v>13</v>
      </c>
      <c r="C57" s="85" t="s">
        <v>320</v>
      </c>
      <c r="D57" s="4"/>
      <c r="E57" s="4"/>
      <c r="F57" s="4"/>
      <c r="G57" s="4"/>
      <c r="H57" s="4"/>
      <c r="I57" s="4"/>
      <c r="J57" s="14"/>
    </row>
    <row r="58" spans="2:10" ht="60">
      <c r="B58" s="38">
        <v>14</v>
      </c>
      <c r="C58" s="4" t="s">
        <v>325</v>
      </c>
      <c r="D58" s="85" t="s">
        <v>326</v>
      </c>
      <c r="E58" s="1" t="s">
        <v>330</v>
      </c>
      <c r="F58" s="85"/>
      <c r="G58" s="85"/>
      <c r="H58" s="85"/>
      <c r="I58" s="85"/>
      <c r="J58" s="96"/>
    </row>
    <row r="59" spans="2:10">
      <c r="B59" s="38">
        <v>15</v>
      </c>
      <c r="C59" s="4" t="s">
        <v>352</v>
      </c>
      <c r="D59" s="4"/>
      <c r="E59" s="4"/>
      <c r="F59" s="4"/>
      <c r="G59" s="4"/>
      <c r="H59" s="4"/>
      <c r="I59" s="4"/>
      <c r="J59" s="14"/>
    </row>
    <row r="60" spans="2:10">
      <c r="B60" s="13">
        <v>16</v>
      </c>
      <c r="C60" s="85" t="s">
        <v>321</v>
      </c>
      <c r="D60" s="4"/>
      <c r="E60" s="4"/>
      <c r="F60" s="4"/>
      <c r="G60" s="4"/>
      <c r="H60" s="4"/>
      <c r="I60" s="4"/>
      <c r="J60" s="14"/>
    </row>
    <row r="61" spans="2:10" ht="15.75" thickBot="1">
      <c r="B61" s="105">
        <v>17</v>
      </c>
      <c r="C61" s="108" t="s">
        <v>322</v>
      </c>
      <c r="D61" s="108"/>
      <c r="E61" s="108"/>
      <c r="F61" s="108"/>
      <c r="G61" s="108"/>
      <c r="H61" s="108"/>
      <c r="I61" s="108"/>
      <c r="J61" s="163"/>
    </row>
  </sheetData>
  <mergeCells count="3">
    <mergeCell ref="B23:S23"/>
    <mergeCell ref="B43:J43"/>
    <mergeCell ref="B2:S2"/>
  </mergeCells>
  <dataValidations count="2">
    <dataValidation type="list" allowBlank="1" showInputMessage="1" showErrorMessage="1" sqref="E42:S42 E25:T41 T42">
      <formula1>$AA$1:$AA$2</formula1>
    </dataValidation>
    <dataValidation type="list" allowBlank="1" showInputMessage="1" showErrorMessage="1" sqref="D25:D42">
      <formula1>$AA$1:$AA$4</formula1>
    </dataValidation>
  </dataValidations>
  <hyperlinks>
    <hyperlink ref="J5" r:id="rId1"/>
    <hyperlink ref="J4" r:id="rId2"/>
    <hyperlink ref="N12" r:id="rId3"/>
    <hyperlink ref="N4" r:id="rId4"/>
    <hyperlink ref="J6" r:id="rId5"/>
    <hyperlink ref="J13" r:id="rId6"/>
    <hyperlink ref="N13" r:id="rId7"/>
    <hyperlink ref="J10" r:id="rId8"/>
    <hyperlink ref="J14" r:id="rId9"/>
    <hyperlink ref="J15" r:id="rId10"/>
    <hyperlink ref="N15" r:id="rId11"/>
    <hyperlink ref="J17" r:id="rId12"/>
    <hyperlink ref="M17" r:id="rId13"/>
  </hyperlinks>
  <pageMargins left="0.7" right="0.7" top="0.75" bottom="0.75" header="0.3" footer="0.3"/>
  <pageSetup orientation="portrait"/>
  <tableParts count="3"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2" sqref="B2"/>
    </sheetView>
  </sheetViews>
  <sheetFormatPr defaultColWidth="11.42578125" defaultRowHeight="15"/>
  <cols>
    <col min="1" max="1" width="11.42578125" style="21"/>
    <col min="2" max="2" width="25.42578125" style="21" bestFit="1" customWidth="1"/>
    <col min="3" max="3" width="24.7109375" style="21" bestFit="1" customWidth="1"/>
    <col min="4" max="6" width="11.42578125" style="21"/>
    <col min="7" max="7" width="17" style="21" bestFit="1" customWidth="1"/>
    <col min="8" max="8" width="20" style="21" bestFit="1" customWidth="1"/>
    <col min="9" max="16384" width="11.42578125" style="21"/>
  </cols>
  <sheetData>
    <row r="1" spans="1:8">
      <c r="A1" s="203" t="s">
        <v>426</v>
      </c>
    </row>
    <row r="4" spans="1:8">
      <c r="B4" s="21" t="s">
        <v>17</v>
      </c>
      <c r="C4" s="210" t="s">
        <v>374</v>
      </c>
      <c r="H4" s="21" t="s">
        <v>408</v>
      </c>
    </row>
    <row r="5" spans="1:8">
      <c r="A5" s="213" t="s">
        <v>405</v>
      </c>
      <c r="B5" s="213" t="s">
        <v>375</v>
      </c>
      <c r="C5" s="216">
        <v>4500000</v>
      </c>
      <c r="G5" s="21" t="s">
        <v>409</v>
      </c>
      <c r="H5" s="206">
        <v>12000000</v>
      </c>
    </row>
    <row r="6" spans="1:8">
      <c r="A6" s="213" t="s">
        <v>406</v>
      </c>
      <c r="B6" s="213" t="s">
        <v>203</v>
      </c>
      <c r="C6" s="216">
        <v>3000000</v>
      </c>
      <c r="G6" s="21" t="s">
        <v>410</v>
      </c>
      <c r="H6" s="206">
        <v>4500000</v>
      </c>
    </row>
    <row r="7" spans="1:8">
      <c r="A7" s="213" t="s">
        <v>389</v>
      </c>
      <c r="B7" s="213" t="s">
        <v>376</v>
      </c>
      <c r="C7" s="216">
        <v>1000000</v>
      </c>
      <c r="G7" s="21" t="s">
        <v>411</v>
      </c>
      <c r="H7" s="206">
        <v>500000</v>
      </c>
    </row>
    <row r="8" spans="1:8">
      <c r="A8" s="213" t="s">
        <v>388</v>
      </c>
      <c r="B8" s="214" t="s">
        <v>386</v>
      </c>
      <c r="C8" s="215">
        <v>17000000</v>
      </c>
      <c r="G8" s="21" t="s">
        <v>412</v>
      </c>
      <c r="H8" s="206">
        <v>500000</v>
      </c>
    </row>
    <row r="9" spans="1:8">
      <c r="A9" s="213" t="s">
        <v>389</v>
      </c>
      <c r="B9" s="214" t="s">
        <v>392</v>
      </c>
      <c r="C9" s="215">
        <v>4200000</v>
      </c>
      <c r="G9" s="21" t="s">
        <v>413</v>
      </c>
      <c r="H9" s="206">
        <v>10000000</v>
      </c>
    </row>
    <row r="10" spans="1:8">
      <c r="A10" s="213" t="s">
        <v>390</v>
      </c>
      <c r="B10" s="214" t="s">
        <v>270</v>
      </c>
      <c r="C10" s="215">
        <v>5000000</v>
      </c>
      <c r="G10" s="21" t="s">
        <v>414</v>
      </c>
      <c r="H10" s="206">
        <v>9000000</v>
      </c>
    </row>
    <row r="11" spans="1:8">
      <c r="B11" s="202"/>
      <c r="C11" s="205"/>
      <c r="G11" s="21" t="s">
        <v>415</v>
      </c>
      <c r="H11" s="206">
        <v>7500000</v>
      </c>
    </row>
    <row r="12" spans="1:8">
      <c r="A12" s="21" t="s">
        <v>151</v>
      </c>
      <c r="B12" s="202"/>
      <c r="C12" s="205">
        <f>C5+C6+C7+C8+C9+C10+C11</f>
        <v>34700000</v>
      </c>
      <c r="G12" s="21" t="s">
        <v>416</v>
      </c>
      <c r="H12" s="206">
        <v>6500000</v>
      </c>
    </row>
    <row r="13" spans="1:8">
      <c r="B13" s="202"/>
      <c r="C13" s="205"/>
      <c r="G13" s="21" t="s">
        <v>417</v>
      </c>
      <c r="H13" s="206">
        <v>2500000</v>
      </c>
    </row>
    <row r="14" spans="1:8">
      <c r="B14" s="203" t="s">
        <v>377</v>
      </c>
      <c r="C14" s="212">
        <v>3000000</v>
      </c>
      <c r="H14" s="206"/>
    </row>
    <row r="15" spans="1:8">
      <c r="B15" s="203" t="s">
        <v>378</v>
      </c>
      <c r="C15" s="212">
        <f>C12</f>
        <v>34700000</v>
      </c>
      <c r="G15" s="21" t="s">
        <v>151</v>
      </c>
      <c r="H15" s="206">
        <f>H5+H6+H7+H8+H9+H10+H11+H12+H13+H14</f>
        <v>53000000</v>
      </c>
    </row>
    <row r="18" spans="1:3">
      <c r="A18" s="21">
        <v>1</v>
      </c>
      <c r="B18" s="21" t="s">
        <v>399</v>
      </c>
      <c r="C18" s="207">
        <v>0.1</v>
      </c>
    </row>
    <row r="19" spans="1:3">
      <c r="B19" s="21" t="s">
        <v>418</v>
      </c>
      <c r="C19" s="208">
        <f>C12/C18</f>
        <v>347000000</v>
      </c>
    </row>
    <row r="20" spans="1:3">
      <c r="B20" s="21" t="s">
        <v>408</v>
      </c>
      <c r="C20" s="208">
        <v>53000000</v>
      </c>
    </row>
    <row r="21" spans="1:3">
      <c r="A21" s="21" t="s">
        <v>151</v>
      </c>
      <c r="B21" s="21" t="s">
        <v>399</v>
      </c>
      <c r="C21" s="208">
        <f>C19+C20</f>
        <v>400000000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2" workbookViewId="0">
      <selection activeCell="C8" sqref="C8"/>
    </sheetView>
  </sheetViews>
  <sheetFormatPr defaultColWidth="11.42578125" defaultRowHeight="15"/>
  <cols>
    <col min="1" max="1" width="11.42578125" style="21"/>
    <col min="2" max="2" width="25.42578125" style="21" bestFit="1" customWidth="1"/>
    <col min="3" max="3" width="24.7109375" style="21" bestFit="1" customWidth="1"/>
    <col min="4" max="7" width="11.42578125" style="21"/>
    <col min="8" max="8" width="17" style="21" bestFit="1" customWidth="1"/>
    <col min="9" max="9" width="20" style="21" bestFit="1" customWidth="1"/>
    <col min="10" max="16384" width="11.42578125" style="21"/>
  </cols>
  <sheetData>
    <row r="1" spans="1:9">
      <c r="A1" s="203" t="s">
        <v>399</v>
      </c>
    </row>
    <row r="3" spans="1:9">
      <c r="B3" s="21" t="s">
        <v>17</v>
      </c>
      <c r="C3" s="210" t="s">
        <v>374</v>
      </c>
      <c r="I3" s="21" t="s">
        <v>408</v>
      </c>
    </row>
    <row r="4" spans="1:9">
      <c r="B4" s="213" t="s">
        <v>159</v>
      </c>
      <c r="C4" s="216">
        <v>4500000</v>
      </c>
      <c r="H4" s="21" t="s">
        <v>409</v>
      </c>
      <c r="I4" s="206">
        <v>15000000</v>
      </c>
    </row>
    <row r="5" spans="1:9">
      <c r="B5" s="213" t="s">
        <v>401</v>
      </c>
      <c r="C5" s="216">
        <v>2500000</v>
      </c>
      <c r="H5" s="21" t="s">
        <v>410</v>
      </c>
      <c r="I5" s="206">
        <v>7500000</v>
      </c>
    </row>
    <row r="6" spans="1:9">
      <c r="B6" s="213" t="s">
        <v>400</v>
      </c>
      <c r="C6" s="216">
        <v>20000000</v>
      </c>
      <c r="H6" s="21" t="s">
        <v>411</v>
      </c>
      <c r="I6" s="206">
        <v>2500000</v>
      </c>
    </row>
    <row r="7" spans="1:9">
      <c r="B7" s="214" t="s">
        <v>391</v>
      </c>
      <c r="C7" s="215">
        <v>22000000</v>
      </c>
      <c r="H7" s="21" t="s">
        <v>412</v>
      </c>
      <c r="I7" s="206">
        <v>5000000</v>
      </c>
    </row>
    <row r="8" spans="1:9">
      <c r="B8" s="21" t="s">
        <v>151</v>
      </c>
      <c r="C8" s="211">
        <f>C4+C5+C6+C7</f>
        <v>49000000</v>
      </c>
      <c r="H8" s="21" t="s">
        <v>413</v>
      </c>
      <c r="I8" s="206">
        <v>25000000</v>
      </c>
    </row>
    <row r="9" spans="1:9">
      <c r="C9" s="211"/>
      <c r="H9" s="21" t="s">
        <v>414</v>
      </c>
      <c r="I9" s="206">
        <v>22500000</v>
      </c>
    </row>
    <row r="10" spans="1:9">
      <c r="B10" s="203" t="s">
        <v>377</v>
      </c>
      <c r="C10" s="212">
        <v>4500000</v>
      </c>
      <c r="H10" s="21" t="s">
        <v>415</v>
      </c>
      <c r="I10" s="206">
        <v>11500000</v>
      </c>
    </row>
    <row r="11" spans="1:9">
      <c r="B11" s="203" t="s">
        <v>378</v>
      </c>
      <c r="C11" s="212">
        <f>C8</f>
        <v>49000000</v>
      </c>
      <c r="H11" s="21" t="s">
        <v>416</v>
      </c>
      <c r="I11" s="206">
        <v>11000000</v>
      </c>
    </row>
    <row r="12" spans="1:9">
      <c r="H12" s="21" t="s">
        <v>417</v>
      </c>
      <c r="I12" s="206">
        <v>10000000</v>
      </c>
    </row>
    <row r="13" spans="1:9">
      <c r="I13" s="206"/>
    </row>
    <row r="14" spans="1:9">
      <c r="H14" s="21" t="s">
        <v>151</v>
      </c>
      <c r="I14" s="206">
        <f>I4+I5+I6+I7+I8+I9+I10+I11+I12+I13</f>
        <v>110000000</v>
      </c>
    </row>
    <row r="17" spans="1:3">
      <c r="A17" s="21">
        <v>1</v>
      </c>
      <c r="B17" s="21" t="s">
        <v>399</v>
      </c>
      <c r="C17" s="207">
        <v>0.1</v>
      </c>
    </row>
    <row r="18" spans="1:3">
      <c r="B18" s="21" t="s">
        <v>418</v>
      </c>
      <c r="C18" s="208">
        <f>C11/C17</f>
        <v>490000000</v>
      </c>
    </row>
    <row r="19" spans="1:3">
      <c r="B19" s="21" t="s">
        <v>408</v>
      </c>
      <c r="C19" s="208">
        <v>110000000</v>
      </c>
    </row>
    <row r="20" spans="1:3">
      <c r="A20" s="21" t="s">
        <v>151</v>
      </c>
      <c r="B20" s="21" t="s">
        <v>399</v>
      </c>
      <c r="C20" s="208">
        <f>C18+C19</f>
        <v>600000000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B10" sqref="B10"/>
    </sheetView>
  </sheetViews>
  <sheetFormatPr defaultColWidth="11.42578125" defaultRowHeight="15"/>
  <cols>
    <col min="1" max="1" width="11.42578125" style="21"/>
    <col min="2" max="2" width="12.85546875" style="21" bestFit="1" customWidth="1"/>
    <col min="3" max="3" width="21.85546875" style="21" bestFit="1" customWidth="1"/>
    <col min="4" max="4" width="14.42578125" style="21" bestFit="1" customWidth="1"/>
    <col min="5" max="16384" width="11.42578125" style="21"/>
  </cols>
  <sheetData>
    <row r="1" spans="1:13">
      <c r="A1" s="203" t="s">
        <v>419</v>
      </c>
    </row>
    <row r="4" spans="1:13">
      <c r="B4" s="21" t="s">
        <v>420</v>
      </c>
      <c r="D4" s="21" t="s">
        <v>422</v>
      </c>
      <c r="F4"/>
      <c r="G4" t="s">
        <v>404</v>
      </c>
      <c r="H4" t="s">
        <v>424</v>
      </c>
      <c r="I4" t="s">
        <v>383</v>
      </c>
      <c r="J4" t="s">
        <v>425</v>
      </c>
      <c r="K4" t="s">
        <v>399</v>
      </c>
      <c r="L4" t="s">
        <v>151</v>
      </c>
      <c r="M4" t="s">
        <v>153</v>
      </c>
    </row>
    <row r="5" spans="1:13">
      <c r="F5" t="str">
        <f>TWUS!H5</f>
        <v>Marketing</v>
      </c>
      <c r="G5" s="225">
        <f>TWUS!I5</f>
        <v>10000000</v>
      </c>
      <c r="H5" s="225">
        <f>'TW Mov'!I4</f>
        <v>20000000</v>
      </c>
      <c r="I5" s="225">
        <f>'TW UAE'!H3</f>
        <v>3000000</v>
      </c>
      <c r="J5" s="225">
        <f>'TW Europe'!H5</f>
        <v>12000000</v>
      </c>
      <c r="K5" s="225">
        <f>TWIN!I4</f>
        <v>15000000</v>
      </c>
      <c r="L5" s="225">
        <f t="shared" ref="L5:L15" si="0">SUM(G5:K5)</f>
        <v>60000000</v>
      </c>
      <c r="M5" s="81">
        <f t="shared" ref="M5:M14" si="1">L5/$L$15</f>
        <v>0.1566579634464752</v>
      </c>
    </row>
    <row r="6" spans="1:13">
      <c r="B6" s="21" t="s">
        <v>399</v>
      </c>
      <c r="C6" s="221">
        <f>TWIN!C11</f>
        <v>49000000</v>
      </c>
      <c r="D6" s="209">
        <f>C6/C12</f>
        <v>0.29394121175764848</v>
      </c>
      <c r="F6" t="str">
        <f>TWUS!H6</f>
        <v>Bounty</v>
      </c>
      <c r="G6" s="225">
        <f>TWUS!I6</f>
        <v>7500000</v>
      </c>
      <c r="H6" s="225">
        <f>'TW Mov'!I5</f>
        <v>5000000</v>
      </c>
      <c r="I6" s="225">
        <f>'TW UAE'!H4</f>
        <v>1800000</v>
      </c>
      <c r="J6" s="225">
        <f>'TW Europe'!H6</f>
        <v>4500000</v>
      </c>
      <c r="K6" s="225">
        <f>TWIN!I5</f>
        <v>7500000</v>
      </c>
      <c r="L6" s="225">
        <f t="shared" si="0"/>
        <v>26300000</v>
      </c>
      <c r="M6" s="81">
        <f t="shared" si="1"/>
        <v>6.8668407310704963E-2</v>
      </c>
    </row>
    <row r="7" spans="1:13">
      <c r="B7" s="21" t="s">
        <v>393</v>
      </c>
      <c r="C7" s="221">
        <f>'TW Europe'!C15</f>
        <v>34700000</v>
      </c>
      <c r="D7" s="209">
        <f>C7/C12</f>
        <v>0.20815836832633472</v>
      </c>
      <c r="F7" t="str">
        <f>TWUS!H7</f>
        <v>Airdrop</v>
      </c>
      <c r="G7" s="225">
        <f>TWUS!I7</f>
        <v>2500000</v>
      </c>
      <c r="H7" s="225">
        <f>'TW Mov'!I6</f>
        <v>1000000</v>
      </c>
      <c r="I7" s="225">
        <f>'TW UAE'!H5</f>
        <v>500000</v>
      </c>
      <c r="J7" s="225">
        <f>'TW Europe'!H7</f>
        <v>500000</v>
      </c>
      <c r="K7" s="225">
        <f>TWIN!I6</f>
        <v>2500000</v>
      </c>
      <c r="L7" s="225">
        <f t="shared" si="0"/>
        <v>7000000</v>
      </c>
      <c r="M7" s="81">
        <f t="shared" si="1"/>
        <v>1.8276762402088774E-2</v>
      </c>
    </row>
    <row r="8" spans="1:13">
      <c r="B8" s="226" t="s">
        <v>421</v>
      </c>
      <c r="C8" s="221">
        <f>'TW UAE'!C15</f>
        <v>13000000</v>
      </c>
      <c r="D8" s="209">
        <f>C8/C12</f>
        <v>7.7984403119376128E-2</v>
      </c>
      <c r="F8" t="str">
        <f>TWUS!H8</f>
        <v>Board</v>
      </c>
      <c r="G8" s="225">
        <f>TWUS!I8</f>
        <v>5000000</v>
      </c>
      <c r="H8" s="225">
        <f>'TW Mov'!I7</f>
        <v>1000000</v>
      </c>
      <c r="I8" s="225">
        <f>'TW UAE'!H6</f>
        <v>200000</v>
      </c>
      <c r="J8" s="225">
        <f>'TW Europe'!H8</f>
        <v>500000</v>
      </c>
      <c r="K8" s="225">
        <f>TWIN!I7</f>
        <v>5000000</v>
      </c>
      <c r="L8" s="225">
        <f t="shared" si="0"/>
        <v>11700000</v>
      </c>
      <c r="M8" s="81">
        <f t="shared" si="1"/>
        <v>3.0548302872062665E-2</v>
      </c>
    </row>
    <row r="9" spans="1:13">
      <c r="B9" s="21" t="s">
        <v>404</v>
      </c>
      <c r="C9" s="221">
        <f>TWUS!C17</f>
        <v>30000000</v>
      </c>
      <c r="D9" s="209">
        <f>C9/C12</f>
        <v>0.17996400719856029</v>
      </c>
      <c r="F9" t="str">
        <f>TWUS!H9</f>
        <v>Amal</v>
      </c>
      <c r="G9" s="225">
        <f>TWUS!I9</f>
        <v>25000000</v>
      </c>
      <c r="H9" s="225">
        <f>'TW Mov'!I8</f>
        <v>20000000</v>
      </c>
      <c r="I9" s="225">
        <f>'TW UAE'!H7</f>
        <v>5000000</v>
      </c>
      <c r="J9" s="225">
        <f>'TW Europe'!H9</f>
        <v>10000000</v>
      </c>
      <c r="K9" s="225">
        <f>TWIN!I8</f>
        <v>25000000</v>
      </c>
      <c r="L9" s="225">
        <f t="shared" si="0"/>
        <v>85000000</v>
      </c>
      <c r="M9" s="81">
        <f t="shared" si="1"/>
        <v>0.22193211488250653</v>
      </c>
    </row>
    <row r="10" spans="1:13">
      <c r="B10" s="21" t="s">
        <v>397</v>
      </c>
      <c r="C10" s="221">
        <f>'TW Mov'!C17</f>
        <v>40000000</v>
      </c>
      <c r="D10" s="209">
        <f>C10/C12</f>
        <v>0.23995200959808038</v>
      </c>
      <c r="F10" t="str">
        <f>TWUS!H10</f>
        <v>Tapan</v>
      </c>
      <c r="G10" s="225">
        <f>TWUS!I10</f>
        <v>22500000</v>
      </c>
      <c r="H10" s="225">
        <f>'TW Mov'!I9</f>
        <v>18000000</v>
      </c>
      <c r="I10" s="225">
        <f>'TW UAE'!H8</f>
        <v>4000000</v>
      </c>
      <c r="J10" s="225">
        <f>'TW Europe'!H10</f>
        <v>9000000</v>
      </c>
      <c r="K10" s="225">
        <f>TWIN!I9</f>
        <v>22500000</v>
      </c>
      <c r="L10" s="225">
        <f t="shared" si="0"/>
        <v>76000000</v>
      </c>
      <c r="M10" s="81">
        <f t="shared" si="1"/>
        <v>0.19843342036553524</v>
      </c>
    </row>
    <row r="11" spans="1:13">
      <c r="C11" s="221"/>
      <c r="D11" s="209">
        <f>C11/C12</f>
        <v>0</v>
      </c>
      <c r="F11" t="str">
        <f>TWUS!H11</f>
        <v>Lyonel</v>
      </c>
      <c r="G11" s="225">
        <f>TWUS!I11</f>
        <v>11500000</v>
      </c>
      <c r="H11" s="225">
        <f>'TW Mov'!I10</f>
        <v>10000000</v>
      </c>
      <c r="I11" s="225">
        <f>'TW UAE'!H9</f>
        <v>3000000</v>
      </c>
      <c r="J11" s="225">
        <f>'TW Europe'!H11</f>
        <v>7500000</v>
      </c>
      <c r="K11" s="225">
        <f>TWIN!I10</f>
        <v>11500000</v>
      </c>
      <c r="L11" s="225">
        <f t="shared" si="0"/>
        <v>43500000</v>
      </c>
      <c r="M11" s="81">
        <f t="shared" si="1"/>
        <v>0.11357702349869452</v>
      </c>
    </row>
    <row r="12" spans="1:13">
      <c r="B12" s="21" t="s">
        <v>151</v>
      </c>
      <c r="C12" s="221">
        <f>C6+C7+C8+C9+C10</f>
        <v>166700000</v>
      </c>
      <c r="D12" s="209">
        <f>D6+D7+D8+D9+D10+D11</f>
        <v>1</v>
      </c>
      <c r="F12" t="str">
        <f>TWUS!H12</f>
        <v>Dutt</v>
      </c>
      <c r="G12" s="225">
        <f>TWUS!I12</f>
        <v>11000000</v>
      </c>
      <c r="H12" s="225">
        <f>'TW Mov'!I11</f>
        <v>9000000</v>
      </c>
      <c r="I12" s="225">
        <f>'TW UAE'!H10</f>
        <v>2000000</v>
      </c>
      <c r="J12" s="225">
        <f>'TW Europe'!H12</f>
        <v>6500000</v>
      </c>
      <c r="K12" s="225">
        <f>TWIN!I11</f>
        <v>11000000</v>
      </c>
      <c r="L12" s="225">
        <f t="shared" si="0"/>
        <v>39500000</v>
      </c>
      <c r="M12" s="81">
        <f t="shared" si="1"/>
        <v>0.10313315926892951</v>
      </c>
    </row>
    <row r="13" spans="1:13">
      <c r="F13" t="str">
        <f>TWUS!H13</f>
        <v>Staff</v>
      </c>
      <c r="G13" s="225">
        <f>TWUS!I13</f>
        <v>5000000</v>
      </c>
      <c r="H13" s="225">
        <f>'TW Mov'!I12</f>
        <v>2000000</v>
      </c>
      <c r="I13" s="225">
        <f>'TW UAE'!H11</f>
        <v>500000</v>
      </c>
      <c r="J13" s="225">
        <f>'TW Europe'!H13</f>
        <v>2500000</v>
      </c>
      <c r="K13" s="225">
        <f>TWIN!I12</f>
        <v>10000000</v>
      </c>
      <c r="L13" s="225">
        <f t="shared" si="0"/>
        <v>20000000</v>
      </c>
      <c r="M13" s="81">
        <f t="shared" si="1"/>
        <v>5.2219321148825062E-2</v>
      </c>
    </row>
    <row r="14" spans="1:13">
      <c r="F14" t="s">
        <v>408</v>
      </c>
      <c r="G14" s="225"/>
      <c r="H14" s="225">
        <f>'TW Mov'!I13</f>
        <v>14000000</v>
      </c>
      <c r="I14" s="225"/>
      <c r="J14" s="225"/>
      <c r="K14" s="225"/>
      <c r="L14" s="225">
        <f t="shared" si="0"/>
        <v>14000000</v>
      </c>
      <c r="M14" s="81">
        <f t="shared" si="1"/>
        <v>3.6553524804177548E-2</v>
      </c>
    </row>
    <row r="15" spans="1:13">
      <c r="F15" t="str">
        <f>TWUS!H15</f>
        <v>Total</v>
      </c>
      <c r="G15" s="225">
        <f>SUM(G5:G14)</f>
        <v>100000000</v>
      </c>
      <c r="H15" s="225">
        <f>SUM(H5:H14)</f>
        <v>100000000</v>
      </c>
      <c r="I15" s="225">
        <f>SUM(I5:I14)</f>
        <v>20000000</v>
      </c>
      <c r="J15" s="225">
        <f>SUM(J5:J14)</f>
        <v>53000000</v>
      </c>
      <c r="K15" s="225">
        <f>SUM(K5:K14)</f>
        <v>110000000</v>
      </c>
      <c r="L15" s="225">
        <f t="shared" si="0"/>
        <v>383000000</v>
      </c>
      <c r="M15"/>
    </row>
    <row r="16" spans="1:13">
      <c r="F16"/>
      <c r="G16"/>
      <c r="H16"/>
      <c r="I16"/>
      <c r="J16"/>
      <c r="K16"/>
      <c r="L16" s="225">
        <f>L15/10^6</f>
        <v>383</v>
      </c>
      <c r="M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0"/>
  <sheetViews>
    <sheetView workbookViewId="0">
      <selection sqref="A1:XFD1048576"/>
    </sheetView>
  </sheetViews>
  <sheetFormatPr defaultColWidth="11.42578125" defaultRowHeight="15"/>
  <cols>
    <col min="1" max="2" width="11.42578125" style="21"/>
    <col min="3" max="3" width="18.42578125" style="21" bestFit="1" customWidth="1"/>
    <col min="4" max="16384" width="11.42578125" style="21"/>
  </cols>
  <sheetData>
    <row r="3" spans="2:13">
      <c r="B3" s="222" t="s">
        <v>402</v>
      </c>
      <c r="C3" s="222" t="s">
        <v>403</v>
      </c>
      <c r="D3" s="202"/>
      <c r="E3" s="202"/>
      <c r="F3" s="202"/>
      <c r="G3" s="202"/>
      <c r="H3" s="202"/>
      <c r="I3" s="202"/>
      <c r="J3" s="202"/>
      <c r="K3" s="202"/>
      <c r="L3" s="202"/>
      <c r="M3" s="202"/>
    </row>
    <row r="4" spans="2:13"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</row>
    <row r="5" spans="2:13">
      <c r="B5" s="222" t="s">
        <v>380</v>
      </c>
      <c r="C5" s="223">
        <v>5000000</v>
      </c>
      <c r="D5" s="202"/>
      <c r="E5" s="202"/>
      <c r="F5" s="202"/>
      <c r="G5" s="202"/>
      <c r="H5" s="202"/>
      <c r="I5" s="202"/>
      <c r="J5" s="202"/>
      <c r="K5" s="202"/>
      <c r="L5" s="202"/>
      <c r="M5" s="202"/>
    </row>
    <row r="6" spans="2:13">
      <c r="B6" s="222" t="s">
        <v>381</v>
      </c>
      <c r="C6" s="223">
        <v>100000000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</row>
    <row r="7" spans="2:13"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</row>
    <row r="8" spans="2:13">
      <c r="B8" s="202" t="s">
        <v>382</v>
      </c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</row>
    <row r="9" spans="2:13">
      <c r="B9" s="202" t="s">
        <v>394</v>
      </c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</row>
    <row r="10" spans="2:13"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048576"/>
    </sheetView>
  </sheetViews>
  <sheetFormatPr defaultColWidth="11.42578125" defaultRowHeight="15"/>
  <cols>
    <col min="1" max="1" width="11.42578125" style="21"/>
    <col min="2" max="2" width="18.42578125" style="21" bestFit="1" customWidth="1"/>
    <col min="3" max="16384" width="11.42578125" style="21"/>
  </cols>
  <sheetData>
    <row r="1" spans="1:2">
      <c r="A1" s="203" t="s">
        <v>379</v>
      </c>
    </row>
    <row r="3" spans="1:2">
      <c r="A3" s="203" t="s">
        <v>380</v>
      </c>
      <c r="B3" s="224">
        <v>5000000</v>
      </c>
    </row>
    <row r="4" spans="1:2">
      <c r="A4" s="203" t="s">
        <v>381</v>
      </c>
      <c r="B4" s="224">
        <v>100000000</v>
      </c>
    </row>
    <row r="6" spans="1:2">
      <c r="A6" s="21" t="s">
        <v>382</v>
      </c>
    </row>
    <row r="7" spans="1:2">
      <c r="A7" s="21" t="s">
        <v>394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0"/>
  <sheetViews>
    <sheetView zoomScale="150" zoomScaleNormal="150" zoomScalePageLayoutView="15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E20" sqref="E20"/>
    </sheetView>
  </sheetViews>
  <sheetFormatPr defaultColWidth="8.85546875" defaultRowHeight="12"/>
  <cols>
    <col min="1" max="1" width="3.28515625" style="134" customWidth="1"/>
    <col min="2" max="2" width="5.28515625" style="134" bestFit="1" customWidth="1"/>
    <col min="3" max="3" width="30.42578125" style="135" bestFit="1" customWidth="1"/>
    <col min="4" max="4" width="27.140625" style="135" bestFit="1" customWidth="1"/>
    <col min="5" max="5" width="15.42578125" style="134" bestFit="1" customWidth="1"/>
    <col min="6" max="6" width="18.85546875" style="134" bestFit="1" customWidth="1"/>
    <col min="7" max="7" width="12.28515625" style="135" bestFit="1" customWidth="1"/>
    <col min="8" max="12" width="12.140625" style="134" bestFit="1" customWidth="1"/>
    <col min="13" max="15" width="12.7109375" style="134" bestFit="1" customWidth="1"/>
    <col min="16" max="18" width="12.140625" style="134" bestFit="1" customWidth="1"/>
    <col min="19" max="29" width="8.85546875" style="134"/>
    <col min="30" max="30" width="3.7109375" style="134" bestFit="1" customWidth="1"/>
    <col min="31" max="31" width="6.28515625" style="134" bestFit="1" customWidth="1"/>
    <col min="32" max="32" width="8.85546875" style="134"/>
    <col min="33" max="33" width="11" style="134" bestFit="1" customWidth="1"/>
    <col min="34" max="34" width="8.85546875" style="134"/>
    <col min="35" max="35" width="9.42578125" style="134" bestFit="1" customWidth="1"/>
    <col min="36" max="16384" width="8.85546875" style="134"/>
  </cols>
  <sheetData>
    <row r="1" spans="2:35">
      <c r="AD1" s="134" t="s">
        <v>45</v>
      </c>
    </row>
    <row r="2" spans="2:35">
      <c r="B2" s="230" t="s">
        <v>348</v>
      </c>
      <c r="C2" s="230"/>
      <c r="D2" s="230"/>
      <c r="E2" s="230"/>
      <c r="F2" s="230"/>
      <c r="G2" s="136" t="s">
        <v>346</v>
      </c>
      <c r="H2" s="230" t="s">
        <v>333</v>
      </c>
      <c r="I2" s="230"/>
      <c r="J2" s="230"/>
      <c r="K2" s="230"/>
      <c r="L2" s="230"/>
      <c r="M2" s="230"/>
      <c r="N2" s="230"/>
      <c r="O2" s="230"/>
      <c r="P2" s="230"/>
      <c r="Q2" s="230"/>
      <c r="R2" s="230"/>
      <c r="AD2" s="134" t="s">
        <v>46</v>
      </c>
    </row>
    <row r="3" spans="2:35" s="139" customFormat="1" ht="24">
      <c r="B3" s="137" t="s">
        <v>0</v>
      </c>
      <c r="C3" s="138" t="s">
        <v>17</v>
      </c>
      <c r="D3" s="138" t="s">
        <v>22</v>
      </c>
      <c r="E3" s="138" t="s">
        <v>18</v>
      </c>
      <c r="F3" s="138" t="s">
        <v>334</v>
      </c>
      <c r="G3" s="138" t="s">
        <v>347</v>
      </c>
      <c r="H3" s="137" t="s">
        <v>335</v>
      </c>
      <c r="I3" s="137" t="s">
        <v>336</v>
      </c>
      <c r="J3" s="137" t="s">
        <v>337</v>
      </c>
      <c r="K3" s="137" t="s">
        <v>338</v>
      </c>
      <c r="L3" s="137" t="s">
        <v>339</v>
      </c>
      <c r="M3" s="137" t="s">
        <v>340</v>
      </c>
      <c r="N3" s="137" t="s">
        <v>341</v>
      </c>
      <c r="O3" s="137" t="s">
        <v>342</v>
      </c>
      <c r="P3" s="137" t="s">
        <v>343</v>
      </c>
      <c r="Q3" s="137" t="s">
        <v>344</v>
      </c>
      <c r="R3" s="137" t="s">
        <v>345</v>
      </c>
      <c r="AE3" s="139" t="s">
        <v>71</v>
      </c>
      <c r="AI3" s="139" t="s">
        <v>47</v>
      </c>
    </row>
    <row r="4" spans="2:35">
      <c r="B4" s="159">
        <v>1</v>
      </c>
      <c r="C4" s="140" t="s">
        <v>140</v>
      </c>
      <c r="D4" s="140" t="s">
        <v>48</v>
      </c>
      <c r="E4" s="141">
        <v>4500000</v>
      </c>
      <c r="F4" s="142">
        <f>ROUND(Table29[[#This Row],[Amount to be raised]]/0.4,0)</f>
        <v>11250000</v>
      </c>
      <c r="G4" s="164">
        <v>1500000</v>
      </c>
      <c r="H4" s="165">
        <v>4500000</v>
      </c>
      <c r="I4" s="165">
        <v>4500000</v>
      </c>
      <c r="J4" s="165">
        <v>4500000</v>
      </c>
      <c r="K4" s="165">
        <v>4500000</v>
      </c>
      <c r="L4" s="165">
        <v>4500000</v>
      </c>
      <c r="M4" s="165">
        <v>4500000</v>
      </c>
      <c r="N4" s="165"/>
      <c r="O4" s="165"/>
      <c r="P4" s="165"/>
      <c r="Q4" s="165"/>
      <c r="R4" s="165"/>
      <c r="AE4" s="134" t="s">
        <v>72</v>
      </c>
    </row>
    <row r="5" spans="2:35">
      <c r="B5" s="159">
        <v>2</v>
      </c>
      <c r="C5" s="140" t="s">
        <v>91</v>
      </c>
      <c r="D5" s="140" t="s">
        <v>354</v>
      </c>
      <c r="E5" s="141">
        <v>15000000</v>
      </c>
      <c r="F5" s="142">
        <f>ROUND(Table29[[#This Row],[Amount to be raised]]/0.4,0)</f>
        <v>37500000</v>
      </c>
      <c r="G5" s="166">
        <v>1000000</v>
      </c>
      <c r="H5" s="166">
        <v>1000000</v>
      </c>
      <c r="I5" s="166">
        <v>1000000</v>
      </c>
      <c r="J5" s="166">
        <v>1000000</v>
      </c>
      <c r="K5" s="167"/>
      <c r="L5" s="167"/>
      <c r="M5" s="167"/>
      <c r="N5" s="167"/>
      <c r="O5" s="167"/>
      <c r="P5" s="167"/>
      <c r="Q5" s="167"/>
      <c r="R5" s="167"/>
    </row>
    <row r="6" spans="2:35">
      <c r="B6" s="160">
        <v>3</v>
      </c>
      <c r="C6" s="140" t="s">
        <v>122</v>
      </c>
      <c r="D6" s="140"/>
      <c r="E6" s="141">
        <v>3000000</v>
      </c>
      <c r="F6" s="142">
        <f>ROUND(Table29[[#This Row],[Amount to be raised]]/0.4,0)</f>
        <v>7500000</v>
      </c>
      <c r="G6" s="165">
        <v>0</v>
      </c>
      <c r="H6" s="165">
        <v>2204000</v>
      </c>
      <c r="I6" s="165">
        <v>2204000</v>
      </c>
      <c r="J6" s="165">
        <v>2285200</v>
      </c>
      <c r="K6" s="168"/>
      <c r="L6" s="168"/>
      <c r="M6" s="168"/>
      <c r="N6" s="168"/>
      <c r="O6" s="168"/>
      <c r="P6" s="168"/>
      <c r="Q6" s="168"/>
      <c r="R6" s="168"/>
    </row>
    <row r="7" spans="2:35">
      <c r="B7" s="161">
        <v>4</v>
      </c>
      <c r="C7" s="140" t="s">
        <v>8</v>
      </c>
      <c r="D7" s="140" t="s">
        <v>23</v>
      </c>
      <c r="E7" s="141">
        <v>5000000</v>
      </c>
      <c r="F7" s="142">
        <f>ROUND(Table29[[#This Row],[Amount to be raised]]/0.4,0)</f>
        <v>12500000</v>
      </c>
      <c r="G7" s="187">
        <v>7000000</v>
      </c>
      <c r="H7" s="158">
        <v>23748806.436158903</v>
      </c>
      <c r="I7" s="158">
        <v>40353716.07072711</v>
      </c>
      <c r="J7" s="158">
        <v>49238152.204171702</v>
      </c>
      <c r="K7" s="158">
        <v>62995863.807338089</v>
      </c>
      <c r="L7" s="165">
        <v>70496014.297785625</v>
      </c>
      <c r="M7" s="168"/>
      <c r="N7" s="168"/>
      <c r="O7" s="168"/>
      <c r="P7" s="168"/>
      <c r="Q7" s="168"/>
      <c r="R7" s="168"/>
    </row>
    <row r="8" spans="2:35">
      <c r="B8" s="161">
        <v>5</v>
      </c>
      <c r="C8" s="140" t="s">
        <v>5</v>
      </c>
      <c r="D8" s="140"/>
      <c r="E8" s="141">
        <v>3000000</v>
      </c>
      <c r="F8" s="142">
        <f>ROUND(Table29[[#This Row],[Amount to be raised]]/0.4,0)</f>
        <v>7500000</v>
      </c>
      <c r="G8" s="166">
        <v>500000</v>
      </c>
      <c r="H8" s="166">
        <v>500000</v>
      </c>
      <c r="I8" s="166">
        <v>500000</v>
      </c>
      <c r="J8" s="166">
        <v>500000</v>
      </c>
      <c r="K8" s="166">
        <v>500000</v>
      </c>
      <c r="L8" s="166">
        <v>500000</v>
      </c>
      <c r="M8" s="167"/>
      <c r="N8" s="167"/>
      <c r="O8" s="167"/>
      <c r="P8" s="167"/>
      <c r="Q8" s="167"/>
      <c r="R8" s="167"/>
    </row>
    <row r="9" spans="2:35">
      <c r="B9" s="161">
        <v>6</v>
      </c>
      <c r="C9" s="140" t="s">
        <v>90</v>
      </c>
      <c r="D9" s="140" t="s">
        <v>141</v>
      </c>
      <c r="E9" s="141">
        <v>4500000</v>
      </c>
      <c r="F9" s="142">
        <f>ROUND(Table29[[#This Row],[Amount to be raised]]/0.4,0)</f>
        <v>11250000</v>
      </c>
      <c r="G9" s="186">
        <v>1000000</v>
      </c>
      <c r="H9" s="186">
        <v>1000000</v>
      </c>
      <c r="I9" s="186">
        <v>1000000</v>
      </c>
      <c r="J9" s="186">
        <v>1000000</v>
      </c>
      <c r="K9" s="186">
        <v>1000000</v>
      </c>
      <c r="L9" s="186">
        <v>1000000</v>
      </c>
      <c r="M9" s="186">
        <v>1000000</v>
      </c>
      <c r="N9" s="167"/>
      <c r="O9" s="167"/>
      <c r="P9" s="167"/>
      <c r="Q9" s="167"/>
      <c r="R9" s="167"/>
    </row>
    <row r="10" spans="2:35">
      <c r="B10" s="159">
        <v>7</v>
      </c>
      <c r="C10" s="140" t="s">
        <v>76</v>
      </c>
      <c r="D10" s="140" t="s">
        <v>143</v>
      </c>
      <c r="E10" s="141">
        <v>2000000</v>
      </c>
      <c r="F10" s="142">
        <f>ROUND(Table29[[#This Row],[Amount to be raised]]/0.4,0)</f>
        <v>5000000</v>
      </c>
      <c r="G10" s="166">
        <v>500000</v>
      </c>
      <c r="H10" s="167">
        <v>2500000</v>
      </c>
      <c r="I10" s="167">
        <v>3000000</v>
      </c>
      <c r="J10" s="167">
        <v>3000000</v>
      </c>
      <c r="K10" s="167">
        <v>3000000</v>
      </c>
      <c r="L10" s="167">
        <v>3000000</v>
      </c>
      <c r="M10" s="167"/>
      <c r="N10" s="167"/>
      <c r="O10" s="167"/>
      <c r="P10" s="167"/>
      <c r="Q10" s="167"/>
      <c r="R10" s="167"/>
    </row>
    <row r="11" spans="2:35">
      <c r="B11" s="159">
        <v>8</v>
      </c>
      <c r="C11" s="140" t="s">
        <v>107</v>
      </c>
      <c r="D11" s="140" t="s">
        <v>107</v>
      </c>
      <c r="E11" s="141">
        <v>4200000</v>
      </c>
      <c r="F11" s="142">
        <f>ROUND(Table29[[#This Row],[Amount to be raised]]/0.4,0)</f>
        <v>10500000</v>
      </c>
      <c r="G11" s="165">
        <v>3000000</v>
      </c>
      <c r="H11" s="165">
        <v>3000000</v>
      </c>
      <c r="I11" s="165">
        <v>3000000</v>
      </c>
      <c r="J11" s="165">
        <v>3000000</v>
      </c>
      <c r="K11" s="165">
        <v>3000000</v>
      </c>
      <c r="L11" s="165">
        <v>3000000</v>
      </c>
      <c r="M11" s="168"/>
      <c r="N11" s="168"/>
      <c r="O11" s="168"/>
      <c r="P11" s="168"/>
      <c r="Q11" s="168"/>
      <c r="R11" s="168"/>
    </row>
    <row r="12" spans="2:35" ht="24">
      <c r="B12" s="159">
        <v>9</v>
      </c>
      <c r="C12" s="140" t="s">
        <v>118</v>
      </c>
      <c r="D12" s="140"/>
      <c r="E12" s="141">
        <v>20000000</v>
      </c>
      <c r="F12" s="142">
        <f>ROUND(Table29[[#This Row],[Amount to be raised]]/0.4,0)</f>
        <v>50000000</v>
      </c>
      <c r="G12" s="164">
        <v>14511931</v>
      </c>
      <c r="H12" s="164">
        <v>14511931</v>
      </c>
      <c r="I12" s="164">
        <v>14511931</v>
      </c>
      <c r="J12" s="164">
        <v>14511931</v>
      </c>
      <c r="K12" s="164">
        <v>14511931</v>
      </c>
      <c r="L12" s="164">
        <v>14511931</v>
      </c>
      <c r="M12" s="164">
        <v>14511931</v>
      </c>
      <c r="N12" s="164">
        <v>14511931</v>
      </c>
      <c r="O12" s="164">
        <v>14511931</v>
      </c>
      <c r="P12" s="168"/>
      <c r="Q12" s="168"/>
      <c r="R12" s="168"/>
    </row>
    <row r="13" spans="2:35">
      <c r="B13" s="161">
        <v>10</v>
      </c>
      <c r="C13" s="140" t="s">
        <v>134</v>
      </c>
      <c r="D13" s="140" t="s">
        <v>133</v>
      </c>
      <c r="E13" s="141">
        <v>22000000</v>
      </c>
      <c r="F13" s="142">
        <f>ROUND(Table29[[#This Row],[Amount to be raised]]/0.4,0)</f>
        <v>55000000</v>
      </c>
      <c r="G13" s="164">
        <f>40.8744030808729*10^6</f>
        <v>40874403.080872901</v>
      </c>
      <c r="H13" s="164">
        <f>61.0254993411631*10^6</f>
        <v>61025499.341163099</v>
      </c>
      <c r="I13" s="164">
        <f>82.2629805083725*10^6</f>
        <v>82262980.508372501</v>
      </c>
      <c r="J13" s="164">
        <f>104.599155830408*10^6</f>
        <v>104599155.83040799</v>
      </c>
      <c r="K13" s="164">
        <f>124.388558315939*10^6</f>
        <v>124388558.31593899</v>
      </c>
      <c r="L13" s="164">
        <f>144.971266128158*10^6</f>
        <v>144971266.128158</v>
      </c>
      <c r="M13" s="164">
        <f>143.553973940377*10^6</f>
        <v>143553973.940377</v>
      </c>
      <c r="N13" s="164">
        <f>165.084958760596*10^6</f>
        <v>165084958.76059601</v>
      </c>
      <c r="O13" s="164">
        <f>186.615943580815*10^6</f>
        <v>186615943.58081502</v>
      </c>
      <c r="P13" s="164">
        <f>208.146928401035*10^6</f>
        <v>208146928.40103501</v>
      </c>
      <c r="Q13" s="164">
        <f>229.677913221254*10^6</f>
        <v>229677913.22125399</v>
      </c>
      <c r="R13" s="164">
        <f>251.20925031844*10^6</f>
        <v>251209250.31844002</v>
      </c>
    </row>
    <row r="14" spans="2:35">
      <c r="B14" s="159">
        <v>11</v>
      </c>
      <c r="C14" s="140" t="s">
        <v>181</v>
      </c>
      <c r="D14" s="140" t="s">
        <v>294</v>
      </c>
      <c r="E14" s="141">
        <v>2500000</v>
      </c>
      <c r="F14" s="142">
        <f>ROUND(Table29[[#This Row],[Amount to be raised]]/0.4,0)</f>
        <v>6250000</v>
      </c>
      <c r="G14" s="164">
        <v>1746105</v>
      </c>
      <c r="H14" s="165">
        <v>2310732</v>
      </c>
      <c r="I14" s="165">
        <v>2653287</v>
      </c>
      <c r="J14" s="165">
        <v>2819992</v>
      </c>
      <c r="K14" s="165">
        <v>2859192</v>
      </c>
      <c r="L14" s="165">
        <v>2789865</v>
      </c>
      <c r="M14" s="168"/>
      <c r="N14" s="168"/>
      <c r="O14" s="168"/>
      <c r="P14" s="168"/>
      <c r="Q14" s="168"/>
      <c r="R14" s="168"/>
    </row>
    <row r="15" spans="2:35">
      <c r="B15" s="159">
        <v>12</v>
      </c>
      <c r="C15" s="140" t="s">
        <v>356</v>
      </c>
      <c r="D15" s="140" t="s">
        <v>357</v>
      </c>
      <c r="E15" s="141">
        <v>800000</v>
      </c>
      <c r="F15" s="142">
        <f>ROUND(Table29[[#This Row],[Amount to be raised]]/0.4,0)</f>
        <v>2000000</v>
      </c>
      <c r="G15" s="166">
        <v>450000</v>
      </c>
      <c r="H15" s="167">
        <v>600000</v>
      </c>
      <c r="I15" s="167">
        <v>800000</v>
      </c>
      <c r="J15" s="167">
        <v>900000</v>
      </c>
      <c r="K15" s="167">
        <v>900000</v>
      </c>
      <c r="L15" s="167">
        <v>450000</v>
      </c>
      <c r="M15" s="167">
        <v>300000</v>
      </c>
      <c r="N15" s="167">
        <v>0</v>
      </c>
      <c r="O15" s="167"/>
      <c r="P15" s="167"/>
      <c r="Q15" s="167"/>
      <c r="R15" s="167"/>
    </row>
    <row r="16" spans="2:35" ht="24">
      <c r="B16" s="159">
        <v>13</v>
      </c>
      <c r="C16" s="140" t="s">
        <v>358</v>
      </c>
      <c r="D16" s="140" t="s">
        <v>359</v>
      </c>
      <c r="E16" s="143">
        <v>1000000</v>
      </c>
      <c r="F16" s="144">
        <f>ROUND(Table29[[#This Row],[Amount to be raised]]/0.4,0)</f>
        <v>2500000</v>
      </c>
      <c r="G16" s="165">
        <v>500000</v>
      </c>
      <c r="H16" s="165"/>
      <c r="I16" s="165"/>
      <c r="J16" s="165"/>
      <c r="K16" s="165"/>
      <c r="L16" s="165"/>
      <c r="M16" s="168"/>
      <c r="N16" s="168"/>
      <c r="O16" s="168"/>
      <c r="P16" s="168"/>
      <c r="Q16" s="168"/>
      <c r="R16" s="168"/>
    </row>
    <row r="17" spans="2:18">
      <c r="B17" s="159">
        <v>14</v>
      </c>
      <c r="C17" s="140" t="s">
        <v>325</v>
      </c>
      <c r="D17" s="140" t="s">
        <v>331</v>
      </c>
      <c r="E17" s="143">
        <v>20000000</v>
      </c>
      <c r="F17" s="145">
        <f>ROUND(Table29[[#This Row],[Amount to be raised]]/0.4,0)</f>
        <v>50000000</v>
      </c>
      <c r="G17" s="164">
        <v>10000000</v>
      </c>
      <c r="H17" s="164">
        <v>102372600</v>
      </c>
      <c r="I17" s="164">
        <v>102372600</v>
      </c>
      <c r="J17" s="164">
        <v>102372600</v>
      </c>
      <c r="K17" s="164">
        <v>102372600</v>
      </c>
      <c r="L17" s="164">
        <v>102372600</v>
      </c>
      <c r="M17" s="168"/>
      <c r="N17" s="168"/>
      <c r="O17" s="168"/>
      <c r="P17" s="168"/>
      <c r="Q17" s="168"/>
      <c r="R17" s="168"/>
    </row>
    <row r="18" spans="2:18">
      <c r="B18" s="159">
        <v>15</v>
      </c>
      <c r="C18" s="140" t="s">
        <v>352</v>
      </c>
      <c r="D18" s="140" t="s">
        <v>351</v>
      </c>
      <c r="E18" s="143">
        <v>25000000</v>
      </c>
      <c r="F18" s="158">
        <f>ROUND(Table29[[#This Row],[Amount to be raised]]/0.4,0)</f>
        <v>62500000</v>
      </c>
      <c r="G18" s="164">
        <v>101212297.40000001</v>
      </c>
      <c r="H18" s="164">
        <v>160000000</v>
      </c>
      <c r="I18" s="164">
        <v>170000000</v>
      </c>
      <c r="J18" s="164">
        <v>180000000</v>
      </c>
      <c r="K18" s="164">
        <v>180000000</v>
      </c>
      <c r="L18" s="164">
        <v>185000000</v>
      </c>
      <c r="M18" s="168"/>
      <c r="N18" s="168"/>
      <c r="O18" s="168"/>
      <c r="P18" s="168"/>
      <c r="Q18" s="168"/>
      <c r="R18" s="168"/>
    </row>
    <row r="19" spans="2:18">
      <c r="B19" s="162">
        <v>16</v>
      </c>
      <c r="C19" s="140" t="s">
        <v>364</v>
      </c>
      <c r="D19" s="140" t="s">
        <v>365</v>
      </c>
      <c r="E19" s="143">
        <v>2500000</v>
      </c>
      <c r="F19" s="144">
        <f>ROUND(Table29[[#This Row],[Amount to be raised]]/0.4,0)</f>
        <v>6250000</v>
      </c>
      <c r="G19" s="171">
        <v>750000</v>
      </c>
      <c r="H19" s="168">
        <v>2500000</v>
      </c>
      <c r="I19" s="168"/>
      <c r="J19" s="168"/>
      <c r="K19" s="168"/>
      <c r="L19" s="168"/>
      <c r="M19" s="168"/>
      <c r="N19" s="168"/>
      <c r="O19" s="168"/>
      <c r="P19" s="168"/>
      <c r="Q19" s="168"/>
      <c r="R19" s="168"/>
    </row>
    <row r="20" spans="2:18">
      <c r="B20" s="162">
        <v>17</v>
      </c>
      <c r="C20" s="140" t="s">
        <v>322</v>
      </c>
      <c r="D20" s="140" t="s">
        <v>355</v>
      </c>
      <c r="E20" s="143">
        <v>25000000</v>
      </c>
      <c r="F20" s="144">
        <f>ROUND(Table29[[#This Row],[Amount to be raised]]/0.4,0)</f>
        <v>62500000</v>
      </c>
      <c r="G20" s="171">
        <v>5000000</v>
      </c>
      <c r="H20" s="168">
        <v>15000000</v>
      </c>
      <c r="I20" s="168"/>
      <c r="J20" s="168"/>
      <c r="K20" s="168"/>
      <c r="L20" s="168"/>
      <c r="M20" s="168"/>
      <c r="N20" s="168"/>
      <c r="O20" s="168"/>
      <c r="P20" s="168"/>
      <c r="Q20" s="168"/>
      <c r="R20" s="168"/>
    </row>
    <row r="21" spans="2:18" ht="12.75" thickBot="1">
      <c r="B21" s="180"/>
      <c r="C21" s="181"/>
      <c r="D21" s="182"/>
      <c r="E21" s="183">
        <f>SUBTOTAL(109,E4:E20)</f>
        <v>160000000</v>
      </c>
      <c r="F21" s="184">
        <f t="shared" ref="F21:R21" si="0">SUBTOTAL(109,F4:F20)</f>
        <v>400000000</v>
      </c>
      <c r="G21" s="185">
        <f t="shared" si="0"/>
        <v>189544736.4808729</v>
      </c>
      <c r="H21" s="185">
        <f t="shared" si="0"/>
        <v>396773568.77732199</v>
      </c>
      <c r="I21" s="185">
        <f t="shared" si="0"/>
        <v>428158514.5790996</v>
      </c>
      <c r="J21" s="185">
        <f t="shared" si="0"/>
        <v>469727031.03457969</v>
      </c>
      <c r="K21" s="185">
        <f t="shared" si="0"/>
        <v>500028145.12327707</v>
      </c>
      <c r="L21" s="185">
        <f t="shared" si="0"/>
        <v>532591676.42594361</v>
      </c>
      <c r="M21" s="185">
        <f t="shared" si="0"/>
        <v>163865904.940377</v>
      </c>
      <c r="N21" s="185">
        <f t="shared" si="0"/>
        <v>179596889.76059601</v>
      </c>
      <c r="O21" s="185">
        <f t="shared" si="0"/>
        <v>201127874.58081502</v>
      </c>
      <c r="P21" s="185">
        <f t="shared" si="0"/>
        <v>208146928.40103501</v>
      </c>
      <c r="Q21" s="185">
        <f t="shared" si="0"/>
        <v>229677913.22125399</v>
      </c>
      <c r="R21" s="185">
        <f t="shared" si="0"/>
        <v>251209250.31844002</v>
      </c>
    </row>
    <row r="22" spans="2:18">
      <c r="B22" s="147"/>
      <c r="E22" s="174"/>
      <c r="F22" s="174" t="s">
        <v>349</v>
      </c>
      <c r="G22" s="169"/>
      <c r="H22" s="170">
        <f>Table29[[#Totals],[FY 1]]-Table29[[#Totals],[
FY 0]]</f>
        <v>207228832.2964491</v>
      </c>
      <c r="I22" s="170">
        <f>Table29[[#Totals],[FY 2]]-Table29[[#Totals],[
FY 0]]</f>
        <v>238613778.0982267</v>
      </c>
      <c r="J22" s="170">
        <f>Table29[[#Totals],[FY 3]]-Table29[[#Totals],[
FY 0]]</f>
        <v>280182294.55370677</v>
      </c>
      <c r="K22" s="170">
        <f>Table29[[#Totals],[FY 4]]-Table29[[#Totals],[
FY 0]]</f>
        <v>310483408.6424042</v>
      </c>
      <c r="L22" s="170">
        <f>Table29[[#Totals],[FY 5]]-Table29[[#Totals],[
FY 0]]</f>
        <v>343046939.94507074</v>
      </c>
      <c r="M22" s="170">
        <f>Table29[[#Totals],[FY 6]]-Table29[[#Totals],[
FY 0]]</f>
        <v>-25678831.540495902</v>
      </c>
      <c r="N22" s="170">
        <f>Table29[[#Totals],[FY 7]]-Table29[[#Totals],[
FY 0]]</f>
        <v>-9947846.7202768922</v>
      </c>
      <c r="O22" s="170">
        <f>Table29[[#Totals],[FY 8]]-Table29[[#Totals],[
FY 0]]</f>
        <v>11583138.099942118</v>
      </c>
      <c r="P22" s="170"/>
      <c r="Q22" s="170"/>
      <c r="R22" s="170"/>
    </row>
    <row r="23" spans="2:18">
      <c r="B23" s="148"/>
      <c r="C23" s="134"/>
      <c r="D23" s="134"/>
      <c r="E23" s="175"/>
      <c r="F23" s="175" t="s">
        <v>350</v>
      </c>
      <c r="G23" s="172"/>
      <c r="H23" s="173">
        <f>H22/Table29[[#Totals],[
FY 0]]</f>
        <v>1.0932977414403735</v>
      </c>
      <c r="I23" s="173">
        <f>I22/Table29[[#Totals],[
FY 0]]</f>
        <v>1.2588784185115338</v>
      </c>
      <c r="J23" s="173">
        <f>J22/Table29[[#Totals],[
FY 0]]</f>
        <v>1.4781855711513265</v>
      </c>
      <c r="K23" s="173">
        <f>K22/Table29[[#Totals],[
FY 0]]</f>
        <v>1.6380481695609379</v>
      </c>
      <c r="L23" s="173">
        <f>L22/Table29[[#Totals],[
FY 0]]</f>
        <v>1.8098468272670176</v>
      </c>
      <c r="M23" s="146">
        <f>M22/Table29[[#Totals],[
FY 0]]</f>
        <v>-0.13547636308585742</v>
      </c>
      <c r="N23" s="146">
        <f>N22/Table29[[#Totals],[
FY 0]]</f>
        <v>-5.248284339080414E-2</v>
      </c>
      <c r="O23" s="146">
        <f>O22/Table29[[#Totals],[
FY 0]]</f>
        <v>6.1110312610083907E-2</v>
      </c>
    </row>
    <row r="24" spans="2:18">
      <c r="B24" s="148"/>
      <c r="C24" s="134"/>
      <c r="D24" s="134"/>
      <c r="E24" s="177">
        <f>Table29[[#Totals],[Amount to be raised]]/10^6</f>
        <v>160</v>
      </c>
      <c r="F24" s="176" t="s">
        <v>353</v>
      </c>
      <c r="G24" s="178">
        <f>Table29[[#Totals],[
FY 0]]/10^6</f>
        <v>189.5447364808729</v>
      </c>
      <c r="H24" s="178">
        <f>Table29[[#Totals],[FY 1]]/10^6</f>
        <v>396.773568777322</v>
      </c>
      <c r="I24" s="178">
        <f>Table29[[#Totals],[FY 2]]/10^6</f>
        <v>428.15851457909957</v>
      </c>
      <c r="J24" s="178">
        <f>Table29[[#Totals],[FY 3]]/10^6</f>
        <v>469.72703103457968</v>
      </c>
      <c r="K24" s="178">
        <f>Table29[[#Totals],[FY 4]]/10^6</f>
        <v>500.02814512327706</v>
      </c>
      <c r="L24" s="178">
        <f>Table29[[#Totals],[FY 5]]/10^6</f>
        <v>532.59167642594366</v>
      </c>
      <c r="M24" s="179">
        <f>Table29[[#Totals],[FY 6]]/10^6</f>
        <v>163.86590494037699</v>
      </c>
      <c r="N24" s="179">
        <f>Table29[[#Totals],[FY 7]]/10^6</f>
        <v>179.59688976059601</v>
      </c>
      <c r="O24" s="179">
        <f>Table29[[#Totals],[FY 8]]/10^6</f>
        <v>201.12787458081502</v>
      </c>
      <c r="P24" s="179">
        <f>Table29[[#Totals],[FY 9]]/10^6</f>
        <v>208.14692840103501</v>
      </c>
      <c r="Q24" s="179">
        <f>Table29[[#Totals],[FY 10]]/10^6</f>
        <v>229.67791322125399</v>
      </c>
      <c r="R24" s="179">
        <f>Table29[[#Totals],[FY 11]]/10^6</f>
        <v>251.20925031844001</v>
      </c>
    </row>
    <row r="25" spans="2:18">
      <c r="B25" s="148"/>
      <c r="C25" s="134"/>
      <c r="D25" s="134"/>
      <c r="G25" s="134"/>
    </row>
    <row r="26" spans="2:18">
      <c r="B26" s="148"/>
      <c r="C26" s="134"/>
      <c r="D26" s="134"/>
      <c r="G26" s="134"/>
    </row>
    <row r="27" spans="2:18">
      <c r="B27" s="148"/>
      <c r="C27" s="134"/>
      <c r="D27" s="134"/>
      <c r="G27" s="134"/>
    </row>
    <row r="28" spans="2:18">
      <c r="B28" s="148"/>
      <c r="C28" s="134"/>
      <c r="D28" s="134"/>
      <c r="G28" s="134"/>
    </row>
    <row r="29" spans="2:18">
      <c r="B29" s="148"/>
      <c r="C29" s="134"/>
      <c r="D29" s="134" t="s">
        <v>361</v>
      </c>
      <c r="E29" s="134" t="s">
        <v>362</v>
      </c>
      <c r="G29" s="134"/>
    </row>
    <row r="30" spans="2:18">
      <c r="B30" s="148"/>
      <c r="C30" s="134" t="s">
        <v>366</v>
      </c>
      <c r="D30" s="196">
        <f>Table29[[#Totals],[
FY 0]]</f>
        <v>189544736.4808729</v>
      </c>
      <c r="E30" s="196">
        <f>Table29[[#Totals],[FY 1]]</f>
        <v>396773568.77732199</v>
      </c>
      <c r="G30" s="134"/>
    </row>
    <row r="31" spans="2:18">
      <c r="B31" s="148"/>
      <c r="C31" s="134" t="s">
        <v>363</v>
      </c>
      <c r="D31" s="196">
        <f>D30/500000000</f>
        <v>0.37908947296174578</v>
      </c>
      <c r="E31" s="196">
        <f>E30/500000000</f>
        <v>0.79354713755464401</v>
      </c>
      <c r="G31" s="134"/>
    </row>
    <row r="32" spans="2:18">
      <c r="B32" s="148"/>
      <c r="C32" s="134" t="s">
        <v>367</v>
      </c>
      <c r="D32" s="197" t="s">
        <v>368</v>
      </c>
      <c r="E32" s="197" t="s">
        <v>369</v>
      </c>
      <c r="G32" s="134"/>
    </row>
    <row r="33" spans="2:7">
      <c r="B33" s="148"/>
      <c r="C33" s="134"/>
      <c r="D33" s="134"/>
      <c r="G33" s="134"/>
    </row>
    <row r="34" spans="2:7">
      <c r="B34" s="148"/>
      <c r="C34" s="134"/>
      <c r="D34" s="134"/>
      <c r="G34" s="134"/>
    </row>
    <row r="35" spans="2:7">
      <c r="B35" s="148"/>
      <c r="C35" s="134"/>
      <c r="D35" s="134"/>
      <c r="G35" s="134"/>
    </row>
    <row r="36" spans="2:7">
      <c r="B36" s="148"/>
      <c r="C36" s="134"/>
      <c r="D36" s="134"/>
      <c r="G36" s="134"/>
    </row>
    <row r="37" spans="2:7">
      <c r="B37" s="148"/>
      <c r="C37" s="134"/>
      <c r="D37" s="134"/>
      <c r="G37" s="134"/>
    </row>
    <row r="38" spans="2:7">
      <c r="B38" s="148"/>
      <c r="C38" s="134"/>
      <c r="D38" s="134"/>
      <c r="G38" s="134"/>
    </row>
    <row r="39" spans="2:7">
      <c r="B39" s="148"/>
      <c r="C39" s="134"/>
      <c r="D39" s="134"/>
      <c r="G39" s="134"/>
    </row>
    <row r="40" spans="2:7">
      <c r="B40" s="148"/>
      <c r="C40" s="134"/>
      <c r="D40" s="134"/>
      <c r="G40" s="134"/>
    </row>
    <row r="41" spans="2:7">
      <c r="B41" s="148"/>
      <c r="C41" s="134"/>
      <c r="D41" s="134"/>
      <c r="G41" s="134"/>
    </row>
    <row r="42" spans="2:7">
      <c r="B42" s="135"/>
      <c r="C42" s="134"/>
      <c r="D42" s="134"/>
      <c r="G42" s="134"/>
    </row>
    <row r="43" spans="2:7">
      <c r="B43" s="135"/>
      <c r="C43" s="134"/>
      <c r="D43" s="134"/>
      <c r="G43" s="134"/>
    </row>
    <row r="44" spans="2:7">
      <c r="B44" s="135"/>
      <c r="C44" s="134"/>
      <c r="D44" s="134"/>
      <c r="G44" s="134"/>
    </row>
    <row r="45" spans="2:7">
      <c r="B45" s="135"/>
      <c r="C45" s="134"/>
      <c r="D45" s="134"/>
      <c r="G45" s="134"/>
    </row>
    <row r="46" spans="2:7">
      <c r="B46" s="135"/>
      <c r="C46" s="134"/>
      <c r="D46" s="134"/>
      <c r="G46" s="134"/>
    </row>
    <row r="47" spans="2:7">
      <c r="B47" s="135"/>
      <c r="C47" s="134"/>
      <c r="D47" s="134"/>
      <c r="G47" s="134"/>
    </row>
    <row r="48" spans="2:7">
      <c r="B48" s="135"/>
      <c r="C48" s="134"/>
      <c r="D48" s="134"/>
      <c r="G48" s="134"/>
    </row>
    <row r="49" spans="2:7">
      <c r="B49" s="135"/>
      <c r="C49" s="134"/>
      <c r="D49" s="134"/>
      <c r="G49" s="134"/>
    </row>
    <row r="50" spans="2:7">
      <c r="B50" s="135"/>
      <c r="C50" s="134"/>
      <c r="D50" s="134"/>
      <c r="G50" s="134"/>
    </row>
    <row r="51" spans="2:7">
      <c r="B51" s="135"/>
      <c r="C51" s="134"/>
      <c r="D51" s="134"/>
      <c r="G51" s="134"/>
    </row>
    <row r="52" spans="2:7">
      <c r="B52" s="135"/>
      <c r="C52" s="134"/>
      <c r="D52" s="134"/>
      <c r="G52" s="134"/>
    </row>
    <row r="53" spans="2:7">
      <c r="B53" s="135"/>
      <c r="C53" s="134"/>
      <c r="D53" s="134"/>
      <c r="G53" s="134"/>
    </row>
    <row r="54" spans="2:7">
      <c r="B54" s="135"/>
      <c r="C54" s="134"/>
      <c r="D54" s="134"/>
      <c r="G54" s="134"/>
    </row>
    <row r="55" spans="2:7">
      <c r="B55" s="135"/>
      <c r="C55" s="134"/>
      <c r="D55" s="134"/>
      <c r="G55" s="134"/>
    </row>
    <row r="56" spans="2:7">
      <c r="B56" s="135"/>
      <c r="C56" s="134"/>
      <c r="D56" s="134"/>
      <c r="G56" s="134"/>
    </row>
    <row r="57" spans="2:7">
      <c r="B57" s="135"/>
      <c r="C57" s="134"/>
      <c r="D57" s="134"/>
      <c r="G57" s="134"/>
    </row>
    <row r="58" spans="2:7">
      <c r="B58" s="135"/>
      <c r="C58" s="134"/>
      <c r="D58" s="134"/>
      <c r="G58" s="134"/>
    </row>
    <row r="59" spans="2:7">
      <c r="B59" s="135"/>
      <c r="C59" s="134"/>
      <c r="D59" s="134"/>
      <c r="G59" s="134"/>
    </row>
    <row r="60" spans="2:7">
      <c r="B60" s="135"/>
      <c r="C60" s="134"/>
      <c r="D60" s="134"/>
      <c r="G60" s="134"/>
    </row>
  </sheetData>
  <mergeCells count="2">
    <mergeCell ref="B2:F2"/>
    <mergeCell ref="H2:R2"/>
  </mergeCells>
  <dataValidations disablePrompts="1" count="1">
    <dataValidation type="list" allowBlank="1" showInputMessage="1" showErrorMessage="1" sqref="B23:B41">
      <formula1>$AD$1:$AD$2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opLeftCell="A16" workbookViewId="0">
      <selection activeCell="G2" sqref="G2"/>
    </sheetView>
  </sheetViews>
  <sheetFormatPr defaultColWidth="8.85546875" defaultRowHeight="15"/>
  <cols>
    <col min="1" max="1" width="2" customWidth="1"/>
    <col min="2" max="2" width="6.28515625" bestFit="1" customWidth="1"/>
    <col min="3" max="3" width="34.7109375" bestFit="1" customWidth="1"/>
    <col min="4" max="4" width="31.140625" bestFit="1" customWidth="1"/>
    <col min="5" max="5" width="22.42578125" bestFit="1" customWidth="1"/>
    <col min="6" max="6" width="19.28515625" bestFit="1" customWidth="1"/>
    <col min="7" max="7" width="15.7109375" bestFit="1" customWidth="1"/>
    <col min="9" max="9" width="22.42578125" bestFit="1" customWidth="1"/>
    <col min="10" max="10" width="15.7109375" bestFit="1" customWidth="1"/>
    <col min="11" max="11" width="8.140625" bestFit="1" customWidth="1"/>
  </cols>
  <sheetData>
    <row r="1" spans="2:11" ht="15.75" thickBot="1"/>
    <row r="2" spans="2:11">
      <c r="B2" s="44" t="s">
        <v>0</v>
      </c>
      <c r="C2" s="41" t="s">
        <v>17</v>
      </c>
      <c r="D2" s="41" t="s">
        <v>146</v>
      </c>
      <c r="E2" s="41" t="s">
        <v>147</v>
      </c>
      <c r="F2" s="47" t="s">
        <v>18</v>
      </c>
      <c r="G2" s="49" t="s">
        <v>151</v>
      </c>
      <c r="I2" s="51" t="s">
        <v>147</v>
      </c>
      <c r="J2" s="52" t="s">
        <v>152</v>
      </c>
      <c r="K2" s="53" t="s">
        <v>153</v>
      </c>
    </row>
    <row r="3" spans="2:11">
      <c r="B3" s="38">
        <v>1</v>
      </c>
      <c r="C3" s="1" t="s">
        <v>140</v>
      </c>
      <c r="D3" s="1" t="s">
        <v>144</v>
      </c>
      <c r="E3" s="48" t="s">
        <v>154</v>
      </c>
      <c r="F3" s="7">
        <v>4500000</v>
      </c>
      <c r="G3" s="50"/>
      <c r="I3" s="54" t="str">
        <f>E3</f>
        <v>Creative &amp; Design</v>
      </c>
      <c r="J3" s="60">
        <f>G4</f>
        <v>19500000</v>
      </c>
      <c r="K3" s="55">
        <f>Table6[[#This Row],[Amount]]/Table6[[#Totals],[Amount]]</f>
        <v>0.23022432113341204</v>
      </c>
    </row>
    <row r="4" spans="2:11">
      <c r="B4" s="38">
        <v>2</v>
      </c>
      <c r="C4" s="1" t="s">
        <v>91</v>
      </c>
      <c r="D4" s="1" t="s">
        <v>145</v>
      </c>
      <c r="E4" s="48" t="s">
        <v>154</v>
      </c>
      <c r="F4" s="7">
        <v>15000000</v>
      </c>
      <c r="G4" s="50">
        <f>F3+Table5[[#This Row],[Amount to be raised]]</f>
        <v>19500000</v>
      </c>
      <c r="I4" s="54" t="str">
        <f>E5</f>
        <v>Finance</v>
      </c>
      <c r="J4" s="60">
        <f>G5</f>
        <v>4500000</v>
      </c>
      <c r="K4" s="55">
        <f>Table6[[#This Row],[Amount]]/Table6[[#Totals],[Amount]]</f>
        <v>5.3128689492325853E-2</v>
      </c>
    </row>
    <row r="5" spans="2:11">
      <c r="B5" s="38">
        <v>3</v>
      </c>
      <c r="C5" s="1" t="s">
        <v>90</v>
      </c>
      <c r="D5" s="1" t="s">
        <v>50</v>
      </c>
      <c r="E5" s="48" t="s">
        <v>150</v>
      </c>
      <c r="F5" s="7">
        <v>4500000</v>
      </c>
      <c r="G5" s="50">
        <f>Table5[[#This Row],[Amount to be raised]]</f>
        <v>4500000</v>
      </c>
      <c r="I5" s="54" t="str">
        <f>E6</f>
        <v>Health Care</v>
      </c>
      <c r="J5" s="60">
        <f>G7</f>
        <v>2500000</v>
      </c>
      <c r="K5" s="55">
        <f>Table6[[#This Row],[Amount]]/Table6[[#Totals],[Amount]]</f>
        <v>2.9515938606847699E-2</v>
      </c>
    </row>
    <row r="6" spans="2:11">
      <c r="B6" s="40">
        <v>4</v>
      </c>
      <c r="C6" s="1" t="s">
        <v>106</v>
      </c>
      <c r="D6" s="1" t="s">
        <v>21</v>
      </c>
      <c r="E6" s="48" t="s">
        <v>21</v>
      </c>
      <c r="F6" s="7">
        <v>2000000</v>
      </c>
      <c r="G6" s="50"/>
      <c r="I6" s="54" t="str">
        <f>E8</f>
        <v>Hospitality</v>
      </c>
      <c r="J6" s="60">
        <f>G10</f>
        <v>27200000</v>
      </c>
      <c r="K6" s="55">
        <f>Table6[[#This Row],[Amount]]/Table6[[#Totals],[Amount]]</f>
        <v>0.32113341204250295</v>
      </c>
    </row>
    <row r="7" spans="2:11">
      <c r="B7" s="38">
        <v>5</v>
      </c>
      <c r="C7" s="1" t="s">
        <v>115</v>
      </c>
      <c r="D7" s="1" t="s">
        <v>114</v>
      </c>
      <c r="E7" s="48" t="s">
        <v>21</v>
      </c>
      <c r="F7" s="7">
        <v>500000</v>
      </c>
      <c r="G7" s="50">
        <f>SUM(F6:F7)</f>
        <v>2500000</v>
      </c>
      <c r="I7" s="54" t="str">
        <f>E11</f>
        <v>Information Technology</v>
      </c>
      <c r="J7" s="60">
        <f>G11</f>
        <v>3000000</v>
      </c>
      <c r="K7" s="55">
        <f>Table6[[#This Row],[Amount]]/Table6[[#Totals],[Amount]]</f>
        <v>3.541912632821724E-2</v>
      </c>
    </row>
    <row r="8" spans="2:11">
      <c r="B8" s="38">
        <v>6</v>
      </c>
      <c r="C8" s="1" t="s">
        <v>76</v>
      </c>
      <c r="D8" s="1" t="s">
        <v>89</v>
      </c>
      <c r="E8" s="48" t="s">
        <v>108</v>
      </c>
      <c r="F8" s="7">
        <v>1000000</v>
      </c>
      <c r="G8" s="50"/>
      <c r="I8" s="54" t="str">
        <f>E12</f>
        <v>Manufacturing</v>
      </c>
      <c r="J8" s="60">
        <f>G12</f>
        <v>20000000</v>
      </c>
      <c r="K8" s="55">
        <f>Table6[[#This Row],[Amount]]/Table6[[#Totals],[Amount]]</f>
        <v>0.23612750885478159</v>
      </c>
    </row>
    <row r="9" spans="2:11">
      <c r="B9" s="22">
        <v>7</v>
      </c>
      <c r="C9" s="1" t="s">
        <v>107</v>
      </c>
      <c r="D9" s="1" t="s">
        <v>108</v>
      </c>
      <c r="E9" s="48" t="s">
        <v>108</v>
      </c>
      <c r="F9" s="7">
        <v>4200000</v>
      </c>
      <c r="G9" s="50"/>
      <c r="I9" s="54" t="str">
        <f>E13</f>
        <v>Real Estate</v>
      </c>
      <c r="J9" s="60">
        <f>G13</f>
        <v>5000000</v>
      </c>
      <c r="K9" s="55">
        <f>Table6[[#This Row],[Amount]]/Table6[[#Totals],[Amount]]</f>
        <v>5.9031877213695398E-2</v>
      </c>
    </row>
    <row r="10" spans="2:11" ht="15.75" thickBot="1">
      <c r="B10" s="38">
        <v>8</v>
      </c>
      <c r="C10" s="4" t="s">
        <v>134</v>
      </c>
      <c r="D10" s="1" t="s">
        <v>108</v>
      </c>
      <c r="E10" s="48" t="s">
        <v>108</v>
      </c>
      <c r="F10" s="7">
        <v>22000000</v>
      </c>
      <c r="G10" s="50">
        <f>SUM(F8:F10)</f>
        <v>27200000</v>
      </c>
      <c r="I10" s="56" t="str">
        <f>E14</f>
        <v>Tours &amp; Travel</v>
      </c>
      <c r="J10" s="61">
        <f>G14</f>
        <v>3000000</v>
      </c>
      <c r="K10" s="57">
        <f>Table6[[#This Row],[Amount]]/Table6[[#Totals],[Amount]]</f>
        <v>3.541912632821724E-2</v>
      </c>
    </row>
    <row r="11" spans="2:11">
      <c r="B11" s="38">
        <v>9</v>
      </c>
      <c r="C11" s="1" t="s">
        <v>5</v>
      </c>
      <c r="D11" s="1" t="s">
        <v>24</v>
      </c>
      <c r="E11" s="48" t="s">
        <v>149</v>
      </c>
      <c r="F11" s="7">
        <v>3000000</v>
      </c>
      <c r="G11" s="50">
        <f>Table5[[#This Row],[Amount to be raised]]</f>
        <v>3000000</v>
      </c>
      <c r="I11" s="58" t="s">
        <v>151</v>
      </c>
      <c r="J11" s="62">
        <f>SUBTOTAL(109,Table6[Amount])</f>
        <v>84700000</v>
      </c>
      <c r="K11" s="59">
        <f>SUBTOTAL(109,Table6[%age])</f>
        <v>1</v>
      </c>
    </row>
    <row r="12" spans="2:11">
      <c r="B12" s="22">
        <v>10</v>
      </c>
      <c r="C12" s="4" t="s">
        <v>118</v>
      </c>
      <c r="D12" s="1" t="s">
        <v>28</v>
      </c>
      <c r="E12" s="48" t="s">
        <v>28</v>
      </c>
      <c r="F12" s="7">
        <v>20000000</v>
      </c>
      <c r="G12" s="50">
        <f>Table5[[#This Row],[Amount to be raised]]</f>
        <v>20000000</v>
      </c>
    </row>
    <row r="13" spans="2:11">
      <c r="B13" s="13">
        <v>11</v>
      </c>
      <c r="C13" s="1" t="s">
        <v>8</v>
      </c>
      <c r="D13" s="4" t="s">
        <v>51</v>
      </c>
      <c r="E13" s="48" t="s">
        <v>148</v>
      </c>
      <c r="F13" s="7">
        <v>5000000</v>
      </c>
      <c r="G13" s="50">
        <f>Table5[[#This Row],[Amount to be raised]]</f>
        <v>5000000</v>
      </c>
    </row>
    <row r="14" spans="2:11">
      <c r="B14" s="39">
        <v>12</v>
      </c>
      <c r="C14" s="1" t="s">
        <v>122</v>
      </c>
      <c r="D14" s="1" t="s">
        <v>25</v>
      </c>
      <c r="E14" s="48" t="s">
        <v>25</v>
      </c>
      <c r="F14" s="7">
        <v>3000000</v>
      </c>
      <c r="G14" s="50">
        <f>Table5[[#This Row],[Amount to be raised]]</f>
        <v>3000000</v>
      </c>
    </row>
    <row r="15" spans="2:11">
      <c r="B15" s="43"/>
      <c r="C15" s="45"/>
      <c r="D15" s="45"/>
      <c r="E15" s="45"/>
      <c r="F15" s="46">
        <f>SUBTOTAL(109,Table5[Amount to be raised])</f>
        <v>84700000</v>
      </c>
      <c r="G15" s="42"/>
    </row>
  </sheetData>
  <pageMargins left="0.7" right="0.7" top="0.75" bottom="0.75" header="0.3" footer="0.3"/>
  <pageSetup orientation="portrait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8"/>
  <sheetViews>
    <sheetView topLeftCell="A34" zoomScale="80" zoomScaleNormal="80" zoomScalePageLayoutView="80" workbookViewId="0">
      <selection activeCell="D6" sqref="D6"/>
    </sheetView>
  </sheetViews>
  <sheetFormatPr defaultColWidth="8.85546875" defaultRowHeight="15"/>
  <cols>
    <col min="2" max="2" width="6.85546875" bestFit="1" customWidth="1"/>
    <col min="3" max="3" width="9.28515625" customWidth="1"/>
    <col min="4" max="4" width="39.140625" bestFit="1" customWidth="1"/>
    <col min="5" max="5" width="13.42578125" bestFit="1" customWidth="1"/>
    <col min="6" max="6" width="12" bestFit="1" customWidth="1"/>
    <col min="7" max="7" width="16.42578125" bestFit="1" customWidth="1"/>
    <col min="8" max="8" width="12" bestFit="1" customWidth="1"/>
    <col min="9" max="9" width="17.42578125" customWidth="1"/>
    <col min="11" max="11" width="18.7109375" bestFit="1" customWidth="1"/>
  </cols>
  <sheetData>
    <row r="2" spans="2:9">
      <c r="B2" t="s">
        <v>93</v>
      </c>
      <c r="C2" t="s">
        <v>155</v>
      </c>
      <c r="D2" t="s">
        <v>17</v>
      </c>
      <c r="E2" t="s">
        <v>160</v>
      </c>
      <c r="F2" t="s">
        <v>156</v>
      </c>
      <c r="G2" t="s">
        <v>152</v>
      </c>
      <c r="H2" t="s">
        <v>157</v>
      </c>
      <c r="I2" t="s">
        <v>158</v>
      </c>
    </row>
    <row r="3" spans="2:9">
      <c r="B3" s="64">
        <v>1</v>
      </c>
      <c r="C3" t="s">
        <v>261</v>
      </c>
      <c r="D3" t="s">
        <v>161</v>
      </c>
      <c r="E3" s="65" t="s">
        <v>162</v>
      </c>
      <c r="F3" t="s">
        <v>262</v>
      </c>
      <c r="G3" s="66">
        <v>7000000</v>
      </c>
      <c r="H3" t="s">
        <v>264</v>
      </c>
      <c r="I3" s="67" t="s">
        <v>164</v>
      </c>
    </row>
    <row r="4" spans="2:9">
      <c r="B4" s="64"/>
      <c r="E4" s="65" t="s">
        <v>163</v>
      </c>
      <c r="F4" t="s">
        <v>263</v>
      </c>
      <c r="G4" s="63">
        <v>8000000</v>
      </c>
      <c r="H4" t="s">
        <v>265</v>
      </c>
      <c r="I4" s="67" t="s">
        <v>164</v>
      </c>
    </row>
    <row r="5" spans="2:9">
      <c r="B5" s="64"/>
      <c r="E5" s="65"/>
      <c r="G5" s="63"/>
      <c r="I5" s="67"/>
    </row>
    <row r="6" spans="2:9">
      <c r="B6" s="64"/>
      <c r="E6" s="65"/>
      <c r="G6" s="66"/>
      <c r="I6" s="67"/>
    </row>
    <row r="7" spans="2:9">
      <c r="B7" s="64"/>
      <c r="E7" s="65"/>
      <c r="G7" s="66"/>
      <c r="I7" s="67"/>
    </row>
    <row r="8" spans="2:9">
      <c r="B8" s="64"/>
      <c r="E8" s="65"/>
      <c r="G8" s="63"/>
      <c r="I8" s="67"/>
    </row>
    <row r="9" spans="2:9">
      <c r="F9" t="s">
        <v>151</v>
      </c>
      <c r="G9" s="77">
        <f>SUBTOTAL(109,Table791015[Amount])</f>
        <v>15000000</v>
      </c>
      <c r="I9" s="78"/>
    </row>
    <row r="10" spans="2:9">
      <c r="I10">
        <v>4.5</v>
      </c>
    </row>
    <row r="11" spans="2:9">
      <c r="B11" t="s">
        <v>93</v>
      </c>
      <c r="C11" t="s">
        <v>155</v>
      </c>
      <c r="D11" t="s">
        <v>17</v>
      </c>
      <c r="E11" t="s">
        <v>160</v>
      </c>
      <c r="F11" t="s">
        <v>156</v>
      </c>
      <c r="G11" t="s">
        <v>152</v>
      </c>
      <c r="H11" t="s">
        <v>157</v>
      </c>
      <c r="I11" t="s">
        <v>158</v>
      </c>
    </row>
    <row r="12" spans="2:9">
      <c r="B12" s="64">
        <v>3</v>
      </c>
      <c r="C12" t="s">
        <v>159</v>
      </c>
      <c r="D12" t="s">
        <v>161</v>
      </c>
      <c r="E12" s="65" t="s">
        <v>162</v>
      </c>
      <c r="G12" s="66"/>
      <c r="I12" s="67"/>
    </row>
    <row r="13" spans="2:9">
      <c r="B13" s="64"/>
      <c r="E13" s="65" t="s">
        <v>163</v>
      </c>
      <c r="F13" t="s">
        <v>182</v>
      </c>
      <c r="G13" s="66">
        <v>900000</v>
      </c>
      <c r="H13" t="s">
        <v>187</v>
      </c>
      <c r="I13" s="67" t="s">
        <v>164</v>
      </c>
    </row>
    <row r="14" spans="2:9">
      <c r="B14" s="64"/>
      <c r="E14" s="65" t="s">
        <v>165</v>
      </c>
      <c r="F14" t="s">
        <v>183</v>
      </c>
      <c r="G14" s="66">
        <v>900000</v>
      </c>
      <c r="H14" t="s">
        <v>188</v>
      </c>
      <c r="I14" s="67" t="s">
        <v>164</v>
      </c>
    </row>
    <row r="15" spans="2:9">
      <c r="B15" s="64"/>
      <c r="E15" s="65" t="s">
        <v>166</v>
      </c>
      <c r="F15" t="s">
        <v>184</v>
      </c>
      <c r="G15" s="66">
        <v>900000</v>
      </c>
      <c r="H15" t="s">
        <v>189</v>
      </c>
      <c r="I15" s="67" t="s">
        <v>164</v>
      </c>
    </row>
    <row r="16" spans="2:9">
      <c r="B16" s="64"/>
      <c r="E16" s="65" t="s">
        <v>167</v>
      </c>
      <c r="F16" t="s">
        <v>185</v>
      </c>
      <c r="G16" s="66">
        <v>600000</v>
      </c>
      <c r="H16" t="s">
        <v>190</v>
      </c>
      <c r="I16" s="67" t="s">
        <v>164</v>
      </c>
    </row>
    <row r="17" spans="2:11">
      <c r="B17" s="64"/>
      <c r="E17" s="65" t="s">
        <v>168</v>
      </c>
      <c r="F17" t="s">
        <v>186</v>
      </c>
      <c r="G17" s="63">
        <v>1200000</v>
      </c>
      <c r="H17" t="s">
        <v>191</v>
      </c>
      <c r="I17" s="67" t="s">
        <v>164</v>
      </c>
    </row>
    <row r="18" spans="2:11">
      <c r="F18" t="s">
        <v>151</v>
      </c>
      <c r="G18" s="68">
        <f>SUBTOTAL(109,Table7910[Amount])</f>
        <v>4500000</v>
      </c>
      <c r="I18" s="69"/>
    </row>
    <row r="20" spans="2:11">
      <c r="B20" t="s">
        <v>93</v>
      </c>
      <c r="C20" t="s">
        <v>155</v>
      </c>
      <c r="D20" t="s">
        <v>17</v>
      </c>
      <c r="E20" t="s">
        <v>160</v>
      </c>
      <c r="F20" t="s">
        <v>156</v>
      </c>
      <c r="G20" t="s">
        <v>152</v>
      </c>
      <c r="H20" t="s">
        <v>157</v>
      </c>
      <c r="I20" t="s">
        <v>158</v>
      </c>
    </row>
    <row r="21" spans="2:11">
      <c r="B21" s="64">
        <v>7</v>
      </c>
      <c r="C21" t="s">
        <v>174</v>
      </c>
      <c r="D21" s="8" t="s">
        <v>106</v>
      </c>
      <c r="E21" s="65" t="s">
        <v>162</v>
      </c>
      <c r="F21" t="s">
        <v>266</v>
      </c>
      <c r="G21" s="66"/>
      <c r="I21" s="67"/>
    </row>
    <row r="22" spans="2:11">
      <c r="B22" s="64"/>
      <c r="E22" s="65" t="s">
        <v>163</v>
      </c>
      <c r="F22" t="s">
        <v>192</v>
      </c>
      <c r="I22" s="67"/>
    </row>
    <row r="23" spans="2:11">
      <c r="B23" s="64"/>
      <c r="E23" s="65" t="s">
        <v>165</v>
      </c>
      <c r="F23" t="s">
        <v>193</v>
      </c>
      <c r="G23" s="63">
        <v>500000</v>
      </c>
      <c r="H23" t="s">
        <v>169</v>
      </c>
      <c r="I23" s="67" t="s">
        <v>164</v>
      </c>
    </row>
    <row r="24" spans="2:11">
      <c r="B24" s="64"/>
      <c r="E24" s="65" t="s">
        <v>166</v>
      </c>
      <c r="F24" t="s">
        <v>194</v>
      </c>
      <c r="G24" s="63">
        <v>500000</v>
      </c>
      <c r="H24" t="s">
        <v>170</v>
      </c>
      <c r="I24" s="67" t="s">
        <v>164</v>
      </c>
      <c r="K24" s="71" t="s">
        <v>179</v>
      </c>
    </row>
    <row r="25" spans="2:11">
      <c r="B25" s="64"/>
      <c r="E25" s="65" t="s">
        <v>167</v>
      </c>
      <c r="F25" t="s">
        <v>195</v>
      </c>
      <c r="G25" s="63">
        <v>500000</v>
      </c>
      <c r="H25" t="s">
        <v>171</v>
      </c>
      <c r="I25" s="67" t="s">
        <v>164</v>
      </c>
      <c r="K25" t="s">
        <v>178</v>
      </c>
    </row>
    <row r="26" spans="2:11">
      <c r="B26" s="64"/>
      <c r="E26" s="65" t="s">
        <v>168</v>
      </c>
      <c r="F26" t="s">
        <v>267</v>
      </c>
      <c r="G26" s="63">
        <v>500000</v>
      </c>
      <c r="H26" t="s">
        <v>172</v>
      </c>
      <c r="I26" s="67" t="s">
        <v>164</v>
      </c>
    </row>
    <row r="27" spans="2:11">
      <c r="F27" t="s">
        <v>151</v>
      </c>
      <c r="G27" s="77">
        <f>SUBTOTAL(109,Table7910912[Amount])</f>
        <v>2000000</v>
      </c>
      <c r="I27" s="78"/>
    </row>
    <row r="29" spans="2:11">
      <c r="B29" t="s">
        <v>93</v>
      </c>
      <c r="C29" t="s">
        <v>155</v>
      </c>
      <c r="D29" t="s">
        <v>17</v>
      </c>
      <c r="E29" t="s">
        <v>160</v>
      </c>
      <c r="F29" t="s">
        <v>156</v>
      </c>
      <c r="G29" t="s">
        <v>152</v>
      </c>
      <c r="H29" t="s">
        <v>157</v>
      </c>
      <c r="I29" t="s">
        <v>158</v>
      </c>
    </row>
    <row r="30" spans="2:11">
      <c r="B30" s="64">
        <v>8</v>
      </c>
      <c r="C30" t="s">
        <v>175</v>
      </c>
      <c r="D30" t="s">
        <v>173</v>
      </c>
      <c r="E30" s="65" t="s">
        <v>162</v>
      </c>
      <c r="F30" t="s">
        <v>196</v>
      </c>
      <c r="G30" s="63">
        <v>420000</v>
      </c>
      <c r="H30" t="s">
        <v>210</v>
      </c>
      <c r="I30" s="67" t="s">
        <v>164</v>
      </c>
    </row>
    <row r="31" spans="2:11">
      <c r="B31" s="64"/>
      <c r="E31" s="65" t="s">
        <v>163</v>
      </c>
      <c r="F31" t="s">
        <v>197</v>
      </c>
      <c r="G31" s="63">
        <v>600000</v>
      </c>
      <c r="H31" t="s">
        <v>211</v>
      </c>
      <c r="I31" s="67" t="s">
        <v>164</v>
      </c>
    </row>
    <row r="32" spans="2:11">
      <c r="B32" s="64"/>
      <c r="E32" s="65" t="s">
        <v>165</v>
      </c>
      <c r="F32" t="s">
        <v>198</v>
      </c>
      <c r="G32" s="63">
        <v>780000</v>
      </c>
      <c r="H32" t="s">
        <v>212</v>
      </c>
      <c r="I32" s="67" t="s">
        <v>164</v>
      </c>
    </row>
    <row r="33" spans="2:9">
      <c r="B33" s="64"/>
      <c r="E33" s="65" t="s">
        <v>166</v>
      </c>
      <c r="F33" t="s">
        <v>199</v>
      </c>
      <c r="G33" s="63">
        <v>760000</v>
      </c>
      <c r="H33" t="s">
        <v>213</v>
      </c>
      <c r="I33" s="67" t="s">
        <v>164</v>
      </c>
    </row>
    <row r="34" spans="2:9">
      <c r="B34" s="64"/>
      <c r="E34" s="65" t="s">
        <v>167</v>
      </c>
      <c r="F34" t="s">
        <v>200</v>
      </c>
      <c r="G34" s="63">
        <v>750000</v>
      </c>
      <c r="H34" t="s">
        <v>214</v>
      </c>
      <c r="I34" s="67" t="s">
        <v>164</v>
      </c>
    </row>
    <row r="35" spans="2:9">
      <c r="B35" s="64"/>
      <c r="E35" s="65" t="s">
        <v>168</v>
      </c>
      <c r="F35" t="s">
        <v>201</v>
      </c>
      <c r="G35" s="63">
        <v>750000</v>
      </c>
      <c r="H35" t="s">
        <v>215</v>
      </c>
      <c r="I35" s="67" t="s">
        <v>164</v>
      </c>
    </row>
    <row r="36" spans="2:9">
      <c r="B36" s="64"/>
      <c r="E36" s="65" t="s">
        <v>176</v>
      </c>
      <c r="F36" t="s">
        <v>202</v>
      </c>
      <c r="G36" s="63">
        <v>150000</v>
      </c>
      <c r="H36" t="s">
        <v>216</v>
      </c>
      <c r="I36" s="67" t="s">
        <v>164</v>
      </c>
    </row>
    <row r="37" spans="2:9">
      <c r="F37" t="s">
        <v>151</v>
      </c>
      <c r="G37" s="70" t="s">
        <v>177</v>
      </c>
      <c r="I37" s="69"/>
    </row>
    <row r="39" spans="2:9">
      <c r="B39" t="s">
        <v>93</v>
      </c>
      <c r="C39" t="s">
        <v>155</v>
      </c>
      <c r="D39" t="s">
        <v>17</v>
      </c>
      <c r="E39" t="s">
        <v>160</v>
      </c>
      <c r="F39" t="s">
        <v>156</v>
      </c>
      <c r="G39" t="s">
        <v>152</v>
      </c>
      <c r="H39" t="s">
        <v>157</v>
      </c>
      <c r="I39" t="s">
        <v>158</v>
      </c>
    </row>
    <row r="40" spans="2:9">
      <c r="B40" s="64">
        <v>9</v>
      </c>
      <c r="C40" t="s">
        <v>203</v>
      </c>
      <c r="D40" s="8" t="s">
        <v>122</v>
      </c>
      <c r="E40" s="65" t="s">
        <v>162</v>
      </c>
      <c r="F40" t="s">
        <v>208</v>
      </c>
      <c r="G40" s="66">
        <f>SUBTOTAL(109,G38:G39)</f>
        <v>0</v>
      </c>
      <c r="H40" t="s">
        <v>217</v>
      </c>
      <c r="I40" s="67"/>
    </row>
    <row r="41" spans="2:9">
      <c r="B41" s="64"/>
      <c r="E41" s="65" t="s">
        <v>163</v>
      </c>
      <c r="F41" t="s">
        <v>204</v>
      </c>
      <c r="G41" s="72">
        <v>1000000</v>
      </c>
      <c r="H41" t="s">
        <v>218</v>
      </c>
      <c r="I41" s="67" t="s">
        <v>164</v>
      </c>
    </row>
    <row r="42" spans="2:9">
      <c r="B42" s="64"/>
      <c r="E42" s="65" t="s">
        <v>165</v>
      </c>
      <c r="F42" t="s">
        <v>205</v>
      </c>
      <c r="G42" s="63">
        <v>1500000</v>
      </c>
      <c r="H42" t="s">
        <v>219</v>
      </c>
      <c r="I42" s="67" t="s">
        <v>164</v>
      </c>
    </row>
    <row r="43" spans="2:9">
      <c r="B43" s="64"/>
      <c r="E43" s="65" t="s">
        <v>166</v>
      </c>
      <c r="F43" t="s">
        <v>206</v>
      </c>
      <c r="G43" s="63">
        <f>SUBTOTAL(109,G40:G42)</f>
        <v>2500000</v>
      </c>
      <c r="H43" t="s">
        <v>220</v>
      </c>
      <c r="I43" s="67" t="s">
        <v>164</v>
      </c>
    </row>
    <row r="44" spans="2:9">
      <c r="B44" s="64"/>
      <c r="E44" s="65" t="s">
        <v>167</v>
      </c>
      <c r="F44" t="s">
        <v>207</v>
      </c>
      <c r="G44" s="63"/>
      <c r="H44" t="s">
        <v>221</v>
      </c>
      <c r="I44" s="67"/>
    </row>
    <row r="45" spans="2:9">
      <c r="B45" s="64"/>
      <c r="E45" s="65" t="s">
        <v>168</v>
      </c>
      <c r="F45" t="s">
        <v>209</v>
      </c>
      <c r="G45" s="63"/>
      <c r="H45" t="s">
        <v>222</v>
      </c>
      <c r="I45" s="67"/>
    </row>
    <row r="46" spans="2:9">
      <c r="F46" t="s">
        <v>151</v>
      </c>
      <c r="G46" s="68" t="s">
        <v>223</v>
      </c>
      <c r="I46" s="69"/>
    </row>
    <row r="48" spans="2:9">
      <c r="B48" t="s">
        <v>93</v>
      </c>
      <c r="C48" t="s">
        <v>155</v>
      </c>
      <c r="D48" t="s">
        <v>17</v>
      </c>
      <c r="E48" t="s">
        <v>160</v>
      </c>
      <c r="F48" t="s">
        <v>156</v>
      </c>
      <c r="G48" t="s">
        <v>152</v>
      </c>
      <c r="H48" t="s">
        <v>157</v>
      </c>
      <c r="I48" t="s">
        <v>158</v>
      </c>
    </row>
    <row r="49" spans="2:9">
      <c r="B49" s="64">
        <v>10</v>
      </c>
      <c r="C49" t="s">
        <v>225</v>
      </c>
      <c r="D49" s="8" t="s">
        <v>224</v>
      </c>
      <c r="E49" s="65" t="s">
        <v>162</v>
      </c>
      <c r="F49" t="s">
        <v>226</v>
      </c>
      <c r="G49" s="66"/>
      <c r="H49" t="s">
        <v>232</v>
      </c>
      <c r="I49" s="67" t="s">
        <v>164</v>
      </c>
    </row>
    <row r="50" spans="2:9">
      <c r="B50" s="64"/>
      <c r="E50" s="65" t="s">
        <v>163</v>
      </c>
      <c r="F50" t="s">
        <v>227</v>
      </c>
      <c r="G50" s="72"/>
      <c r="H50" t="s">
        <v>233</v>
      </c>
      <c r="I50" s="67" t="s">
        <v>164</v>
      </c>
    </row>
    <row r="51" spans="2:9">
      <c r="B51" s="64"/>
      <c r="E51" s="65" t="s">
        <v>165</v>
      </c>
      <c r="F51" t="s">
        <v>228</v>
      </c>
      <c r="G51" s="74">
        <v>2350000</v>
      </c>
      <c r="H51" t="s">
        <v>234</v>
      </c>
      <c r="I51" s="67" t="s">
        <v>164</v>
      </c>
    </row>
    <row r="52" spans="2:9">
      <c r="B52" s="64"/>
      <c r="E52" s="65" t="s">
        <v>166</v>
      </c>
      <c r="F52" t="s">
        <v>229</v>
      </c>
      <c r="G52" s="74">
        <v>3150000</v>
      </c>
      <c r="H52" t="s">
        <v>235</v>
      </c>
      <c r="I52" s="67" t="s">
        <v>164</v>
      </c>
    </row>
    <row r="53" spans="2:9">
      <c r="B53" s="64"/>
      <c r="E53" s="65" t="s">
        <v>167</v>
      </c>
      <c r="F53" t="s">
        <v>230</v>
      </c>
      <c r="G53" s="74">
        <v>3650000</v>
      </c>
      <c r="H53" t="s">
        <v>236</v>
      </c>
      <c r="I53" s="67" t="s">
        <v>164</v>
      </c>
    </row>
    <row r="54" spans="2:9">
      <c r="B54" s="64"/>
      <c r="E54" s="65" t="s">
        <v>168</v>
      </c>
      <c r="F54" t="s">
        <v>231</v>
      </c>
      <c r="G54" s="75">
        <v>3900000</v>
      </c>
      <c r="H54" t="s">
        <v>237</v>
      </c>
      <c r="I54" s="67" t="s">
        <v>164</v>
      </c>
    </row>
    <row r="55" spans="2:9">
      <c r="B55" s="64"/>
      <c r="E55" s="65" t="s">
        <v>176</v>
      </c>
      <c r="F55" t="s">
        <v>238</v>
      </c>
      <c r="G55" s="74">
        <v>3300000</v>
      </c>
      <c r="H55" t="s">
        <v>241</v>
      </c>
      <c r="I55" s="67" t="s">
        <v>164</v>
      </c>
    </row>
    <row r="56" spans="2:9">
      <c r="B56" s="64"/>
      <c r="E56" s="65" t="s">
        <v>240</v>
      </c>
      <c r="F56" t="s">
        <v>239</v>
      </c>
      <c r="G56" s="75">
        <v>3650000</v>
      </c>
      <c r="H56" t="s">
        <v>242</v>
      </c>
      <c r="I56" s="67" t="s">
        <v>164</v>
      </c>
    </row>
    <row r="57" spans="2:9">
      <c r="F57" t="s">
        <v>151</v>
      </c>
      <c r="G57" s="68">
        <f>SUBTOTAL(109,Table7910912811[Amount])</f>
        <v>20000000</v>
      </c>
      <c r="I57" s="69"/>
    </row>
    <row r="59" spans="2:9">
      <c r="B59" t="s">
        <v>93</v>
      </c>
      <c r="C59" t="s">
        <v>155</v>
      </c>
      <c r="D59" t="s">
        <v>17</v>
      </c>
      <c r="E59" t="s">
        <v>160</v>
      </c>
      <c r="F59" t="s">
        <v>156</v>
      </c>
      <c r="G59" t="s">
        <v>152</v>
      </c>
      <c r="H59" t="s">
        <v>157</v>
      </c>
      <c r="I59" t="s">
        <v>158</v>
      </c>
    </row>
    <row r="60" spans="2:9">
      <c r="B60" s="64">
        <v>11</v>
      </c>
      <c r="C60" t="s">
        <v>244</v>
      </c>
      <c r="D60" s="8" t="s">
        <v>245</v>
      </c>
      <c r="E60" s="65" t="s">
        <v>162</v>
      </c>
      <c r="F60" t="s">
        <v>246</v>
      </c>
      <c r="G60" s="66">
        <v>0</v>
      </c>
      <c r="H60" t="s">
        <v>252</v>
      </c>
      <c r="I60" s="67" t="s">
        <v>164</v>
      </c>
    </row>
    <row r="61" spans="2:9">
      <c r="B61" s="64"/>
      <c r="E61" s="65" t="s">
        <v>163</v>
      </c>
      <c r="F61" t="s">
        <v>247</v>
      </c>
      <c r="G61" s="73">
        <v>0</v>
      </c>
      <c r="H61" t="s">
        <v>253</v>
      </c>
      <c r="I61" s="67" t="s">
        <v>164</v>
      </c>
    </row>
    <row r="62" spans="2:9">
      <c r="B62" s="64"/>
      <c r="E62" s="65" t="s">
        <v>165</v>
      </c>
      <c r="F62" t="s">
        <v>248</v>
      </c>
      <c r="G62" s="76">
        <v>0</v>
      </c>
      <c r="H62" t="s">
        <v>254</v>
      </c>
      <c r="I62" s="67" t="s">
        <v>164</v>
      </c>
    </row>
    <row r="63" spans="2:9">
      <c r="B63" s="64"/>
      <c r="E63" s="65" t="s">
        <v>166</v>
      </c>
      <c r="F63" t="s">
        <v>249</v>
      </c>
      <c r="G63" s="74">
        <v>246584</v>
      </c>
      <c r="H63" t="s">
        <v>255</v>
      </c>
      <c r="I63" s="67" t="s">
        <v>164</v>
      </c>
    </row>
    <row r="64" spans="2:9">
      <c r="B64" s="64"/>
      <c r="E64" s="65" t="s">
        <v>167</v>
      </c>
      <c r="F64" t="s">
        <v>250</v>
      </c>
      <c r="G64" s="74">
        <v>493168</v>
      </c>
      <c r="H64" t="s">
        <v>256</v>
      </c>
      <c r="I64" s="67" t="s">
        <v>164</v>
      </c>
    </row>
    <row r="65" spans="2:14">
      <c r="B65" s="64"/>
      <c r="E65" s="65" t="s">
        <v>168</v>
      </c>
      <c r="F65" t="s">
        <v>251</v>
      </c>
      <c r="G65" s="74">
        <v>739753</v>
      </c>
      <c r="H65" t="s">
        <v>257</v>
      </c>
      <c r="I65" s="67" t="s">
        <v>164</v>
      </c>
    </row>
    <row r="66" spans="2:14">
      <c r="B66" s="64"/>
      <c r="E66" s="65" t="s">
        <v>258</v>
      </c>
      <c r="F66" t="s">
        <v>259</v>
      </c>
      <c r="G66" s="75">
        <v>986337</v>
      </c>
      <c r="H66" t="s">
        <v>260</v>
      </c>
      <c r="I66" s="67" t="s">
        <v>164</v>
      </c>
      <c r="N66" t="s">
        <v>243</v>
      </c>
    </row>
    <row r="67" spans="2:14">
      <c r="F67" t="s">
        <v>151</v>
      </c>
      <c r="G67" s="68">
        <f>SUBTOTAL(109,Table7910912814[Amount])</f>
        <v>2465842</v>
      </c>
      <c r="I67" s="69"/>
    </row>
    <row r="69" spans="2:14">
      <c r="B69" t="s">
        <v>93</v>
      </c>
      <c r="C69" t="s">
        <v>155</v>
      </c>
      <c r="D69" t="s">
        <v>17</v>
      </c>
      <c r="E69" t="s">
        <v>160</v>
      </c>
      <c r="F69" t="s">
        <v>156</v>
      </c>
      <c r="G69" t="s">
        <v>152</v>
      </c>
      <c r="H69" t="s">
        <v>157</v>
      </c>
      <c r="I69" t="s">
        <v>158</v>
      </c>
      <c r="J69" t="s">
        <v>289</v>
      </c>
    </row>
    <row r="70" spans="2:14">
      <c r="B70" s="64">
        <v>2</v>
      </c>
      <c r="C70" t="s">
        <v>270</v>
      </c>
      <c r="D70" t="s">
        <v>271</v>
      </c>
      <c r="E70" s="65" t="s">
        <v>162</v>
      </c>
      <c r="F70" t="s">
        <v>276</v>
      </c>
      <c r="G70" s="66">
        <v>500000</v>
      </c>
      <c r="H70" t="s">
        <v>282</v>
      </c>
      <c r="I70" s="81" t="s">
        <v>288</v>
      </c>
      <c r="J70">
        <v>10</v>
      </c>
    </row>
    <row r="71" spans="2:14">
      <c r="B71" s="64"/>
      <c r="E71" s="65" t="s">
        <v>163</v>
      </c>
      <c r="F71" t="s">
        <v>277</v>
      </c>
      <c r="G71" s="63">
        <v>750000</v>
      </c>
      <c r="H71" t="s">
        <v>283</v>
      </c>
      <c r="I71" s="81" t="s">
        <v>288</v>
      </c>
      <c r="J71">
        <v>10</v>
      </c>
    </row>
    <row r="72" spans="2:14">
      <c r="B72" s="64"/>
      <c r="E72" s="65" t="s">
        <v>272</v>
      </c>
      <c r="F72" t="s">
        <v>278</v>
      </c>
      <c r="G72" s="63">
        <v>750000</v>
      </c>
      <c r="H72" t="s">
        <v>284</v>
      </c>
      <c r="I72" s="81" t="s">
        <v>288</v>
      </c>
      <c r="J72">
        <v>15</v>
      </c>
    </row>
    <row r="73" spans="2:14">
      <c r="B73" s="64"/>
      <c r="E73" s="65" t="s">
        <v>273</v>
      </c>
      <c r="F73" t="s">
        <v>279</v>
      </c>
      <c r="G73" s="66">
        <v>1000000</v>
      </c>
      <c r="H73" t="s">
        <v>285</v>
      </c>
      <c r="I73" s="81" t="s">
        <v>288</v>
      </c>
      <c r="J73">
        <v>15</v>
      </c>
    </row>
    <row r="74" spans="2:14">
      <c r="B74" s="64"/>
      <c r="E74" s="65" t="s">
        <v>274</v>
      </c>
      <c r="F74" t="s">
        <v>280</v>
      </c>
      <c r="G74" s="66">
        <v>1000000</v>
      </c>
      <c r="H74" t="s">
        <v>286</v>
      </c>
      <c r="I74" s="81" t="s">
        <v>288</v>
      </c>
      <c r="J74">
        <v>20</v>
      </c>
    </row>
    <row r="75" spans="2:14">
      <c r="B75" s="64"/>
      <c r="E75" s="65" t="s">
        <v>275</v>
      </c>
      <c r="F75" t="s">
        <v>281</v>
      </c>
      <c r="G75" s="66">
        <v>1000000</v>
      </c>
      <c r="H75" t="s">
        <v>287</v>
      </c>
      <c r="I75" s="81" t="s">
        <v>288</v>
      </c>
      <c r="J75">
        <v>20</v>
      </c>
    </row>
    <row r="76" spans="2:14">
      <c r="F76" t="s">
        <v>151</v>
      </c>
      <c r="G76" s="82">
        <f>SUBTOTAL(109,Table79101516[Amount])</f>
        <v>5000000</v>
      </c>
      <c r="I76" s="83"/>
    </row>
    <row r="78" spans="2:14">
      <c r="B78" t="s">
        <v>93</v>
      </c>
      <c r="C78" t="s">
        <v>155</v>
      </c>
      <c r="D78" t="s">
        <v>17</v>
      </c>
      <c r="E78" t="s">
        <v>160</v>
      </c>
      <c r="F78" t="s">
        <v>156</v>
      </c>
      <c r="G78" t="s">
        <v>152</v>
      </c>
      <c r="H78" t="s">
        <v>157</v>
      </c>
      <c r="I78" t="s">
        <v>158</v>
      </c>
      <c r="J78" t="s">
        <v>289</v>
      </c>
    </row>
    <row r="79" spans="2:14">
      <c r="B79" s="64">
        <v>6</v>
      </c>
      <c r="C79" t="s">
        <v>299</v>
      </c>
      <c r="D79" s="8" t="s">
        <v>300</v>
      </c>
      <c r="E79" s="65" t="s">
        <v>162</v>
      </c>
      <c r="F79" t="s">
        <v>303</v>
      </c>
      <c r="G79" s="66">
        <v>0</v>
      </c>
      <c r="H79" t="s">
        <v>306</v>
      </c>
      <c r="I79" s="81" t="s">
        <v>288</v>
      </c>
    </row>
    <row r="80" spans="2:14">
      <c r="B80" s="64"/>
      <c r="E80" s="65" t="s">
        <v>163</v>
      </c>
      <c r="F80" t="s">
        <v>304</v>
      </c>
      <c r="G80" s="73">
        <v>0</v>
      </c>
      <c r="H80" t="s">
        <v>307</v>
      </c>
      <c r="I80" s="81" t="s">
        <v>301</v>
      </c>
    </row>
    <row r="81" spans="2:10">
      <c r="B81" s="64"/>
      <c r="E81" s="65" t="s">
        <v>165</v>
      </c>
      <c r="F81" t="s">
        <v>305</v>
      </c>
      <c r="G81" s="84">
        <v>1000000</v>
      </c>
      <c r="H81" t="s">
        <v>308</v>
      </c>
      <c r="I81" s="81" t="s">
        <v>301</v>
      </c>
      <c r="J81">
        <v>20</v>
      </c>
    </row>
    <row r="82" spans="2:10">
      <c r="B82" s="64"/>
      <c r="E82" s="65"/>
      <c r="G82" s="74"/>
      <c r="I82" s="67"/>
    </row>
    <row r="83" spans="2:10">
      <c r="B83" s="64"/>
      <c r="E83" s="65"/>
      <c r="G83" s="74"/>
      <c r="I83" s="67"/>
    </row>
    <row r="84" spans="2:10">
      <c r="B84" s="64"/>
      <c r="E84" s="65"/>
      <c r="G84" s="74"/>
      <c r="I84" s="67"/>
    </row>
    <row r="85" spans="2:10">
      <c r="B85" s="64"/>
      <c r="E85" s="65"/>
      <c r="G85" s="75"/>
      <c r="I85" s="67"/>
    </row>
    <row r="86" spans="2:10">
      <c r="F86" t="s">
        <v>151</v>
      </c>
      <c r="G86" s="82">
        <f>SUBTOTAL(109,Table791091281419[Amount])</f>
        <v>1000000</v>
      </c>
      <c r="I86" s="83"/>
    </row>
    <row r="90" spans="2:10">
      <c r="B90" t="s">
        <v>93</v>
      </c>
      <c r="C90" t="s">
        <v>155</v>
      </c>
      <c r="D90" t="s">
        <v>17</v>
      </c>
      <c r="E90" t="s">
        <v>160</v>
      </c>
      <c r="F90" t="s">
        <v>156</v>
      </c>
      <c r="G90" t="s">
        <v>152</v>
      </c>
      <c r="H90" t="s">
        <v>157</v>
      </c>
      <c r="I90" t="s">
        <v>158</v>
      </c>
      <c r="J90" t="s">
        <v>289</v>
      </c>
    </row>
    <row r="91" spans="2:10">
      <c r="B91" s="64">
        <v>4</v>
      </c>
      <c r="C91" t="s">
        <v>302</v>
      </c>
      <c r="D91" s="8" t="s">
        <v>5</v>
      </c>
      <c r="E91" s="65" t="s">
        <v>162</v>
      </c>
      <c r="F91" t="s">
        <v>310</v>
      </c>
      <c r="G91" s="66"/>
      <c r="H91" t="s">
        <v>314</v>
      </c>
      <c r="I91" s="81" t="s">
        <v>288</v>
      </c>
    </row>
    <row r="92" spans="2:10">
      <c r="B92" s="64"/>
      <c r="E92" s="65" t="s">
        <v>309</v>
      </c>
      <c r="F92" t="s">
        <v>311</v>
      </c>
      <c r="G92" s="73"/>
      <c r="H92" t="s">
        <v>315</v>
      </c>
      <c r="I92" s="81" t="s">
        <v>301</v>
      </c>
    </row>
    <row r="93" spans="2:10">
      <c r="B93" s="64"/>
      <c r="E93" s="65" t="s">
        <v>165</v>
      </c>
      <c r="F93" t="s">
        <v>312</v>
      </c>
      <c r="G93" s="84"/>
      <c r="H93" t="s">
        <v>316</v>
      </c>
      <c r="I93" s="81" t="s">
        <v>301</v>
      </c>
    </row>
    <row r="94" spans="2:10">
      <c r="B94" s="64"/>
      <c r="E94" s="65" t="s">
        <v>166</v>
      </c>
      <c r="F94" t="s">
        <v>313</v>
      </c>
      <c r="G94" s="74"/>
      <c r="H94" t="s">
        <v>317</v>
      </c>
      <c r="I94" s="67"/>
    </row>
    <row r="95" spans="2:10">
      <c r="B95" s="64"/>
      <c r="E95" s="65"/>
      <c r="G95" s="74"/>
      <c r="I95" s="67"/>
    </row>
    <row r="96" spans="2:10">
      <c r="B96" s="64"/>
      <c r="E96" s="65"/>
      <c r="G96" s="74"/>
      <c r="I96" s="67"/>
    </row>
    <row r="97" spans="2:9">
      <c r="B97" s="64"/>
      <c r="E97" s="65"/>
      <c r="G97" s="75"/>
      <c r="I97" s="67"/>
    </row>
    <row r="98" spans="2:9">
      <c r="F98" t="s">
        <v>151</v>
      </c>
      <c r="G98" s="82">
        <f>SUBTOTAL(109,Table79109128141917[Amount])</f>
        <v>0</v>
      </c>
      <c r="I98" s="83"/>
    </row>
  </sheetData>
  <pageMargins left="0.7" right="0.7" top="0.75" bottom="0.75" header="0.3" footer="0.3"/>
  <pageSetup orientation="landscape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zoomScale="85" zoomScaleNormal="85" zoomScalePageLayoutView="85" workbookViewId="0">
      <selection activeCell="D3" sqref="D3"/>
    </sheetView>
  </sheetViews>
  <sheetFormatPr defaultColWidth="8.85546875" defaultRowHeight="15"/>
  <cols>
    <col min="1" max="1" width="3.42578125" style="21" customWidth="1"/>
    <col min="2" max="2" width="6.85546875" style="21" bestFit="1" customWidth="1"/>
    <col min="3" max="3" width="18.42578125" style="21" bestFit="1" customWidth="1"/>
    <col min="4" max="4" width="9.42578125" style="21" bestFit="1" customWidth="1"/>
    <col min="5" max="5" width="6.85546875" style="21" bestFit="1" customWidth="1"/>
    <col min="6" max="6" width="8.85546875" style="21"/>
    <col min="7" max="7" width="9.42578125" style="21" hidden="1" customWidth="1"/>
    <col min="8" max="16384" width="8.85546875" style="21"/>
  </cols>
  <sheetData>
    <row r="2" spans="2:7">
      <c r="B2" s="23" t="s">
        <v>93</v>
      </c>
      <c r="C2" s="24" t="s">
        <v>94</v>
      </c>
      <c r="D2" s="24" t="s">
        <v>30</v>
      </c>
      <c r="E2" s="25" t="s">
        <v>104</v>
      </c>
      <c r="G2" s="21" t="s">
        <v>72</v>
      </c>
    </row>
    <row r="3" spans="2:7">
      <c r="B3" s="26">
        <v>1</v>
      </c>
      <c r="C3" s="27" t="s">
        <v>95</v>
      </c>
      <c r="D3" s="27" t="s">
        <v>72</v>
      </c>
      <c r="E3" s="28" t="s">
        <v>46</v>
      </c>
      <c r="G3" s="21" t="s">
        <v>123</v>
      </c>
    </row>
    <row r="4" spans="2:7">
      <c r="B4" s="26">
        <v>2</v>
      </c>
      <c r="C4" s="27" t="s">
        <v>96</v>
      </c>
      <c r="D4" s="27" t="s">
        <v>72</v>
      </c>
      <c r="E4" s="28" t="s">
        <v>46</v>
      </c>
      <c r="G4" s="21" t="s">
        <v>125</v>
      </c>
    </row>
    <row r="5" spans="2:7">
      <c r="B5" s="26">
        <v>3</v>
      </c>
      <c r="C5" s="27" t="s">
        <v>97</v>
      </c>
      <c r="D5" s="27" t="s">
        <v>72</v>
      </c>
      <c r="E5" s="28" t="s">
        <v>46</v>
      </c>
      <c r="G5" s="21" t="s">
        <v>124</v>
      </c>
    </row>
    <row r="6" spans="2:7">
      <c r="B6" s="26">
        <v>4</v>
      </c>
      <c r="C6" s="29" t="s">
        <v>98</v>
      </c>
      <c r="D6" s="27" t="s">
        <v>72</v>
      </c>
      <c r="E6" s="28" t="s">
        <v>46</v>
      </c>
    </row>
    <row r="7" spans="2:7">
      <c r="B7" s="26">
        <v>5</v>
      </c>
      <c r="C7" s="29" t="s">
        <v>99</v>
      </c>
      <c r="D7" s="27" t="s">
        <v>72</v>
      </c>
      <c r="E7" s="28" t="s">
        <v>45</v>
      </c>
    </row>
    <row r="8" spans="2:7">
      <c r="B8" s="26">
        <v>6</v>
      </c>
      <c r="C8" s="19" t="s">
        <v>100</v>
      </c>
      <c r="D8" s="27" t="s">
        <v>123</v>
      </c>
      <c r="E8" s="28" t="s">
        <v>45</v>
      </c>
    </row>
    <row r="9" spans="2:7">
      <c r="B9" s="30">
        <v>7</v>
      </c>
      <c r="C9" s="31" t="s">
        <v>101</v>
      </c>
      <c r="D9" s="32" t="s">
        <v>125</v>
      </c>
      <c r="E9" s="33" t="s">
        <v>45</v>
      </c>
    </row>
    <row r="10" spans="2:7">
      <c r="B10" s="30">
        <v>8</v>
      </c>
      <c r="C10" s="31" t="s">
        <v>102</v>
      </c>
      <c r="D10" s="32" t="s">
        <v>125</v>
      </c>
      <c r="E10" s="33"/>
    </row>
    <row r="11" spans="2:7">
      <c r="B11" s="26">
        <v>9</v>
      </c>
      <c r="C11" s="19" t="s">
        <v>103</v>
      </c>
      <c r="D11" s="27" t="s">
        <v>123</v>
      </c>
      <c r="E11" s="28" t="s">
        <v>45</v>
      </c>
    </row>
    <row r="12" spans="2:7">
      <c r="B12" s="26">
        <v>10</v>
      </c>
      <c r="C12" s="27" t="s">
        <v>110</v>
      </c>
      <c r="D12" s="27" t="s">
        <v>123</v>
      </c>
      <c r="E12" s="28" t="s">
        <v>45</v>
      </c>
    </row>
    <row r="13" spans="2:7">
      <c r="B13" s="30">
        <v>11</v>
      </c>
      <c r="C13" s="32" t="s">
        <v>111</v>
      </c>
      <c r="D13" s="32" t="s">
        <v>125</v>
      </c>
      <c r="E13" s="33" t="s">
        <v>45</v>
      </c>
    </row>
    <row r="14" spans="2:7">
      <c r="B14" s="26">
        <v>12</v>
      </c>
      <c r="C14" s="27" t="s">
        <v>112</v>
      </c>
      <c r="D14" s="27" t="s">
        <v>123</v>
      </c>
      <c r="E14" s="28" t="s">
        <v>45</v>
      </c>
    </row>
    <row r="15" spans="2:7">
      <c r="B15" s="34">
        <v>13</v>
      </c>
      <c r="C15" s="35" t="s">
        <v>126</v>
      </c>
      <c r="D15" s="35" t="s">
        <v>72</v>
      </c>
      <c r="E15" s="36" t="s">
        <v>46</v>
      </c>
    </row>
  </sheetData>
  <dataValidations count="1">
    <dataValidation type="list" allowBlank="1" showInputMessage="1" showErrorMessage="1" sqref="D3:D14">
      <formula1>$G$2:$G$5</formula1>
    </dataValidation>
  </dataValidation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" sqref="B1"/>
    </sheetView>
  </sheetViews>
  <sheetFormatPr defaultColWidth="11.42578125" defaultRowHeight="15"/>
  <cols>
    <col min="1" max="1" width="18.85546875" customWidth="1"/>
    <col min="2" max="4" width="47.140625" customWidth="1"/>
  </cols>
  <sheetData>
    <row r="1" spans="1:4">
      <c r="A1" s="38">
        <v>1</v>
      </c>
      <c r="B1" s="188" t="s">
        <v>140</v>
      </c>
      <c r="C1" s="188" t="s">
        <v>48</v>
      </c>
      <c r="D1" s="194">
        <v>4500000</v>
      </c>
    </row>
    <row r="2" spans="1:4">
      <c r="A2" s="38">
        <v>2</v>
      </c>
      <c r="B2" s="189" t="s">
        <v>91</v>
      </c>
      <c r="C2" s="189" t="s">
        <v>27</v>
      </c>
      <c r="D2" s="195">
        <v>15000000</v>
      </c>
    </row>
    <row r="3" spans="1:4">
      <c r="A3" s="40">
        <v>3</v>
      </c>
      <c r="B3" s="188" t="s">
        <v>370</v>
      </c>
      <c r="C3" s="188" t="s">
        <v>371</v>
      </c>
      <c r="D3" s="194">
        <v>20000000</v>
      </c>
    </row>
    <row r="4" spans="1:4">
      <c r="A4" s="22">
        <v>4</v>
      </c>
      <c r="B4" s="189"/>
      <c r="C4" s="189"/>
      <c r="D4" s="195"/>
    </row>
    <row r="5" spans="1:4">
      <c r="A5" s="22">
        <v>5</v>
      </c>
      <c r="B5" s="188"/>
      <c r="C5" s="188"/>
      <c r="D5" s="194"/>
    </row>
    <row r="6" spans="1:4">
      <c r="A6" s="22">
        <v>6</v>
      </c>
      <c r="B6" s="189" t="s">
        <v>90</v>
      </c>
      <c r="C6" s="189" t="s">
        <v>141</v>
      </c>
      <c r="D6" s="195">
        <v>4500000</v>
      </c>
    </row>
    <row r="7" spans="1:4">
      <c r="A7" s="38">
        <v>7</v>
      </c>
      <c r="B7" s="188"/>
      <c r="C7" s="188"/>
      <c r="D7" s="194"/>
    </row>
    <row r="8" spans="1:4">
      <c r="A8" s="38">
        <v>8</v>
      </c>
      <c r="B8" s="189"/>
      <c r="C8" s="189"/>
      <c r="D8" s="195"/>
    </row>
    <row r="9" spans="1:4">
      <c r="A9" s="38">
        <v>9</v>
      </c>
      <c r="B9" s="188" t="s">
        <v>118</v>
      </c>
      <c r="C9" s="188"/>
      <c r="D9" s="194">
        <v>20000000</v>
      </c>
    </row>
    <row r="10" spans="1:4">
      <c r="A10" s="22">
        <v>10</v>
      </c>
      <c r="B10" s="189" t="s">
        <v>134</v>
      </c>
      <c r="C10" s="189" t="s">
        <v>133</v>
      </c>
      <c r="D10" s="195">
        <v>22000000</v>
      </c>
    </row>
    <row r="11" spans="1:4">
      <c r="A11" s="38">
        <v>11</v>
      </c>
      <c r="B11" s="188" t="s">
        <v>181</v>
      </c>
      <c r="C11" s="188" t="s">
        <v>294</v>
      </c>
      <c r="D11" s="194">
        <v>2500000</v>
      </c>
    </row>
    <row r="12" spans="1:4">
      <c r="A12" s="38">
        <v>12</v>
      </c>
      <c r="B12" s="189"/>
      <c r="C12" s="189"/>
      <c r="D12" s="195"/>
    </row>
    <row r="13" spans="1:4">
      <c r="A13" s="38">
        <v>13</v>
      </c>
      <c r="B13" s="188"/>
      <c r="C13" s="188"/>
      <c r="D13" s="193"/>
    </row>
    <row r="14" spans="1:4">
      <c r="A14" s="38">
        <v>14</v>
      </c>
      <c r="B14" s="189"/>
      <c r="C14" s="189"/>
      <c r="D14" s="192"/>
    </row>
    <row r="15" spans="1:4">
      <c r="A15" s="38">
        <v>15</v>
      </c>
      <c r="B15" s="188"/>
      <c r="C15" s="188"/>
      <c r="D15" s="193"/>
    </row>
    <row r="16" spans="1:4">
      <c r="A16" s="190">
        <v>16</v>
      </c>
      <c r="B16" s="189"/>
      <c r="C16" s="189"/>
      <c r="D16" s="192"/>
    </row>
    <row r="17" spans="1:4">
      <c r="A17" s="191">
        <v>17</v>
      </c>
      <c r="B17" s="188"/>
      <c r="C17" s="188"/>
      <c r="D17" s="193"/>
    </row>
    <row r="19" spans="1:4">
      <c r="B19" t="s">
        <v>151</v>
      </c>
      <c r="D19" s="198">
        <f>D18+D17+D16+D15+D14+D13+D12+D11+D10+D9+D8+D7+D6+D5+D4+D3+D2+D1</f>
        <v>88500000</v>
      </c>
    </row>
    <row r="20" spans="1:4">
      <c r="D20" s="199">
        <f>D19*79</f>
        <v>6991500000</v>
      </c>
    </row>
    <row r="21" spans="1:4">
      <c r="B21" s="200">
        <v>1000</v>
      </c>
      <c r="C21" t="s">
        <v>372</v>
      </c>
      <c r="D21" s="201">
        <f>D20/B21</f>
        <v>6991500</v>
      </c>
    </row>
    <row r="23" spans="1:4">
      <c r="C23" t="s">
        <v>373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20" sqref="C20"/>
    </sheetView>
  </sheetViews>
  <sheetFormatPr defaultColWidth="11.42578125" defaultRowHeight="15"/>
  <cols>
    <col min="1" max="1" width="14.140625" style="21" bestFit="1" customWidth="1"/>
    <col min="2" max="2" width="25.42578125" style="21" bestFit="1" customWidth="1"/>
    <col min="3" max="3" width="26.42578125" style="21" bestFit="1" customWidth="1"/>
    <col min="4" max="7" width="11.42578125" style="21"/>
    <col min="8" max="8" width="17" style="21" bestFit="1" customWidth="1"/>
    <col min="9" max="9" width="24.7109375" style="21" bestFit="1" customWidth="1"/>
    <col min="10" max="16384" width="11.42578125" style="21"/>
  </cols>
  <sheetData>
    <row r="1" spans="1:9">
      <c r="A1" s="203" t="s">
        <v>404</v>
      </c>
    </row>
    <row r="4" spans="1:9">
      <c r="B4" s="202" t="s">
        <v>17</v>
      </c>
      <c r="C4" s="204" t="s">
        <v>374</v>
      </c>
      <c r="I4" s="21" t="s">
        <v>408</v>
      </c>
    </row>
    <row r="5" spans="1:9">
      <c r="H5" s="21" t="s">
        <v>409</v>
      </c>
      <c r="I5" s="206">
        <v>10000000</v>
      </c>
    </row>
    <row r="6" spans="1:9">
      <c r="A6" s="213" t="s">
        <v>387</v>
      </c>
      <c r="B6" s="214" t="s">
        <v>384</v>
      </c>
      <c r="C6" s="215">
        <v>25000000</v>
      </c>
      <c r="H6" s="21" t="s">
        <v>410</v>
      </c>
      <c r="I6" s="206">
        <v>7500000</v>
      </c>
    </row>
    <row r="7" spans="1:9">
      <c r="A7" s="213" t="s">
        <v>387</v>
      </c>
      <c r="B7" s="214" t="s">
        <v>385</v>
      </c>
      <c r="C7" s="215">
        <v>5000000</v>
      </c>
      <c r="H7" s="21" t="s">
        <v>411</v>
      </c>
      <c r="I7" s="206">
        <v>2500000</v>
      </c>
    </row>
    <row r="8" spans="1:9">
      <c r="H8" s="21" t="s">
        <v>412</v>
      </c>
      <c r="I8" s="206">
        <v>5000000</v>
      </c>
    </row>
    <row r="9" spans="1:9">
      <c r="H9" s="21" t="s">
        <v>413</v>
      </c>
      <c r="I9" s="206">
        <v>25000000</v>
      </c>
    </row>
    <row r="10" spans="1:9">
      <c r="H10" s="21" t="s">
        <v>414</v>
      </c>
      <c r="I10" s="206">
        <v>22500000</v>
      </c>
    </row>
    <row r="11" spans="1:9">
      <c r="C11" s="205"/>
      <c r="H11" s="21" t="s">
        <v>415</v>
      </c>
      <c r="I11" s="206">
        <v>11500000</v>
      </c>
    </row>
    <row r="12" spans="1:9">
      <c r="B12" s="21" t="s">
        <v>151</v>
      </c>
      <c r="C12" s="205">
        <f>C6+C7+C8+C9+C10+C11</f>
        <v>30000000</v>
      </c>
      <c r="H12" s="21" t="s">
        <v>416</v>
      </c>
      <c r="I12" s="206">
        <v>11000000</v>
      </c>
    </row>
    <row r="13" spans="1:9">
      <c r="H13" s="21" t="s">
        <v>417</v>
      </c>
      <c r="I13" s="206">
        <v>5000000</v>
      </c>
    </row>
    <row r="14" spans="1:9">
      <c r="I14" s="206"/>
    </row>
    <row r="15" spans="1:9">
      <c r="H15" s="21" t="s">
        <v>151</v>
      </c>
      <c r="I15" s="206">
        <f>I5+I6+I7+I8+I9+I10+I11+I12+I13+I14</f>
        <v>100000000</v>
      </c>
    </row>
    <row r="16" spans="1:9">
      <c r="B16" s="202" t="s">
        <v>377</v>
      </c>
      <c r="C16" s="207">
        <v>5000000</v>
      </c>
    </row>
    <row r="17" spans="1:3">
      <c r="B17" s="202" t="s">
        <v>378</v>
      </c>
      <c r="C17" s="207">
        <f>C12</f>
        <v>30000000</v>
      </c>
    </row>
    <row r="19" spans="1:3">
      <c r="A19" s="21">
        <v>1</v>
      </c>
      <c r="B19" s="21" t="s">
        <v>404</v>
      </c>
      <c r="C19" s="207">
        <v>0.1</v>
      </c>
    </row>
    <row r="20" spans="1:3">
      <c r="B20" s="21" t="s">
        <v>407</v>
      </c>
      <c r="C20" s="208">
        <f>C17/C19</f>
        <v>300000000</v>
      </c>
    </row>
    <row r="21" spans="1:3">
      <c r="B21" s="21" t="s">
        <v>408</v>
      </c>
      <c r="C21" s="208">
        <v>100000000</v>
      </c>
    </row>
    <row r="22" spans="1:3">
      <c r="A22" s="21" t="s">
        <v>151</v>
      </c>
      <c r="B22" s="21" t="s">
        <v>404</v>
      </c>
      <c r="C22" s="208">
        <f>C20+C21</f>
        <v>400000000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8" sqref="E8"/>
    </sheetView>
  </sheetViews>
  <sheetFormatPr defaultColWidth="11.42578125" defaultRowHeight="15"/>
  <cols>
    <col min="1" max="1" width="14.140625" style="21" bestFit="1" customWidth="1"/>
    <col min="2" max="2" width="25.42578125" style="21" bestFit="1" customWidth="1"/>
    <col min="3" max="3" width="24.7109375" style="21" bestFit="1" customWidth="1"/>
    <col min="4" max="7" width="11.42578125" style="21"/>
    <col min="8" max="8" width="17" style="21" bestFit="1" customWidth="1"/>
    <col min="9" max="9" width="20" style="21" bestFit="1" customWidth="1"/>
    <col min="10" max="16384" width="11.42578125" style="21"/>
  </cols>
  <sheetData>
    <row r="1" spans="1:11">
      <c r="A1" s="203" t="s">
        <v>397</v>
      </c>
      <c r="B1" s="203"/>
    </row>
    <row r="2" spans="1:11">
      <c r="A2" s="203" t="s">
        <v>398</v>
      </c>
      <c r="B2" s="203"/>
    </row>
    <row r="3" spans="1:11">
      <c r="A3" s="203"/>
      <c r="B3" s="203"/>
      <c r="I3" s="21" t="s">
        <v>408</v>
      </c>
    </row>
    <row r="4" spans="1:11">
      <c r="B4" s="202" t="s">
        <v>17</v>
      </c>
      <c r="C4" s="204" t="s">
        <v>374</v>
      </c>
      <c r="H4" s="21" t="s">
        <v>409</v>
      </c>
      <c r="I4" s="206">
        <v>20000000</v>
      </c>
      <c r="K4" s="209">
        <f>I4/$C$22</f>
        <v>0.04</v>
      </c>
    </row>
    <row r="5" spans="1:11">
      <c r="B5" s="214" t="s">
        <v>261</v>
      </c>
      <c r="C5" s="215">
        <v>15000000</v>
      </c>
      <c r="H5" s="21" t="s">
        <v>410</v>
      </c>
      <c r="I5" s="206">
        <v>5000000</v>
      </c>
      <c r="K5" s="209">
        <f t="shared" ref="K5:K14" si="0">I5/$C$22</f>
        <v>0.01</v>
      </c>
    </row>
    <row r="6" spans="1:11">
      <c r="B6" s="202"/>
      <c r="C6" s="205"/>
      <c r="H6" s="21" t="s">
        <v>411</v>
      </c>
      <c r="I6" s="206">
        <v>1000000</v>
      </c>
      <c r="K6" s="209">
        <f t="shared" si="0"/>
        <v>2E-3</v>
      </c>
    </row>
    <row r="7" spans="1:11">
      <c r="B7" s="217" t="s">
        <v>370</v>
      </c>
      <c r="C7" s="218">
        <v>25000000</v>
      </c>
      <c r="H7" s="21" t="s">
        <v>412</v>
      </c>
      <c r="I7" s="206">
        <v>1000000</v>
      </c>
      <c r="K7" s="209">
        <f t="shared" si="0"/>
        <v>2E-3</v>
      </c>
    </row>
    <row r="8" spans="1:11">
      <c r="B8" s="202"/>
      <c r="C8" s="205"/>
      <c r="H8" s="21" t="s">
        <v>413</v>
      </c>
      <c r="I8" s="206">
        <v>20000000</v>
      </c>
      <c r="K8" s="209">
        <f t="shared" si="0"/>
        <v>0.04</v>
      </c>
    </row>
    <row r="9" spans="1:11">
      <c r="B9" s="202"/>
      <c r="C9" s="205"/>
      <c r="H9" s="21" t="s">
        <v>414</v>
      </c>
      <c r="I9" s="206">
        <v>18000000</v>
      </c>
      <c r="K9" s="209">
        <f t="shared" si="0"/>
        <v>3.5999999999999997E-2</v>
      </c>
    </row>
    <row r="10" spans="1:11">
      <c r="B10" s="202"/>
      <c r="C10" s="205"/>
      <c r="H10" s="21" t="s">
        <v>415</v>
      </c>
      <c r="I10" s="206">
        <v>10000000</v>
      </c>
      <c r="K10" s="209">
        <f t="shared" si="0"/>
        <v>0.02</v>
      </c>
    </row>
    <row r="11" spans="1:11">
      <c r="C11" s="205"/>
      <c r="H11" s="21" t="s">
        <v>416</v>
      </c>
      <c r="I11" s="206">
        <v>9000000</v>
      </c>
      <c r="K11" s="209">
        <f t="shared" si="0"/>
        <v>1.7999999999999999E-2</v>
      </c>
    </row>
    <row r="12" spans="1:11">
      <c r="C12" s="205"/>
      <c r="H12" s="21" t="s">
        <v>417</v>
      </c>
      <c r="I12" s="206">
        <v>2000000</v>
      </c>
      <c r="K12" s="209">
        <f t="shared" si="0"/>
        <v>4.0000000000000001E-3</v>
      </c>
    </row>
    <row r="13" spans="1:11">
      <c r="H13" s="21" t="s">
        <v>408</v>
      </c>
      <c r="I13" s="206">
        <v>14000000</v>
      </c>
      <c r="J13" s="21" t="s">
        <v>423</v>
      </c>
      <c r="K13" s="209">
        <f t="shared" si="0"/>
        <v>2.8000000000000001E-2</v>
      </c>
    </row>
    <row r="14" spans="1:11">
      <c r="H14" s="21" t="s">
        <v>151</v>
      </c>
      <c r="I14" s="206">
        <f>I4+I5+I6+I7+I8+I9+I10+I11+I12+I13</f>
        <v>100000000</v>
      </c>
      <c r="K14" s="209">
        <f t="shared" si="0"/>
        <v>0.2</v>
      </c>
    </row>
    <row r="16" spans="1:11">
      <c r="B16" s="202" t="s">
        <v>377</v>
      </c>
      <c r="C16" s="207">
        <v>15000000</v>
      </c>
    </row>
    <row r="17" spans="1:3">
      <c r="B17" s="202" t="s">
        <v>378</v>
      </c>
      <c r="C17" s="207">
        <f>C5+C6+C7+C8+C9+C10+C11</f>
        <v>40000000</v>
      </c>
    </row>
    <row r="19" spans="1:3">
      <c r="A19" s="21">
        <v>1</v>
      </c>
      <c r="B19" s="21" t="s">
        <v>397</v>
      </c>
      <c r="C19" s="207">
        <v>0.1</v>
      </c>
    </row>
    <row r="20" spans="1:3">
      <c r="B20" s="21" t="s">
        <v>418</v>
      </c>
      <c r="C20" s="208">
        <f>C17/C19</f>
        <v>400000000</v>
      </c>
    </row>
    <row r="21" spans="1:3">
      <c r="B21" s="21" t="s">
        <v>408</v>
      </c>
      <c r="C21" s="208">
        <v>100000000</v>
      </c>
    </row>
    <row r="22" spans="1:3">
      <c r="A22" s="21" t="s">
        <v>151</v>
      </c>
      <c r="B22" s="21" t="s">
        <v>399</v>
      </c>
      <c r="C22" s="208">
        <f>C20+C21</f>
        <v>500000000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0" sqref="B10"/>
    </sheetView>
  </sheetViews>
  <sheetFormatPr defaultColWidth="11.42578125" defaultRowHeight="15"/>
  <cols>
    <col min="1" max="1" width="15.7109375" style="21" bestFit="1" customWidth="1"/>
    <col min="2" max="2" width="28.85546875" style="21" bestFit="1" customWidth="1"/>
    <col min="3" max="3" width="29.7109375" style="21" bestFit="1" customWidth="1"/>
    <col min="4" max="6" width="11.42578125" style="21"/>
    <col min="7" max="7" width="19.28515625" style="21" bestFit="1" customWidth="1"/>
    <col min="8" max="8" width="22.140625" style="21" bestFit="1" customWidth="1"/>
    <col min="9" max="16384" width="11.42578125" style="21"/>
  </cols>
  <sheetData>
    <row r="1" spans="1:8">
      <c r="A1" s="203" t="s">
        <v>383</v>
      </c>
    </row>
    <row r="2" spans="1:8">
      <c r="B2" s="202" t="s">
        <v>17</v>
      </c>
      <c r="C2" s="204" t="s">
        <v>374</v>
      </c>
      <c r="H2" s="21" t="s">
        <v>408</v>
      </c>
    </row>
    <row r="3" spans="1:8">
      <c r="B3" s="202"/>
      <c r="C3" s="205"/>
      <c r="G3" s="21" t="s">
        <v>409</v>
      </c>
      <c r="H3" s="206">
        <v>3000000</v>
      </c>
    </row>
    <row r="4" spans="1:8">
      <c r="B4" s="219" t="s">
        <v>395</v>
      </c>
      <c r="C4" s="220">
        <v>10000000</v>
      </c>
      <c r="G4" s="21" t="s">
        <v>410</v>
      </c>
      <c r="H4" s="206">
        <v>1800000</v>
      </c>
    </row>
    <row r="5" spans="1:8">
      <c r="B5" s="214" t="s">
        <v>396</v>
      </c>
      <c r="C5" s="215">
        <v>3000000</v>
      </c>
      <c r="G5" s="21" t="s">
        <v>411</v>
      </c>
      <c r="H5" s="206">
        <v>500000</v>
      </c>
    </row>
    <row r="6" spans="1:8">
      <c r="B6" s="202"/>
      <c r="C6" s="205"/>
      <c r="G6" s="21" t="s">
        <v>412</v>
      </c>
      <c r="H6" s="206">
        <v>200000</v>
      </c>
    </row>
    <row r="7" spans="1:8">
      <c r="B7" s="202"/>
      <c r="C7" s="205"/>
      <c r="G7" s="21" t="s">
        <v>413</v>
      </c>
      <c r="H7" s="206">
        <v>5000000</v>
      </c>
    </row>
    <row r="8" spans="1:8">
      <c r="B8" s="202"/>
      <c r="C8" s="205"/>
      <c r="G8" s="21" t="s">
        <v>414</v>
      </c>
      <c r="H8" s="206">
        <v>4000000</v>
      </c>
    </row>
    <row r="9" spans="1:8">
      <c r="C9" s="205"/>
      <c r="G9" s="21" t="s">
        <v>415</v>
      </c>
      <c r="H9" s="206">
        <v>3000000</v>
      </c>
    </row>
    <row r="10" spans="1:8">
      <c r="C10" s="205"/>
      <c r="G10" s="21" t="s">
        <v>416</v>
      </c>
      <c r="H10" s="206">
        <v>2000000</v>
      </c>
    </row>
    <row r="11" spans="1:8">
      <c r="G11" s="21" t="s">
        <v>417</v>
      </c>
      <c r="H11" s="206">
        <v>500000</v>
      </c>
    </row>
    <row r="12" spans="1:8">
      <c r="H12" s="206"/>
    </row>
    <row r="13" spans="1:8">
      <c r="G13" s="21" t="s">
        <v>151</v>
      </c>
      <c r="H13" s="206">
        <f>H3+H4+H5+H6+H7+H8+H9+H10+H11+H12</f>
        <v>20000000</v>
      </c>
    </row>
    <row r="14" spans="1:8">
      <c r="B14" s="202" t="s">
        <v>377</v>
      </c>
      <c r="C14" s="207">
        <v>5000000</v>
      </c>
    </row>
    <row r="15" spans="1:8">
      <c r="B15" s="202" t="s">
        <v>378</v>
      </c>
      <c r="C15" s="207">
        <f>C3+C4+C5+C6+C7+C8+C9</f>
        <v>13000000</v>
      </c>
    </row>
    <row r="17" spans="1:3">
      <c r="A17" s="21">
        <v>1</v>
      </c>
      <c r="B17" s="21" t="s">
        <v>399</v>
      </c>
      <c r="C17" s="207">
        <v>0.1</v>
      </c>
    </row>
    <row r="18" spans="1:3">
      <c r="B18" s="21" t="s">
        <v>418</v>
      </c>
      <c r="C18" s="208">
        <f>C15/C17</f>
        <v>130000000</v>
      </c>
    </row>
    <row r="19" spans="1:3">
      <c r="B19" s="21" t="s">
        <v>408</v>
      </c>
      <c r="C19" s="208">
        <v>20000000</v>
      </c>
    </row>
    <row r="20" spans="1:3">
      <c r="A20" s="21" t="s">
        <v>151</v>
      </c>
      <c r="B20" s="21" t="s">
        <v>399</v>
      </c>
      <c r="C20" s="208">
        <f>C18+C19</f>
        <v>150000000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Company List</vt:lpstr>
      <vt:lpstr>Asset Valuation</vt:lpstr>
      <vt:lpstr>Statistics</vt:lpstr>
      <vt:lpstr>Symbol Tables</vt:lpstr>
      <vt:lpstr>Advisor Contract Status</vt:lpstr>
      <vt:lpstr>TWEX INDIA</vt:lpstr>
      <vt:lpstr>TWUS</vt:lpstr>
      <vt:lpstr>TW Mov</vt:lpstr>
      <vt:lpstr>TW UAE</vt:lpstr>
      <vt:lpstr>TW Europe</vt:lpstr>
      <vt:lpstr>TWIN</vt:lpstr>
      <vt:lpstr>TWEX %</vt:lpstr>
      <vt:lpstr>TWAF</vt:lpstr>
      <vt:lpstr>TW Magreb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2018-07-05T08:45:37Z</dcterms:modified>
</cp:coreProperties>
</file>