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y222\Desktop\Submission\Gwc-supplementary-data-S2-20240314\2.BaMFA\global\data\"/>
    </mc:Choice>
  </mc:AlternateContent>
  <xr:revisionPtr revIDLastSave="0" documentId="13_ncr:1_{845835CF-7B7F-4A0A-B172-0AA0B355F71E}" xr6:coauthVersionLast="47" xr6:coauthVersionMax="47" xr10:uidLastSave="{00000000-0000-0000-0000-000000000000}"/>
  <bookViews>
    <workbookView xWindow="-108" yWindow="-108" windowWidth="36216" windowHeight="23496" xr2:uid="{FC8AC6DE-3569-4087-A758-6C270FB9C384}"/>
  </bookViews>
  <sheets>
    <sheet name="contents" sheetId="49" r:id="rId1"/>
    <sheet name="regions-conversion-factors" sheetId="48" r:id="rId2"/>
    <sheet name="conversion-factors" sheetId="30" r:id="rId3"/>
    <sheet name="production-mass-balance" sheetId="33" r:id="rId4"/>
    <sheet name="waste" sheetId="47" r:id="rId5"/>
    <sheet name="supporting-percentages" sheetId="35" r:id="rId6"/>
    <sheet name="faostat-data" sheetId="31" r:id="rId7"/>
    <sheet name="woodclass" sheetId="50" r:id="rId8"/>
    <sheet name="woodstock" sheetId="18" r:id="rId9"/>
    <sheet name="woodflow" sheetId="17" r:id="rId10"/>
    <sheet name="woodratio" sheetId="29" r:id="rId11"/>
    <sheet name="changesinstocks-input" sheetId="43" r:id="rId12"/>
    <sheet name="changesinstocks-prior-input" sheetId="42" r:id="rId13"/>
    <sheet name="flows-input" sheetId="44" r:id="rId14"/>
    <sheet name="flows-prior-input" sheetId="45" r:id="rId15"/>
    <sheet name="ratios-input" sheetId="46" r:id="rId16"/>
  </sheets>
  <definedNames>
    <definedName name="_xlnm._FilterDatabase" localSheetId="11" hidden="1">'changesinstocks-input'!$A$1:$Q$91</definedName>
    <definedName name="_xlnm._FilterDatabase" localSheetId="12" hidden="1">'changesinstocks-prior-input'!$A$1:$P$17</definedName>
    <definedName name="_xlnm._FilterDatabase" localSheetId="13" hidden="1">'flows-input'!$A$1:$L$406</definedName>
    <definedName name="_xlnm._FilterDatabase" localSheetId="14" hidden="1">'flows-prior-input'!$A$1:$V$133</definedName>
    <definedName name="ExternalData_1" localSheetId="10" hidden="1">woodratio!$A$1:$I$178</definedName>
    <definedName name="ExternalData_2" localSheetId="9" hidden="1">woodflow!$B$1:$N$646</definedName>
    <definedName name="ExternalData_2" localSheetId="8" hidden="1">woodstock!$A$1:$I$110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9" l="1"/>
  <c r="C15" i="29"/>
  <c r="G15" i="29" s="1"/>
  <c r="D14" i="29"/>
  <c r="C14" i="29"/>
  <c r="G14" i="29" s="1"/>
  <c r="D11" i="29"/>
  <c r="C11" i="29"/>
  <c r="G11" i="29" s="1"/>
  <c r="D10" i="29"/>
  <c r="C10" i="29"/>
  <c r="G10" i="29" s="1"/>
  <c r="D7" i="29"/>
  <c r="C7" i="29"/>
  <c r="G7" i="29" s="1"/>
  <c r="D6" i="29"/>
  <c r="C6" i="29"/>
  <c r="G6" i="29" s="1"/>
  <c r="D3" i="29"/>
  <c r="C3" i="29"/>
  <c r="G3" i="29" s="1"/>
  <c r="D2" i="29"/>
  <c r="C2" i="29"/>
  <c r="G2" i="29" s="1"/>
  <c r="C110" i="18" l="1"/>
  <c r="B110" i="18"/>
  <c r="C108" i="18"/>
  <c r="B108" i="18"/>
  <c r="B106" i="18"/>
  <c r="B105" i="18"/>
  <c r="B104" i="18"/>
  <c r="B103" i="18"/>
  <c r="B102" i="18"/>
  <c r="C101" i="18"/>
  <c r="B101" i="18"/>
  <c r="C100" i="18"/>
  <c r="B100" i="18"/>
  <c r="C99" i="18"/>
  <c r="B99" i="18"/>
  <c r="B98" i="18"/>
  <c r="B97" i="18"/>
  <c r="C95" i="18"/>
  <c r="B95" i="18"/>
  <c r="C94" i="18"/>
  <c r="B94" i="18"/>
  <c r="C93" i="18"/>
  <c r="B93" i="18"/>
  <c r="B91" i="18"/>
  <c r="C90" i="18"/>
  <c r="B90" i="18"/>
  <c r="C89" i="18"/>
  <c r="B89" i="18"/>
  <c r="C88" i="18"/>
  <c r="B88" i="18"/>
  <c r="C87" i="18"/>
  <c r="B87" i="18"/>
  <c r="C86" i="18"/>
  <c r="B86" i="18"/>
  <c r="B85" i="18"/>
  <c r="B83" i="18"/>
  <c r="B82" i="18"/>
  <c r="B81" i="18"/>
  <c r="B80" i="18"/>
  <c r="B79" i="18"/>
  <c r="C78" i="18"/>
  <c r="B77" i="18"/>
  <c r="B76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8" i="18"/>
  <c r="C56" i="18"/>
  <c r="B56" i="18"/>
  <c r="C55" i="18"/>
  <c r="B55" i="18"/>
  <c r="C54" i="18"/>
  <c r="B54" i="18"/>
  <c r="C53" i="18"/>
  <c r="B53" i="18"/>
  <c r="C52" i="18"/>
  <c r="B52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1" i="18"/>
  <c r="B41" i="18"/>
  <c r="C39" i="18"/>
  <c r="B39" i="18"/>
  <c r="C38" i="18"/>
  <c r="B38" i="18"/>
  <c r="C37" i="18"/>
  <c r="B37" i="18"/>
  <c r="C35" i="18"/>
  <c r="B35" i="18"/>
  <c r="C33" i="18"/>
  <c r="B33" i="18"/>
  <c r="C32" i="18"/>
  <c r="B32" i="18"/>
  <c r="C31" i="18"/>
  <c r="B31" i="18"/>
  <c r="C29" i="18"/>
  <c r="B29" i="18"/>
  <c r="C28" i="18"/>
  <c r="B28" i="18"/>
  <c r="C27" i="18"/>
  <c r="B27" i="18"/>
  <c r="C25" i="18"/>
  <c r="B25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7" i="18"/>
  <c r="C5" i="18"/>
  <c r="C4" i="18"/>
  <c r="B4" i="18"/>
  <c r="C3" i="18"/>
  <c r="B3" i="18"/>
  <c r="C2" i="18"/>
  <c r="E646" i="17"/>
  <c r="D646" i="17"/>
  <c r="E643" i="17"/>
  <c r="D643" i="17"/>
  <c r="E640" i="17"/>
  <c r="D640" i="17"/>
  <c r="E639" i="17"/>
  <c r="D639" i="17"/>
  <c r="E638" i="17"/>
  <c r="D638" i="17"/>
  <c r="E637" i="17"/>
  <c r="D637" i="17"/>
  <c r="E636" i="17"/>
  <c r="D636" i="17"/>
  <c r="E635" i="17"/>
  <c r="D635" i="17"/>
  <c r="E634" i="17"/>
  <c r="D634" i="17"/>
  <c r="E631" i="17"/>
  <c r="D631" i="17"/>
  <c r="E630" i="17"/>
  <c r="D630" i="17"/>
  <c r="E629" i="17"/>
  <c r="D629" i="17"/>
  <c r="E628" i="17"/>
  <c r="D628" i="17"/>
  <c r="E627" i="17"/>
  <c r="D627" i="17"/>
  <c r="E626" i="17"/>
  <c r="E623" i="17"/>
  <c r="D623" i="17"/>
  <c r="E620" i="17"/>
  <c r="D620" i="17"/>
  <c r="E619" i="17"/>
  <c r="D619" i="17"/>
  <c r="E618" i="17"/>
  <c r="D618" i="17"/>
  <c r="E617" i="17"/>
  <c r="D617" i="17"/>
  <c r="E616" i="17"/>
  <c r="E613" i="17"/>
  <c r="D613" i="17"/>
  <c r="E612" i="17"/>
  <c r="D612" i="17"/>
  <c r="E611" i="17"/>
  <c r="D611" i="17"/>
  <c r="E610" i="17"/>
  <c r="D610" i="17"/>
  <c r="E609" i="17"/>
  <c r="D609" i="17"/>
  <c r="E608" i="17"/>
  <c r="D608" i="17"/>
  <c r="E607" i="17"/>
  <c r="E604" i="17"/>
  <c r="D604" i="17"/>
  <c r="E601" i="17"/>
  <c r="D601" i="17"/>
  <c r="E600" i="17"/>
  <c r="D600" i="17"/>
  <c r="E599" i="17"/>
  <c r="E596" i="17"/>
  <c r="D596" i="17"/>
  <c r="E593" i="17"/>
  <c r="D593" i="17"/>
  <c r="E592" i="17"/>
  <c r="D592" i="17"/>
  <c r="E591" i="17"/>
  <c r="E588" i="17"/>
  <c r="D588" i="17"/>
  <c r="E587" i="17"/>
  <c r="D587" i="17"/>
  <c r="E584" i="17"/>
  <c r="D584" i="17"/>
  <c r="E581" i="17"/>
  <c r="D581" i="17"/>
  <c r="E580" i="17"/>
  <c r="D580" i="17"/>
  <c r="E579" i="17"/>
  <c r="D579" i="17"/>
  <c r="E578" i="17"/>
  <c r="D578" i="17"/>
  <c r="E575" i="17"/>
  <c r="D575" i="17"/>
  <c r="E574" i="17"/>
  <c r="D574" i="17"/>
  <c r="E573" i="17"/>
  <c r="D573" i="17"/>
  <c r="E572" i="17"/>
  <c r="D572" i="17"/>
  <c r="E569" i="17"/>
  <c r="D569" i="17"/>
  <c r="E568" i="17"/>
  <c r="D568" i="17"/>
  <c r="E565" i="17"/>
  <c r="D565" i="17"/>
  <c r="E562" i="17"/>
  <c r="D562" i="17"/>
  <c r="E559" i="17"/>
  <c r="D559" i="17"/>
  <c r="E558" i="17"/>
  <c r="D558" i="17"/>
  <c r="E557" i="17"/>
  <c r="D557" i="17"/>
  <c r="E556" i="17"/>
  <c r="D556" i="17"/>
  <c r="E555" i="17"/>
  <c r="D555" i="17"/>
  <c r="E554" i="17"/>
  <c r="D554" i="17"/>
  <c r="E553" i="17"/>
  <c r="D553" i="17"/>
  <c r="E550" i="17"/>
  <c r="D550" i="17"/>
  <c r="E549" i="17"/>
  <c r="D549" i="17"/>
  <c r="E548" i="17"/>
  <c r="D548" i="17"/>
  <c r="E547" i="17"/>
  <c r="D547" i="17"/>
  <c r="E546" i="17"/>
  <c r="D546" i="17"/>
  <c r="E545" i="17"/>
  <c r="E542" i="17"/>
  <c r="D542" i="17"/>
  <c r="E539" i="17"/>
  <c r="D539" i="17"/>
  <c r="E538" i="17"/>
  <c r="D538" i="17"/>
  <c r="E537" i="17"/>
  <c r="D537" i="17"/>
  <c r="E536" i="17"/>
  <c r="D536" i="17"/>
  <c r="E535" i="17"/>
  <c r="E532" i="17"/>
  <c r="D532" i="17"/>
  <c r="E531" i="17"/>
  <c r="D531" i="17"/>
  <c r="E530" i="17"/>
  <c r="D530" i="17"/>
  <c r="E529" i="17"/>
  <c r="D529" i="17"/>
  <c r="E528" i="17"/>
  <c r="D528" i="17"/>
  <c r="E527" i="17"/>
  <c r="D527" i="17"/>
  <c r="E526" i="17"/>
  <c r="E523" i="17"/>
  <c r="D523" i="17"/>
  <c r="E520" i="17"/>
  <c r="D520" i="17"/>
  <c r="E519" i="17"/>
  <c r="D519" i="17"/>
  <c r="E518" i="17"/>
  <c r="E515" i="17"/>
  <c r="D515" i="17"/>
  <c r="E512" i="17"/>
  <c r="D512" i="17"/>
  <c r="E511" i="17"/>
  <c r="D511" i="17"/>
  <c r="E510" i="17"/>
  <c r="E507" i="17"/>
  <c r="D507" i="17"/>
  <c r="E506" i="17"/>
  <c r="D506" i="17"/>
  <c r="E503" i="17"/>
  <c r="D503" i="17"/>
  <c r="E500" i="17"/>
  <c r="D500" i="17"/>
  <c r="E499" i="17"/>
  <c r="D499" i="17"/>
  <c r="E498" i="17"/>
  <c r="D498" i="17"/>
  <c r="E497" i="17"/>
  <c r="D497" i="17"/>
  <c r="E494" i="17"/>
  <c r="D494" i="17"/>
  <c r="E493" i="17"/>
  <c r="D493" i="17"/>
  <c r="E492" i="17"/>
  <c r="D492" i="17"/>
  <c r="E491" i="17"/>
  <c r="D491" i="17"/>
  <c r="E488" i="17"/>
  <c r="D488" i="17"/>
  <c r="E487" i="17"/>
  <c r="D487" i="17"/>
  <c r="E484" i="17"/>
  <c r="E481" i="17"/>
  <c r="D481" i="17"/>
  <c r="E480" i="17"/>
  <c r="D480" i="17"/>
  <c r="E479" i="17"/>
  <c r="D476" i="17"/>
  <c r="E473" i="17"/>
  <c r="E470" i="17"/>
  <c r="D470" i="17"/>
  <c r="D469" i="17"/>
  <c r="D468" i="17"/>
  <c r="D467" i="17"/>
  <c r="D466" i="17"/>
  <c r="E465" i="17"/>
  <c r="D465" i="17"/>
  <c r="E464" i="17"/>
  <c r="D464" i="17"/>
  <c r="D463" i="17"/>
  <c r="D462" i="17"/>
  <c r="E461" i="17"/>
  <c r="E458" i="17"/>
  <c r="D458" i="17"/>
  <c r="D457" i="17"/>
  <c r="D456" i="17"/>
  <c r="D455" i="17"/>
  <c r="D454" i="17"/>
  <c r="E453" i="17"/>
  <c r="D453" i="17"/>
  <c r="E452" i="17"/>
  <c r="D452" i="17"/>
  <c r="D451" i="17"/>
  <c r="D450" i="17"/>
  <c r="E449" i="17"/>
  <c r="E446" i="17"/>
  <c r="E443" i="17"/>
  <c r="D443" i="17"/>
  <c r="D442" i="17"/>
  <c r="D441" i="17"/>
  <c r="D440" i="17"/>
  <c r="D439" i="17"/>
  <c r="E438" i="17"/>
  <c r="D438" i="17"/>
  <c r="E437" i="17"/>
  <c r="D437" i="17"/>
  <c r="D436" i="17"/>
  <c r="D435" i="17"/>
  <c r="E434" i="17"/>
  <c r="E431" i="17"/>
  <c r="E428" i="17"/>
  <c r="D428" i="17"/>
  <c r="D427" i="17"/>
  <c r="D426" i="17"/>
  <c r="D425" i="17"/>
  <c r="D424" i="17"/>
  <c r="E423" i="17"/>
  <c r="D423" i="17"/>
  <c r="E422" i="17"/>
  <c r="D422" i="17"/>
  <c r="D421" i="17"/>
  <c r="D420" i="17"/>
  <c r="E419" i="17"/>
  <c r="E416" i="17"/>
  <c r="D413" i="17"/>
  <c r="D412" i="17"/>
  <c r="D411" i="17"/>
  <c r="D410" i="17"/>
  <c r="D409" i="17"/>
  <c r="E408" i="17"/>
  <c r="E407" i="17"/>
  <c r="D407" i="17"/>
  <c r="D406" i="17"/>
  <c r="D405" i="17"/>
  <c r="E404" i="17"/>
  <c r="D401" i="17"/>
  <c r="D400" i="17"/>
  <c r="D399" i="17"/>
  <c r="D398" i="17"/>
  <c r="D397" i="17"/>
  <c r="E396" i="17"/>
  <c r="D396" i="17"/>
  <c r="D395" i="17"/>
  <c r="D394" i="17"/>
  <c r="D393" i="17"/>
  <c r="E392" i="17"/>
  <c r="E389" i="17"/>
  <c r="E386" i="17"/>
  <c r="D383" i="17"/>
  <c r="E382" i="17"/>
  <c r="D382" i="17"/>
  <c r="D381" i="17"/>
  <c r="D380" i="17"/>
  <c r="D379" i="17"/>
  <c r="E378" i="17"/>
  <c r="D378" i="17"/>
  <c r="E377" i="17"/>
  <c r="D377" i="17"/>
  <c r="E376" i="17"/>
  <c r="E373" i="17"/>
  <c r="E370" i="17"/>
  <c r="E367" i="17"/>
  <c r="E364" i="17"/>
  <c r="E361" i="17"/>
  <c r="E358" i="17"/>
  <c r="E355" i="17"/>
  <c r="E352" i="17"/>
  <c r="E349" i="17"/>
  <c r="E346" i="17"/>
  <c r="E343" i="17"/>
  <c r="D340" i="17"/>
  <c r="E339" i="17"/>
  <c r="D339" i="17"/>
  <c r="D338" i="17"/>
  <c r="D337" i="17"/>
  <c r="D336" i="17"/>
  <c r="E335" i="17"/>
  <c r="D335" i="17"/>
  <c r="E334" i="17"/>
  <c r="D334" i="17"/>
  <c r="E333" i="17"/>
  <c r="E330" i="17"/>
  <c r="D330" i="17"/>
  <c r="E329" i="17"/>
  <c r="D329" i="17"/>
  <c r="E328" i="17"/>
  <c r="D328" i="17"/>
  <c r="E327" i="17"/>
  <c r="D327" i="17"/>
  <c r="E326" i="17"/>
  <c r="D326" i="17"/>
  <c r="E325" i="17"/>
  <c r="E322" i="17"/>
  <c r="D322" i="17"/>
  <c r="E319" i="17"/>
  <c r="D319" i="17"/>
  <c r="E318" i="17"/>
  <c r="D318" i="17"/>
  <c r="E317" i="17"/>
  <c r="D317" i="17"/>
  <c r="E316" i="17"/>
  <c r="D316" i="17"/>
  <c r="E315" i="17"/>
  <c r="D315" i="17"/>
  <c r="E314" i="17"/>
  <c r="E311" i="17"/>
  <c r="D311" i="17"/>
  <c r="E308" i="17"/>
  <c r="E307" i="17"/>
  <c r="D307" i="17"/>
  <c r="E306" i="17"/>
  <c r="E305" i="17"/>
  <c r="E304" i="17"/>
  <c r="E301" i="17"/>
  <c r="D301" i="17"/>
  <c r="E300" i="17"/>
  <c r="D300" i="17"/>
  <c r="E299" i="17"/>
  <c r="D299" i="17"/>
  <c r="E298" i="17"/>
  <c r="D298" i="17"/>
  <c r="E297" i="17"/>
  <c r="D297" i="17"/>
  <c r="E296" i="17"/>
  <c r="E293" i="17"/>
  <c r="D293" i="17"/>
  <c r="E292" i="17"/>
  <c r="D292" i="17"/>
  <c r="E291" i="17"/>
  <c r="D291" i="17"/>
  <c r="E290" i="17"/>
  <c r="D290" i="17"/>
  <c r="E289" i="17"/>
  <c r="D289" i="17"/>
  <c r="E288" i="17"/>
  <c r="E285" i="17"/>
  <c r="D285" i="17"/>
  <c r="E284" i="17"/>
  <c r="D284" i="17"/>
  <c r="E283" i="17"/>
  <c r="D283" i="17"/>
  <c r="E282" i="17"/>
  <c r="D282" i="17"/>
  <c r="E281" i="17"/>
  <c r="D281" i="17"/>
  <c r="E280" i="17"/>
  <c r="E277" i="17"/>
  <c r="D277" i="17"/>
  <c r="E276" i="17"/>
  <c r="D276" i="17"/>
  <c r="E275" i="17"/>
  <c r="D275" i="17"/>
  <c r="E274" i="17"/>
  <c r="D274" i="17"/>
  <c r="E273" i="17"/>
  <c r="D273" i="17"/>
  <c r="E272" i="17"/>
  <c r="E269" i="17"/>
  <c r="D269" i="17"/>
  <c r="D266" i="17"/>
  <c r="D265" i="17"/>
  <c r="D264" i="17"/>
  <c r="E263" i="17"/>
  <c r="D263" i="17"/>
  <c r="D262" i="17"/>
  <c r="E261" i="17"/>
  <c r="D261" i="17"/>
  <c r="E260" i="17"/>
  <c r="D260" i="17"/>
  <c r="D257" i="17"/>
  <c r="D256" i="17"/>
  <c r="D255" i="17"/>
  <c r="E254" i="17"/>
  <c r="D254" i="17"/>
  <c r="D253" i="17"/>
  <c r="E252" i="17"/>
  <c r="D252" i="17"/>
  <c r="E251" i="17"/>
  <c r="D251" i="17"/>
  <c r="E248" i="17"/>
  <c r="D248" i="17"/>
  <c r="D245" i="17"/>
  <c r="D244" i="17"/>
  <c r="D243" i="17"/>
  <c r="E242" i="17"/>
  <c r="D241" i="17"/>
  <c r="E240" i="17"/>
  <c r="D240" i="17"/>
  <c r="E239" i="17"/>
  <c r="D239" i="17"/>
  <c r="D236" i="17"/>
  <c r="D235" i="17"/>
  <c r="D234" i="17"/>
  <c r="E233" i="17"/>
  <c r="D233" i="17"/>
  <c r="D232" i="17"/>
  <c r="E231" i="17"/>
  <c r="D231" i="17"/>
  <c r="E230" i="17"/>
  <c r="D230" i="17"/>
  <c r="E227" i="17"/>
  <c r="E226" i="17"/>
  <c r="D226" i="17"/>
  <c r="E225" i="17"/>
  <c r="D225" i="17"/>
  <c r="E224" i="17"/>
  <c r="E223" i="17"/>
  <c r="E222" i="17"/>
  <c r="E221" i="17"/>
  <c r="D221" i="17"/>
  <c r="D218" i="17"/>
  <c r="D217" i="17"/>
  <c r="D216" i="17"/>
  <c r="D215" i="17"/>
  <c r="D214" i="17"/>
  <c r="E213" i="17"/>
  <c r="D213" i="17"/>
  <c r="E212" i="17"/>
  <c r="D212" i="17"/>
  <c r="E209" i="17"/>
  <c r="D209" i="17"/>
  <c r="D206" i="17"/>
  <c r="D205" i="17"/>
  <c r="D204" i="17"/>
  <c r="D203" i="17"/>
  <c r="D202" i="17"/>
  <c r="E201" i="17"/>
  <c r="D201" i="17"/>
  <c r="E200" i="17"/>
  <c r="D200" i="17"/>
  <c r="E197" i="17"/>
  <c r="D197" i="17"/>
  <c r="D194" i="17"/>
  <c r="E193" i="17"/>
  <c r="D193" i="17"/>
  <c r="E192" i="17"/>
  <c r="D192" i="17"/>
  <c r="D191" i="17"/>
  <c r="D190" i="17"/>
  <c r="D189" i="17"/>
  <c r="E188" i="17"/>
  <c r="D188" i="17"/>
  <c r="D185" i="17"/>
  <c r="E184" i="17"/>
  <c r="D184" i="17"/>
  <c r="E183" i="17"/>
  <c r="D183" i="17"/>
  <c r="D182" i="17"/>
  <c r="D181" i="17"/>
  <c r="D180" i="17"/>
  <c r="E179" i="17"/>
  <c r="D179" i="17"/>
  <c r="D176" i="17"/>
  <c r="D175" i="17"/>
  <c r="D174" i="17"/>
  <c r="D173" i="17"/>
  <c r="D172" i="17"/>
  <c r="D171" i="17"/>
  <c r="E170" i="17"/>
  <c r="D170" i="17"/>
  <c r="D167" i="17"/>
  <c r="D166" i="17"/>
  <c r="D165" i="17"/>
  <c r="D164" i="17"/>
  <c r="D163" i="17"/>
  <c r="D162" i="17"/>
  <c r="E161" i="17"/>
  <c r="D161" i="17"/>
  <c r="E158" i="17"/>
  <c r="D158" i="17"/>
  <c r="E155" i="17"/>
  <c r="D155" i="17"/>
  <c r="E152" i="17"/>
  <c r="D152" i="17"/>
  <c r="E149" i="17"/>
  <c r="D149" i="17"/>
  <c r="E148" i="17"/>
  <c r="D148" i="17"/>
  <c r="E147" i="17"/>
  <c r="E144" i="17"/>
  <c r="D144" i="17"/>
  <c r="E143" i="17"/>
  <c r="D143" i="17"/>
  <c r="E142" i="17"/>
  <c r="E139" i="17"/>
  <c r="D139" i="17"/>
  <c r="E138" i="17"/>
  <c r="D138" i="17"/>
  <c r="E137" i="17"/>
  <c r="E134" i="17"/>
  <c r="D134" i="17"/>
  <c r="E131" i="17"/>
  <c r="D131" i="17"/>
  <c r="E128" i="17"/>
  <c r="D128" i="17"/>
  <c r="E125" i="17"/>
  <c r="D125" i="17"/>
  <c r="E122" i="17"/>
  <c r="D122" i="17"/>
  <c r="D119" i="17"/>
  <c r="E118" i="17"/>
  <c r="D118" i="17"/>
  <c r="E117" i="17"/>
  <c r="D117" i="17"/>
  <c r="D116" i="17"/>
  <c r="D115" i="17"/>
  <c r="D114" i="17"/>
  <c r="E113" i="17"/>
  <c r="D110" i="17"/>
  <c r="E109" i="17"/>
  <c r="D109" i="17"/>
  <c r="E108" i="17"/>
  <c r="D108" i="17"/>
  <c r="D107" i="17"/>
  <c r="E106" i="17"/>
  <c r="D106" i="17"/>
  <c r="E105" i="17"/>
  <c r="D105" i="17"/>
  <c r="D104" i="17"/>
  <c r="E103" i="17"/>
  <c r="E100" i="17"/>
  <c r="D100" i="17"/>
  <c r="E97" i="17"/>
  <c r="D97" i="17"/>
  <c r="E94" i="17"/>
  <c r="D94" i="17"/>
  <c r="E91" i="17"/>
  <c r="E90" i="17"/>
  <c r="E89" i="17"/>
  <c r="E88" i="17"/>
  <c r="D88" i="17"/>
  <c r="E87" i="17"/>
  <c r="E86" i="17"/>
  <c r="D86" i="17"/>
  <c r="E85" i="17"/>
  <c r="D82" i="17"/>
  <c r="D81" i="17"/>
  <c r="E80" i="17"/>
  <c r="E77" i="17"/>
  <c r="D77" i="17"/>
  <c r="E76" i="17"/>
  <c r="D76" i="17"/>
  <c r="E75" i="17"/>
  <c r="D75" i="17"/>
  <c r="E74" i="17"/>
  <c r="D74" i="17"/>
  <c r="D73" i="17"/>
  <c r="D70" i="17"/>
  <c r="D69" i="17"/>
  <c r="E68" i="17"/>
  <c r="D68" i="17"/>
  <c r="D65" i="17"/>
  <c r="D64" i="17"/>
  <c r="E63" i="17"/>
  <c r="D63" i="17"/>
  <c r="E60" i="17"/>
  <c r="D60" i="17"/>
  <c r="E59" i="17"/>
  <c r="D59" i="17"/>
  <c r="D56" i="17"/>
  <c r="D55" i="17"/>
  <c r="E54" i="17"/>
  <c r="D51" i="17"/>
  <c r="E50" i="17"/>
  <c r="D50" i="17"/>
  <c r="E49" i="17"/>
  <c r="E46" i="17"/>
  <c r="D46" i="17"/>
  <c r="E41" i="17"/>
  <c r="E36" i="17"/>
  <c r="E31" i="17"/>
  <c r="E26" i="17"/>
  <c r="E23" i="17"/>
  <c r="D23" i="17"/>
  <c r="E20" i="17"/>
  <c r="D20" i="17"/>
  <c r="E17" i="17"/>
  <c r="D17" i="17"/>
  <c r="E14" i="17"/>
  <c r="D14" i="17"/>
  <c r="E11" i="17"/>
  <c r="D11" i="17"/>
  <c r="E8" i="17"/>
  <c r="D8" i="17"/>
  <c r="E5" i="17"/>
  <c r="D5" i="17"/>
  <c r="E2" i="17"/>
  <c r="D2" i="17"/>
  <c r="L5" i="47" l="1"/>
  <c r="D54" i="30" l="1"/>
  <c r="C54" i="30"/>
  <c r="B54" i="30"/>
  <c r="C35" i="30"/>
  <c r="C34" i="30"/>
  <c r="C33" i="30"/>
  <c r="C32" i="30"/>
  <c r="C31" i="30"/>
  <c r="C26" i="30"/>
  <c r="B57" i="35" l="1"/>
  <c r="O1930" i="48" l="1"/>
  <c r="P1930" i="48" s="1"/>
  <c r="O1931" i="48"/>
  <c r="P1931" i="48" s="1"/>
  <c r="O1932" i="48"/>
  <c r="P1932" i="48" s="1"/>
  <c r="O1933" i="48"/>
  <c r="P1933" i="48" s="1"/>
  <c r="O1934" i="48"/>
  <c r="P1934" i="48" s="1"/>
  <c r="O1935" i="48"/>
  <c r="O1936" i="48"/>
  <c r="P1936" i="48" s="1"/>
  <c r="O1939" i="48"/>
  <c r="P1939" i="48" s="1"/>
  <c r="O1942" i="48"/>
  <c r="P1942" i="48" s="1"/>
  <c r="O1943" i="48"/>
  <c r="R1943" i="48" s="1"/>
  <c r="D11" i="30" s="1"/>
  <c r="O1944" i="48"/>
  <c r="P1944" i="48" s="1"/>
  <c r="O1947" i="48"/>
  <c r="P1947" i="48" s="1"/>
  <c r="O1948" i="48"/>
  <c r="P1948" i="48" s="1"/>
  <c r="O1949" i="48"/>
  <c r="P1949" i="48" s="1"/>
  <c r="O1950" i="48"/>
  <c r="P1950" i="48" s="1"/>
  <c r="O1953" i="48"/>
  <c r="P1953" i="48" s="1"/>
  <c r="O1954" i="48"/>
  <c r="P1954" i="48" s="1"/>
  <c r="O1955" i="48"/>
  <c r="P1955" i="48" s="1"/>
  <c r="O1956" i="48"/>
  <c r="P1956" i="48" s="1"/>
  <c r="O1957" i="48"/>
  <c r="P1957" i="48" s="1"/>
  <c r="O1958" i="48"/>
  <c r="P1958" i="48" s="1"/>
  <c r="O1959" i="48"/>
  <c r="R1959" i="48" s="1"/>
  <c r="D17" i="30" s="1"/>
  <c r="O1960" i="48"/>
  <c r="P1960" i="48" s="1"/>
  <c r="O1961" i="48"/>
  <c r="P1961" i="48" s="1"/>
  <c r="O1962" i="48"/>
  <c r="P1962" i="48" s="1"/>
  <c r="O1963" i="48"/>
  <c r="P1963" i="48" s="1"/>
  <c r="O1964" i="48"/>
  <c r="P1964" i="48" s="1"/>
  <c r="O1965" i="48"/>
  <c r="R1965" i="48" s="1"/>
  <c r="D20" i="30" s="1"/>
  <c r="O1966" i="48"/>
  <c r="P1966" i="48" s="1"/>
  <c r="O1967" i="48"/>
  <c r="O1968" i="48"/>
  <c r="P1968" i="48" s="1"/>
  <c r="O1969" i="48"/>
  <c r="P1969" i="48" s="1"/>
  <c r="O1970" i="48"/>
  <c r="P1970" i="48" s="1"/>
  <c r="O1971" i="48"/>
  <c r="P1971" i="48" s="1"/>
  <c r="O1972" i="48"/>
  <c r="P1972" i="48" s="1"/>
  <c r="O1973" i="48"/>
  <c r="P1973" i="48" s="1"/>
  <c r="O1974" i="48"/>
  <c r="P1974" i="48" s="1"/>
  <c r="O1975" i="48"/>
  <c r="O1976" i="48"/>
  <c r="P1976" i="48" s="1"/>
  <c r="O1977" i="48"/>
  <c r="P1977" i="48" s="1"/>
  <c r="O1978" i="48"/>
  <c r="P1978" i="48" s="1"/>
  <c r="O1979" i="48"/>
  <c r="P1979" i="48" s="1"/>
  <c r="O1980" i="48"/>
  <c r="R1980" i="48" s="1"/>
  <c r="D30" i="30" s="1"/>
  <c r="O1981" i="48"/>
  <c r="P1981" i="48" s="1"/>
  <c r="O1982" i="48"/>
  <c r="P1982" i="48" s="1"/>
  <c r="O1983" i="48"/>
  <c r="O1986" i="48"/>
  <c r="P1986" i="48" s="1"/>
  <c r="O1987" i="48"/>
  <c r="P1987" i="48" s="1"/>
  <c r="O1988" i="48"/>
  <c r="P1988" i="48" s="1"/>
  <c r="O1989" i="48"/>
  <c r="R1989" i="48" s="1"/>
  <c r="D32" i="30" s="1"/>
  <c r="O1990" i="48"/>
  <c r="P1990" i="48" s="1"/>
  <c r="O1991" i="48"/>
  <c r="O1992" i="48"/>
  <c r="P1992" i="48" s="1"/>
  <c r="O1993" i="48"/>
  <c r="P1993" i="48" s="1"/>
  <c r="O1994" i="48"/>
  <c r="P1994" i="48" s="1"/>
  <c r="O1995" i="48"/>
  <c r="P1995" i="48" s="1"/>
  <c r="O1996" i="48"/>
  <c r="P1996" i="48" s="1"/>
  <c r="O1997" i="48"/>
  <c r="P1997" i="48" s="1"/>
  <c r="O1998" i="48"/>
  <c r="P1998" i="48" s="1"/>
  <c r="O1999" i="48"/>
  <c r="O2000" i="48"/>
  <c r="P2000" i="48" s="1"/>
  <c r="O2001" i="48"/>
  <c r="P2001" i="48" s="1"/>
  <c r="O2004" i="48"/>
  <c r="R2004" i="48" s="1"/>
  <c r="D37" i="30" s="1"/>
  <c r="O2005" i="48"/>
  <c r="P2005" i="48" s="1"/>
  <c r="O2006" i="48"/>
  <c r="P2006" i="48" s="1"/>
  <c r="O2007" i="48"/>
  <c r="O2010" i="48"/>
  <c r="P2010" i="48" s="1"/>
  <c r="O2013" i="48"/>
  <c r="P2013" i="48" s="1"/>
  <c r="O2014" i="48"/>
  <c r="P2014" i="48" s="1"/>
  <c r="O2015" i="48"/>
  <c r="O2016" i="48"/>
  <c r="P2016" i="48" s="1"/>
  <c r="O2017" i="48"/>
  <c r="P2017" i="48" s="1"/>
  <c r="O2018" i="48"/>
  <c r="P2018" i="48" s="1"/>
  <c r="O2019" i="48"/>
  <c r="R2019" i="48" s="1"/>
  <c r="O2020" i="48"/>
  <c r="P2020" i="48" s="1"/>
  <c r="O2021" i="48"/>
  <c r="P2021" i="48" s="1"/>
  <c r="O2022" i="48"/>
  <c r="P2022" i="48" s="1"/>
  <c r="O2023" i="48"/>
  <c r="O2024" i="48"/>
  <c r="P2024" i="48" s="1"/>
  <c r="O2025" i="48"/>
  <c r="P2025" i="48" s="1"/>
  <c r="O2028" i="48"/>
  <c r="P2028" i="48" s="1"/>
  <c r="O2031" i="48"/>
  <c r="R2031" i="48" s="1"/>
  <c r="D39" i="30" s="1"/>
  <c r="O2032" i="48"/>
  <c r="P2032" i="48" s="1"/>
  <c r="O2033" i="48"/>
  <c r="P2033" i="48" s="1"/>
  <c r="O2034" i="48"/>
  <c r="P2034" i="48" s="1"/>
  <c r="O2035" i="48"/>
  <c r="P2035" i="48" s="1"/>
  <c r="O2036" i="48"/>
  <c r="P2036" i="48" s="1"/>
  <c r="O2037" i="48"/>
  <c r="P2037" i="48" s="1"/>
  <c r="O2038" i="48"/>
  <c r="P2038" i="48" s="1"/>
  <c r="O2039" i="48"/>
  <c r="O2040" i="48"/>
  <c r="P2040" i="48" s="1"/>
  <c r="O2041" i="48"/>
  <c r="P2041" i="48" s="1"/>
  <c r="O2042" i="48"/>
  <c r="P2042" i="48" s="1"/>
  <c r="O2043" i="48"/>
  <c r="P2043" i="48" s="1"/>
  <c r="O2044" i="48"/>
  <c r="P2044" i="48" s="1"/>
  <c r="O2045" i="48"/>
  <c r="P2045" i="48" s="1"/>
  <c r="O2046" i="48"/>
  <c r="P2046" i="48" s="1"/>
  <c r="O2047" i="48"/>
  <c r="O2048" i="48"/>
  <c r="P2048" i="48" s="1"/>
  <c r="O2061" i="48"/>
  <c r="R2061" i="48" s="1"/>
  <c r="D47" i="30" s="1"/>
  <c r="O2062" i="48"/>
  <c r="P2062" i="48" s="1"/>
  <c r="O2063" i="48"/>
  <c r="O2067" i="48"/>
  <c r="R2067" i="48" s="1"/>
  <c r="D48" i="30" s="1"/>
  <c r="O2068" i="48"/>
  <c r="P2068" i="48" s="1"/>
  <c r="O2069" i="48"/>
  <c r="P2069" i="48" s="1"/>
  <c r="O2070" i="48"/>
  <c r="P2070" i="48" s="1"/>
  <c r="O2071" i="48"/>
  <c r="O2072" i="48"/>
  <c r="P2072" i="48" s="1"/>
  <c r="O2073" i="48"/>
  <c r="P2073" i="48" s="1"/>
  <c r="O2074" i="48"/>
  <c r="P2074" i="48" s="1"/>
  <c r="O2075" i="48"/>
  <c r="P2075" i="48" s="1"/>
  <c r="O2076" i="48"/>
  <c r="R2076" i="48" s="1"/>
  <c r="D51" i="30" s="1"/>
  <c r="O2077" i="48"/>
  <c r="P2077" i="48" s="1"/>
  <c r="O2078" i="48"/>
  <c r="P2078" i="48" s="1"/>
  <c r="O2079" i="48"/>
  <c r="R2079" i="48" s="1"/>
  <c r="O2080" i="48"/>
  <c r="P2080" i="48" s="1"/>
  <c r="O2081" i="48"/>
  <c r="P2081" i="48" s="1"/>
  <c r="O1923" i="48"/>
  <c r="O1924" i="48"/>
  <c r="P1924" i="48" s="1"/>
  <c r="O1925" i="48"/>
  <c r="R1925" i="48" s="1"/>
  <c r="D5" i="30" s="1"/>
  <c r="O1926" i="48"/>
  <c r="P1926" i="48" s="1"/>
  <c r="O1927" i="48"/>
  <c r="P1927" i="48" s="1"/>
  <c r="O1922" i="48"/>
  <c r="R1922" i="48" s="1"/>
  <c r="D4" i="30" s="1"/>
  <c r="R1962" i="48"/>
  <c r="D18" i="30" s="1"/>
  <c r="R1971" i="48"/>
  <c r="D25" i="30" s="1"/>
  <c r="O39" i="31" l="1"/>
  <c r="B17" i="30"/>
  <c r="O51" i="31"/>
  <c r="B25" i="30"/>
  <c r="O42" i="31"/>
  <c r="B18" i="30"/>
  <c r="O141" i="31"/>
  <c r="B47" i="30"/>
  <c r="O45" i="31"/>
  <c r="B20" i="30"/>
  <c r="O156" i="31"/>
  <c r="B51" i="30"/>
  <c r="O147" i="31"/>
  <c r="B48" i="30"/>
  <c r="O2" i="31"/>
  <c r="B4" i="30"/>
  <c r="B91" i="33" s="1"/>
  <c r="O60" i="31"/>
  <c r="B30" i="30"/>
  <c r="O84" i="31"/>
  <c r="B37" i="30"/>
  <c r="O111" i="31"/>
  <c r="B39" i="30"/>
  <c r="O69" i="31"/>
  <c r="B32" i="30"/>
  <c r="O23" i="31"/>
  <c r="B11" i="30"/>
  <c r="O5" i="31"/>
  <c r="B5" i="30"/>
  <c r="R1977" i="48"/>
  <c r="D28" i="30" s="1"/>
  <c r="R1953" i="48"/>
  <c r="D15" i="30" s="1"/>
  <c r="R1936" i="48"/>
  <c r="D8" i="30" s="1"/>
  <c r="R1986" i="48"/>
  <c r="D31" i="30" s="1"/>
  <c r="D52" i="30"/>
  <c r="D46" i="30"/>
  <c r="B46" i="30" s="1"/>
  <c r="P2019" i="48"/>
  <c r="R2043" i="48"/>
  <c r="D44" i="30" s="1"/>
  <c r="R1939" i="48"/>
  <c r="D9" i="30" s="1"/>
  <c r="R1995" i="48"/>
  <c r="D34" i="30" s="1"/>
  <c r="R1968" i="48"/>
  <c r="D22" i="30" s="1"/>
  <c r="R2016" i="48"/>
  <c r="P1989" i="48"/>
  <c r="R2013" i="48"/>
  <c r="D38" i="30" s="1"/>
  <c r="R2040" i="48"/>
  <c r="R1949" i="48"/>
  <c r="R1992" i="48"/>
  <c r="D33" i="30" s="1"/>
  <c r="P2076" i="48"/>
  <c r="R2046" i="48"/>
  <c r="D45" i="30" s="1"/>
  <c r="R1950" i="48"/>
  <c r="P2067" i="48"/>
  <c r="P1965" i="48"/>
  <c r="P2004" i="48"/>
  <c r="R2034" i="48"/>
  <c r="D40" i="30" s="1"/>
  <c r="R2073" i="48"/>
  <c r="D50" i="30" s="1"/>
  <c r="P1925" i="48"/>
  <c r="P2061" i="48"/>
  <c r="P1980" i="48"/>
  <c r="R2070" i="48"/>
  <c r="D49" i="30" s="1"/>
  <c r="R1954" i="48"/>
  <c r="D23" i="30" s="1"/>
  <c r="P1922" i="48"/>
  <c r="R2022" i="48"/>
  <c r="P1923" i="48"/>
  <c r="R1998" i="48"/>
  <c r="D35" i="30" s="1"/>
  <c r="P2079" i="48"/>
  <c r="P2071" i="48"/>
  <c r="P2063" i="48"/>
  <c r="P2047" i="48"/>
  <c r="P2039" i="48"/>
  <c r="P2031" i="48"/>
  <c r="P2023" i="48"/>
  <c r="P2015" i="48"/>
  <c r="P2007" i="48"/>
  <c r="P1999" i="48"/>
  <c r="P1991" i="48"/>
  <c r="P1983" i="48"/>
  <c r="P1975" i="48"/>
  <c r="P1967" i="48"/>
  <c r="P1959" i="48"/>
  <c r="P1943" i="48"/>
  <c r="P1935" i="48"/>
  <c r="R1974" i="48"/>
  <c r="D26" i="30" s="1"/>
  <c r="R1942" i="48"/>
  <c r="D10" i="30" s="1"/>
  <c r="O54" i="31" l="1"/>
  <c r="B26" i="30"/>
  <c r="O153" i="31"/>
  <c r="B50" i="30"/>
  <c r="O72" i="31"/>
  <c r="B33" i="30"/>
  <c r="O19" i="31"/>
  <c r="B9" i="30"/>
  <c r="O57" i="31"/>
  <c r="B28" i="30"/>
  <c r="O75" i="31"/>
  <c r="B34" i="30"/>
  <c r="O123" i="31"/>
  <c r="B44" i="30"/>
  <c r="O16" i="31"/>
  <c r="B8" i="30"/>
  <c r="O33" i="31"/>
  <c r="B15" i="30"/>
  <c r="O114" i="31"/>
  <c r="B40" i="30"/>
  <c r="O34" i="31"/>
  <c r="B23" i="30"/>
  <c r="O93" i="31"/>
  <c r="B38" i="30"/>
  <c r="O66" i="31"/>
  <c r="B31" i="30"/>
  <c r="O126" i="31"/>
  <c r="B45" i="30"/>
  <c r="O48" i="31"/>
  <c r="B22" i="30"/>
  <c r="B96" i="33" s="1"/>
  <c r="O78" i="31"/>
  <c r="B35" i="30"/>
  <c r="O22" i="31"/>
  <c r="B10" i="30"/>
  <c r="B97" i="33" s="1"/>
  <c r="O150" i="31"/>
  <c r="B49" i="30"/>
  <c r="O159" i="31"/>
  <c r="B52" i="30"/>
  <c r="D12" i="30"/>
  <c r="D6" i="30"/>
  <c r="B6" i="30" s="1"/>
  <c r="D43" i="30"/>
  <c r="D41" i="30"/>
  <c r="B41" i="30" s="1"/>
  <c r="D7" i="30"/>
  <c r="B7" i="30" s="1"/>
  <c r="D13" i="30"/>
  <c r="M24" i="47"/>
  <c r="M25" i="47"/>
  <c r="M26" i="47"/>
  <c r="M27" i="47"/>
  <c r="M28" i="47"/>
  <c r="M29" i="47"/>
  <c r="M30" i="47"/>
  <c r="M31" i="47"/>
  <c r="M32" i="47"/>
  <c r="M33" i="47"/>
  <c r="M34" i="47"/>
  <c r="M35" i="47"/>
  <c r="M36" i="47"/>
  <c r="M37" i="47"/>
  <c r="M38" i="47"/>
  <c r="M39" i="47"/>
  <c r="M40" i="47"/>
  <c r="M41" i="47"/>
  <c r="M42" i="47"/>
  <c r="M43" i="47"/>
  <c r="M44" i="47"/>
  <c r="M45" i="47"/>
  <c r="M46" i="47"/>
  <c r="M47" i="47"/>
  <c r="M48" i="47"/>
  <c r="M49" i="47"/>
  <c r="M50" i="47"/>
  <c r="M51" i="47"/>
  <c r="M52" i="47"/>
  <c r="M53" i="47"/>
  <c r="M54" i="47"/>
  <c r="M55" i="47"/>
  <c r="M56" i="47"/>
  <c r="M57" i="47"/>
  <c r="M58" i="47"/>
  <c r="M59" i="47"/>
  <c r="M60" i="47"/>
  <c r="M61" i="47"/>
  <c r="M62" i="47"/>
  <c r="M63" i="47"/>
  <c r="M64" i="47"/>
  <c r="M65" i="47"/>
  <c r="M66" i="47"/>
  <c r="M67" i="47"/>
  <c r="M68" i="47"/>
  <c r="M69" i="47"/>
  <c r="M70" i="47"/>
  <c r="M71" i="47"/>
  <c r="M72" i="47"/>
  <c r="M73" i="47"/>
  <c r="M74" i="47"/>
  <c r="M75" i="47"/>
  <c r="M76" i="47"/>
  <c r="M77" i="47"/>
  <c r="M78" i="47"/>
  <c r="M79" i="47"/>
  <c r="M80" i="47"/>
  <c r="M81" i="47"/>
  <c r="M82" i="47"/>
  <c r="M83" i="47"/>
  <c r="M84" i="47"/>
  <c r="M85" i="47"/>
  <c r="M86" i="47"/>
  <c r="M87" i="47"/>
  <c r="M88" i="47"/>
  <c r="M89" i="47"/>
  <c r="M90" i="47"/>
  <c r="M91" i="47"/>
  <c r="M92" i="47"/>
  <c r="M93" i="47"/>
  <c r="M94" i="47"/>
  <c r="M95" i="47"/>
  <c r="M96" i="47"/>
  <c r="M97" i="47"/>
  <c r="M98" i="47"/>
  <c r="M99" i="47"/>
  <c r="M100" i="47"/>
  <c r="M101" i="47"/>
  <c r="M102" i="47"/>
  <c r="M103" i="47"/>
  <c r="M104" i="47"/>
  <c r="M105" i="47"/>
  <c r="M106" i="47"/>
  <c r="M107" i="47"/>
  <c r="M108" i="47"/>
  <c r="M109" i="47"/>
  <c r="M110" i="47"/>
  <c r="M111" i="47"/>
  <c r="M112" i="47"/>
  <c r="M113" i="47"/>
  <c r="M114" i="47"/>
  <c r="M115" i="47"/>
  <c r="M116" i="47"/>
  <c r="M117" i="47"/>
  <c r="M118" i="47"/>
  <c r="M119" i="47"/>
  <c r="M120" i="47"/>
  <c r="M121" i="47"/>
  <c r="M122" i="47"/>
  <c r="M123" i="47"/>
  <c r="M124" i="47"/>
  <c r="M125" i="47"/>
  <c r="M126" i="47"/>
  <c r="M127" i="47"/>
  <c r="M128" i="47"/>
  <c r="M129" i="47"/>
  <c r="M130" i="47"/>
  <c r="M131" i="47"/>
  <c r="M132" i="47"/>
  <c r="M133" i="47"/>
  <c r="M134" i="47"/>
  <c r="M135" i="47"/>
  <c r="M136" i="47"/>
  <c r="M137" i="47"/>
  <c r="M138" i="47"/>
  <c r="M139" i="47"/>
  <c r="M140" i="47"/>
  <c r="M141" i="47"/>
  <c r="M142" i="47"/>
  <c r="M143" i="47"/>
  <c r="M144" i="47"/>
  <c r="M145" i="47"/>
  <c r="M146" i="47"/>
  <c r="M147" i="47"/>
  <c r="M148" i="47"/>
  <c r="M149" i="47"/>
  <c r="M150" i="47"/>
  <c r="M151" i="47"/>
  <c r="M152" i="47"/>
  <c r="M153" i="47"/>
  <c r="M154" i="47"/>
  <c r="M155" i="47"/>
  <c r="M156" i="47"/>
  <c r="M157" i="47"/>
  <c r="M158" i="47"/>
  <c r="M159" i="47"/>
  <c r="M160" i="47"/>
  <c r="M161" i="47"/>
  <c r="M162" i="47"/>
  <c r="M163" i="47"/>
  <c r="M164" i="47"/>
  <c r="M165" i="47"/>
  <c r="M166" i="47"/>
  <c r="M167" i="47"/>
  <c r="M168" i="47"/>
  <c r="M169" i="47"/>
  <c r="M170" i="47"/>
  <c r="M171" i="47"/>
  <c r="M172" i="47"/>
  <c r="M173" i="47"/>
  <c r="M174" i="47"/>
  <c r="M175" i="47"/>
  <c r="M176" i="47"/>
  <c r="M177" i="47"/>
  <c r="M178" i="47"/>
  <c r="M179" i="47"/>
  <c r="M180" i="47"/>
  <c r="M181" i="47"/>
  <c r="M182" i="47"/>
  <c r="M183" i="47"/>
  <c r="M184" i="47"/>
  <c r="M185" i="47"/>
  <c r="M186" i="47"/>
  <c r="M187" i="47"/>
  <c r="M188" i="47"/>
  <c r="M189" i="47"/>
  <c r="M190" i="47"/>
  <c r="M191" i="47"/>
  <c r="M192" i="47"/>
  <c r="M193" i="47"/>
  <c r="M194" i="47"/>
  <c r="M195" i="47"/>
  <c r="M196" i="47"/>
  <c r="M197" i="47"/>
  <c r="M198" i="47"/>
  <c r="M199" i="47"/>
  <c r="M200" i="47"/>
  <c r="M201" i="47"/>
  <c r="M202" i="47"/>
  <c r="M203" i="47"/>
  <c r="M204" i="47"/>
  <c r="M205" i="47"/>
  <c r="M206" i="47"/>
  <c r="M207" i="47"/>
  <c r="M208" i="47"/>
  <c r="M209" i="47"/>
  <c r="M210" i="47"/>
  <c r="M211" i="47"/>
  <c r="M212" i="47"/>
  <c r="M213" i="47"/>
  <c r="M214" i="47"/>
  <c r="M215" i="47"/>
  <c r="M216" i="47"/>
  <c r="M217" i="47"/>
  <c r="M218" i="47"/>
  <c r="M219" i="47"/>
  <c r="M220" i="47"/>
  <c r="M221" i="47"/>
  <c r="M222" i="47"/>
  <c r="M223" i="47"/>
  <c r="M224" i="47"/>
  <c r="M225" i="47"/>
  <c r="M226" i="47"/>
  <c r="M227" i="47"/>
  <c r="M228" i="47"/>
  <c r="M229" i="47"/>
  <c r="M230" i="47"/>
  <c r="M231" i="47"/>
  <c r="M232" i="47"/>
  <c r="M233" i="47"/>
  <c r="M234" i="47"/>
  <c r="M235" i="47"/>
  <c r="M236" i="47"/>
  <c r="M237" i="47"/>
  <c r="M238" i="47"/>
  <c r="M239" i="47"/>
  <c r="M240" i="47"/>
  <c r="M241" i="47"/>
  <c r="M242" i="47"/>
  <c r="M243" i="47"/>
  <c r="M244" i="47"/>
  <c r="M245" i="47"/>
  <c r="M246" i="47"/>
  <c r="M247" i="47"/>
  <c r="M248" i="47"/>
  <c r="M249" i="47"/>
  <c r="M250" i="47"/>
  <c r="M251" i="47"/>
  <c r="M252" i="47"/>
  <c r="M253" i="47"/>
  <c r="M254" i="47"/>
  <c r="M255" i="47"/>
  <c r="M256" i="47"/>
  <c r="M257" i="47"/>
  <c r="M258" i="47"/>
  <c r="M259" i="47"/>
  <c r="M260" i="47"/>
  <c r="M261" i="47"/>
  <c r="M262" i="47"/>
  <c r="M263" i="47"/>
  <c r="M264" i="47"/>
  <c r="M265" i="47"/>
  <c r="M266" i="47"/>
  <c r="M267" i="47"/>
  <c r="M268" i="47"/>
  <c r="M269" i="47"/>
  <c r="M21" i="47"/>
  <c r="M22" i="47"/>
  <c r="M23" i="47"/>
  <c r="O29" i="31" l="1"/>
  <c r="B12" i="30"/>
  <c r="O30" i="31"/>
  <c r="B13" i="30"/>
  <c r="O120" i="31"/>
  <c r="B43" i="30"/>
  <c r="I178" i="29" l="1"/>
  <c r="I177" i="29"/>
  <c r="I176" i="29"/>
  <c r="D19" i="29" l="1"/>
  <c r="H19" i="29" s="1"/>
  <c r="C19" i="29"/>
  <c r="D18" i="29"/>
  <c r="H18" i="29" s="1"/>
  <c r="C18" i="29"/>
  <c r="N428" i="17"/>
  <c r="N470" i="17"/>
  <c r="N468" i="17"/>
  <c r="E468" i="17" s="1"/>
  <c r="N458" i="17"/>
  <c r="N443" i="17"/>
  <c r="N197" i="17"/>
  <c r="N50" i="17"/>
  <c r="C137" i="29" l="1"/>
  <c r="D137" i="29"/>
  <c r="H137" i="29" s="1"/>
  <c r="C138" i="29"/>
  <c r="D138" i="29"/>
  <c r="H138" i="29" s="1"/>
  <c r="C139" i="29"/>
  <c r="D139" i="29"/>
  <c r="H139" i="29" s="1"/>
  <c r="D136" i="29"/>
  <c r="H136" i="29" s="1"/>
  <c r="C136" i="29"/>
  <c r="A387" i="17"/>
  <c r="A388" i="17"/>
  <c r="F377" i="17"/>
  <c r="H377" i="17"/>
  <c r="I377" i="17"/>
  <c r="J377" i="17"/>
  <c r="K377" i="17"/>
  <c r="L377" i="17"/>
  <c r="M377" i="17"/>
  <c r="F378" i="17"/>
  <c r="H378" i="17"/>
  <c r="I378" i="17"/>
  <c r="J378" i="17"/>
  <c r="K378" i="17"/>
  <c r="L378" i="17"/>
  <c r="M378" i="17"/>
  <c r="F379" i="17"/>
  <c r="H379" i="17"/>
  <c r="I379" i="17"/>
  <c r="J379" i="17"/>
  <c r="K379" i="17"/>
  <c r="L379" i="17"/>
  <c r="M379" i="17"/>
  <c r="F380" i="17"/>
  <c r="H380" i="17"/>
  <c r="I380" i="17"/>
  <c r="J380" i="17"/>
  <c r="K380" i="17"/>
  <c r="L380" i="17"/>
  <c r="M380" i="17"/>
  <c r="F381" i="17"/>
  <c r="H381" i="17"/>
  <c r="I381" i="17"/>
  <c r="J381" i="17"/>
  <c r="K381" i="17"/>
  <c r="L381" i="17"/>
  <c r="M381" i="17"/>
  <c r="F382" i="17"/>
  <c r="H382" i="17"/>
  <c r="I382" i="17"/>
  <c r="J382" i="17"/>
  <c r="K382" i="17"/>
  <c r="L382" i="17"/>
  <c r="M382" i="17"/>
  <c r="F383" i="17"/>
  <c r="H383" i="17"/>
  <c r="I383" i="17"/>
  <c r="J383" i="17"/>
  <c r="K383" i="17"/>
  <c r="L383" i="17"/>
  <c r="M383" i="17"/>
  <c r="M376" i="17"/>
  <c r="L376" i="17"/>
  <c r="G136" i="29" s="1"/>
  <c r="G137" i="29" s="1"/>
  <c r="G138" i="29" s="1"/>
  <c r="G139" i="29" s="1"/>
  <c r="K376" i="17"/>
  <c r="J376" i="17"/>
  <c r="I376" i="17"/>
  <c r="H376" i="17"/>
  <c r="F376" i="17"/>
  <c r="A384" i="17"/>
  <c r="A391" i="17"/>
  <c r="A376" i="17"/>
  <c r="A377" i="17"/>
  <c r="A378" i="17"/>
  <c r="A379" i="17"/>
  <c r="A380" i="17"/>
  <c r="A381" i="17"/>
  <c r="A382" i="17"/>
  <c r="A383" i="17"/>
  <c r="I73" i="29" l="1"/>
  <c r="I68" i="29"/>
  <c r="I67" i="29"/>
  <c r="B55" i="35"/>
  <c r="I170" i="29" s="1"/>
  <c r="B46" i="35"/>
  <c r="B48" i="35" s="1"/>
  <c r="B37" i="35"/>
  <c r="B39" i="35" s="1"/>
  <c r="B52" i="35" l="1"/>
  <c r="B40" i="35"/>
  <c r="I159" i="29" s="1"/>
  <c r="B59" i="35"/>
  <c r="I172" i="29" s="1"/>
  <c r="B58" i="35"/>
  <c r="B60" i="35"/>
  <c r="I173" i="29" s="1"/>
  <c r="I158" i="29"/>
  <c r="B41" i="35"/>
  <c r="I160" i="29" s="1"/>
  <c r="B42" i="35"/>
  <c r="I161" i="29" s="1"/>
  <c r="B43" i="35"/>
  <c r="I171" i="29"/>
  <c r="I164" i="29"/>
  <c r="B61" i="35"/>
  <c r="B49" i="35"/>
  <c r="I165" i="29" s="1"/>
  <c r="B51" i="35"/>
  <c r="I167" i="29" s="1"/>
  <c r="B50" i="35"/>
  <c r="I166" i="29" s="1"/>
  <c r="B76" i="35" l="1"/>
  <c r="B92" i="33"/>
  <c r="B93" i="33" s="1"/>
  <c r="B99" i="33"/>
  <c r="B103" i="33"/>
  <c r="B110" i="33"/>
  <c r="B111" i="33" s="1"/>
  <c r="B112" i="33" s="1"/>
  <c r="D145" i="29"/>
  <c r="D146" i="29"/>
  <c r="D147" i="29"/>
  <c r="C145" i="29"/>
  <c r="G145" i="29" s="1"/>
  <c r="C146" i="29"/>
  <c r="G146" i="29" s="1"/>
  <c r="C147" i="29"/>
  <c r="G147" i="29" s="1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86" i="17"/>
  <c r="A389" i="17"/>
  <c r="A390" i="17"/>
  <c r="A385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634" i="17"/>
  <c r="A635" i="17"/>
  <c r="A636" i="17"/>
  <c r="A637" i="17"/>
  <c r="A638" i="17"/>
  <c r="A639" i="17"/>
  <c r="A640" i="17"/>
  <c r="A641" i="17"/>
  <c r="A642" i="17"/>
  <c r="A643" i="17"/>
  <c r="A644" i="17"/>
  <c r="A645" i="17"/>
  <c r="A646" i="17"/>
  <c r="M470" i="17"/>
  <c r="L470" i="17"/>
  <c r="K470" i="17"/>
  <c r="J470" i="17"/>
  <c r="I470" i="17"/>
  <c r="H470" i="17"/>
  <c r="F470" i="17"/>
  <c r="M469" i="17"/>
  <c r="L469" i="17"/>
  <c r="K469" i="17"/>
  <c r="J469" i="17"/>
  <c r="I469" i="17"/>
  <c r="H469" i="17"/>
  <c r="F469" i="17"/>
  <c r="M468" i="17"/>
  <c r="L468" i="17"/>
  <c r="K468" i="17"/>
  <c r="J468" i="17"/>
  <c r="I468" i="17"/>
  <c r="H468" i="17"/>
  <c r="F468" i="17"/>
  <c r="M467" i="17"/>
  <c r="L467" i="17"/>
  <c r="K467" i="17"/>
  <c r="J467" i="17"/>
  <c r="I467" i="17"/>
  <c r="H467" i="17"/>
  <c r="F467" i="17"/>
  <c r="M466" i="17"/>
  <c r="L466" i="17"/>
  <c r="K466" i="17"/>
  <c r="J466" i="17"/>
  <c r="I466" i="17"/>
  <c r="H466" i="17"/>
  <c r="F466" i="17"/>
  <c r="M465" i="17"/>
  <c r="L465" i="17"/>
  <c r="K465" i="17"/>
  <c r="J465" i="17"/>
  <c r="I465" i="17"/>
  <c r="H465" i="17"/>
  <c r="F465" i="17"/>
  <c r="M464" i="17"/>
  <c r="L464" i="17"/>
  <c r="K464" i="17"/>
  <c r="J464" i="17"/>
  <c r="I464" i="17"/>
  <c r="H464" i="17"/>
  <c r="F464" i="17"/>
  <c r="M463" i="17"/>
  <c r="L463" i="17"/>
  <c r="K463" i="17"/>
  <c r="J463" i="17"/>
  <c r="I463" i="17"/>
  <c r="H463" i="17"/>
  <c r="F463" i="17"/>
  <c r="M462" i="17"/>
  <c r="L462" i="17"/>
  <c r="K462" i="17"/>
  <c r="J462" i="17"/>
  <c r="I462" i="17"/>
  <c r="H462" i="17"/>
  <c r="F462" i="17"/>
  <c r="M461" i="17"/>
  <c r="H176" i="29" s="1"/>
  <c r="H177" i="29" s="1"/>
  <c r="H178" i="29" s="1"/>
  <c r="L461" i="17"/>
  <c r="K461" i="17"/>
  <c r="J461" i="17"/>
  <c r="I461" i="17"/>
  <c r="H461" i="17"/>
  <c r="F461" i="17"/>
  <c r="C177" i="29"/>
  <c r="G177" i="29" s="1"/>
  <c r="D177" i="29"/>
  <c r="E177" i="29"/>
  <c r="C178" i="29"/>
  <c r="G178" i="29" s="1"/>
  <c r="D178" i="29"/>
  <c r="E178" i="29"/>
  <c r="E176" i="29"/>
  <c r="D176" i="29"/>
  <c r="C176" i="29"/>
  <c r="G176" i="29" s="1"/>
  <c r="E173" i="29"/>
  <c r="D173" i="29"/>
  <c r="C173" i="29"/>
  <c r="G173" i="29" s="1"/>
  <c r="E172" i="29"/>
  <c r="D172" i="29"/>
  <c r="C172" i="29"/>
  <c r="G172" i="29" s="1"/>
  <c r="E171" i="29"/>
  <c r="D171" i="29"/>
  <c r="C171" i="29"/>
  <c r="G171" i="29" s="1"/>
  <c r="E170" i="29"/>
  <c r="D170" i="29"/>
  <c r="C170" i="29"/>
  <c r="G170" i="29" s="1"/>
  <c r="F450" i="17"/>
  <c r="H450" i="17"/>
  <c r="I450" i="17"/>
  <c r="J450" i="17"/>
  <c r="K450" i="17"/>
  <c r="L450" i="17"/>
  <c r="M450" i="17"/>
  <c r="F451" i="17"/>
  <c r="H451" i="17"/>
  <c r="I451" i="17"/>
  <c r="J451" i="17"/>
  <c r="K451" i="17"/>
  <c r="L451" i="17"/>
  <c r="M451" i="17"/>
  <c r="F452" i="17"/>
  <c r="H452" i="17"/>
  <c r="I452" i="17"/>
  <c r="J452" i="17"/>
  <c r="K452" i="17"/>
  <c r="L452" i="17"/>
  <c r="M452" i="17"/>
  <c r="F453" i="17"/>
  <c r="H453" i="17"/>
  <c r="I453" i="17"/>
  <c r="J453" i="17"/>
  <c r="K453" i="17"/>
  <c r="L453" i="17"/>
  <c r="M453" i="17"/>
  <c r="F454" i="17"/>
  <c r="H454" i="17"/>
  <c r="I454" i="17"/>
  <c r="J454" i="17"/>
  <c r="K454" i="17"/>
  <c r="L454" i="17"/>
  <c r="M454" i="17"/>
  <c r="F455" i="17"/>
  <c r="H455" i="17"/>
  <c r="I455" i="17"/>
  <c r="J455" i="17"/>
  <c r="K455" i="17"/>
  <c r="L455" i="17"/>
  <c r="M455" i="17"/>
  <c r="F456" i="17"/>
  <c r="H456" i="17"/>
  <c r="I456" i="17"/>
  <c r="J456" i="17"/>
  <c r="K456" i="17"/>
  <c r="L456" i="17"/>
  <c r="M456" i="17"/>
  <c r="F457" i="17"/>
  <c r="H457" i="17"/>
  <c r="I457" i="17"/>
  <c r="J457" i="17"/>
  <c r="K457" i="17"/>
  <c r="L457" i="17"/>
  <c r="M457" i="17"/>
  <c r="F458" i="17"/>
  <c r="H458" i="17"/>
  <c r="I458" i="17"/>
  <c r="J458" i="17"/>
  <c r="K458" i="17"/>
  <c r="L458" i="17"/>
  <c r="M458" i="17"/>
  <c r="M449" i="17"/>
  <c r="H170" i="29" s="1"/>
  <c r="H171" i="29" s="1"/>
  <c r="H172" i="29" s="1"/>
  <c r="H173" i="29" s="1"/>
  <c r="L449" i="17"/>
  <c r="K449" i="17"/>
  <c r="J449" i="17"/>
  <c r="I449" i="17"/>
  <c r="H449" i="17"/>
  <c r="F449" i="17"/>
  <c r="E167" i="29"/>
  <c r="D167" i="29"/>
  <c r="C167" i="29"/>
  <c r="G167" i="29" s="1"/>
  <c r="E166" i="29"/>
  <c r="D166" i="29"/>
  <c r="C166" i="29"/>
  <c r="G166" i="29" s="1"/>
  <c r="E165" i="29"/>
  <c r="D165" i="29"/>
  <c r="C165" i="29"/>
  <c r="G165" i="29" s="1"/>
  <c r="E164" i="29"/>
  <c r="D164" i="29"/>
  <c r="C164" i="29"/>
  <c r="G164" i="29" s="1"/>
  <c r="C159" i="29"/>
  <c r="G159" i="29" s="1"/>
  <c r="D159" i="29"/>
  <c r="E159" i="29"/>
  <c r="C160" i="29"/>
  <c r="G160" i="29" s="1"/>
  <c r="D160" i="29"/>
  <c r="E160" i="29"/>
  <c r="C161" i="29"/>
  <c r="G161" i="29" s="1"/>
  <c r="D161" i="29"/>
  <c r="E161" i="29"/>
  <c r="E158" i="29"/>
  <c r="D158" i="29"/>
  <c r="C158" i="29"/>
  <c r="G158" i="29" s="1"/>
  <c r="M411" i="17"/>
  <c r="L411" i="17"/>
  <c r="K411" i="17"/>
  <c r="J411" i="17"/>
  <c r="I411" i="17"/>
  <c r="H411" i="17"/>
  <c r="F411" i="17"/>
  <c r="F399" i="17"/>
  <c r="H399" i="17"/>
  <c r="I399" i="17"/>
  <c r="J399" i="17"/>
  <c r="K399" i="17"/>
  <c r="L399" i="17"/>
  <c r="M399" i="17"/>
  <c r="F398" i="17"/>
  <c r="H398" i="17"/>
  <c r="I398" i="17"/>
  <c r="J398" i="17"/>
  <c r="K398" i="17"/>
  <c r="L398" i="17"/>
  <c r="M398" i="17"/>
  <c r="F410" i="17"/>
  <c r="H410" i="17"/>
  <c r="I410" i="17"/>
  <c r="J410" i="17"/>
  <c r="K410" i="17"/>
  <c r="L410" i="17"/>
  <c r="M410" i="17"/>
  <c r="M443" i="17"/>
  <c r="L443" i="17"/>
  <c r="K443" i="17"/>
  <c r="J443" i="17"/>
  <c r="I443" i="17"/>
  <c r="H443" i="17"/>
  <c r="F443" i="17"/>
  <c r="M442" i="17"/>
  <c r="L442" i="17"/>
  <c r="K442" i="17"/>
  <c r="J442" i="17"/>
  <c r="I442" i="17"/>
  <c r="H442" i="17"/>
  <c r="F442" i="17"/>
  <c r="M441" i="17"/>
  <c r="L441" i="17"/>
  <c r="K441" i="17"/>
  <c r="J441" i="17"/>
  <c r="I441" i="17"/>
  <c r="H441" i="17"/>
  <c r="F441" i="17"/>
  <c r="M440" i="17"/>
  <c r="L440" i="17"/>
  <c r="K440" i="17"/>
  <c r="J440" i="17"/>
  <c r="I440" i="17"/>
  <c r="H440" i="17"/>
  <c r="F440" i="17"/>
  <c r="M439" i="17"/>
  <c r="L439" i="17"/>
  <c r="K439" i="17"/>
  <c r="J439" i="17"/>
  <c r="I439" i="17"/>
  <c r="H439" i="17"/>
  <c r="F439" i="17"/>
  <c r="M438" i="17"/>
  <c r="L438" i="17"/>
  <c r="K438" i="17"/>
  <c r="J438" i="17"/>
  <c r="I438" i="17"/>
  <c r="H438" i="17"/>
  <c r="F438" i="17"/>
  <c r="M437" i="17"/>
  <c r="L437" i="17"/>
  <c r="K437" i="17"/>
  <c r="J437" i="17"/>
  <c r="I437" i="17"/>
  <c r="H437" i="17"/>
  <c r="F437" i="17"/>
  <c r="M436" i="17"/>
  <c r="L436" i="17"/>
  <c r="K436" i="17"/>
  <c r="J436" i="17"/>
  <c r="I436" i="17"/>
  <c r="H436" i="17"/>
  <c r="F436" i="17"/>
  <c r="M435" i="17"/>
  <c r="L435" i="17"/>
  <c r="K435" i="17"/>
  <c r="J435" i="17"/>
  <c r="I435" i="17"/>
  <c r="H435" i="17"/>
  <c r="F435" i="17"/>
  <c r="M434" i="17"/>
  <c r="H164" i="29" s="1"/>
  <c r="H165" i="29" s="1"/>
  <c r="H166" i="29" s="1"/>
  <c r="H167" i="29" s="1"/>
  <c r="L434" i="17"/>
  <c r="K434" i="17"/>
  <c r="J434" i="17"/>
  <c r="I434" i="17"/>
  <c r="H434" i="17"/>
  <c r="F434" i="17"/>
  <c r="F420" i="17"/>
  <c r="H420" i="17"/>
  <c r="I420" i="17"/>
  <c r="J420" i="17"/>
  <c r="K420" i="17"/>
  <c r="L420" i="17"/>
  <c r="M420" i="17"/>
  <c r="F421" i="17"/>
  <c r="H421" i="17"/>
  <c r="I421" i="17"/>
  <c r="J421" i="17"/>
  <c r="K421" i="17"/>
  <c r="L421" i="17"/>
  <c r="M421" i="17"/>
  <c r="F422" i="17"/>
  <c r="H422" i="17"/>
  <c r="I422" i="17"/>
  <c r="J422" i="17"/>
  <c r="K422" i="17"/>
  <c r="L422" i="17"/>
  <c r="M422" i="17"/>
  <c r="F423" i="17"/>
  <c r="H423" i="17"/>
  <c r="I423" i="17"/>
  <c r="J423" i="17"/>
  <c r="K423" i="17"/>
  <c r="L423" i="17"/>
  <c r="M423" i="17"/>
  <c r="F424" i="17"/>
  <c r="H424" i="17"/>
  <c r="I424" i="17"/>
  <c r="J424" i="17"/>
  <c r="K424" i="17"/>
  <c r="L424" i="17"/>
  <c r="M424" i="17"/>
  <c r="F425" i="17"/>
  <c r="H425" i="17"/>
  <c r="I425" i="17"/>
  <c r="J425" i="17"/>
  <c r="K425" i="17"/>
  <c r="L425" i="17"/>
  <c r="M425" i="17"/>
  <c r="F426" i="17"/>
  <c r="H426" i="17"/>
  <c r="I426" i="17"/>
  <c r="J426" i="17"/>
  <c r="K426" i="17"/>
  <c r="L426" i="17"/>
  <c r="M426" i="17"/>
  <c r="F427" i="17"/>
  <c r="H427" i="17"/>
  <c r="I427" i="17"/>
  <c r="J427" i="17"/>
  <c r="K427" i="17"/>
  <c r="L427" i="17"/>
  <c r="M427" i="17"/>
  <c r="F428" i="17"/>
  <c r="H428" i="17"/>
  <c r="I428" i="17"/>
  <c r="J428" i="17"/>
  <c r="K428" i="17"/>
  <c r="L428" i="17"/>
  <c r="M428" i="17"/>
  <c r="M419" i="17"/>
  <c r="H158" i="29" s="1"/>
  <c r="H159" i="29" s="1"/>
  <c r="H160" i="29" s="1"/>
  <c r="H161" i="29" s="1"/>
  <c r="L419" i="17"/>
  <c r="K419" i="17"/>
  <c r="J419" i="17"/>
  <c r="I419" i="17"/>
  <c r="H419" i="17"/>
  <c r="F419" i="17"/>
  <c r="B29" i="35"/>
  <c r="B24" i="35"/>
  <c r="B19" i="35"/>
  <c r="B14" i="35"/>
  <c r="B9" i="35"/>
  <c r="B114" i="33" l="1"/>
  <c r="B113" i="33"/>
  <c r="D37" i="29" l="1"/>
  <c r="C37" i="29"/>
  <c r="D36" i="29"/>
  <c r="C36" i="29"/>
  <c r="D35" i="29"/>
  <c r="C35" i="29"/>
  <c r="D34" i="29"/>
  <c r="C34" i="29"/>
  <c r="G34" i="29" s="1"/>
  <c r="G35" i="29" s="1"/>
  <c r="G36" i="29" s="1"/>
  <c r="G37" i="29" s="1"/>
  <c r="B42" i="33" l="1"/>
  <c r="B40" i="33"/>
  <c r="B30" i="33"/>
  <c r="B29" i="33"/>
  <c r="B28" i="33"/>
  <c r="B34" i="33" s="1"/>
  <c r="B22" i="33"/>
  <c r="B21" i="33"/>
  <c r="B20" i="33"/>
  <c r="B98" i="33" l="1"/>
  <c r="B100" i="33" s="1"/>
  <c r="B24" i="33"/>
  <c r="B26" i="33"/>
  <c r="B32" i="33"/>
  <c r="C150" i="29" l="1"/>
  <c r="G150" i="29" s="1"/>
  <c r="G151" i="29" s="1"/>
  <c r="G152" i="29" s="1"/>
  <c r="G153" i="29" s="1"/>
  <c r="G154" i="29" s="1"/>
  <c r="G155" i="29" s="1"/>
  <c r="D150" i="29"/>
  <c r="C151" i="29"/>
  <c r="D151" i="29"/>
  <c r="C152" i="29"/>
  <c r="D152" i="29"/>
  <c r="C153" i="29"/>
  <c r="D153" i="29"/>
  <c r="C154" i="29"/>
  <c r="D154" i="29"/>
  <c r="C155" i="29"/>
  <c r="D155" i="29"/>
  <c r="C144" i="29" l="1"/>
  <c r="G144" i="29" s="1"/>
  <c r="D144" i="29"/>
  <c r="D143" i="29"/>
  <c r="C143" i="29"/>
  <c r="G143" i="29" s="1"/>
  <c r="D142" i="29"/>
  <c r="C142" i="29"/>
  <c r="G142" i="29" s="1"/>
  <c r="B46" i="33"/>
  <c r="B48" i="33"/>
  <c r="E2" i="18" l="1"/>
  <c r="E104" i="18" s="1"/>
  <c r="E67" i="18" l="1"/>
  <c r="E103" i="18"/>
  <c r="E54" i="18"/>
  <c r="E45" i="18"/>
  <c r="E33" i="18"/>
  <c r="E22" i="18"/>
  <c r="E14" i="18"/>
  <c r="E4" i="18"/>
  <c r="E102" i="18"/>
  <c r="E93" i="18"/>
  <c r="E83" i="18"/>
  <c r="G383" i="17" s="1"/>
  <c r="E74" i="18"/>
  <c r="E65" i="18"/>
  <c r="E3" i="18"/>
  <c r="E53" i="18"/>
  <c r="E44" i="18"/>
  <c r="E32" i="18"/>
  <c r="E21" i="18"/>
  <c r="E13" i="18"/>
  <c r="E110" i="18"/>
  <c r="E101" i="18"/>
  <c r="E91" i="18"/>
  <c r="E82" i="18"/>
  <c r="G382" i="17" s="1"/>
  <c r="E73" i="18"/>
  <c r="E64" i="18"/>
  <c r="E52" i="18"/>
  <c r="E20" i="18"/>
  <c r="E100" i="18"/>
  <c r="E63" i="18"/>
  <c r="E50" i="18"/>
  <c r="E29" i="18"/>
  <c r="E11" i="18"/>
  <c r="E99" i="18"/>
  <c r="E89" i="18"/>
  <c r="E80" i="18"/>
  <c r="G380" i="17" s="1"/>
  <c r="E71" i="18"/>
  <c r="E60" i="18"/>
  <c r="E49" i="18"/>
  <c r="E39" i="18"/>
  <c r="E28" i="18"/>
  <c r="E18" i="18"/>
  <c r="E10" i="18"/>
  <c r="E105" i="18"/>
  <c r="E98" i="18"/>
  <c r="E88" i="18"/>
  <c r="E79" i="18"/>
  <c r="G379" i="17" s="1"/>
  <c r="E70" i="18"/>
  <c r="E62" i="18"/>
  <c r="E43" i="18"/>
  <c r="E12" i="18"/>
  <c r="E108" i="18"/>
  <c r="E90" i="18"/>
  <c r="E72" i="18"/>
  <c r="E61" i="18"/>
  <c r="E41" i="18"/>
  <c r="E19" i="18"/>
  <c r="E106" i="18"/>
  <c r="E58" i="18"/>
  <c r="E48" i="18"/>
  <c r="E38" i="18"/>
  <c r="E27" i="18"/>
  <c r="E17" i="18"/>
  <c r="E9" i="18"/>
  <c r="E97" i="18"/>
  <c r="E87" i="18"/>
  <c r="E78" i="18"/>
  <c r="G378" i="17" s="1"/>
  <c r="E69" i="18"/>
  <c r="E31" i="18"/>
  <c r="E81" i="18"/>
  <c r="G381" i="17" s="1"/>
  <c r="E56" i="18"/>
  <c r="E47" i="18"/>
  <c r="E37" i="18"/>
  <c r="E25" i="18"/>
  <c r="E16" i="18"/>
  <c r="E7" i="18"/>
  <c r="E95" i="18"/>
  <c r="E86" i="18"/>
  <c r="E77" i="18"/>
  <c r="G377" i="17" s="1"/>
  <c r="E68" i="18"/>
  <c r="E55" i="18"/>
  <c r="E46" i="18"/>
  <c r="E35" i="18"/>
  <c r="E23" i="18"/>
  <c r="E15" i="18"/>
  <c r="E5" i="18"/>
  <c r="E94" i="18"/>
  <c r="E85" i="18"/>
  <c r="E76" i="18"/>
  <c r="G376" i="17" s="1"/>
  <c r="G410" i="17" l="1"/>
  <c r="G411" i="17"/>
  <c r="G467" i="17"/>
  <c r="G461" i="17"/>
  <c r="G466" i="17"/>
  <c r="G463" i="17"/>
  <c r="G465" i="17"/>
  <c r="G462" i="17"/>
  <c r="G464" i="17"/>
  <c r="G470" i="17"/>
  <c r="G469" i="17"/>
  <c r="G468" i="17"/>
  <c r="G398" i="17"/>
  <c r="G399" i="17"/>
  <c r="G458" i="17"/>
  <c r="G452" i="17"/>
  <c r="G450" i="17"/>
  <c r="G457" i="17"/>
  <c r="G453" i="17"/>
  <c r="G456" i="17"/>
  <c r="G451" i="17"/>
  <c r="G454" i="17"/>
  <c r="G455" i="17"/>
  <c r="G449" i="17"/>
  <c r="G439" i="17"/>
  <c r="G434" i="17"/>
  <c r="G443" i="17"/>
  <c r="G438" i="17"/>
  <c r="G440" i="17"/>
  <c r="G442" i="17"/>
  <c r="G436" i="17"/>
  <c r="G437" i="17"/>
  <c r="G441" i="17"/>
  <c r="G435" i="17"/>
  <c r="G423" i="17"/>
  <c r="G428" i="17"/>
  <c r="G424" i="17"/>
  <c r="G419" i="17"/>
  <c r="G420" i="17"/>
  <c r="G426" i="17"/>
  <c r="G425" i="17"/>
  <c r="G421" i="17"/>
  <c r="G422" i="17"/>
  <c r="G427" i="17"/>
  <c r="F405" i="17"/>
  <c r="G405" i="17"/>
  <c r="H405" i="17"/>
  <c r="I405" i="17"/>
  <c r="J405" i="17"/>
  <c r="K405" i="17"/>
  <c r="L405" i="17"/>
  <c r="M405" i="17"/>
  <c r="F409" i="17"/>
  <c r="G409" i="17"/>
  <c r="H409" i="17"/>
  <c r="I409" i="17"/>
  <c r="J409" i="17"/>
  <c r="K409" i="17"/>
  <c r="L409" i="17"/>
  <c r="M409" i="17"/>
  <c r="F400" i="17"/>
  <c r="G400" i="17"/>
  <c r="H400" i="17"/>
  <c r="I400" i="17"/>
  <c r="J400" i="17"/>
  <c r="K400" i="17"/>
  <c r="L400" i="17"/>
  <c r="M400" i="17"/>
  <c r="F401" i="17"/>
  <c r="G401" i="17"/>
  <c r="H401" i="17"/>
  <c r="I401" i="17"/>
  <c r="J401" i="17"/>
  <c r="K401" i="17"/>
  <c r="L401" i="17"/>
  <c r="M401" i="17"/>
  <c r="A2" i="17" l="1"/>
  <c r="F2" i="17"/>
  <c r="G2" i="17"/>
  <c r="H2" i="17"/>
  <c r="I2" i="17"/>
  <c r="J2" i="17"/>
  <c r="K2" i="17"/>
  <c r="L2" i="17"/>
  <c r="M2" i="17"/>
  <c r="F5" i="17"/>
  <c r="G5" i="17"/>
  <c r="H5" i="17"/>
  <c r="I5" i="17"/>
  <c r="J5" i="17"/>
  <c r="K5" i="17"/>
  <c r="L5" i="17"/>
  <c r="M5" i="17"/>
  <c r="F8" i="17"/>
  <c r="G8" i="17"/>
  <c r="H8" i="17"/>
  <c r="I8" i="17"/>
  <c r="J8" i="17"/>
  <c r="K8" i="17"/>
  <c r="L8" i="17"/>
  <c r="M8" i="17"/>
  <c r="F11" i="17"/>
  <c r="G11" i="17"/>
  <c r="H11" i="17"/>
  <c r="I11" i="17"/>
  <c r="J11" i="17"/>
  <c r="K11" i="17"/>
  <c r="L11" i="17"/>
  <c r="M11" i="17"/>
  <c r="F14" i="17"/>
  <c r="G14" i="17"/>
  <c r="H14" i="17"/>
  <c r="I14" i="17"/>
  <c r="J14" i="17"/>
  <c r="K14" i="17"/>
  <c r="L14" i="17"/>
  <c r="M14" i="17"/>
  <c r="F17" i="17"/>
  <c r="G17" i="17"/>
  <c r="H17" i="17"/>
  <c r="I17" i="17"/>
  <c r="J17" i="17"/>
  <c r="K17" i="17"/>
  <c r="L17" i="17"/>
  <c r="M17" i="17"/>
  <c r="F20" i="17"/>
  <c r="G20" i="17"/>
  <c r="H20" i="17"/>
  <c r="I20" i="17"/>
  <c r="J20" i="17"/>
  <c r="K20" i="17"/>
  <c r="L20" i="17"/>
  <c r="M20" i="17"/>
  <c r="F23" i="17"/>
  <c r="G23" i="17"/>
  <c r="H23" i="17"/>
  <c r="I23" i="17"/>
  <c r="J23" i="17"/>
  <c r="K23" i="17"/>
  <c r="L23" i="17"/>
  <c r="M23" i="17"/>
  <c r="F26" i="17"/>
  <c r="G26" i="17"/>
  <c r="H26" i="17"/>
  <c r="I26" i="17"/>
  <c r="J26" i="17"/>
  <c r="K26" i="17"/>
  <c r="L26" i="17"/>
  <c r="M26" i="17"/>
  <c r="H2" i="29" s="1"/>
  <c r="H3" i="29" s="1"/>
  <c r="F27" i="17"/>
  <c r="G27" i="17"/>
  <c r="H27" i="17"/>
  <c r="I27" i="17"/>
  <c r="J27" i="17"/>
  <c r="K27" i="17"/>
  <c r="L27" i="17"/>
  <c r="M27" i="17"/>
  <c r="F28" i="17"/>
  <c r="G28" i="17"/>
  <c r="H28" i="17"/>
  <c r="I28" i="17"/>
  <c r="J28" i="17"/>
  <c r="K28" i="17"/>
  <c r="L28" i="17"/>
  <c r="M28" i="17"/>
  <c r="F31" i="17"/>
  <c r="G31" i="17"/>
  <c r="H31" i="17"/>
  <c r="I31" i="17"/>
  <c r="J31" i="17"/>
  <c r="K31" i="17"/>
  <c r="L31" i="17"/>
  <c r="M31" i="17"/>
  <c r="H6" i="29" s="1"/>
  <c r="H7" i="29" s="1"/>
  <c r="F32" i="17"/>
  <c r="G32" i="17"/>
  <c r="H32" i="17"/>
  <c r="I32" i="17"/>
  <c r="J32" i="17"/>
  <c r="K32" i="17"/>
  <c r="L32" i="17"/>
  <c r="M32" i="17"/>
  <c r="F33" i="17"/>
  <c r="G33" i="17"/>
  <c r="H33" i="17"/>
  <c r="I33" i="17"/>
  <c r="J33" i="17"/>
  <c r="K33" i="17"/>
  <c r="L33" i="17"/>
  <c r="M33" i="17"/>
  <c r="F36" i="17"/>
  <c r="G36" i="17"/>
  <c r="H36" i="17"/>
  <c r="I36" i="17"/>
  <c r="J36" i="17"/>
  <c r="K36" i="17"/>
  <c r="L36" i="17"/>
  <c r="M36" i="17"/>
  <c r="H10" i="29" s="1"/>
  <c r="H11" i="29" s="1"/>
  <c r="F37" i="17"/>
  <c r="G37" i="17"/>
  <c r="H37" i="17"/>
  <c r="I37" i="17"/>
  <c r="J37" i="17"/>
  <c r="K37" i="17"/>
  <c r="L37" i="17"/>
  <c r="M37" i="17"/>
  <c r="F38" i="17"/>
  <c r="G38" i="17"/>
  <c r="H38" i="17"/>
  <c r="I38" i="17"/>
  <c r="J38" i="17"/>
  <c r="K38" i="17"/>
  <c r="L38" i="17"/>
  <c r="M38" i="17"/>
  <c r="F41" i="17"/>
  <c r="G41" i="17"/>
  <c r="H41" i="17"/>
  <c r="I41" i="17"/>
  <c r="J41" i="17"/>
  <c r="K41" i="17"/>
  <c r="L41" i="17"/>
  <c r="M41" i="17"/>
  <c r="H14" i="29" s="1"/>
  <c r="H15" i="29" s="1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6" i="17"/>
  <c r="G46" i="17"/>
  <c r="H46" i="17"/>
  <c r="I46" i="17"/>
  <c r="J46" i="17"/>
  <c r="K46" i="17"/>
  <c r="L46" i="17"/>
  <c r="M46" i="17"/>
  <c r="F49" i="17"/>
  <c r="G49" i="17"/>
  <c r="H49" i="17"/>
  <c r="I49" i="17"/>
  <c r="J49" i="17"/>
  <c r="K49" i="17"/>
  <c r="L49" i="17"/>
  <c r="M49" i="17"/>
  <c r="F50" i="17"/>
  <c r="G50" i="17"/>
  <c r="H50" i="17"/>
  <c r="I50" i="17"/>
  <c r="J50" i="17"/>
  <c r="K50" i="17"/>
  <c r="L50" i="17"/>
  <c r="M50" i="17"/>
  <c r="F51" i="17"/>
  <c r="G51" i="17"/>
  <c r="H51" i="17"/>
  <c r="I51" i="17"/>
  <c r="J51" i="17"/>
  <c r="K51" i="17"/>
  <c r="L51" i="17"/>
  <c r="M51" i="17"/>
  <c r="F54" i="17"/>
  <c r="G54" i="17"/>
  <c r="H54" i="17"/>
  <c r="I54" i="17"/>
  <c r="J54" i="17"/>
  <c r="K54" i="17"/>
  <c r="L54" i="17"/>
  <c r="G18" i="29" s="1"/>
  <c r="G19" i="29" s="1"/>
  <c r="M54" i="17"/>
  <c r="F55" i="17"/>
  <c r="G55" i="17"/>
  <c r="H55" i="17"/>
  <c r="I55" i="17"/>
  <c r="J55" i="17"/>
  <c r="K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J59" i="17"/>
  <c r="K59" i="17"/>
  <c r="L59" i="17"/>
  <c r="M59" i="17"/>
  <c r="F60" i="17"/>
  <c r="G60" i="17"/>
  <c r="H60" i="17"/>
  <c r="I60" i="17"/>
  <c r="J60" i="17"/>
  <c r="K60" i="17"/>
  <c r="L60" i="17"/>
  <c r="M60" i="17"/>
  <c r="F63" i="17"/>
  <c r="G63" i="17"/>
  <c r="H63" i="17"/>
  <c r="I63" i="17"/>
  <c r="J63" i="17"/>
  <c r="K63" i="17"/>
  <c r="L63" i="17"/>
  <c r="M63" i="17"/>
  <c r="F64" i="17"/>
  <c r="G64" i="17"/>
  <c r="H64" i="17"/>
  <c r="I64" i="17"/>
  <c r="J64" i="17"/>
  <c r="K64" i="17"/>
  <c r="L64" i="17"/>
  <c r="M64" i="17"/>
  <c r="F65" i="17"/>
  <c r="G65" i="17"/>
  <c r="H65" i="17"/>
  <c r="I65" i="17"/>
  <c r="J65" i="17"/>
  <c r="K65" i="17"/>
  <c r="L65" i="17"/>
  <c r="M65" i="17"/>
  <c r="F68" i="17"/>
  <c r="G68" i="17"/>
  <c r="H68" i="17"/>
  <c r="I68" i="17"/>
  <c r="J68" i="17"/>
  <c r="K68" i="17"/>
  <c r="L68" i="17"/>
  <c r="M68" i="17"/>
  <c r="F69" i="17"/>
  <c r="G69" i="17"/>
  <c r="H69" i="17"/>
  <c r="I69" i="17"/>
  <c r="J69" i="17"/>
  <c r="K69" i="17"/>
  <c r="L69" i="17"/>
  <c r="M69" i="17"/>
  <c r="F70" i="17"/>
  <c r="G70" i="17"/>
  <c r="H70" i="17"/>
  <c r="I70" i="17"/>
  <c r="J70" i="17"/>
  <c r="K70" i="17"/>
  <c r="L70" i="17"/>
  <c r="M70" i="17"/>
  <c r="F73" i="17"/>
  <c r="G73" i="17"/>
  <c r="H73" i="17"/>
  <c r="I73" i="17"/>
  <c r="J73" i="17"/>
  <c r="K73" i="17"/>
  <c r="L73" i="17"/>
  <c r="M73" i="17"/>
  <c r="F74" i="17"/>
  <c r="G74" i="17"/>
  <c r="H74" i="17"/>
  <c r="I74" i="17"/>
  <c r="J74" i="17"/>
  <c r="K74" i="17"/>
  <c r="L74" i="17"/>
  <c r="M74" i="17"/>
  <c r="F75" i="17"/>
  <c r="G75" i="17"/>
  <c r="H75" i="17"/>
  <c r="I75" i="17"/>
  <c r="J75" i="17"/>
  <c r="K75" i="17"/>
  <c r="L75" i="17"/>
  <c r="M75" i="17"/>
  <c r="F76" i="17"/>
  <c r="G76" i="17"/>
  <c r="H76" i="17"/>
  <c r="I76" i="17"/>
  <c r="J76" i="17"/>
  <c r="K76" i="17"/>
  <c r="L76" i="17"/>
  <c r="M76" i="17"/>
  <c r="F77" i="17"/>
  <c r="G77" i="17"/>
  <c r="H77" i="17"/>
  <c r="I77" i="17"/>
  <c r="J77" i="17"/>
  <c r="K77" i="17"/>
  <c r="L77" i="17"/>
  <c r="M77" i="17"/>
  <c r="F80" i="17"/>
  <c r="G80" i="17"/>
  <c r="H80" i="17"/>
  <c r="I80" i="17"/>
  <c r="J80" i="17"/>
  <c r="K80" i="17"/>
  <c r="L80" i="17"/>
  <c r="M80" i="17"/>
  <c r="F81" i="17"/>
  <c r="G81" i="17"/>
  <c r="H81" i="17"/>
  <c r="I81" i="17"/>
  <c r="J81" i="17"/>
  <c r="K81" i="17"/>
  <c r="L81" i="17"/>
  <c r="M81" i="17"/>
  <c r="F82" i="17"/>
  <c r="G82" i="17"/>
  <c r="H82" i="17"/>
  <c r="I82" i="17"/>
  <c r="J82" i="17"/>
  <c r="K82" i="17"/>
  <c r="L82" i="17"/>
  <c r="M82" i="17"/>
  <c r="F85" i="17"/>
  <c r="G85" i="17"/>
  <c r="H85" i="17"/>
  <c r="I85" i="17"/>
  <c r="J85" i="17"/>
  <c r="K85" i="17"/>
  <c r="L85" i="17"/>
  <c r="M85" i="17"/>
  <c r="H34" i="29" s="1"/>
  <c r="H35" i="29" s="1"/>
  <c r="H36" i="29" s="1"/>
  <c r="H37" i="29" s="1"/>
  <c r="N85" i="17"/>
  <c r="D85" i="17" s="1"/>
  <c r="F86" i="17"/>
  <c r="G86" i="17"/>
  <c r="H86" i="17"/>
  <c r="I86" i="17"/>
  <c r="J86" i="17"/>
  <c r="K86" i="17"/>
  <c r="L86" i="17"/>
  <c r="M86" i="17"/>
  <c r="F87" i="17"/>
  <c r="G87" i="17"/>
  <c r="H87" i="17"/>
  <c r="I87" i="17"/>
  <c r="J87" i="17"/>
  <c r="K87" i="17"/>
  <c r="L87" i="17"/>
  <c r="M87" i="17"/>
  <c r="F88" i="17"/>
  <c r="G88" i="17"/>
  <c r="H88" i="17"/>
  <c r="I88" i="17"/>
  <c r="J88" i="17"/>
  <c r="K88" i="17"/>
  <c r="L88" i="17"/>
  <c r="M88" i="17"/>
  <c r="F89" i="17"/>
  <c r="G89" i="17"/>
  <c r="H89" i="17"/>
  <c r="I89" i="17"/>
  <c r="J89" i="17"/>
  <c r="K89" i="17"/>
  <c r="L89" i="17"/>
  <c r="M89" i="17"/>
  <c r="F90" i="17"/>
  <c r="G90" i="17"/>
  <c r="H90" i="17"/>
  <c r="I90" i="17"/>
  <c r="J90" i="17"/>
  <c r="K90" i="17"/>
  <c r="L90" i="17"/>
  <c r="M90" i="17"/>
  <c r="F91" i="17"/>
  <c r="G91" i="17"/>
  <c r="H91" i="17"/>
  <c r="I91" i="17"/>
  <c r="J91" i="17"/>
  <c r="K91" i="17"/>
  <c r="L91" i="17"/>
  <c r="M91" i="17"/>
  <c r="F94" i="17"/>
  <c r="G94" i="17"/>
  <c r="H94" i="17"/>
  <c r="I94" i="17"/>
  <c r="J94" i="17"/>
  <c r="K94" i="17"/>
  <c r="L94" i="17"/>
  <c r="M94" i="17"/>
  <c r="F97" i="17"/>
  <c r="G97" i="17"/>
  <c r="H97" i="17"/>
  <c r="I97" i="17"/>
  <c r="J97" i="17"/>
  <c r="K97" i="17"/>
  <c r="L97" i="17"/>
  <c r="M97" i="17"/>
  <c r="F100" i="17"/>
  <c r="G100" i="17"/>
  <c r="H100" i="17"/>
  <c r="I100" i="17"/>
  <c r="J100" i="17"/>
  <c r="K100" i="17"/>
  <c r="L100" i="17"/>
  <c r="M100" i="17"/>
  <c r="F103" i="17"/>
  <c r="G103" i="17"/>
  <c r="H103" i="17"/>
  <c r="I103" i="17"/>
  <c r="J103" i="17"/>
  <c r="K103" i="17"/>
  <c r="L103" i="17"/>
  <c r="M103" i="17"/>
  <c r="F104" i="17"/>
  <c r="G104" i="17"/>
  <c r="H104" i="17"/>
  <c r="I104" i="17"/>
  <c r="J104" i="17"/>
  <c r="K104" i="17"/>
  <c r="L104" i="17"/>
  <c r="M104" i="17"/>
  <c r="F105" i="17"/>
  <c r="G105" i="17"/>
  <c r="H105" i="17"/>
  <c r="I105" i="17"/>
  <c r="J105" i="17"/>
  <c r="K105" i="17"/>
  <c r="L105" i="17"/>
  <c r="M105" i="17"/>
  <c r="F106" i="17"/>
  <c r="G106" i="17"/>
  <c r="H106" i="17"/>
  <c r="I106" i="17"/>
  <c r="J106" i="17"/>
  <c r="K106" i="17"/>
  <c r="L106" i="17"/>
  <c r="M106" i="17"/>
  <c r="F107" i="17"/>
  <c r="G107" i="17"/>
  <c r="H107" i="17"/>
  <c r="I107" i="17"/>
  <c r="J107" i="17"/>
  <c r="K107" i="17"/>
  <c r="L107" i="17"/>
  <c r="M107" i="17"/>
  <c r="F108" i="17"/>
  <c r="G108" i="17"/>
  <c r="H108" i="17"/>
  <c r="I108" i="17"/>
  <c r="J108" i="17"/>
  <c r="K108" i="17"/>
  <c r="L108" i="17"/>
  <c r="M108" i="17"/>
  <c r="F109" i="17"/>
  <c r="G109" i="17"/>
  <c r="H109" i="17"/>
  <c r="I109" i="17"/>
  <c r="J109" i="17"/>
  <c r="K109" i="17"/>
  <c r="L109" i="17"/>
  <c r="M109" i="17"/>
  <c r="F110" i="17"/>
  <c r="G110" i="17"/>
  <c r="H110" i="17"/>
  <c r="I110" i="17"/>
  <c r="J110" i="17"/>
  <c r="K110" i="17"/>
  <c r="L110" i="17"/>
  <c r="M110" i="17"/>
  <c r="F113" i="17"/>
  <c r="G113" i="17"/>
  <c r="H113" i="17"/>
  <c r="I113" i="17"/>
  <c r="J113" i="17"/>
  <c r="K113" i="17"/>
  <c r="L113" i="17"/>
  <c r="M113" i="17"/>
  <c r="F114" i="17"/>
  <c r="G114" i="17"/>
  <c r="H114" i="17"/>
  <c r="I114" i="17"/>
  <c r="J114" i="17"/>
  <c r="K114" i="17"/>
  <c r="L114" i="17"/>
  <c r="M114" i="17"/>
  <c r="F115" i="17"/>
  <c r="G115" i="17"/>
  <c r="H115" i="17"/>
  <c r="I115" i="17"/>
  <c r="J115" i="17"/>
  <c r="K115" i="17"/>
  <c r="L115" i="17"/>
  <c r="M115" i="17"/>
  <c r="F116" i="17"/>
  <c r="G116" i="17"/>
  <c r="H116" i="17"/>
  <c r="I116" i="17"/>
  <c r="J116" i="17"/>
  <c r="K116" i="17"/>
  <c r="L116" i="17"/>
  <c r="M116" i="17"/>
  <c r="F117" i="17"/>
  <c r="G117" i="17"/>
  <c r="H117" i="17"/>
  <c r="I117" i="17"/>
  <c r="J117" i="17"/>
  <c r="K117" i="17"/>
  <c r="L117" i="17"/>
  <c r="M117" i="17"/>
  <c r="F118" i="17"/>
  <c r="G118" i="17"/>
  <c r="H118" i="17"/>
  <c r="I118" i="17"/>
  <c r="J118" i="17"/>
  <c r="K118" i="17"/>
  <c r="L118" i="17"/>
  <c r="M118" i="17"/>
  <c r="F119" i="17"/>
  <c r="G119" i="17"/>
  <c r="H119" i="17"/>
  <c r="I119" i="17"/>
  <c r="J119" i="17"/>
  <c r="K119" i="17"/>
  <c r="L119" i="17"/>
  <c r="M119" i="17"/>
  <c r="F122" i="17"/>
  <c r="G122" i="17"/>
  <c r="H122" i="17"/>
  <c r="I122" i="17"/>
  <c r="J122" i="17"/>
  <c r="K122" i="17"/>
  <c r="L122" i="17"/>
  <c r="M122" i="17"/>
  <c r="F125" i="17"/>
  <c r="G125" i="17"/>
  <c r="H125" i="17"/>
  <c r="I125" i="17"/>
  <c r="J125" i="17"/>
  <c r="K125" i="17"/>
  <c r="L125" i="17"/>
  <c r="M125" i="17"/>
  <c r="F128" i="17"/>
  <c r="G128" i="17"/>
  <c r="H128" i="17"/>
  <c r="I128" i="17"/>
  <c r="J128" i="17"/>
  <c r="K128" i="17"/>
  <c r="L128" i="17"/>
  <c r="M128" i="17"/>
  <c r="F131" i="17"/>
  <c r="G131" i="17"/>
  <c r="H131" i="17"/>
  <c r="I131" i="17"/>
  <c r="J131" i="17"/>
  <c r="K131" i="17"/>
  <c r="L131" i="17"/>
  <c r="M131" i="17"/>
  <c r="F134" i="17"/>
  <c r="G134" i="17"/>
  <c r="H134" i="17"/>
  <c r="I134" i="17"/>
  <c r="J134" i="17"/>
  <c r="K134" i="17"/>
  <c r="L134" i="17"/>
  <c r="M134" i="17"/>
  <c r="F137" i="17"/>
  <c r="G137" i="17"/>
  <c r="H137" i="17"/>
  <c r="I137" i="17"/>
  <c r="J137" i="17"/>
  <c r="K137" i="17"/>
  <c r="L137" i="17"/>
  <c r="M137" i="17"/>
  <c r="F138" i="17"/>
  <c r="G138" i="17"/>
  <c r="H138" i="17"/>
  <c r="I138" i="17"/>
  <c r="J138" i="17"/>
  <c r="K138" i="17"/>
  <c r="L138" i="17"/>
  <c r="M138" i="17"/>
  <c r="F139" i="17"/>
  <c r="G139" i="17"/>
  <c r="H139" i="17"/>
  <c r="I139" i="17"/>
  <c r="J139" i="17"/>
  <c r="K139" i="17"/>
  <c r="L139" i="17"/>
  <c r="M139" i="17"/>
  <c r="F142" i="17"/>
  <c r="G142" i="17"/>
  <c r="H142" i="17"/>
  <c r="I142" i="17"/>
  <c r="J142" i="17"/>
  <c r="K142" i="17"/>
  <c r="L142" i="17"/>
  <c r="M142" i="17"/>
  <c r="F143" i="17"/>
  <c r="G143" i="17"/>
  <c r="H143" i="17"/>
  <c r="I143" i="17"/>
  <c r="J143" i="17"/>
  <c r="K143" i="17"/>
  <c r="L143" i="17"/>
  <c r="M143" i="17"/>
  <c r="F144" i="17"/>
  <c r="G144" i="17"/>
  <c r="H144" i="17"/>
  <c r="I144" i="17"/>
  <c r="J144" i="17"/>
  <c r="K144" i="17"/>
  <c r="L144" i="17"/>
  <c r="M144" i="17"/>
  <c r="F147" i="17"/>
  <c r="G147" i="17"/>
  <c r="H147" i="17"/>
  <c r="I147" i="17"/>
  <c r="J147" i="17"/>
  <c r="K147" i="17"/>
  <c r="L147" i="17"/>
  <c r="M147" i="17"/>
  <c r="F148" i="17"/>
  <c r="G148" i="17"/>
  <c r="H148" i="17"/>
  <c r="I148" i="17"/>
  <c r="J148" i="17"/>
  <c r="K148" i="17"/>
  <c r="L148" i="17"/>
  <c r="M148" i="17"/>
  <c r="F149" i="17"/>
  <c r="G149" i="17"/>
  <c r="H149" i="17"/>
  <c r="I149" i="17"/>
  <c r="J149" i="17"/>
  <c r="K149" i="17"/>
  <c r="L149" i="17"/>
  <c r="M149" i="17"/>
  <c r="F152" i="17"/>
  <c r="G152" i="17"/>
  <c r="H152" i="17"/>
  <c r="I152" i="17"/>
  <c r="J152" i="17"/>
  <c r="K152" i="17"/>
  <c r="L152" i="17"/>
  <c r="M152" i="17"/>
  <c r="F155" i="17"/>
  <c r="G155" i="17"/>
  <c r="H155" i="17"/>
  <c r="I155" i="17"/>
  <c r="J155" i="17"/>
  <c r="K155" i="17"/>
  <c r="L155" i="17"/>
  <c r="M155" i="17"/>
  <c r="F158" i="17"/>
  <c r="G158" i="17"/>
  <c r="H158" i="17"/>
  <c r="I158" i="17"/>
  <c r="J158" i="17"/>
  <c r="K158" i="17"/>
  <c r="L158" i="17"/>
  <c r="M158" i="17"/>
  <c r="F161" i="17"/>
  <c r="G161" i="17"/>
  <c r="H161" i="17"/>
  <c r="I161" i="17"/>
  <c r="J161" i="17"/>
  <c r="K161" i="17"/>
  <c r="L161" i="17"/>
  <c r="M161" i="17"/>
  <c r="F162" i="17"/>
  <c r="G162" i="17"/>
  <c r="H162" i="17"/>
  <c r="I162" i="17"/>
  <c r="J162" i="17"/>
  <c r="K162" i="17"/>
  <c r="L162" i="17"/>
  <c r="M162" i="17"/>
  <c r="F163" i="17"/>
  <c r="G163" i="17"/>
  <c r="H163" i="17"/>
  <c r="I163" i="17"/>
  <c r="J163" i="17"/>
  <c r="K163" i="17"/>
  <c r="L163" i="17"/>
  <c r="M163" i="17"/>
  <c r="F164" i="17"/>
  <c r="G164" i="17"/>
  <c r="H164" i="17"/>
  <c r="I164" i="17"/>
  <c r="J164" i="17"/>
  <c r="K164" i="17"/>
  <c r="L164" i="17"/>
  <c r="M164" i="17"/>
  <c r="F165" i="17"/>
  <c r="G165" i="17"/>
  <c r="H165" i="17"/>
  <c r="I165" i="17"/>
  <c r="J165" i="17"/>
  <c r="K165" i="17"/>
  <c r="L165" i="17"/>
  <c r="M165" i="17"/>
  <c r="F166" i="17"/>
  <c r="G166" i="17"/>
  <c r="H166" i="17"/>
  <c r="I166" i="17"/>
  <c r="J166" i="17"/>
  <c r="K166" i="17"/>
  <c r="L166" i="17"/>
  <c r="M166" i="17"/>
  <c r="F167" i="17"/>
  <c r="G167" i="17"/>
  <c r="H167" i="17"/>
  <c r="I167" i="17"/>
  <c r="J167" i="17"/>
  <c r="K167" i="17"/>
  <c r="L167" i="17"/>
  <c r="M167" i="17"/>
  <c r="F170" i="17"/>
  <c r="G170" i="17"/>
  <c r="H170" i="17"/>
  <c r="I170" i="17"/>
  <c r="J170" i="17"/>
  <c r="K170" i="17"/>
  <c r="L170" i="17"/>
  <c r="M170" i="17"/>
  <c r="F171" i="17"/>
  <c r="G171" i="17"/>
  <c r="H171" i="17"/>
  <c r="I171" i="17"/>
  <c r="J171" i="17"/>
  <c r="K171" i="17"/>
  <c r="L171" i="17"/>
  <c r="M171" i="17"/>
  <c r="F172" i="17"/>
  <c r="G172" i="17"/>
  <c r="H172" i="17"/>
  <c r="I172" i="17"/>
  <c r="J172" i="17"/>
  <c r="K172" i="17"/>
  <c r="L172" i="17"/>
  <c r="M172" i="17"/>
  <c r="F173" i="17"/>
  <c r="G173" i="17"/>
  <c r="H173" i="17"/>
  <c r="I173" i="17"/>
  <c r="J173" i="17"/>
  <c r="K173" i="17"/>
  <c r="L173" i="17"/>
  <c r="M173" i="17"/>
  <c r="F174" i="17"/>
  <c r="G174" i="17"/>
  <c r="H174" i="17"/>
  <c r="I174" i="17"/>
  <c r="J174" i="17"/>
  <c r="K174" i="17"/>
  <c r="L174" i="17"/>
  <c r="M174" i="17"/>
  <c r="F175" i="17"/>
  <c r="G175" i="17"/>
  <c r="H175" i="17"/>
  <c r="I175" i="17"/>
  <c r="J175" i="17"/>
  <c r="K175" i="17"/>
  <c r="L175" i="17"/>
  <c r="M175" i="17"/>
  <c r="F176" i="17"/>
  <c r="G176" i="17"/>
  <c r="H176" i="17"/>
  <c r="I176" i="17"/>
  <c r="J176" i="17"/>
  <c r="K176" i="17"/>
  <c r="L176" i="17"/>
  <c r="M176" i="17"/>
  <c r="F179" i="17"/>
  <c r="G179" i="17"/>
  <c r="H179" i="17"/>
  <c r="I179" i="17"/>
  <c r="J179" i="17"/>
  <c r="K179" i="17"/>
  <c r="L179" i="17"/>
  <c r="M179" i="17"/>
  <c r="F180" i="17"/>
  <c r="G180" i="17"/>
  <c r="H180" i="17"/>
  <c r="I180" i="17"/>
  <c r="J180" i="17"/>
  <c r="K180" i="17"/>
  <c r="L180" i="17"/>
  <c r="M180" i="17"/>
  <c r="F181" i="17"/>
  <c r="G181" i="17"/>
  <c r="H181" i="17"/>
  <c r="I181" i="17"/>
  <c r="J181" i="17"/>
  <c r="K181" i="17"/>
  <c r="L181" i="17"/>
  <c r="M181" i="17"/>
  <c r="F182" i="17"/>
  <c r="G182" i="17"/>
  <c r="H182" i="17"/>
  <c r="I182" i="17"/>
  <c r="J182" i="17"/>
  <c r="K182" i="17"/>
  <c r="L182" i="17"/>
  <c r="M182" i="17"/>
  <c r="F183" i="17"/>
  <c r="G183" i="17"/>
  <c r="H183" i="17"/>
  <c r="I183" i="17"/>
  <c r="J183" i="17"/>
  <c r="K183" i="17"/>
  <c r="L183" i="17"/>
  <c r="M183" i="17"/>
  <c r="F184" i="17"/>
  <c r="G184" i="17"/>
  <c r="H184" i="17"/>
  <c r="I184" i="17"/>
  <c r="J184" i="17"/>
  <c r="K184" i="17"/>
  <c r="L184" i="17"/>
  <c r="M184" i="17"/>
  <c r="F185" i="17"/>
  <c r="G185" i="17"/>
  <c r="H185" i="17"/>
  <c r="I185" i="17"/>
  <c r="J185" i="17"/>
  <c r="K185" i="17"/>
  <c r="L185" i="17"/>
  <c r="M185" i="17"/>
  <c r="F188" i="17"/>
  <c r="G188" i="17"/>
  <c r="H188" i="17"/>
  <c r="I188" i="17"/>
  <c r="J188" i="17"/>
  <c r="K188" i="17"/>
  <c r="L188" i="17"/>
  <c r="M188" i="17"/>
  <c r="F189" i="17"/>
  <c r="G189" i="17"/>
  <c r="H189" i="17"/>
  <c r="I189" i="17"/>
  <c r="J189" i="17"/>
  <c r="K189" i="17"/>
  <c r="L189" i="17"/>
  <c r="M189" i="17"/>
  <c r="F190" i="17"/>
  <c r="G190" i="17"/>
  <c r="H190" i="17"/>
  <c r="I190" i="17"/>
  <c r="J190" i="17"/>
  <c r="K190" i="17"/>
  <c r="L190" i="17"/>
  <c r="M190" i="17"/>
  <c r="F191" i="17"/>
  <c r="G191" i="17"/>
  <c r="H191" i="17"/>
  <c r="I191" i="17"/>
  <c r="J191" i="17"/>
  <c r="K191" i="17"/>
  <c r="L191" i="17"/>
  <c r="M191" i="17"/>
  <c r="F192" i="17"/>
  <c r="G192" i="17"/>
  <c r="H192" i="17"/>
  <c r="I192" i="17"/>
  <c r="J192" i="17"/>
  <c r="K192" i="17"/>
  <c r="L192" i="17"/>
  <c r="M192" i="17"/>
  <c r="F193" i="17"/>
  <c r="G193" i="17"/>
  <c r="H193" i="17"/>
  <c r="I193" i="17"/>
  <c r="J193" i="17"/>
  <c r="K193" i="17"/>
  <c r="L193" i="17"/>
  <c r="M193" i="17"/>
  <c r="F194" i="17"/>
  <c r="G194" i="17"/>
  <c r="H194" i="17"/>
  <c r="I194" i="17"/>
  <c r="J194" i="17"/>
  <c r="K194" i="17"/>
  <c r="L194" i="17"/>
  <c r="M194" i="17"/>
  <c r="F197" i="17"/>
  <c r="G197" i="17"/>
  <c r="H197" i="17"/>
  <c r="I197" i="17"/>
  <c r="J197" i="17"/>
  <c r="K197" i="17"/>
  <c r="L197" i="17"/>
  <c r="M197" i="17"/>
  <c r="F200" i="17"/>
  <c r="G200" i="17"/>
  <c r="H200" i="17"/>
  <c r="I200" i="17"/>
  <c r="J200" i="17"/>
  <c r="K200" i="17"/>
  <c r="L200" i="17"/>
  <c r="M200" i="17"/>
  <c r="F201" i="17"/>
  <c r="G201" i="17"/>
  <c r="H201" i="17"/>
  <c r="I201" i="17"/>
  <c r="J201" i="17"/>
  <c r="K201" i="17"/>
  <c r="L201" i="17"/>
  <c r="M201" i="17"/>
  <c r="F202" i="17"/>
  <c r="G202" i="17"/>
  <c r="H202" i="17"/>
  <c r="I202" i="17"/>
  <c r="J202" i="17"/>
  <c r="K202" i="17"/>
  <c r="L202" i="17"/>
  <c r="M202" i="17"/>
  <c r="F203" i="17"/>
  <c r="G203" i="17"/>
  <c r="H203" i="17"/>
  <c r="I203" i="17"/>
  <c r="J203" i="17"/>
  <c r="K203" i="17"/>
  <c r="L203" i="17"/>
  <c r="M203" i="17"/>
  <c r="F204" i="17"/>
  <c r="G204" i="17"/>
  <c r="H204" i="17"/>
  <c r="I204" i="17"/>
  <c r="J204" i="17"/>
  <c r="K204" i="17"/>
  <c r="L204" i="17"/>
  <c r="M204" i="17"/>
  <c r="F205" i="17"/>
  <c r="G205" i="17"/>
  <c r="H205" i="17"/>
  <c r="I205" i="17"/>
  <c r="J205" i="17"/>
  <c r="K205" i="17"/>
  <c r="L205" i="17"/>
  <c r="M205" i="17"/>
  <c r="F206" i="17"/>
  <c r="G206" i="17"/>
  <c r="H206" i="17"/>
  <c r="I206" i="17"/>
  <c r="J206" i="17"/>
  <c r="K206" i="17"/>
  <c r="L206" i="17"/>
  <c r="M206" i="17"/>
  <c r="F209" i="17"/>
  <c r="G209" i="17"/>
  <c r="H209" i="17"/>
  <c r="I209" i="17"/>
  <c r="J209" i="17"/>
  <c r="K209" i="17"/>
  <c r="L209" i="17"/>
  <c r="M209" i="17"/>
  <c r="F212" i="17"/>
  <c r="G212" i="17"/>
  <c r="H212" i="17"/>
  <c r="I212" i="17"/>
  <c r="J212" i="17"/>
  <c r="K212" i="17"/>
  <c r="L212" i="17"/>
  <c r="M212" i="17"/>
  <c r="F213" i="17"/>
  <c r="G213" i="17"/>
  <c r="H213" i="17"/>
  <c r="I213" i="17"/>
  <c r="J213" i="17"/>
  <c r="K213" i="17"/>
  <c r="L213" i="17"/>
  <c r="M213" i="17"/>
  <c r="F214" i="17"/>
  <c r="G214" i="17"/>
  <c r="H214" i="17"/>
  <c r="I214" i="17"/>
  <c r="J214" i="17"/>
  <c r="K214" i="17"/>
  <c r="L214" i="17"/>
  <c r="M214" i="17"/>
  <c r="F215" i="17"/>
  <c r="G215" i="17"/>
  <c r="H215" i="17"/>
  <c r="I215" i="17"/>
  <c r="J215" i="17"/>
  <c r="K215" i="17"/>
  <c r="L215" i="17"/>
  <c r="M215" i="17"/>
  <c r="F216" i="17"/>
  <c r="G216" i="17"/>
  <c r="H216" i="17"/>
  <c r="I216" i="17"/>
  <c r="J216" i="17"/>
  <c r="K216" i="17"/>
  <c r="L216" i="17"/>
  <c r="M216" i="17"/>
  <c r="F217" i="17"/>
  <c r="G217" i="17"/>
  <c r="H217" i="17"/>
  <c r="I217" i="17"/>
  <c r="J217" i="17"/>
  <c r="K217" i="17"/>
  <c r="L217" i="17"/>
  <c r="M217" i="17"/>
  <c r="F218" i="17"/>
  <c r="G218" i="17"/>
  <c r="H218" i="17"/>
  <c r="I218" i="17"/>
  <c r="J218" i="17"/>
  <c r="K218" i="17"/>
  <c r="L218" i="17"/>
  <c r="M218" i="17"/>
  <c r="F221" i="17"/>
  <c r="G221" i="17"/>
  <c r="H221" i="17"/>
  <c r="I221" i="17"/>
  <c r="J221" i="17"/>
  <c r="K221" i="17"/>
  <c r="L221" i="17"/>
  <c r="M221" i="17"/>
  <c r="F222" i="17"/>
  <c r="G222" i="17"/>
  <c r="H222" i="17"/>
  <c r="I222" i="17"/>
  <c r="J222" i="17"/>
  <c r="K222" i="17"/>
  <c r="L222" i="17"/>
  <c r="M222" i="17"/>
  <c r="F223" i="17"/>
  <c r="G223" i="17"/>
  <c r="H223" i="17"/>
  <c r="I223" i="17"/>
  <c r="J223" i="17"/>
  <c r="K223" i="17"/>
  <c r="L223" i="17"/>
  <c r="M223" i="17"/>
  <c r="F224" i="17"/>
  <c r="G224" i="17"/>
  <c r="H224" i="17"/>
  <c r="I224" i="17"/>
  <c r="J224" i="17"/>
  <c r="K224" i="17"/>
  <c r="L224" i="17"/>
  <c r="M224" i="17"/>
  <c r="F225" i="17"/>
  <c r="G225" i="17"/>
  <c r="H225" i="17"/>
  <c r="I225" i="17"/>
  <c r="J225" i="17"/>
  <c r="K225" i="17"/>
  <c r="L225" i="17"/>
  <c r="M225" i="17"/>
  <c r="F226" i="17"/>
  <c r="G226" i="17"/>
  <c r="H226" i="17"/>
  <c r="I226" i="17"/>
  <c r="J226" i="17"/>
  <c r="K226" i="17"/>
  <c r="L226" i="17"/>
  <c r="M226" i="17"/>
  <c r="F227" i="17"/>
  <c r="G227" i="17"/>
  <c r="H227" i="17"/>
  <c r="I227" i="17"/>
  <c r="J227" i="17"/>
  <c r="K227" i="17"/>
  <c r="L227" i="17"/>
  <c r="M227" i="17"/>
  <c r="F230" i="17"/>
  <c r="G230" i="17"/>
  <c r="H230" i="17"/>
  <c r="I230" i="17"/>
  <c r="J230" i="17"/>
  <c r="K230" i="17"/>
  <c r="L230" i="17"/>
  <c r="M230" i="17"/>
  <c r="F231" i="17"/>
  <c r="G231" i="17"/>
  <c r="H231" i="17"/>
  <c r="I231" i="17"/>
  <c r="J231" i="17"/>
  <c r="K231" i="17"/>
  <c r="L231" i="17"/>
  <c r="M231" i="17"/>
  <c r="F232" i="17"/>
  <c r="G232" i="17"/>
  <c r="H232" i="17"/>
  <c r="I232" i="17"/>
  <c r="J232" i="17"/>
  <c r="K232" i="17"/>
  <c r="L232" i="17"/>
  <c r="M232" i="17"/>
  <c r="F233" i="17"/>
  <c r="G233" i="17"/>
  <c r="H233" i="17"/>
  <c r="I233" i="17"/>
  <c r="J233" i="17"/>
  <c r="K233" i="17"/>
  <c r="L233" i="17"/>
  <c r="M233" i="17"/>
  <c r="F234" i="17"/>
  <c r="G234" i="17"/>
  <c r="H234" i="17"/>
  <c r="I234" i="17"/>
  <c r="J234" i="17"/>
  <c r="K234" i="17"/>
  <c r="L234" i="17"/>
  <c r="M234" i="17"/>
  <c r="F235" i="17"/>
  <c r="G235" i="17"/>
  <c r="H235" i="17"/>
  <c r="I235" i="17"/>
  <c r="J235" i="17"/>
  <c r="K235" i="17"/>
  <c r="L235" i="17"/>
  <c r="M235" i="17"/>
  <c r="F236" i="17"/>
  <c r="G236" i="17"/>
  <c r="H236" i="17"/>
  <c r="I236" i="17"/>
  <c r="J236" i="17"/>
  <c r="K236" i="17"/>
  <c r="L236" i="17"/>
  <c r="M236" i="17"/>
  <c r="F239" i="17"/>
  <c r="G239" i="17"/>
  <c r="H239" i="17"/>
  <c r="I239" i="17"/>
  <c r="J239" i="17"/>
  <c r="K239" i="17"/>
  <c r="L239" i="17"/>
  <c r="M239" i="17"/>
  <c r="F240" i="17"/>
  <c r="G240" i="17"/>
  <c r="H240" i="17"/>
  <c r="I240" i="17"/>
  <c r="J240" i="17"/>
  <c r="K240" i="17"/>
  <c r="L240" i="17"/>
  <c r="M240" i="17"/>
  <c r="F241" i="17"/>
  <c r="G241" i="17"/>
  <c r="H241" i="17"/>
  <c r="I241" i="17"/>
  <c r="J241" i="17"/>
  <c r="K241" i="17"/>
  <c r="L241" i="17"/>
  <c r="M241" i="17"/>
  <c r="F242" i="17"/>
  <c r="G242" i="17"/>
  <c r="H242" i="17"/>
  <c r="I242" i="17"/>
  <c r="J242" i="17"/>
  <c r="K242" i="17"/>
  <c r="L242" i="17"/>
  <c r="M242" i="17"/>
  <c r="F243" i="17"/>
  <c r="G243" i="17"/>
  <c r="H243" i="17"/>
  <c r="I243" i="17"/>
  <c r="J243" i="17"/>
  <c r="K243" i="17"/>
  <c r="L243" i="17"/>
  <c r="M243" i="17"/>
  <c r="F244" i="17"/>
  <c r="G244" i="17"/>
  <c r="H244" i="17"/>
  <c r="I244" i="17"/>
  <c r="J244" i="17"/>
  <c r="K244" i="17"/>
  <c r="L244" i="17"/>
  <c r="M244" i="17"/>
  <c r="F245" i="17"/>
  <c r="G245" i="17"/>
  <c r="H245" i="17"/>
  <c r="I245" i="17"/>
  <c r="J245" i="17"/>
  <c r="K245" i="17"/>
  <c r="L245" i="17"/>
  <c r="M245" i="17"/>
  <c r="F248" i="17"/>
  <c r="G248" i="17"/>
  <c r="H248" i="17"/>
  <c r="I248" i="17"/>
  <c r="J248" i="17"/>
  <c r="K248" i="17"/>
  <c r="L248" i="17"/>
  <c r="M248" i="17"/>
  <c r="F251" i="17"/>
  <c r="G251" i="17"/>
  <c r="H251" i="17"/>
  <c r="I251" i="17"/>
  <c r="J251" i="17"/>
  <c r="K251" i="17"/>
  <c r="L251" i="17"/>
  <c r="M251" i="17"/>
  <c r="F252" i="17"/>
  <c r="G252" i="17"/>
  <c r="H252" i="17"/>
  <c r="I252" i="17"/>
  <c r="J252" i="17"/>
  <c r="K252" i="17"/>
  <c r="L252" i="17"/>
  <c r="M252" i="17"/>
  <c r="F253" i="17"/>
  <c r="G253" i="17"/>
  <c r="H253" i="17"/>
  <c r="I253" i="17"/>
  <c r="J253" i="17"/>
  <c r="K253" i="17"/>
  <c r="L253" i="17"/>
  <c r="M253" i="17"/>
  <c r="F254" i="17"/>
  <c r="G254" i="17"/>
  <c r="H254" i="17"/>
  <c r="I254" i="17"/>
  <c r="J254" i="17"/>
  <c r="K254" i="17"/>
  <c r="L254" i="17"/>
  <c r="M254" i="17"/>
  <c r="F255" i="17"/>
  <c r="G255" i="17"/>
  <c r="H255" i="17"/>
  <c r="I255" i="17"/>
  <c r="J255" i="17"/>
  <c r="K255" i="17"/>
  <c r="L255" i="17"/>
  <c r="M255" i="17"/>
  <c r="F256" i="17"/>
  <c r="G256" i="17"/>
  <c r="H256" i="17"/>
  <c r="I256" i="17"/>
  <c r="J256" i="17"/>
  <c r="K256" i="17"/>
  <c r="L256" i="17"/>
  <c r="M256" i="17"/>
  <c r="F257" i="17"/>
  <c r="G257" i="17"/>
  <c r="H257" i="17"/>
  <c r="I257" i="17"/>
  <c r="J257" i="17"/>
  <c r="K257" i="17"/>
  <c r="L257" i="17"/>
  <c r="M257" i="17"/>
  <c r="F260" i="17"/>
  <c r="G260" i="17"/>
  <c r="H260" i="17"/>
  <c r="I260" i="17"/>
  <c r="J260" i="17"/>
  <c r="K260" i="17"/>
  <c r="L260" i="17"/>
  <c r="M260" i="17"/>
  <c r="F261" i="17"/>
  <c r="G261" i="17"/>
  <c r="H261" i="17"/>
  <c r="I261" i="17"/>
  <c r="J261" i="17"/>
  <c r="K261" i="17"/>
  <c r="L261" i="17"/>
  <c r="M261" i="17"/>
  <c r="F262" i="17"/>
  <c r="G262" i="17"/>
  <c r="H262" i="17"/>
  <c r="I262" i="17"/>
  <c r="J262" i="17"/>
  <c r="K262" i="17"/>
  <c r="L262" i="17"/>
  <c r="M262" i="17"/>
  <c r="F263" i="17"/>
  <c r="G263" i="17"/>
  <c r="H263" i="17"/>
  <c r="I263" i="17"/>
  <c r="J263" i="17"/>
  <c r="K263" i="17"/>
  <c r="L263" i="17"/>
  <c r="M263" i="17"/>
  <c r="F264" i="17"/>
  <c r="G264" i="17"/>
  <c r="H264" i="17"/>
  <c r="I264" i="17"/>
  <c r="J264" i="17"/>
  <c r="K264" i="17"/>
  <c r="L264" i="17"/>
  <c r="M264" i="17"/>
  <c r="F265" i="17"/>
  <c r="G265" i="17"/>
  <c r="H265" i="17"/>
  <c r="I265" i="17"/>
  <c r="J265" i="17"/>
  <c r="K265" i="17"/>
  <c r="L265" i="17"/>
  <c r="M265" i="17"/>
  <c r="F266" i="17"/>
  <c r="G266" i="17"/>
  <c r="H266" i="17"/>
  <c r="I266" i="17"/>
  <c r="J266" i="17"/>
  <c r="K266" i="17"/>
  <c r="L266" i="17"/>
  <c r="M266" i="17"/>
  <c r="F269" i="17"/>
  <c r="G269" i="17"/>
  <c r="H269" i="17"/>
  <c r="I269" i="17"/>
  <c r="J269" i="17"/>
  <c r="K269" i="17"/>
  <c r="L269" i="17"/>
  <c r="M269" i="17"/>
  <c r="F272" i="17"/>
  <c r="G272" i="17"/>
  <c r="H272" i="17"/>
  <c r="I272" i="17"/>
  <c r="J272" i="17"/>
  <c r="K272" i="17"/>
  <c r="L272" i="17"/>
  <c r="M272" i="17"/>
  <c r="F273" i="17"/>
  <c r="G273" i="17"/>
  <c r="H273" i="17"/>
  <c r="I273" i="17"/>
  <c r="J273" i="17"/>
  <c r="K273" i="17"/>
  <c r="L273" i="17"/>
  <c r="M273" i="17"/>
  <c r="F274" i="17"/>
  <c r="G274" i="17"/>
  <c r="H274" i="17"/>
  <c r="I274" i="17"/>
  <c r="J274" i="17"/>
  <c r="K274" i="17"/>
  <c r="L274" i="17"/>
  <c r="M274" i="17"/>
  <c r="F275" i="17"/>
  <c r="G275" i="17"/>
  <c r="H275" i="17"/>
  <c r="I275" i="17"/>
  <c r="J275" i="17"/>
  <c r="K275" i="17"/>
  <c r="L275" i="17"/>
  <c r="M275" i="17"/>
  <c r="F276" i="17"/>
  <c r="G276" i="17"/>
  <c r="H276" i="17"/>
  <c r="I276" i="17"/>
  <c r="J276" i="17"/>
  <c r="K276" i="17"/>
  <c r="L276" i="17"/>
  <c r="M276" i="17"/>
  <c r="F277" i="17"/>
  <c r="G277" i="17"/>
  <c r="H277" i="17"/>
  <c r="I277" i="17"/>
  <c r="J277" i="17"/>
  <c r="K277" i="17"/>
  <c r="L277" i="17"/>
  <c r="M277" i="17"/>
  <c r="F280" i="17"/>
  <c r="G280" i="17"/>
  <c r="H280" i="17"/>
  <c r="I280" i="17"/>
  <c r="J280" i="17"/>
  <c r="K280" i="17"/>
  <c r="L280" i="17"/>
  <c r="M280" i="17"/>
  <c r="F281" i="17"/>
  <c r="G281" i="17"/>
  <c r="H281" i="17"/>
  <c r="I281" i="17"/>
  <c r="J281" i="17"/>
  <c r="K281" i="17"/>
  <c r="L281" i="17"/>
  <c r="M281" i="17"/>
  <c r="F282" i="17"/>
  <c r="G282" i="17"/>
  <c r="H282" i="17"/>
  <c r="I282" i="17"/>
  <c r="J282" i="17"/>
  <c r="K282" i="17"/>
  <c r="L282" i="17"/>
  <c r="M282" i="17"/>
  <c r="F283" i="17"/>
  <c r="G283" i="17"/>
  <c r="H283" i="17"/>
  <c r="I283" i="17"/>
  <c r="J283" i="17"/>
  <c r="K283" i="17"/>
  <c r="L283" i="17"/>
  <c r="M283" i="17"/>
  <c r="F284" i="17"/>
  <c r="G284" i="17"/>
  <c r="H284" i="17"/>
  <c r="I284" i="17"/>
  <c r="J284" i="17"/>
  <c r="K284" i="17"/>
  <c r="L284" i="17"/>
  <c r="M284" i="17"/>
  <c r="F285" i="17"/>
  <c r="G285" i="17"/>
  <c r="H285" i="17"/>
  <c r="I285" i="17"/>
  <c r="J285" i="17"/>
  <c r="K285" i="17"/>
  <c r="L285" i="17"/>
  <c r="M285" i="17"/>
  <c r="F288" i="17"/>
  <c r="G288" i="17"/>
  <c r="H288" i="17"/>
  <c r="I288" i="17"/>
  <c r="J288" i="17"/>
  <c r="K288" i="17"/>
  <c r="L288" i="17"/>
  <c r="M288" i="17"/>
  <c r="F289" i="17"/>
  <c r="G289" i="17"/>
  <c r="H289" i="17"/>
  <c r="I289" i="17"/>
  <c r="J289" i="17"/>
  <c r="K289" i="17"/>
  <c r="L289" i="17"/>
  <c r="M289" i="17"/>
  <c r="F290" i="17"/>
  <c r="G290" i="17"/>
  <c r="H290" i="17"/>
  <c r="I290" i="17"/>
  <c r="J290" i="17"/>
  <c r="K290" i="17"/>
  <c r="L290" i="17"/>
  <c r="M290" i="17"/>
  <c r="F291" i="17"/>
  <c r="G291" i="17"/>
  <c r="H291" i="17"/>
  <c r="I291" i="17"/>
  <c r="J291" i="17"/>
  <c r="K291" i="17"/>
  <c r="L291" i="17"/>
  <c r="M291" i="17"/>
  <c r="F292" i="17"/>
  <c r="G292" i="17"/>
  <c r="H292" i="17"/>
  <c r="I292" i="17"/>
  <c r="J292" i="17"/>
  <c r="K292" i="17"/>
  <c r="L292" i="17"/>
  <c r="M292" i="17"/>
  <c r="F293" i="17"/>
  <c r="G293" i="17"/>
  <c r="H293" i="17"/>
  <c r="I293" i="17"/>
  <c r="J293" i="17"/>
  <c r="K293" i="17"/>
  <c r="L293" i="17"/>
  <c r="M293" i="17"/>
  <c r="F296" i="17"/>
  <c r="G296" i="17"/>
  <c r="H296" i="17"/>
  <c r="I296" i="17"/>
  <c r="J296" i="17"/>
  <c r="K296" i="17"/>
  <c r="L296" i="17"/>
  <c r="M296" i="17"/>
  <c r="F297" i="17"/>
  <c r="G297" i="17"/>
  <c r="H297" i="17"/>
  <c r="I297" i="17"/>
  <c r="J297" i="17"/>
  <c r="K297" i="17"/>
  <c r="L297" i="17"/>
  <c r="M297" i="17"/>
  <c r="F298" i="17"/>
  <c r="G298" i="17"/>
  <c r="H298" i="17"/>
  <c r="I298" i="17"/>
  <c r="J298" i="17"/>
  <c r="K298" i="17"/>
  <c r="L298" i="17"/>
  <c r="M298" i="17"/>
  <c r="F299" i="17"/>
  <c r="G299" i="17"/>
  <c r="H299" i="17"/>
  <c r="I299" i="17"/>
  <c r="J299" i="17"/>
  <c r="K299" i="17"/>
  <c r="L299" i="17"/>
  <c r="M299" i="17"/>
  <c r="F300" i="17"/>
  <c r="G300" i="17"/>
  <c r="H300" i="17"/>
  <c r="I300" i="17"/>
  <c r="J300" i="17"/>
  <c r="K300" i="17"/>
  <c r="L300" i="17"/>
  <c r="M300" i="17"/>
  <c r="F301" i="17"/>
  <c r="G301" i="17"/>
  <c r="H301" i="17"/>
  <c r="I301" i="17"/>
  <c r="J301" i="17"/>
  <c r="K301" i="17"/>
  <c r="L301" i="17"/>
  <c r="M301" i="17"/>
  <c r="F304" i="17"/>
  <c r="G304" i="17"/>
  <c r="H304" i="17"/>
  <c r="I304" i="17"/>
  <c r="J304" i="17"/>
  <c r="K304" i="17"/>
  <c r="L304" i="17"/>
  <c r="M304" i="17"/>
  <c r="F305" i="17"/>
  <c r="G305" i="17"/>
  <c r="H305" i="17"/>
  <c r="I305" i="17"/>
  <c r="J305" i="17"/>
  <c r="K305" i="17"/>
  <c r="L305" i="17"/>
  <c r="M305" i="17"/>
  <c r="F306" i="17"/>
  <c r="G306" i="17"/>
  <c r="H306" i="17"/>
  <c r="I306" i="17"/>
  <c r="J306" i="17"/>
  <c r="K306" i="17"/>
  <c r="L306" i="17"/>
  <c r="M306" i="17"/>
  <c r="F307" i="17"/>
  <c r="G307" i="17"/>
  <c r="H307" i="17"/>
  <c r="I307" i="17"/>
  <c r="J307" i="17"/>
  <c r="K307" i="17"/>
  <c r="L307" i="17"/>
  <c r="M307" i="17"/>
  <c r="F308" i="17"/>
  <c r="G308" i="17"/>
  <c r="H308" i="17"/>
  <c r="I308" i="17"/>
  <c r="J308" i="17"/>
  <c r="K308" i="17"/>
  <c r="L308" i="17"/>
  <c r="M308" i="17"/>
  <c r="F311" i="17"/>
  <c r="G311" i="17"/>
  <c r="H311" i="17"/>
  <c r="I311" i="17"/>
  <c r="J311" i="17"/>
  <c r="K311" i="17"/>
  <c r="L311" i="17"/>
  <c r="M311" i="17"/>
  <c r="F314" i="17"/>
  <c r="G314" i="17"/>
  <c r="H314" i="17"/>
  <c r="I314" i="17"/>
  <c r="J314" i="17"/>
  <c r="K314" i="17"/>
  <c r="L314" i="17"/>
  <c r="M314" i="17"/>
  <c r="F315" i="17"/>
  <c r="G315" i="17"/>
  <c r="H315" i="17"/>
  <c r="I315" i="17"/>
  <c r="J315" i="17"/>
  <c r="K315" i="17"/>
  <c r="L315" i="17"/>
  <c r="M315" i="17"/>
  <c r="F316" i="17"/>
  <c r="G316" i="17"/>
  <c r="H316" i="17"/>
  <c r="I316" i="17"/>
  <c r="J316" i="17"/>
  <c r="K316" i="17"/>
  <c r="L316" i="17"/>
  <c r="M316" i="17"/>
  <c r="F317" i="17"/>
  <c r="G317" i="17"/>
  <c r="H317" i="17"/>
  <c r="I317" i="17"/>
  <c r="J317" i="17"/>
  <c r="K317" i="17"/>
  <c r="L317" i="17"/>
  <c r="M317" i="17"/>
  <c r="F318" i="17"/>
  <c r="G318" i="17"/>
  <c r="H318" i="17"/>
  <c r="I318" i="17"/>
  <c r="J318" i="17"/>
  <c r="K318" i="17"/>
  <c r="L318" i="17"/>
  <c r="M318" i="17"/>
  <c r="F319" i="17"/>
  <c r="G319" i="17"/>
  <c r="H319" i="17"/>
  <c r="I319" i="17"/>
  <c r="J319" i="17"/>
  <c r="K319" i="17"/>
  <c r="L319" i="17"/>
  <c r="M319" i="17"/>
  <c r="F322" i="17"/>
  <c r="G322" i="17"/>
  <c r="H322" i="17"/>
  <c r="I322" i="17"/>
  <c r="J322" i="17"/>
  <c r="K322" i="17"/>
  <c r="L322" i="17"/>
  <c r="M322" i="17"/>
  <c r="F325" i="17"/>
  <c r="G325" i="17"/>
  <c r="H325" i="17"/>
  <c r="I325" i="17"/>
  <c r="J325" i="17"/>
  <c r="K325" i="17"/>
  <c r="L325" i="17"/>
  <c r="M325" i="17"/>
  <c r="F326" i="17"/>
  <c r="G326" i="17"/>
  <c r="H326" i="17"/>
  <c r="I326" i="17"/>
  <c r="J326" i="17"/>
  <c r="K326" i="17"/>
  <c r="L326" i="17"/>
  <c r="M326" i="17"/>
  <c r="F327" i="17"/>
  <c r="G327" i="17"/>
  <c r="H327" i="17"/>
  <c r="I327" i="17"/>
  <c r="J327" i="17"/>
  <c r="K327" i="17"/>
  <c r="L327" i="17"/>
  <c r="M327" i="17"/>
  <c r="F328" i="17"/>
  <c r="G328" i="17"/>
  <c r="H328" i="17"/>
  <c r="I328" i="17"/>
  <c r="J328" i="17"/>
  <c r="K328" i="17"/>
  <c r="L328" i="17"/>
  <c r="M328" i="17"/>
  <c r="F329" i="17"/>
  <c r="G329" i="17"/>
  <c r="H329" i="17"/>
  <c r="I329" i="17"/>
  <c r="J329" i="17"/>
  <c r="K329" i="17"/>
  <c r="L329" i="17"/>
  <c r="M329" i="17"/>
  <c r="F330" i="17"/>
  <c r="G330" i="17"/>
  <c r="H330" i="17"/>
  <c r="I330" i="17"/>
  <c r="J330" i="17"/>
  <c r="K330" i="17"/>
  <c r="L330" i="17"/>
  <c r="M330" i="17"/>
  <c r="F333" i="17"/>
  <c r="G333" i="17"/>
  <c r="H333" i="17"/>
  <c r="I333" i="17"/>
  <c r="J333" i="17"/>
  <c r="K333" i="17"/>
  <c r="L333" i="17"/>
  <c r="M333" i="17"/>
  <c r="F334" i="17"/>
  <c r="G334" i="17"/>
  <c r="H334" i="17"/>
  <c r="I334" i="17"/>
  <c r="J334" i="17"/>
  <c r="K334" i="17"/>
  <c r="L334" i="17"/>
  <c r="M334" i="17"/>
  <c r="F335" i="17"/>
  <c r="G335" i="17"/>
  <c r="H335" i="17"/>
  <c r="I335" i="17"/>
  <c r="J335" i="17"/>
  <c r="K335" i="17"/>
  <c r="L335" i="17"/>
  <c r="M335" i="17"/>
  <c r="F336" i="17"/>
  <c r="G336" i="17"/>
  <c r="H336" i="17"/>
  <c r="I336" i="17"/>
  <c r="J336" i="17"/>
  <c r="K336" i="17"/>
  <c r="L336" i="17"/>
  <c r="M336" i="17"/>
  <c r="F337" i="17"/>
  <c r="G337" i="17"/>
  <c r="H337" i="17"/>
  <c r="I337" i="17"/>
  <c r="J337" i="17"/>
  <c r="K337" i="17"/>
  <c r="L337" i="17"/>
  <c r="M337" i="17"/>
  <c r="F338" i="17"/>
  <c r="G338" i="17"/>
  <c r="H338" i="17"/>
  <c r="I338" i="17"/>
  <c r="J338" i="17"/>
  <c r="K338" i="17"/>
  <c r="L338" i="17"/>
  <c r="M338" i="17"/>
  <c r="F339" i="17"/>
  <c r="G339" i="17"/>
  <c r="H339" i="17"/>
  <c r="I339" i="17"/>
  <c r="J339" i="17"/>
  <c r="K339" i="17"/>
  <c r="L339" i="17"/>
  <c r="M339" i="17"/>
  <c r="F340" i="17"/>
  <c r="G340" i="17"/>
  <c r="H340" i="17"/>
  <c r="I340" i="17"/>
  <c r="J340" i="17"/>
  <c r="K340" i="17"/>
  <c r="L340" i="17"/>
  <c r="M340" i="17"/>
  <c r="F343" i="17"/>
  <c r="G343" i="17"/>
  <c r="H343" i="17"/>
  <c r="I343" i="17"/>
  <c r="J343" i="17"/>
  <c r="K343" i="17"/>
  <c r="L343" i="17"/>
  <c r="M343" i="17"/>
  <c r="F346" i="17"/>
  <c r="G346" i="17"/>
  <c r="H346" i="17"/>
  <c r="I346" i="17"/>
  <c r="J346" i="17"/>
  <c r="K346" i="17"/>
  <c r="L346" i="17"/>
  <c r="M346" i="17"/>
  <c r="F349" i="17"/>
  <c r="G349" i="17"/>
  <c r="H349" i="17"/>
  <c r="I349" i="17"/>
  <c r="J349" i="17"/>
  <c r="K349" i="17"/>
  <c r="L349" i="17"/>
  <c r="M349" i="17"/>
  <c r="F352" i="17"/>
  <c r="G352" i="17"/>
  <c r="H352" i="17"/>
  <c r="I352" i="17"/>
  <c r="J352" i="17"/>
  <c r="K352" i="17"/>
  <c r="L352" i="17"/>
  <c r="M352" i="17"/>
  <c r="F355" i="17"/>
  <c r="G355" i="17"/>
  <c r="H355" i="17"/>
  <c r="I355" i="17"/>
  <c r="J355" i="17"/>
  <c r="K355" i="17"/>
  <c r="L355" i="17"/>
  <c r="M355" i="17"/>
  <c r="F358" i="17"/>
  <c r="G358" i="17"/>
  <c r="H358" i="17"/>
  <c r="I358" i="17"/>
  <c r="J358" i="17"/>
  <c r="K358" i="17"/>
  <c r="L358" i="17"/>
  <c r="M358" i="17"/>
  <c r="F361" i="17"/>
  <c r="G361" i="17"/>
  <c r="H361" i="17"/>
  <c r="I361" i="17"/>
  <c r="J361" i="17"/>
  <c r="K361" i="17"/>
  <c r="L361" i="17"/>
  <c r="M361" i="17"/>
  <c r="F364" i="17"/>
  <c r="G364" i="17"/>
  <c r="H364" i="17"/>
  <c r="I364" i="17"/>
  <c r="J364" i="17"/>
  <c r="K364" i="17"/>
  <c r="L364" i="17"/>
  <c r="M364" i="17"/>
  <c r="F367" i="17"/>
  <c r="G367" i="17"/>
  <c r="H367" i="17"/>
  <c r="I367" i="17"/>
  <c r="J367" i="17"/>
  <c r="K367" i="17"/>
  <c r="L367" i="17"/>
  <c r="M367" i="17"/>
  <c r="F370" i="17"/>
  <c r="G370" i="17"/>
  <c r="H370" i="17"/>
  <c r="I370" i="17"/>
  <c r="J370" i="17"/>
  <c r="K370" i="17"/>
  <c r="L370" i="17"/>
  <c r="M370" i="17"/>
  <c r="F373" i="17"/>
  <c r="G373" i="17"/>
  <c r="H373" i="17"/>
  <c r="I373" i="17"/>
  <c r="J373" i="17"/>
  <c r="K373" i="17"/>
  <c r="L373" i="17"/>
  <c r="M373" i="17"/>
  <c r="F386" i="17"/>
  <c r="G386" i="17"/>
  <c r="H386" i="17"/>
  <c r="I386" i="17"/>
  <c r="J386" i="17"/>
  <c r="K386" i="17"/>
  <c r="L386" i="17"/>
  <c r="M386" i="17"/>
  <c r="F389" i="17"/>
  <c r="G389" i="17"/>
  <c r="H389" i="17"/>
  <c r="I389" i="17"/>
  <c r="J389" i="17"/>
  <c r="K389" i="17"/>
  <c r="L389" i="17"/>
  <c r="M389" i="17"/>
  <c r="F392" i="17"/>
  <c r="G392" i="17"/>
  <c r="H392" i="17"/>
  <c r="I392" i="17"/>
  <c r="J392" i="17"/>
  <c r="K392" i="17"/>
  <c r="L392" i="17"/>
  <c r="M392" i="17"/>
  <c r="F393" i="17"/>
  <c r="G393" i="17"/>
  <c r="H393" i="17"/>
  <c r="I393" i="17"/>
  <c r="J393" i="17"/>
  <c r="K393" i="17"/>
  <c r="L393" i="17"/>
  <c r="M393" i="17"/>
  <c r="F394" i="17"/>
  <c r="G394" i="17"/>
  <c r="H394" i="17"/>
  <c r="I394" i="17"/>
  <c r="J394" i="17"/>
  <c r="K394" i="17"/>
  <c r="L394" i="17"/>
  <c r="M394" i="17"/>
  <c r="F395" i="17"/>
  <c r="G395" i="17"/>
  <c r="H395" i="17"/>
  <c r="I395" i="17"/>
  <c r="J395" i="17"/>
  <c r="K395" i="17"/>
  <c r="L395" i="17"/>
  <c r="M395" i="17"/>
  <c r="F396" i="17"/>
  <c r="G396" i="17"/>
  <c r="H396" i="17"/>
  <c r="I396" i="17"/>
  <c r="J396" i="17"/>
  <c r="K396" i="17"/>
  <c r="L396" i="17"/>
  <c r="M396" i="17"/>
  <c r="F397" i="17"/>
  <c r="G397" i="17"/>
  <c r="H397" i="17"/>
  <c r="I397" i="17"/>
  <c r="J397" i="17"/>
  <c r="K397" i="17"/>
  <c r="L397" i="17"/>
  <c r="M397" i="17"/>
  <c r="F404" i="17"/>
  <c r="G404" i="17"/>
  <c r="H404" i="17"/>
  <c r="I404" i="17"/>
  <c r="J404" i="17"/>
  <c r="K404" i="17"/>
  <c r="L404" i="17"/>
  <c r="M404" i="17"/>
  <c r="H142" i="29" s="1"/>
  <c r="F406" i="17"/>
  <c r="G406" i="17"/>
  <c r="H406" i="17"/>
  <c r="I406" i="17"/>
  <c r="J406" i="17"/>
  <c r="K406" i="17"/>
  <c r="L406" i="17"/>
  <c r="M406" i="17"/>
  <c r="F412" i="17"/>
  <c r="G412" i="17"/>
  <c r="H412" i="17"/>
  <c r="I412" i="17"/>
  <c r="J412" i="17"/>
  <c r="K412" i="17"/>
  <c r="L412" i="17"/>
  <c r="M412" i="17"/>
  <c r="F413" i="17"/>
  <c r="G413" i="17"/>
  <c r="H413" i="17"/>
  <c r="I413" i="17"/>
  <c r="J413" i="17"/>
  <c r="K413" i="17"/>
  <c r="L413" i="17"/>
  <c r="M413" i="17"/>
  <c r="F407" i="17"/>
  <c r="G407" i="17"/>
  <c r="H407" i="17"/>
  <c r="I407" i="17"/>
  <c r="J407" i="17"/>
  <c r="K407" i="17"/>
  <c r="L407" i="17"/>
  <c r="M407" i="17"/>
  <c r="F408" i="17"/>
  <c r="G408" i="17"/>
  <c r="H408" i="17"/>
  <c r="I408" i="17"/>
  <c r="J408" i="17"/>
  <c r="K408" i="17"/>
  <c r="L408" i="17"/>
  <c r="M408" i="17"/>
  <c r="F416" i="17"/>
  <c r="G416" i="17"/>
  <c r="H416" i="17"/>
  <c r="I416" i="17"/>
  <c r="J416" i="17"/>
  <c r="K416" i="17"/>
  <c r="L416" i="17"/>
  <c r="M416" i="17"/>
  <c r="F431" i="17"/>
  <c r="G431" i="17"/>
  <c r="H431" i="17"/>
  <c r="I431" i="17"/>
  <c r="J431" i="17"/>
  <c r="K431" i="17"/>
  <c r="L431" i="17"/>
  <c r="M431" i="17"/>
  <c r="F446" i="17"/>
  <c r="G446" i="17"/>
  <c r="H446" i="17"/>
  <c r="I446" i="17"/>
  <c r="J446" i="17"/>
  <c r="K446" i="17"/>
  <c r="L446" i="17"/>
  <c r="M446" i="17"/>
  <c r="F473" i="17"/>
  <c r="G473" i="17"/>
  <c r="H473" i="17"/>
  <c r="I473" i="17"/>
  <c r="J473" i="17"/>
  <c r="K473" i="17"/>
  <c r="L473" i="17"/>
  <c r="M473" i="17"/>
  <c r="F476" i="17"/>
  <c r="G476" i="17"/>
  <c r="H476" i="17"/>
  <c r="I476" i="17"/>
  <c r="J476" i="17"/>
  <c r="K476" i="17"/>
  <c r="L476" i="17"/>
  <c r="M476" i="17"/>
  <c r="F479" i="17"/>
  <c r="G479" i="17"/>
  <c r="H479" i="17"/>
  <c r="I479" i="17"/>
  <c r="J479" i="17"/>
  <c r="K479" i="17"/>
  <c r="L479" i="17"/>
  <c r="M479" i="17"/>
  <c r="F480" i="17"/>
  <c r="G480" i="17"/>
  <c r="H480" i="17"/>
  <c r="I480" i="17"/>
  <c r="J480" i="17"/>
  <c r="K480" i="17"/>
  <c r="L480" i="17"/>
  <c r="M480" i="17"/>
  <c r="F481" i="17"/>
  <c r="G481" i="17"/>
  <c r="H481" i="17"/>
  <c r="I481" i="17"/>
  <c r="J481" i="17"/>
  <c r="K481" i="17"/>
  <c r="L481" i="17"/>
  <c r="M481" i="17"/>
  <c r="F484" i="17"/>
  <c r="G484" i="17"/>
  <c r="H484" i="17"/>
  <c r="I484" i="17"/>
  <c r="J484" i="17"/>
  <c r="K484" i="17"/>
  <c r="L484" i="17"/>
  <c r="M484" i="17"/>
  <c r="F487" i="17"/>
  <c r="G487" i="17"/>
  <c r="H487" i="17"/>
  <c r="I487" i="17"/>
  <c r="J487" i="17"/>
  <c r="K487" i="17"/>
  <c r="L487" i="17"/>
  <c r="M487" i="17"/>
  <c r="F488" i="17"/>
  <c r="G488" i="17"/>
  <c r="H488" i="17"/>
  <c r="I488" i="17"/>
  <c r="J488" i="17"/>
  <c r="K488" i="17"/>
  <c r="L488" i="17"/>
  <c r="M488" i="17"/>
  <c r="F491" i="17"/>
  <c r="G491" i="17"/>
  <c r="H491" i="17"/>
  <c r="I491" i="17"/>
  <c r="J491" i="17"/>
  <c r="K491" i="17"/>
  <c r="L491" i="17"/>
  <c r="M491" i="17"/>
  <c r="F492" i="17"/>
  <c r="G492" i="17"/>
  <c r="H492" i="17"/>
  <c r="I492" i="17"/>
  <c r="J492" i="17"/>
  <c r="K492" i="17"/>
  <c r="L492" i="17"/>
  <c r="M492" i="17"/>
  <c r="F493" i="17"/>
  <c r="G493" i="17"/>
  <c r="H493" i="17"/>
  <c r="I493" i="17"/>
  <c r="J493" i="17"/>
  <c r="K493" i="17"/>
  <c r="L493" i="17"/>
  <c r="M493" i="17"/>
  <c r="F494" i="17"/>
  <c r="G494" i="17"/>
  <c r="H494" i="17"/>
  <c r="I494" i="17"/>
  <c r="J494" i="17"/>
  <c r="K494" i="17"/>
  <c r="L494" i="17"/>
  <c r="M494" i="17"/>
  <c r="F497" i="17"/>
  <c r="G497" i="17"/>
  <c r="H497" i="17"/>
  <c r="I497" i="17"/>
  <c r="J497" i="17"/>
  <c r="K497" i="17"/>
  <c r="L497" i="17"/>
  <c r="M497" i="17"/>
  <c r="F498" i="17"/>
  <c r="G498" i="17"/>
  <c r="H498" i="17"/>
  <c r="I498" i="17"/>
  <c r="J498" i="17"/>
  <c r="K498" i="17"/>
  <c r="L498" i="17"/>
  <c r="M498" i="17"/>
  <c r="F499" i="17"/>
  <c r="G499" i="17"/>
  <c r="H499" i="17"/>
  <c r="I499" i="17"/>
  <c r="J499" i="17"/>
  <c r="K499" i="17"/>
  <c r="L499" i="17"/>
  <c r="M499" i="17"/>
  <c r="F500" i="17"/>
  <c r="G500" i="17"/>
  <c r="H500" i="17"/>
  <c r="I500" i="17"/>
  <c r="J500" i="17"/>
  <c r="K500" i="17"/>
  <c r="L500" i="17"/>
  <c r="M500" i="17"/>
  <c r="F503" i="17"/>
  <c r="G503" i="17"/>
  <c r="H503" i="17"/>
  <c r="I503" i="17"/>
  <c r="J503" i="17"/>
  <c r="K503" i="17"/>
  <c r="L503" i="17"/>
  <c r="M503" i="17"/>
  <c r="F506" i="17"/>
  <c r="G506" i="17"/>
  <c r="H506" i="17"/>
  <c r="I506" i="17"/>
  <c r="J506" i="17"/>
  <c r="K506" i="17"/>
  <c r="L506" i="17"/>
  <c r="M506" i="17"/>
  <c r="F507" i="17"/>
  <c r="G507" i="17"/>
  <c r="H507" i="17"/>
  <c r="I507" i="17"/>
  <c r="J507" i="17"/>
  <c r="K507" i="17"/>
  <c r="L507" i="17"/>
  <c r="M507" i="17"/>
  <c r="F510" i="17"/>
  <c r="G510" i="17"/>
  <c r="H510" i="17"/>
  <c r="I510" i="17"/>
  <c r="J510" i="17"/>
  <c r="K510" i="17"/>
  <c r="L510" i="17"/>
  <c r="M510" i="17"/>
  <c r="F511" i="17"/>
  <c r="G511" i="17"/>
  <c r="H511" i="17"/>
  <c r="I511" i="17"/>
  <c r="J511" i="17"/>
  <c r="K511" i="17"/>
  <c r="L511" i="17"/>
  <c r="M511" i="17"/>
  <c r="F512" i="17"/>
  <c r="G512" i="17"/>
  <c r="H512" i="17"/>
  <c r="I512" i="17"/>
  <c r="J512" i="17"/>
  <c r="K512" i="17"/>
  <c r="L512" i="17"/>
  <c r="M512" i="17"/>
  <c r="F515" i="17"/>
  <c r="G515" i="17"/>
  <c r="H515" i="17"/>
  <c r="I515" i="17"/>
  <c r="J515" i="17"/>
  <c r="K515" i="17"/>
  <c r="L515" i="17"/>
  <c r="M515" i="17"/>
  <c r="F518" i="17"/>
  <c r="G518" i="17"/>
  <c r="H518" i="17"/>
  <c r="I518" i="17"/>
  <c r="J518" i="17"/>
  <c r="K518" i="17"/>
  <c r="L518" i="17"/>
  <c r="M518" i="17"/>
  <c r="F519" i="17"/>
  <c r="G519" i="17"/>
  <c r="H519" i="17"/>
  <c r="I519" i="17"/>
  <c r="J519" i="17"/>
  <c r="K519" i="17"/>
  <c r="L519" i="17"/>
  <c r="M519" i="17"/>
  <c r="F520" i="17"/>
  <c r="G520" i="17"/>
  <c r="H520" i="17"/>
  <c r="I520" i="17"/>
  <c r="J520" i="17"/>
  <c r="K520" i="17"/>
  <c r="L520" i="17"/>
  <c r="M520" i="17"/>
  <c r="F523" i="17"/>
  <c r="G523" i="17"/>
  <c r="H523" i="17"/>
  <c r="I523" i="17"/>
  <c r="J523" i="17"/>
  <c r="K523" i="17"/>
  <c r="L523" i="17"/>
  <c r="M523" i="17"/>
  <c r="F526" i="17"/>
  <c r="G526" i="17"/>
  <c r="H526" i="17"/>
  <c r="I526" i="17"/>
  <c r="J526" i="17"/>
  <c r="K526" i="17"/>
  <c r="L526" i="17"/>
  <c r="M526" i="17"/>
  <c r="F527" i="17"/>
  <c r="G527" i="17"/>
  <c r="H527" i="17"/>
  <c r="I527" i="17"/>
  <c r="J527" i="17"/>
  <c r="K527" i="17"/>
  <c r="L527" i="17"/>
  <c r="M527" i="17"/>
  <c r="F528" i="17"/>
  <c r="G528" i="17"/>
  <c r="H528" i="17"/>
  <c r="I528" i="17"/>
  <c r="J528" i="17"/>
  <c r="K528" i="17"/>
  <c r="L528" i="17"/>
  <c r="M528" i="17"/>
  <c r="F529" i="17"/>
  <c r="G529" i="17"/>
  <c r="H529" i="17"/>
  <c r="I529" i="17"/>
  <c r="J529" i="17"/>
  <c r="K529" i="17"/>
  <c r="L529" i="17"/>
  <c r="M529" i="17"/>
  <c r="F530" i="17"/>
  <c r="G530" i="17"/>
  <c r="H530" i="17"/>
  <c r="I530" i="17"/>
  <c r="J530" i="17"/>
  <c r="K530" i="17"/>
  <c r="L530" i="17"/>
  <c r="M530" i="17"/>
  <c r="F531" i="17"/>
  <c r="G531" i="17"/>
  <c r="H531" i="17"/>
  <c r="I531" i="17"/>
  <c r="J531" i="17"/>
  <c r="K531" i="17"/>
  <c r="L531" i="17"/>
  <c r="M531" i="17"/>
  <c r="F532" i="17"/>
  <c r="G532" i="17"/>
  <c r="H532" i="17"/>
  <c r="I532" i="17"/>
  <c r="J532" i="17"/>
  <c r="K532" i="17"/>
  <c r="L532" i="17"/>
  <c r="M532" i="17"/>
  <c r="F535" i="17"/>
  <c r="G535" i="17"/>
  <c r="H535" i="17"/>
  <c r="I535" i="17"/>
  <c r="J535" i="17"/>
  <c r="K535" i="17"/>
  <c r="L535" i="17"/>
  <c r="M535" i="17"/>
  <c r="F536" i="17"/>
  <c r="G536" i="17"/>
  <c r="H536" i="17"/>
  <c r="I536" i="17"/>
  <c r="J536" i="17"/>
  <c r="K536" i="17"/>
  <c r="L536" i="17"/>
  <c r="M536" i="17"/>
  <c r="F537" i="17"/>
  <c r="G537" i="17"/>
  <c r="H537" i="17"/>
  <c r="I537" i="17"/>
  <c r="J537" i="17"/>
  <c r="K537" i="17"/>
  <c r="L537" i="17"/>
  <c r="M537" i="17"/>
  <c r="F538" i="17"/>
  <c r="G538" i="17"/>
  <c r="H538" i="17"/>
  <c r="I538" i="17"/>
  <c r="J538" i="17"/>
  <c r="K538" i="17"/>
  <c r="L538" i="17"/>
  <c r="M538" i="17"/>
  <c r="F539" i="17"/>
  <c r="G539" i="17"/>
  <c r="H539" i="17"/>
  <c r="I539" i="17"/>
  <c r="J539" i="17"/>
  <c r="K539" i="17"/>
  <c r="L539" i="17"/>
  <c r="M539" i="17"/>
  <c r="F542" i="17"/>
  <c r="G542" i="17"/>
  <c r="H542" i="17"/>
  <c r="I542" i="17"/>
  <c r="J542" i="17"/>
  <c r="K542" i="17"/>
  <c r="L542" i="17"/>
  <c r="M542" i="17"/>
  <c r="F545" i="17"/>
  <c r="G545" i="17"/>
  <c r="H545" i="17"/>
  <c r="I545" i="17"/>
  <c r="J545" i="17"/>
  <c r="K545" i="17"/>
  <c r="L545" i="17"/>
  <c r="M545" i="17"/>
  <c r="F546" i="17"/>
  <c r="G546" i="17"/>
  <c r="H546" i="17"/>
  <c r="I546" i="17"/>
  <c r="J546" i="17"/>
  <c r="K546" i="17"/>
  <c r="L546" i="17"/>
  <c r="M546" i="17"/>
  <c r="F547" i="17"/>
  <c r="G547" i="17"/>
  <c r="H547" i="17"/>
  <c r="I547" i="17"/>
  <c r="J547" i="17"/>
  <c r="K547" i="17"/>
  <c r="L547" i="17"/>
  <c r="M547" i="17"/>
  <c r="F548" i="17"/>
  <c r="G548" i="17"/>
  <c r="H548" i="17"/>
  <c r="I548" i="17"/>
  <c r="J548" i="17"/>
  <c r="K548" i="17"/>
  <c r="L548" i="17"/>
  <c r="M548" i="17"/>
  <c r="F549" i="17"/>
  <c r="G549" i="17"/>
  <c r="H549" i="17"/>
  <c r="I549" i="17"/>
  <c r="J549" i="17"/>
  <c r="K549" i="17"/>
  <c r="L549" i="17"/>
  <c r="M549" i="17"/>
  <c r="F550" i="17"/>
  <c r="G550" i="17"/>
  <c r="H550" i="17"/>
  <c r="I550" i="17"/>
  <c r="J550" i="17"/>
  <c r="K550" i="17"/>
  <c r="L550" i="17"/>
  <c r="M550" i="17"/>
  <c r="F553" i="17"/>
  <c r="G553" i="17"/>
  <c r="H553" i="17"/>
  <c r="I553" i="17"/>
  <c r="J553" i="17"/>
  <c r="K553" i="17"/>
  <c r="L553" i="17"/>
  <c r="M553" i="17"/>
  <c r="F554" i="17"/>
  <c r="G554" i="17"/>
  <c r="H554" i="17"/>
  <c r="I554" i="17"/>
  <c r="J554" i="17"/>
  <c r="K554" i="17"/>
  <c r="L554" i="17"/>
  <c r="M554" i="17"/>
  <c r="F555" i="17"/>
  <c r="G555" i="17"/>
  <c r="H555" i="17"/>
  <c r="I555" i="17"/>
  <c r="J555" i="17"/>
  <c r="K555" i="17"/>
  <c r="L555" i="17"/>
  <c r="M555" i="17"/>
  <c r="F556" i="17"/>
  <c r="G556" i="17"/>
  <c r="H556" i="17"/>
  <c r="I556" i="17"/>
  <c r="J556" i="17"/>
  <c r="K556" i="17"/>
  <c r="L556" i="17"/>
  <c r="M556" i="17"/>
  <c r="F557" i="17"/>
  <c r="G557" i="17"/>
  <c r="H557" i="17"/>
  <c r="I557" i="17"/>
  <c r="J557" i="17"/>
  <c r="K557" i="17"/>
  <c r="L557" i="17"/>
  <c r="M557" i="17"/>
  <c r="F558" i="17"/>
  <c r="G558" i="17"/>
  <c r="H558" i="17"/>
  <c r="I558" i="17"/>
  <c r="J558" i="17"/>
  <c r="K558" i="17"/>
  <c r="L558" i="17"/>
  <c r="M558" i="17"/>
  <c r="F559" i="17"/>
  <c r="G559" i="17"/>
  <c r="H559" i="17"/>
  <c r="I559" i="17"/>
  <c r="J559" i="17"/>
  <c r="K559" i="17"/>
  <c r="L559" i="17"/>
  <c r="M559" i="17"/>
  <c r="F562" i="17"/>
  <c r="G562" i="17"/>
  <c r="H562" i="17"/>
  <c r="I562" i="17"/>
  <c r="J562" i="17"/>
  <c r="K562" i="17"/>
  <c r="L562" i="17"/>
  <c r="M562" i="17"/>
  <c r="F565" i="17"/>
  <c r="G565" i="17"/>
  <c r="H565" i="17"/>
  <c r="I565" i="17"/>
  <c r="J565" i="17"/>
  <c r="K565" i="17"/>
  <c r="L565" i="17"/>
  <c r="M565" i="17"/>
  <c r="F568" i="17"/>
  <c r="G568" i="17"/>
  <c r="H568" i="17"/>
  <c r="I568" i="17"/>
  <c r="J568" i="17"/>
  <c r="K568" i="17"/>
  <c r="L568" i="17"/>
  <c r="M568" i="17"/>
  <c r="F569" i="17"/>
  <c r="G569" i="17"/>
  <c r="H569" i="17"/>
  <c r="I569" i="17"/>
  <c r="J569" i="17"/>
  <c r="K569" i="17"/>
  <c r="L569" i="17"/>
  <c r="M569" i="17"/>
  <c r="F572" i="17"/>
  <c r="G572" i="17"/>
  <c r="H572" i="17"/>
  <c r="I572" i="17"/>
  <c r="J572" i="17"/>
  <c r="K572" i="17"/>
  <c r="L572" i="17"/>
  <c r="M572" i="17"/>
  <c r="F573" i="17"/>
  <c r="G573" i="17"/>
  <c r="H573" i="17"/>
  <c r="I573" i="17"/>
  <c r="J573" i="17"/>
  <c r="K573" i="17"/>
  <c r="L573" i="17"/>
  <c r="M573" i="17"/>
  <c r="F574" i="17"/>
  <c r="G574" i="17"/>
  <c r="H574" i="17"/>
  <c r="I574" i="17"/>
  <c r="J574" i="17"/>
  <c r="K574" i="17"/>
  <c r="L574" i="17"/>
  <c r="M574" i="17"/>
  <c r="F575" i="17"/>
  <c r="G575" i="17"/>
  <c r="H575" i="17"/>
  <c r="I575" i="17"/>
  <c r="J575" i="17"/>
  <c r="K575" i="17"/>
  <c r="L575" i="17"/>
  <c r="M575" i="17"/>
  <c r="F578" i="17"/>
  <c r="G578" i="17"/>
  <c r="H578" i="17"/>
  <c r="I578" i="17"/>
  <c r="J578" i="17"/>
  <c r="K578" i="17"/>
  <c r="L578" i="17"/>
  <c r="M578" i="17"/>
  <c r="F579" i="17"/>
  <c r="G579" i="17"/>
  <c r="H579" i="17"/>
  <c r="I579" i="17"/>
  <c r="J579" i="17"/>
  <c r="K579" i="17"/>
  <c r="L579" i="17"/>
  <c r="M579" i="17"/>
  <c r="F580" i="17"/>
  <c r="G580" i="17"/>
  <c r="H580" i="17"/>
  <c r="I580" i="17"/>
  <c r="J580" i="17"/>
  <c r="K580" i="17"/>
  <c r="L580" i="17"/>
  <c r="M580" i="17"/>
  <c r="F581" i="17"/>
  <c r="G581" i="17"/>
  <c r="H581" i="17"/>
  <c r="I581" i="17"/>
  <c r="J581" i="17"/>
  <c r="K581" i="17"/>
  <c r="L581" i="17"/>
  <c r="M581" i="17"/>
  <c r="F584" i="17"/>
  <c r="G584" i="17"/>
  <c r="H584" i="17"/>
  <c r="I584" i="17"/>
  <c r="J584" i="17"/>
  <c r="K584" i="17"/>
  <c r="L584" i="17"/>
  <c r="M584" i="17"/>
  <c r="F587" i="17"/>
  <c r="G587" i="17"/>
  <c r="H587" i="17"/>
  <c r="I587" i="17"/>
  <c r="J587" i="17"/>
  <c r="K587" i="17"/>
  <c r="L587" i="17"/>
  <c r="M587" i="17"/>
  <c r="F588" i="17"/>
  <c r="G588" i="17"/>
  <c r="H588" i="17"/>
  <c r="I588" i="17"/>
  <c r="J588" i="17"/>
  <c r="K588" i="17"/>
  <c r="L588" i="17"/>
  <c r="M588" i="17"/>
  <c r="F591" i="17"/>
  <c r="G591" i="17"/>
  <c r="H591" i="17"/>
  <c r="I591" i="17"/>
  <c r="J591" i="17"/>
  <c r="K591" i="17"/>
  <c r="L591" i="17"/>
  <c r="M591" i="17"/>
  <c r="F592" i="17"/>
  <c r="G592" i="17"/>
  <c r="H592" i="17"/>
  <c r="I592" i="17"/>
  <c r="J592" i="17"/>
  <c r="K592" i="17"/>
  <c r="L592" i="17"/>
  <c r="M592" i="17"/>
  <c r="F593" i="17"/>
  <c r="G593" i="17"/>
  <c r="H593" i="17"/>
  <c r="I593" i="17"/>
  <c r="J593" i="17"/>
  <c r="K593" i="17"/>
  <c r="L593" i="17"/>
  <c r="M593" i="17"/>
  <c r="F596" i="17"/>
  <c r="G596" i="17"/>
  <c r="H596" i="17"/>
  <c r="I596" i="17"/>
  <c r="J596" i="17"/>
  <c r="K596" i="17"/>
  <c r="L596" i="17"/>
  <c r="M596" i="17"/>
  <c r="F599" i="17"/>
  <c r="G599" i="17"/>
  <c r="H599" i="17"/>
  <c r="I599" i="17"/>
  <c r="J599" i="17"/>
  <c r="K599" i="17"/>
  <c r="L599" i="17"/>
  <c r="M599" i="17"/>
  <c r="F600" i="17"/>
  <c r="G600" i="17"/>
  <c r="H600" i="17"/>
  <c r="I600" i="17"/>
  <c r="J600" i="17"/>
  <c r="K600" i="17"/>
  <c r="L600" i="17"/>
  <c r="M600" i="17"/>
  <c r="F601" i="17"/>
  <c r="G601" i="17"/>
  <c r="H601" i="17"/>
  <c r="I601" i="17"/>
  <c r="J601" i="17"/>
  <c r="K601" i="17"/>
  <c r="L601" i="17"/>
  <c r="M601" i="17"/>
  <c r="F604" i="17"/>
  <c r="G604" i="17"/>
  <c r="H604" i="17"/>
  <c r="I604" i="17"/>
  <c r="J604" i="17"/>
  <c r="K604" i="17"/>
  <c r="L604" i="17"/>
  <c r="M604" i="17"/>
  <c r="F607" i="17"/>
  <c r="G607" i="17"/>
  <c r="H607" i="17"/>
  <c r="I607" i="17"/>
  <c r="J607" i="17"/>
  <c r="K607" i="17"/>
  <c r="L607" i="17"/>
  <c r="M607" i="17"/>
  <c r="F608" i="17"/>
  <c r="G608" i="17"/>
  <c r="H608" i="17"/>
  <c r="I608" i="17"/>
  <c r="J608" i="17"/>
  <c r="K608" i="17"/>
  <c r="L608" i="17"/>
  <c r="M608" i="17"/>
  <c r="F609" i="17"/>
  <c r="G609" i="17"/>
  <c r="H609" i="17"/>
  <c r="I609" i="17"/>
  <c r="J609" i="17"/>
  <c r="K609" i="17"/>
  <c r="L609" i="17"/>
  <c r="M609" i="17"/>
  <c r="F610" i="17"/>
  <c r="G610" i="17"/>
  <c r="H610" i="17"/>
  <c r="I610" i="17"/>
  <c r="J610" i="17"/>
  <c r="K610" i="17"/>
  <c r="L610" i="17"/>
  <c r="M610" i="17"/>
  <c r="F611" i="17"/>
  <c r="G611" i="17"/>
  <c r="H611" i="17"/>
  <c r="I611" i="17"/>
  <c r="J611" i="17"/>
  <c r="K611" i="17"/>
  <c r="L611" i="17"/>
  <c r="M611" i="17"/>
  <c r="F612" i="17"/>
  <c r="G612" i="17"/>
  <c r="H612" i="17"/>
  <c r="I612" i="17"/>
  <c r="J612" i="17"/>
  <c r="K612" i="17"/>
  <c r="L612" i="17"/>
  <c r="M612" i="17"/>
  <c r="F613" i="17"/>
  <c r="G613" i="17"/>
  <c r="H613" i="17"/>
  <c r="I613" i="17"/>
  <c r="J613" i="17"/>
  <c r="K613" i="17"/>
  <c r="L613" i="17"/>
  <c r="M613" i="17"/>
  <c r="F616" i="17"/>
  <c r="G616" i="17"/>
  <c r="H616" i="17"/>
  <c r="I616" i="17"/>
  <c r="J616" i="17"/>
  <c r="K616" i="17"/>
  <c r="L616" i="17"/>
  <c r="M616" i="17"/>
  <c r="F617" i="17"/>
  <c r="G617" i="17"/>
  <c r="H617" i="17"/>
  <c r="I617" i="17"/>
  <c r="J617" i="17"/>
  <c r="K617" i="17"/>
  <c r="L617" i="17"/>
  <c r="M617" i="17"/>
  <c r="F618" i="17"/>
  <c r="G618" i="17"/>
  <c r="H618" i="17"/>
  <c r="I618" i="17"/>
  <c r="J618" i="17"/>
  <c r="K618" i="17"/>
  <c r="L618" i="17"/>
  <c r="M618" i="17"/>
  <c r="F619" i="17"/>
  <c r="G619" i="17"/>
  <c r="H619" i="17"/>
  <c r="I619" i="17"/>
  <c r="J619" i="17"/>
  <c r="K619" i="17"/>
  <c r="L619" i="17"/>
  <c r="M619" i="17"/>
  <c r="F620" i="17"/>
  <c r="G620" i="17"/>
  <c r="H620" i="17"/>
  <c r="I620" i="17"/>
  <c r="J620" i="17"/>
  <c r="K620" i="17"/>
  <c r="L620" i="17"/>
  <c r="M620" i="17"/>
  <c r="F623" i="17"/>
  <c r="G623" i="17"/>
  <c r="H623" i="17"/>
  <c r="I623" i="17"/>
  <c r="J623" i="17"/>
  <c r="K623" i="17"/>
  <c r="L623" i="17"/>
  <c r="M623" i="17"/>
  <c r="F626" i="17"/>
  <c r="G626" i="17"/>
  <c r="H626" i="17"/>
  <c r="I626" i="17"/>
  <c r="J626" i="17"/>
  <c r="K626" i="17"/>
  <c r="L626" i="17"/>
  <c r="M626" i="17"/>
  <c r="F627" i="17"/>
  <c r="G627" i="17"/>
  <c r="H627" i="17"/>
  <c r="I627" i="17"/>
  <c r="J627" i="17"/>
  <c r="K627" i="17"/>
  <c r="L627" i="17"/>
  <c r="M627" i="17"/>
  <c r="F628" i="17"/>
  <c r="G628" i="17"/>
  <c r="H628" i="17"/>
  <c r="I628" i="17"/>
  <c r="J628" i="17"/>
  <c r="K628" i="17"/>
  <c r="L628" i="17"/>
  <c r="M628" i="17"/>
  <c r="F629" i="17"/>
  <c r="G629" i="17"/>
  <c r="H629" i="17"/>
  <c r="I629" i="17"/>
  <c r="J629" i="17"/>
  <c r="K629" i="17"/>
  <c r="L629" i="17"/>
  <c r="M629" i="17"/>
  <c r="F630" i="17"/>
  <c r="G630" i="17"/>
  <c r="H630" i="17"/>
  <c r="I630" i="17"/>
  <c r="J630" i="17"/>
  <c r="K630" i="17"/>
  <c r="L630" i="17"/>
  <c r="M630" i="17"/>
  <c r="F631" i="17"/>
  <c r="G631" i="17"/>
  <c r="H631" i="17"/>
  <c r="I631" i="17"/>
  <c r="J631" i="17"/>
  <c r="K631" i="17"/>
  <c r="L631" i="17"/>
  <c r="M631" i="17"/>
  <c r="F634" i="17"/>
  <c r="G634" i="17"/>
  <c r="H634" i="17"/>
  <c r="I634" i="17"/>
  <c r="J634" i="17"/>
  <c r="K634" i="17"/>
  <c r="L634" i="17"/>
  <c r="M634" i="17"/>
  <c r="F635" i="17"/>
  <c r="G635" i="17"/>
  <c r="H635" i="17"/>
  <c r="I635" i="17"/>
  <c r="J635" i="17"/>
  <c r="K635" i="17"/>
  <c r="L635" i="17"/>
  <c r="M635" i="17"/>
  <c r="F636" i="17"/>
  <c r="G636" i="17"/>
  <c r="H636" i="17"/>
  <c r="I636" i="17"/>
  <c r="J636" i="17"/>
  <c r="K636" i="17"/>
  <c r="L636" i="17"/>
  <c r="M636" i="17"/>
  <c r="F637" i="17"/>
  <c r="G637" i="17"/>
  <c r="H637" i="17"/>
  <c r="I637" i="17"/>
  <c r="J637" i="17"/>
  <c r="K637" i="17"/>
  <c r="L637" i="17"/>
  <c r="M637" i="17"/>
  <c r="F638" i="17"/>
  <c r="G638" i="17"/>
  <c r="H638" i="17"/>
  <c r="I638" i="17"/>
  <c r="J638" i="17"/>
  <c r="K638" i="17"/>
  <c r="L638" i="17"/>
  <c r="M638" i="17"/>
  <c r="F639" i="17"/>
  <c r="G639" i="17"/>
  <c r="H639" i="17"/>
  <c r="I639" i="17"/>
  <c r="J639" i="17"/>
  <c r="K639" i="17"/>
  <c r="L639" i="17"/>
  <c r="M639" i="17"/>
  <c r="F640" i="17"/>
  <c r="G640" i="17"/>
  <c r="H640" i="17"/>
  <c r="I640" i="17"/>
  <c r="J640" i="17"/>
  <c r="K640" i="17"/>
  <c r="L640" i="17"/>
  <c r="M640" i="17"/>
  <c r="F643" i="17"/>
  <c r="G643" i="17"/>
  <c r="H643" i="17"/>
  <c r="I643" i="17"/>
  <c r="J643" i="17"/>
  <c r="K643" i="17"/>
  <c r="L643" i="17"/>
  <c r="M643" i="17"/>
  <c r="F646" i="17"/>
  <c r="G646" i="17"/>
  <c r="H646" i="17"/>
  <c r="I646" i="17"/>
  <c r="J646" i="17"/>
  <c r="K646" i="17"/>
  <c r="L646" i="17"/>
  <c r="M646" i="17"/>
  <c r="H150" i="29" l="1"/>
  <c r="H151" i="29" s="1"/>
  <c r="H152" i="29" s="1"/>
  <c r="H153" i="29" s="1"/>
  <c r="H154" i="29" s="1"/>
  <c r="H155" i="29" s="1"/>
  <c r="H143" i="29"/>
  <c r="H144" i="29" s="1"/>
  <c r="H145" i="29" s="1"/>
  <c r="H146" i="29" s="1"/>
  <c r="H147" i="29" s="1"/>
  <c r="N91" i="17"/>
  <c r="D91" i="17" s="1"/>
  <c r="N90" i="17"/>
  <c r="D90" i="17" s="1"/>
  <c r="N89" i="17"/>
  <c r="D89" i="17" s="1"/>
  <c r="N87" i="17"/>
  <c r="D87" i="17" s="1"/>
  <c r="I76" i="29" l="1"/>
  <c r="D76" i="29"/>
  <c r="C76" i="29"/>
  <c r="G76" i="29" s="1"/>
  <c r="D75" i="29"/>
  <c r="C75" i="29"/>
  <c r="G75" i="29" s="1"/>
  <c r="D74" i="29"/>
  <c r="C74" i="29"/>
  <c r="G74" i="29" s="1"/>
  <c r="D73" i="29"/>
  <c r="C73" i="29"/>
  <c r="G73" i="29" s="1"/>
  <c r="D64" i="29"/>
  <c r="C64" i="29"/>
  <c r="G64" i="29" s="1"/>
  <c r="D63" i="29"/>
  <c r="C63" i="29"/>
  <c r="G63" i="29" s="1"/>
  <c r="D62" i="29"/>
  <c r="C62" i="29"/>
  <c r="G62" i="29" s="1"/>
  <c r="D61" i="29"/>
  <c r="C61" i="29"/>
  <c r="G61" i="29" s="1"/>
  <c r="D60" i="29"/>
  <c r="C60" i="29"/>
  <c r="G60" i="29" s="1"/>
  <c r="D59" i="29"/>
  <c r="C59" i="29"/>
  <c r="G59" i="29" s="1"/>
  <c r="C22" i="29"/>
  <c r="D22" i="29"/>
  <c r="H22" i="29" s="1"/>
  <c r="C23" i="29"/>
  <c r="D23" i="29"/>
  <c r="H23" i="29" s="1"/>
  <c r="C26" i="29"/>
  <c r="D26" i="29"/>
  <c r="H26" i="29" s="1"/>
  <c r="C27" i="29"/>
  <c r="D27" i="29"/>
  <c r="H27" i="29" s="1"/>
  <c r="C30" i="29"/>
  <c r="D30" i="29"/>
  <c r="H30" i="29" s="1"/>
  <c r="C31" i="29"/>
  <c r="D31" i="29"/>
  <c r="H31" i="29" s="1"/>
  <c r="H73" i="29"/>
  <c r="H59" i="29"/>
  <c r="H60" i="29" s="1"/>
  <c r="H61" i="29" s="1"/>
  <c r="H62" i="29" s="1"/>
  <c r="H63" i="29" s="1"/>
  <c r="H64" i="29" s="1"/>
  <c r="B12" i="33"/>
  <c r="B15" i="33" s="1"/>
  <c r="B4" i="33" l="1"/>
  <c r="I74" i="29"/>
  <c r="I75" i="29"/>
  <c r="B8" i="33"/>
  <c r="B18" i="33"/>
  <c r="J7" i="18"/>
  <c r="B7" i="18" s="1"/>
  <c r="B82" i="33" l="1"/>
  <c r="B85" i="33"/>
  <c r="B10" i="33"/>
  <c r="B9" i="33"/>
  <c r="B84" i="33"/>
  <c r="G22" i="29" l="1"/>
  <c r="G23" i="29" s="1"/>
  <c r="G26" i="29"/>
  <c r="G27" i="29" s="1"/>
  <c r="G30" i="29"/>
  <c r="G31" i="29" s="1"/>
  <c r="H74" i="29"/>
  <c r="H75" i="29" s="1"/>
  <c r="H76" i="29" s="1"/>
  <c r="C40" i="29" l="1"/>
  <c r="D40" i="29"/>
  <c r="C41" i="29"/>
  <c r="D41" i="29"/>
  <c r="C42" i="29"/>
  <c r="D42" i="29"/>
  <c r="C45" i="29"/>
  <c r="D45" i="29"/>
  <c r="C46" i="29"/>
  <c r="D46" i="29"/>
  <c r="C47" i="29"/>
  <c r="D47" i="29"/>
  <c r="C48" i="29"/>
  <c r="D48" i="29"/>
  <c r="C51" i="29"/>
  <c r="D51" i="29"/>
  <c r="C52" i="29"/>
  <c r="D52" i="29"/>
  <c r="C53" i="29"/>
  <c r="D53" i="29"/>
  <c r="C54" i="29"/>
  <c r="D54" i="29"/>
  <c r="C55" i="29"/>
  <c r="D55" i="29"/>
  <c r="C56" i="29"/>
  <c r="D56" i="29"/>
  <c r="C67" i="29"/>
  <c r="D67" i="29"/>
  <c r="C68" i="29"/>
  <c r="D68" i="29"/>
  <c r="C69" i="29"/>
  <c r="D69" i="29"/>
  <c r="C70" i="29"/>
  <c r="D70" i="29"/>
  <c r="C79" i="29"/>
  <c r="D79" i="29"/>
  <c r="C80" i="29"/>
  <c r="D80" i="29"/>
  <c r="C81" i="29"/>
  <c r="D81" i="29"/>
  <c r="C82" i="29"/>
  <c r="D82" i="29"/>
  <c r="C83" i="29"/>
  <c r="D83" i="29"/>
  <c r="C86" i="29"/>
  <c r="D86" i="29"/>
  <c r="C87" i="29"/>
  <c r="D87" i="29"/>
  <c r="C88" i="29"/>
  <c r="D88" i="29"/>
  <c r="C89" i="29"/>
  <c r="D89" i="29"/>
  <c r="C90" i="29"/>
  <c r="D90" i="29"/>
  <c r="C93" i="29"/>
  <c r="D93" i="29"/>
  <c r="C94" i="29"/>
  <c r="D94" i="29"/>
  <c r="C95" i="29"/>
  <c r="D95" i="29"/>
  <c r="C96" i="29"/>
  <c r="D96" i="29"/>
  <c r="C99" i="29"/>
  <c r="D99" i="29"/>
  <c r="C100" i="29"/>
  <c r="D100" i="29"/>
  <c r="C101" i="29"/>
  <c r="D101" i="29"/>
  <c r="C102" i="29"/>
  <c r="D102" i="29"/>
  <c r="C105" i="29"/>
  <c r="D105" i="29"/>
  <c r="C106" i="29"/>
  <c r="D106" i="29"/>
  <c r="C107" i="29"/>
  <c r="D107" i="29"/>
  <c r="C108" i="29"/>
  <c r="D108" i="29"/>
  <c r="C109" i="29"/>
  <c r="D109" i="29"/>
  <c r="C112" i="29"/>
  <c r="D112" i="29"/>
  <c r="C113" i="29"/>
  <c r="D113" i="29"/>
  <c r="C114" i="29"/>
  <c r="D114" i="29"/>
  <c r="C115" i="29"/>
  <c r="D115" i="29"/>
  <c r="C118" i="29"/>
  <c r="D118" i="29"/>
  <c r="C119" i="29"/>
  <c r="D119" i="29"/>
  <c r="C120" i="29"/>
  <c r="D120" i="29"/>
  <c r="C121" i="29"/>
  <c r="D121" i="29"/>
  <c r="C124" i="29"/>
  <c r="D124" i="29"/>
  <c r="C125" i="29"/>
  <c r="D125" i="29"/>
  <c r="C126" i="29"/>
  <c r="D126" i="29"/>
  <c r="C127" i="29"/>
  <c r="D127" i="29"/>
  <c r="C130" i="29"/>
  <c r="D130" i="29"/>
  <c r="C131" i="29"/>
  <c r="D131" i="29"/>
  <c r="C132" i="29"/>
  <c r="D132" i="29"/>
  <c r="C133" i="29"/>
  <c r="D133" i="29"/>
  <c r="B68" i="33"/>
  <c r="B64" i="33"/>
  <c r="B55" i="33"/>
  <c r="R42" i="31"/>
  <c r="R43" i="31"/>
  <c r="R44" i="31"/>
  <c r="N392" i="17" l="1"/>
  <c r="D392" i="17" s="1"/>
  <c r="P42" i="31"/>
  <c r="N376" i="17" l="1"/>
  <c r="D376" i="17" s="1"/>
  <c r="Q42" i="31"/>
  <c r="P43" i="31"/>
  <c r="P44" i="31"/>
  <c r="G53" i="29"/>
  <c r="G79" i="29"/>
  <c r="N381" i="17" l="1"/>
  <c r="E381" i="17" s="1"/>
  <c r="N379" i="17"/>
  <c r="E379" i="17" s="1"/>
  <c r="N380" i="17"/>
  <c r="E380" i="17" s="1"/>
  <c r="N383" i="17"/>
  <c r="E383" i="17" s="1"/>
  <c r="Q43" i="31"/>
  <c r="Q44" i="31"/>
  <c r="N593" i="17" s="1"/>
  <c r="H105" i="29"/>
  <c r="H112" i="29"/>
  <c r="H113" i="29" s="1"/>
  <c r="H99" i="29"/>
  <c r="H100" i="29" s="1"/>
  <c r="H118" i="29"/>
  <c r="H119" i="29" s="1"/>
  <c r="H86" i="29"/>
  <c r="H79" i="29"/>
  <c r="H130" i="29"/>
  <c r="B60" i="33"/>
  <c r="N512" i="17" l="1"/>
  <c r="G93" i="29"/>
  <c r="G95" i="29"/>
  <c r="G94" i="29"/>
  <c r="G96" i="29" l="1"/>
  <c r="B6" i="33" l="1"/>
  <c r="B5" i="33"/>
  <c r="I48" i="29"/>
  <c r="I47" i="29"/>
  <c r="I46" i="29"/>
  <c r="I45" i="29"/>
  <c r="B86" i="33"/>
  <c r="B80" i="33"/>
  <c r="B76" i="33"/>
  <c r="B72" i="33"/>
  <c r="B79" i="33"/>
  <c r="B59" i="33"/>
  <c r="B53" i="33"/>
  <c r="B75" i="33"/>
  <c r="B71" i="33"/>
  <c r="B67" i="33"/>
  <c r="B63" i="33"/>
  <c r="R4" i="31"/>
  <c r="R5" i="31"/>
  <c r="R6" i="31"/>
  <c r="R7" i="31"/>
  <c r="R10" i="31"/>
  <c r="R11" i="31"/>
  <c r="R12" i="31"/>
  <c r="R13" i="31"/>
  <c r="R14" i="31"/>
  <c r="R15" i="31"/>
  <c r="R16" i="31"/>
  <c r="R19" i="31"/>
  <c r="R22" i="31"/>
  <c r="R23" i="31"/>
  <c r="R29" i="31"/>
  <c r="R30" i="31"/>
  <c r="R33" i="31"/>
  <c r="R34" i="31"/>
  <c r="R35" i="31"/>
  <c r="R36" i="31"/>
  <c r="R37" i="31"/>
  <c r="R38" i="31"/>
  <c r="R39" i="31"/>
  <c r="R40" i="31"/>
  <c r="R41" i="31"/>
  <c r="R45" i="31"/>
  <c r="R46" i="31"/>
  <c r="R47" i="31"/>
  <c r="R48" i="31"/>
  <c r="R49" i="31"/>
  <c r="R50" i="31"/>
  <c r="R51" i="31"/>
  <c r="R52" i="31"/>
  <c r="R53" i="31"/>
  <c r="R54" i="31"/>
  <c r="R55" i="31"/>
  <c r="R56" i="31"/>
  <c r="R57" i="31"/>
  <c r="R58" i="31"/>
  <c r="R59" i="31"/>
  <c r="R60" i="31"/>
  <c r="R61" i="31"/>
  <c r="R62" i="31"/>
  <c r="R66" i="31"/>
  <c r="R67" i="31"/>
  <c r="R68" i="31"/>
  <c r="R69" i="31"/>
  <c r="R70" i="31"/>
  <c r="R71" i="31"/>
  <c r="R72" i="31"/>
  <c r="R73" i="31"/>
  <c r="R74" i="31"/>
  <c r="R75" i="31"/>
  <c r="R76" i="31"/>
  <c r="R77" i="31"/>
  <c r="R78" i="31"/>
  <c r="R79" i="31"/>
  <c r="R80" i="31"/>
  <c r="R84" i="31"/>
  <c r="R85" i="31"/>
  <c r="R86" i="31"/>
  <c r="R93" i="31"/>
  <c r="R94" i="31"/>
  <c r="R95" i="31"/>
  <c r="R111" i="31"/>
  <c r="R112" i="31"/>
  <c r="R113" i="31"/>
  <c r="R114" i="31"/>
  <c r="R115" i="31"/>
  <c r="R116" i="31"/>
  <c r="R117" i="31"/>
  <c r="R118" i="31"/>
  <c r="R119" i="31"/>
  <c r="R120" i="31"/>
  <c r="R121" i="31"/>
  <c r="R122" i="31"/>
  <c r="R123" i="31"/>
  <c r="R124" i="31"/>
  <c r="R125" i="31"/>
  <c r="R126" i="31"/>
  <c r="R127" i="31"/>
  <c r="R128" i="31"/>
  <c r="R141" i="31"/>
  <c r="R142" i="31"/>
  <c r="R143" i="31"/>
  <c r="R147" i="31"/>
  <c r="R148" i="31"/>
  <c r="R149" i="31"/>
  <c r="R150" i="31"/>
  <c r="R151" i="31"/>
  <c r="R152" i="31"/>
  <c r="R153" i="31"/>
  <c r="R154" i="31"/>
  <c r="R155" i="31"/>
  <c r="R156" i="31"/>
  <c r="R157" i="31"/>
  <c r="R158" i="31"/>
  <c r="R159" i="31"/>
  <c r="R160" i="31"/>
  <c r="R161" i="31"/>
  <c r="R3" i="31"/>
  <c r="R2" i="31"/>
  <c r="P39" i="31"/>
  <c r="Q39" i="31" s="1"/>
  <c r="P40" i="31"/>
  <c r="Q40" i="31" s="1"/>
  <c r="P41" i="31"/>
  <c r="Q41" i="31" s="1"/>
  <c r="N592" i="17" s="1"/>
  <c r="P51" i="31"/>
  <c r="Q51" i="31" s="1"/>
  <c r="P52" i="31"/>
  <c r="P53" i="31"/>
  <c r="P120" i="31"/>
  <c r="P121" i="31"/>
  <c r="Q121" i="31" s="1"/>
  <c r="N565" i="17" s="1"/>
  <c r="P122" i="31"/>
  <c r="Q122" i="31" s="1"/>
  <c r="N646" i="17" s="1"/>
  <c r="P156" i="31"/>
  <c r="Q156" i="31" s="1"/>
  <c r="P157" i="31"/>
  <c r="Q157" i="31" s="1"/>
  <c r="P158" i="31"/>
  <c r="Q158" i="31" s="1"/>
  <c r="P4" i="31"/>
  <c r="P7" i="31"/>
  <c r="P11" i="31"/>
  <c r="P15" i="31"/>
  <c r="Q15" i="31" s="1"/>
  <c r="P22" i="31"/>
  <c r="P23" i="31"/>
  <c r="P29" i="31"/>
  <c r="P30" i="31"/>
  <c r="P38" i="31"/>
  <c r="Q38" i="31" s="1"/>
  <c r="P56" i="31"/>
  <c r="P59" i="31"/>
  <c r="P62" i="31"/>
  <c r="Q62" i="31" s="1"/>
  <c r="N608" i="17" s="1"/>
  <c r="P68" i="31"/>
  <c r="Q68" i="31" s="1"/>
  <c r="N609" i="17" s="1"/>
  <c r="P71" i="31"/>
  <c r="Q71" i="31" s="1"/>
  <c r="N610" i="17" s="1"/>
  <c r="P74" i="31"/>
  <c r="Q74" i="31" s="1"/>
  <c r="N611" i="17" s="1"/>
  <c r="P77" i="31"/>
  <c r="Q77" i="31" s="1"/>
  <c r="N612" i="17" s="1"/>
  <c r="P80" i="31"/>
  <c r="Q80" i="31" s="1"/>
  <c r="N613" i="17" s="1"/>
  <c r="P149" i="31" l="1"/>
  <c r="Q149" i="31" s="1"/>
  <c r="P36" i="31"/>
  <c r="Q36" i="31" s="1"/>
  <c r="P113" i="31"/>
  <c r="Q113" i="31" s="1"/>
  <c r="N619" i="17" s="1"/>
  <c r="P50" i="31"/>
  <c r="Q50" i="31" s="1"/>
  <c r="N596" i="17" s="1"/>
  <c r="P125" i="31"/>
  <c r="Q125" i="31" s="1"/>
  <c r="N627" i="17" s="1"/>
  <c r="P37" i="31"/>
  <c r="Q37" i="31" s="1"/>
  <c r="N587" i="17" s="1"/>
  <c r="P119" i="31"/>
  <c r="Q119" i="31" s="1"/>
  <c r="N620" i="17" s="1"/>
  <c r="P161" i="31"/>
  <c r="Q161" i="31" s="1"/>
  <c r="N631" i="17" s="1"/>
  <c r="P155" i="31"/>
  <c r="Q155" i="31" s="1"/>
  <c r="P116" i="31"/>
  <c r="Q116" i="31" s="1"/>
  <c r="N623" i="17" s="1"/>
  <c r="P152" i="31"/>
  <c r="Q152" i="31" s="1"/>
  <c r="P143" i="31"/>
  <c r="Q143" i="31" s="1"/>
  <c r="N629" i="17" s="1"/>
  <c r="N511" i="17"/>
  <c r="N607" i="17"/>
  <c r="D607" i="17" s="1"/>
  <c r="N179" i="17"/>
  <c r="N59" i="17"/>
  <c r="N591" i="17"/>
  <c r="D591" i="17" s="1"/>
  <c r="P35" i="31"/>
  <c r="Q35" i="31" s="1"/>
  <c r="N506" i="17" s="1"/>
  <c r="Q11" i="31"/>
  <c r="Q120" i="31"/>
  <c r="Q22" i="31"/>
  <c r="N8" i="17" s="1"/>
  <c r="N37" i="17" s="1"/>
  <c r="Q56" i="31"/>
  <c r="N601" i="17" s="1"/>
  <c r="Q30" i="31"/>
  <c r="N23" i="17" s="1"/>
  <c r="N43" i="17" s="1"/>
  <c r="Q7" i="31"/>
  <c r="N569" i="17" s="1"/>
  <c r="Q53" i="31"/>
  <c r="N600" i="17" s="1"/>
  <c r="Q23" i="31"/>
  <c r="N20" i="17" s="1"/>
  <c r="Q59" i="31"/>
  <c r="N604" i="17" s="1"/>
  <c r="Q29" i="31"/>
  <c r="N11" i="17" s="1"/>
  <c r="N42" i="17" s="1"/>
  <c r="Q4" i="31"/>
  <c r="N568" i="17" s="1"/>
  <c r="Q52" i="31"/>
  <c r="N519" i="17" s="1"/>
  <c r="I69" i="29"/>
  <c r="P46" i="31"/>
  <c r="Q46" i="31" s="1"/>
  <c r="P45" i="31"/>
  <c r="Q45" i="31" s="1"/>
  <c r="P34" i="31"/>
  <c r="P3" i="31"/>
  <c r="P2" i="31"/>
  <c r="Q2" i="31" s="1"/>
  <c r="N2" i="17" s="1"/>
  <c r="P67" i="31"/>
  <c r="P150" i="31"/>
  <c r="Q150" i="31" s="1"/>
  <c r="P123" i="31"/>
  <c r="P66" i="31"/>
  <c r="Q66" i="31" s="1"/>
  <c r="P33" i="31"/>
  <c r="P85" i="31"/>
  <c r="P55" i="31"/>
  <c r="P13" i="31"/>
  <c r="P147" i="31"/>
  <c r="Q147" i="31" s="1"/>
  <c r="P128" i="31"/>
  <c r="P12" i="31"/>
  <c r="Q12" i="31" s="1"/>
  <c r="P151" i="31"/>
  <c r="Q151" i="31" s="1"/>
  <c r="P148" i="31"/>
  <c r="Q148" i="31" s="1"/>
  <c r="P75" i="31"/>
  <c r="Q75" i="31" s="1"/>
  <c r="P154" i="31"/>
  <c r="Q154" i="31" s="1"/>
  <c r="P127" i="31"/>
  <c r="P73" i="31"/>
  <c r="P153" i="31"/>
  <c r="Q153" i="31" s="1"/>
  <c r="P126" i="31"/>
  <c r="P72" i="31"/>
  <c r="Q72" i="31" s="1"/>
  <c r="P47" i="31"/>
  <c r="P10" i="31"/>
  <c r="P78" i="31"/>
  <c r="Q78" i="31" s="1"/>
  <c r="P70" i="31"/>
  <c r="P93" i="31"/>
  <c r="Q93" i="31" s="1"/>
  <c r="P54" i="31"/>
  <c r="Q54" i="31" s="1"/>
  <c r="P19" i="31"/>
  <c r="P79" i="31"/>
  <c r="P60" i="31"/>
  <c r="Q60" i="31" s="1"/>
  <c r="P58" i="31"/>
  <c r="P16" i="31"/>
  <c r="P6" i="31"/>
  <c r="P84" i="31"/>
  <c r="Q84" i="31" s="1"/>
  <c r="P61" i="31"/>
  <c r="P112" i="31"/>
  <c r="P69" i="31"/>
  <c r="Q69" i="31" s="1"/>
  <c r="P111" i="31"/>
  <c r="P95" i="31"/>
  <c r="P76" i="31"/>
  <c r="P57" i="31"/>
  <c r="P5" i="31"/>
  <c r="P94" i="31"/>
  <c r="P86" i="31"/>
  <c r="P48" i="31"/>
  <c r="Q48" i="31" s="1"/>
  <c r="P14" i="31"/>
  <c r="Q14" i="31" s="1"/>
  <c r="I70" i="29"/>
  <c r="I93" i="29"/>
  <c r="I95" i="29"/>
  <c r="I94" i="29"/>
  <c r="I96" i="29"/>
  <c r="G118" i="29"/>
  <c r="G86" i="29"/>
  <c r="G88" i="29"/>
  <c r="G87" i="29"/>
  <c r="D37" i="17" l="1"/>
  <c r="E37" i="17"/>
  <c r="D43" i="17"/>
  <c r="I15" i="29"/>
  <c r="E43" i="17"/>
  <c r="D42" i="17"/>
  <c r="I14" i="29"/>
  <c r="E42" i="17"/>
  <c r="N41" i="17"/>
  <c r="D41" i="17" s="1"/>
  <c r="N27" i="17"/>
  <c r="I31" i="29"/>
  <c r="I30" i="29"/>
  <c r="P159" i="31"/>
  <c r="Q159" i="31" s="1"/>
  <c r="N293" i="17" s="1"/>
  <c r="P124" i="31"/>
  <c r="P115" i="31"/>
  <c r="Q115" i="31" s="1"/>
  <c r="N542" i="17" s="1"/>
  <c r="P117" i="31"/>
  <c r="Q117" i="31" s="1"/>
  <c r="P114" i="31"/>
  <c r="Q114" i="31" s="1"/>
  <c r="P118" i="31"/>
  <c r="N630" i="17"/>
  <c r="P141" i="31"/>
  <c r="N572" i="17"/>
  <c r="P160" i="31"/>
  <c r="Q160" i="31" s="1"/>
  <c r="N550" i="17" s="1"/>
  <c r="P49" i="31"/>
  <c r="Q49" i="31" s="1"/>
  <c r="N515" i="17" s="1"/>
  <c r="P142" i="31"/>
  <c r="N510" i="17"/>
  <c r="D510" i="17" s="1"/>
  <c r="N497" i="17"/>
  <c r="N276" i="17"/>
  <c r="N329" i="17"/>
  <c r="N180" i="17"/>
  <c r="E180" i="17" s="1"/>
  <c r="N284" i="17"/>
  <c r="N300" i="17"/>
  <c r="N292" i="17"/>
  <c r="N549" i="17"/>
  <c r="N185" i="17"/>
  <c r="E185" i="17" s="1"/>
  <c r="N322" i="17"/>
  <c r="N181" i="17"/>
  <c r="E181" i="17" s="1"/>
  <c r="N182" i="17"/>
  <c r="E182" i="17" s="1"/>
  <c r="N599" i="17"/>
  <c r="D599" i="17" s="1"/>
  <c r="N125" i="17"/>
  <c r="N134" i="17"/>
  <c r="N161" i="17"/>
  <c r="N122" i="17"/>
  <c r="N248" i="17"/>
  <c r="N131" i="17"/>
  <c r="N68" i="17"/>
  <c r="N221" i="17"/>
  <c r="N128" i="17"/>
  <c r="N60" i="17"/>
  <c r="N188" i="17"/>
  <c r="N38" i="17"/>
  <c r="N562" i="17"/>
  <c r="Q5" i="31"/>
  <c r="N14" i="17" s="1"/>
  <c r="Q95" i="31"/>
  <c r="N618" i="17" s="1"/>
  <c r="Q58" i="31"/>
  <c r="N523" i="17" s="1"/>
  <c r="Q10" i="31"/>
  <c r="N491" i="17" s="1"/>
  <c r="Q118" i="31"/>
  <c r="N539" i="17" s="1"/>
  <c r="Q123" i="31"/>
  <c r="N297" i="17" s="1"/>
  <c r="Q3" i="31"/>
  <c r="N487" i="17" s="1"/>
  <c r="Q111" i="31"/>
  <c r="Q47" i="31"/>
  <c r="N643" i="17" s="1"/>
  <c r="Q127" i="31"/>
  <c r="N547" i="17" s="1"/>
  <c r="Q13" i="31"/>
  <c r="Q34" i="31"/>
  <c r="Q126" i="31"/>
  <c r="Q85" i="31"/>
  <c r="N536" i="17" s="1"/>
  <c r="Q124" i="31"/>
  <c r="N546" i="17" s="1"/>
  <c r="Q141" i="31"/>
  <c r="Q33" i="31"/>
  <c r="Q57" i="31"/>
  <c r="Q61" i="31"/>
  <c r="N527" i="17" s="1"/>
  <c r="Q142" i="31"/>
  <c r="N548" i="17" s="1"/>
  <c r="Q6" i="31"/>
  <c r="N488" i="17" s="1"/>
  <c r="Q70" i="31"/>
  <c r="N529" i="17" s="1"/>
  <c r="Q67" i="31"/>
  <c r="N528" i="17" s="1"/>
  <c r="Q76" i="31"/>
  <c r="N531" i="17" s="1"/>
  <c r="Q16" i="31"/>
  <c r="Q73" i="31"/>
  <c r="N530" i="17" s="1"/>
  <c r="Q128" i="31"/>
  <c r="N628" i="17" s="1"/>
  <c r="Q86" i="31"/>
  <c r="N617" i="17" s="1"/>
  <c r="Q79" i="31"/>
  <c r="N532" i="17" s="1"/>
  <c r="Q94" i="31"/>
  <c r="N537" i="17" s="1"/>
  <c r="Q112" i="31"/>
  <c r="N538" i="17" s="1"/>
  <c r="Q19" i="31"/>
  <c r="Q55" i="31"/>
  <c r="N520" i="17" s="1"/>
  <c r="G90" i="29"/>
  <c r="G89" i="29"/>
  <c r="H131" i="29"/>
  <c r="H132" i="29" s="1"/>
  <c r="H133" i="29" s="1"/>
  <c r="G124" i="29"/>
  <c r="G125" i="29" s="1"/>
  <c r="G126" i="29" s="1"/>
  <c r="G127" i="29" s="1"/>
  <c r="H106" i="29"/>
  <c r="H107" i="29" s="1"/>
  <c r="H108" i="29" s="1"/>
  <c r="H109" i="29" s="1"/>
  <c r="H80" i="29"/>
  <c r="H81" i="29" s="1"/>
  <c r="H82" i="29" s="1"/>
  <c r="H83" i="29" s="1"/>
  <c r="H51" i="29"/>
  <c r="H52" i="29" s="1"/>
  <c r="D27" i="17" l="1"/>
  <c r="E27" i="17"/>
  <c r="D38" i="17"/>
  <c r="E38" i="17"/>
  <c r="N36" i="17"/>
  <c r="N285" i="17"/>
  <c r="N301" i="17"/>
  <c r="N330" i="17"/>
  <c r="N578" i="17"/>
  <c r="N269" i="17"/>
  <c r="N319" i="17"/>
  <c r="N389" i="17"/>
  <c r="D389" i="17" s="1"/>
  <c r="N223" i="17"/>
  <c r="D223" i="17" s="1"/>
  <c r="N224" i="17"/>
  <c r="D224" i="17" s="1"/>
  <c r="N626" i="17"/>
  <c r="D626" i="17" s="1"/>
  <c r="N616" i="17"/>
  <c r="D616" i="17" s="1"/>
  <c r="N158" i="17"/>
  <c r="N152" i="17"/>
  <c r="N155" i="17"/>
  <c r="N260" i="17"/>
  <c r="N100" i="17"/>
  <c r="N97" i="17"/>
  <c r="N49" i="17" s="1"/>
  <c r="N317" i="17"/>
  <c r="N328" i="17"/>
  <c r="N291" i="17"/>
  <c r="N283" i="17"/>
  <c r="N545" i="17"/>
  <c r="D545" i="17" s="1"/>
  <c r="N311" i="17"/>
  <c r="N307" i="17"/>
  <c r="N535" i="17"/>
  <c r="D535" i="17" s="1"/>
  <c r="N315" i="17"/>
  <c r="N326" i="17"/>
  <c r="N289" i="17"/>
  <c r="N273" i="17"/>
  <c r="N316" i="17"/>
  <c r="N282" i="17"/>
  <c r="N290" i="17"/>
  <c r="N298" i="17"/>
  <c r="N327" i="17"/>
  <c r="N251" i="17"/>
  <c r="N230" i="17"/>
  <c r="N227" i="17"/>
  <c r="D227" i="17" s="1"/>
  <c r="N222" i="17"/>
  <c r="D222" i="17" s="1"/>
  <c r="N239" i="17"/>
  <c r="N518" i="17"/>
  <c r="D518" i="17" s="1"/>
  <c r="N194" i="17"/>
  <c r="E194" i="17" s="1"/>
  <c r="N191" i="17"/>
  <c r="E191" i="17" s="1"/>
  <c r="N190" i="17"/>
  <c r="E190" i="17" s="1"/>
  <c r="N189" i="17"/>
  <c r="E189" i="17" s="1"/>
  <c r="N164" i="17"/>
  <c r="E164" i="17" s="1"/>
  <c r="N166" i="17"/>
  <c r="E166" i="17" s="1"/>
  <c r="N165" i="17"/>
  <c r="E165" i="17" s="1"/>
  <c r="N167" i="17"/>
  <c r="E167" i="17" s="1"/>
  <c r="N162" i="17"/>
  <c r="E162" i="17" s="1"/>
  <c r="N163" i="17"/>
  <c r="E163" i="17" s="1"/>
  <c r="N200" i="17"/>
  <c r="N209" i="17"/>
  <c r="N63" i="17"/>
  <c r="N212" i="17"/>
  <c r="N526" i="17"/>
  <c r="D526" i="17" s="1"/>
  <c r="N170" i="17"/>
  <c r="N17" i="17"/>
  <c r="N5" i="17"/>
  <c r="N28" i="17"/>
  <c r="N80" i="17"/>
  <c r="D80" i="17" s="1"/>
  <c r="J3" i="18"/>
  <c r="J4" i="18"/>
  <c r="H53" i="29"/>
  <c r="H54" i="29" s="1"/>
  <c r="H55" i="29" s="1"/>
  <c r="H56" i="29" s="1"/>
  <c r="H124" i="29"/>
  <c r="H67" i="29"/>
  <c r="H68" i="29" s="1"/>
  <c r="H69" i="29" s="1"/>
  <c r="H70" i="29" s="1"/>
  <c r="H93" i="29"/>
  <c r="H94" i="29" s="1"/>
  <c r="H95" i="29" s="1"/>
  <c r="H96" i="29" s="1"/>
  <c r="H101" i="29"/>
  <c r="H102" i="29" s="1"/>
  <c r="H87" i="29"/>
  <c r="H88" i="29" s="1"/>
  <c r="H89" i="29" s="1"/>
  <c r="H90" i="29" s="1"/>
  <c r="H114" i="29"/>
  <c r="H115" i="29" s="1"/>
  <c r="H120" i="29"/>
  <c r="H121" i="29" s="1"/>
  <c r="G119" i="29"/>
  <c r="G80" i="29"/>
  <c r="G81" i="29" s="1"/>
  <c r="G82" i="29" s="1"/>
  <c r="G83" i="29" s="1"/>
  <c r="G51" i="29"/>
  <c r="G67" i="29"/>
  <c r="D36" i="17" l="1"/>
  <c r="I10" i="29"/>
  <c r="I11" i="29"/>
  <c r="D28" i="17"/>
  <c r="E28" i="17"/>
  <c r="N51" i="17"/>
  <c r="E51" i="17" s="1"/>
  <c r="D49" i="17"/>
  <c r="I27" i="29"/>
  <c r="N70" i="17" s="1"/>
  <c r="E70" i="17" s="1"/>
  <c r="I26" i="29"/>
  <c r="N69" i="17" s="1"/>
  <c r="E69" i="17" s="1"/>
  <c r="N32" i="17"/>
  <c r="N26" i="17"/>
  <c r="I3" i="29" s="1"/>
  <c r="I23" i="29"/>
  <c r="N65" i="17" s="1"/>
  <c r="E65" i="17" s="1"/>
  <c r="N266" i="17"/>
  <c r="E266" i="17" s="1"/>
  <c r="N264" i="17"/>
  <c r="E264" i="17" s="1"/>
  <c r="N265" i="17"/>
  <c r="E265" i="17" s="1"/>
  <c r="N262" i="17"/>
  <c r="E262" i="17" s="1"/>
  <c r="I22" i="29"/>
  <c r="N64" i="17" s="1"/>
  <c r="E64" i="17" s="1"/>
  <c r="N272" i="17"/>
  <c r="D272" i="17" s="1"/>
  <c r="N288" i="17"/>
  <c r="D288" i="17" s="1"/>
  <c r="N296" i="17"/>
  <c r="D296" i="17" s="1"/>
  <c r="N314" i="17"/>
  <c r="N325" i="17"/>
  <c r="N473" i="17"/>
  <c r="D473" i="17" s="1"/>
  <c r="N280" i="17"/>
  <c r="D280" i="17" s="1"/>
  <c r="N147" i="17"/>
  <c r="D147" i="17" s="1"/>
  <c r="N175" i="17"/>
  <c r="E175" i="17" s="1"/>
  <c r="N173" i="17"/>
  <c r="E173" i="17" s="1"/>
  <c r="N172" i="17"/>
  <c r="E172" i="17" s="1"/>
  <c r="N176" i="17"/>
  <c r="E176" i="17" s="1"/>
  <c r="N171" i="17"/>
  <c r="N174" i="17"/>
  <c r="E174" i="17" s="1"/>
  <c r="N215" i="17"/>
  <c r="E215" i="17" s="1"/>
  <c r="N218" i="17"/>
  <c r="E218" i="17" s="1"/>
  <c r="N216" i="17"/>
  <c r="E216" i="17" s="1"/>
  <c r="N217" i="17"/>
  <c r="E217" i="17" s="1"/>
  <c r="N214" i="17"/>
  <c r="E214" i="17" s="1"/>
  <c r="N243" i="17"/>
  <c r="E243" i="17" s="1"/>
  <c r="N241" i="17"/>
  <c r="E241" i="17" s="1"/>
  <c r="N244" i="17"/>
  <c r="E244" i="17" s="1"/>
  <c r="N245" i="17"/>
  <c r="E245" i="17" s="1"/>
  <c r="N242" i="17"/>
  <c r="D242" i="17" s="1"/>
  <c r="N203" i="17"/>
  <c r="E203" i="17" s="1"/>
  <c r="N206" i="17"/>
  <c r="E206" i="17" s="1"/>
  <c r="N202" i="17"/>
  <c r="E202" i="17" s="1"/>
  <c r="N204" i="17"/>
  <c r="E204" i="17" s="1"/>
  <c r="N205" i="17"/>
  <c r="E205" i="17" s="1"/>
  <c r="N232" i="17"/>
  <c r="E232" i="17" s="1"/>
  <c r="N235" i="17"/>
  <c r="E235" i="17" s="1"/>
  <c r="N236" i="17"/>
  <c r="E236" i="17" s="1"/>
  <c r="N234" i="17"/>
  <c r="E234" i="17" s="1"/>
  <c r="N253" i="17"/>
  <c r="E253" i="17" s="1"/>
  <c r="N255" i="17"/>
  <c r="E255" i="17" s="1"/>
  <c r="N256" i="17"/>
  <c r="E256" i="17" s="1"/>
  <c r="N257" i="17"/>
  <c r="E257" i="17" s="1"/>
  <c r="N113" i="17"/>
  <c r="D113" i="17" s="1"/>
  <c r="N103" i="17"/>
  <c r="D103" i="17" s="1"/>
  <c r="N81" i="17"/>
  <c r="E81" i="17" s="1"/>
  <c r="N33" i="17"/>
  <c r="N82" i="17"/>
  <c r="E82" i="17" s="1"/>
  <c r="J82" i="18"/>
  <c r="C82" i="18" s="1"/>
  <c r="H125" i="29"/>
  <c r="G120" i="29"/>
  <c r="G52" i="29"/>
  <c r="G68" i="29"/>
  <c r="G105" i="29"/>
  <c r="G112" i="29"/>
  <c r="G99" i="29"/>
  <c r="G45" i="29"/>
  <c r="H45" i="29"/>
  <c r="H46" i="29" s="1"/>
  <c r="H47" i="29" s="1"/>
  <c r="H48" i="29" s="1"/>
  <c r="D26" i="17" l="1"/>
  <c r="I2" i="29"/>
  <c r="D33" i="17"/>
  <c r="E33" i="17"/>
  <c r="D32" i="17"/>
  <c r="E32" i="17"/>
  <c r="N404" i="17"/>
  <c r="D404" i="17" s="1"/>
  <c r="D314" i="17"/>
  <c r="N333" i="17"/>
  <c r="D333" i="17" s="1"/>
  <c r="E171" i="17"/>
  <c r="N408" i="17"/>
  <c r="D408" i="17" s="1"/>
  <c r="D325" i="17"/>
  <c r="N31" i="17"/>
  <c r="D31" i="17" s="1"/>
  <c r="N352" i="17"/>
  <c r="D352" i="17" s="1"/>
  <c r="N386" i="17"/>
  <c r="D386" i="17" s="1"/>
  <c r="J78" i="18"/>
  <c r="B78" i="18" s="1"/>
  <c r="N54" i="17"/>
  <c r="D54" i="17" s="1"/>
  <c r="J58" i="18"/>
  <c r="B58" i="18" s="1"/>
  <c r="N308" i="17"/>
  <c r="D308" i="17" s="1"/>
  <c r="N355" i="17"/>
  <c r="D355" i="17" s="1"/>
  <c r="N305" i="17"/>
  <c r="D305" i="17" s="1"/>
  <c r="N306" i="17"/>
  <c r="D306" i="17" s="1"/>
  <c r="N370" i="17"/>
  <c r="D370" i="17" s="1"/>
  <c r="N373" i="17"/>
  <c r="D373" i="17" s="1"/>
  <c r="N367" i="17"/>
  <c r="D367" i="17" s="1"/>
  <c r="N361" i="17"/>
  <c r="D361" i="17" s="1"/>
  <c r="N340" i="17"/>
  <c r="E340" i="17" s="1"/>
  <c r="N338" i="17"/>
  <c r="E338" i="17" s="1"/>
  <c r="N336" i="17"/>
  <c r="E336" i="17" s="1"/>
  <c r="N337" i="17"/>
  <c r="E337" i="17" s="1"/>
  <c r="N349" i="17"/>
  <c r="D349" i="17" s="1"/>
  <c r="N364" i="17"/>
  <c r="D364" i="17" s="1"/>
  <c r="N358" i="17"/>
  <c r="D358" i="17" s="1"/>
  <c r="N346" i="17"/>
  <c r="D346" i="17" s="1"/>
  <c r="N343" i="17"/>
  <c r="D343" i="17" s="1"/>
  <c r="N114" i="17"/>
  <c r="E114" i="17" s="1"/>
  <c r="N116" i="17"/>
  <c r="E116" i="17" s="1"/>
  <c r="N115" i="17"/>
  <c r="E115" i="17" s="1"/>
  <c r="N119" i="17"/>
  <c r="N107" i="17"/>
  <c r="E107" i="17" s="1"/>
  <c r="N104" i="17"/>
  <c r="E104" i="17" s="1"/>
  <c r="N110" i="17"/>
  <c r="E110" i="17" s="1"/>
  <c r="H126" i="29"/>
  <c r="G121" i="29"/>
  <c r="G130" i="29"/>
  <c r="G106" i="29"/>
  <c r="G69" i="29"/>
  <c r="H40" i="29"/>
  <c r="H41" i="29" s="1"/>
  <c r="H42" i="29" s="1"/>
  <c r="I6" i="29" l="1"/>
  <c r="I7" i="29"/>
  <c r="J91" i="18"/>
  <c r="C91" i="18" s="1"/>
  <c r="E119" i="17"/>
  <c r="J2" i="18"/>
  <c r="B2" i="18" s="1"/>
  <c r="N416" i="17"/>
  <c r="D416" i="17" s="1"/>
  <c r="N419" i="17"/>
  <c r="N431" i="17"/>
  <c r="D431" i="17" s="1"/>
  <c r="J5" i="18"/>
  <c r="B5" i="18" s="1"/>
  <c r="N434" i="17"/>
  <c r="D434" i="17" s="1"/>
  <c r="N446" i="17"/>
  <c r="D446" i="17" s="1"/>
  <c r="N449" i="17"/>
  <c r="D449" i="17" s="1"/>
  <c r="J83" i="18"/>
  <c r="C83" i="18" s="1"/>
  <c r="J79" i="18"/>
  <c r="C79" i="18" s="1"/>
  <c r="J80" i="18"/>
  <c r="C80" i="18" s="1"/>
  <c r="J81" i="18"/>
  <c r="C81" i="18" s="1"/>
  <c r="B80" i="35"/>
  <c r="N484" i="17"/>
  <c r="D484" i="17" s="1"/>
  <c r="N142" i="17"/>
  <c r="D142" i="17" s="1"/>
  <c r="N304" i="17"/>
  <c r="N137" i="17"/>
  <c r="D137" i="17" s="1"/>
  <c r="N56" i="17"/>
  <c r="E56" i="17" s="1"/>
  <c r="H127" i="29"/>
  <c r="G70" i="29"/>
  <c r="G54" i="29"/>
  <c r="G113" i="29"/>
  <c r="G131" i="29"/>
  <c r="G100" i="29"/>
  <c r="G46" i="29"/>
  <c r="G107" i="29"/>
  <c r="N427" i="17" l="1"/>
  <c r="E427" i="17" s="1"/>
  <c r="D419" i="17"/>
  <c r="N461" i="17"/>
  <c r="D461" i="17" s="1"/>
  <c r="D304" i="17"/>
  <c r="N421" i="17"/>
  <c r="E421" i="17" s="1"/>
  <c r="N424" i="17"/>
  <c r="E424" i="17" s="1"/>
  <c r="I19" i="29"/>
  <c r="I151" i="29"/>
  <c r="N426" i="17"/>
  <c r="E426" i="17" s="1"/>
  <c r="N466" i="17"/>
  <c r="E466" i="17" s="1"/>
  <c r="N463" i="17"/>
  <c r="E463" i="17" s="1"/>
  <c r="N55" i="17"/>
  <c r="I125" i="29"/>
  <c r="I124" i="29"/>
  <c r="I127" i="29"/>
  <c r="I126" i="29"/>
  <c r="G56" i="29"/>
  <c r="G55" i="29"/>
  <c r="G102" i="29"/>
  <c r="G101" i="29"/>
  <c r="G109" i="29"/>
  <c r="G108" i="29"/>
  <c r="G132" i="29"/>
  <c r="G40" i="29"/>
  <c r="G47" i="29"/>
  <c r="G115" i="29"/>
  <c r="G114" i="29"/>
  <c r="N469" i="17" l="1"/>
  <c r="E469" i="17" s="1"/>
  <c r="I18" i="29"/>
  <c r="E55" i="17"/>
  <c r="N420" i="17"/>
  <c r="E420" i="17" s="1"/>
  <c r="N467" i="17"/>
  <c r="E467" i="17" s="1"/>
  <c r="N462" i="17"/>
  <c r="E462" i="17" s="1"/>
  <c r="N457" i="17"/>
  <c r="E457" i="17" s="1"/>
  <c r="N456" i="17"/>
  <c r="E456" i="17" s="1"/>
  <c r="N454" i="17"/>
  <c r="E454" i="17" s="1"/>
  <c r="N451" i="17"/>
  <c r="E451" i="17" s="1"/>
  <c r="N442" i="17"/>
  <c r="E442" i="17" s="1"/>
  <c r="N441" i="17"/>
  <c r="E441" i="17" s="1"/>
  <c r="N439" i="17"/>
  <c r="E439" i="17" s="1"/>
  <c r="N436" i="17"/>
  <c r="E436" i="17" s="1"/>
  <c r="G48" i="29"/>
  <c r="G133" i="29"/>
  <c r="N455" i="17" l="1"/>
  <c r="E455" i="17" s="1"/>
  <c r="N450" i="17"/>
  <c r="E450" i="17" s="1"/>
  <c r="N435" i="17"/>
  <c r="E435" i="17" s="1"/>
  <c r="N440" i="17"/>
  <c r="E440" i="17" s="1"/>
  <c r="G41" i="29"/>
  <c r="G42" i="29" l="1"/>
  <c r="J85" i="18" l="1"/>
  <c r="C85" i="18" s="1"/>
  <c r="N425" i="17" l="1"/>
  <c r="E425" i="17" s="1"/>
  <c r="M16" i="47" l="1"/>
  <c r="M13" i="47"/>
  <c r="M17" i="47"/>
  <c r="M9" i="47" l="1"/>
  <c r="M15" i="47"/>
  <c r="M10" i="47"/>
  <c r="M12" i="47"/>
  <c r="M7" i="47"/>
  <c r="M11" i="47"/>
  <c r="M6" i="47"/>
  <c r="M14" i="47"/>
  <c r="D5" i="47"/>
  <c r="I5" i="47" l="1"/>
  <c r="J5" i="47"/>
  <c r="K5" i="47"/>
  <c r="E5" i="47"/>
  <c r="G5" i="47"/>
  <c r="H5" i="47"/>
  <c r="M8" i="47" l="1"/>
  <c r="F5" i="47"/>
  <c r="M5" i="47" s="1"/>
  <c r="B79" i="35" s="1"/>
  <c r="B66" i="35"/>
  <c r="B81" i="35" l="1"/>
  <c r="I152" i="29" s="1"/>
  <c r="N409" i="17" s="1"/>
  <c r="E409" i="17" s="1"/>
  <c r="B85" i="35"/>
  <c r="I155" i="29" s="1"/>
  <c r="N413" i="17" s="1"/>
  <c r="E413" i="17" s="1"/>
  <c r="B83" i="35"/>
  <c r="I153" i="29" s="1"/>
  <c r="N411" i="17" s="1"/>
  <c r="E411" i="17" s="1"/>
  <c r="I150" i="29"/>
  <c r="N406" i="17" s="1"/>
  <c r="E406" i="17" s="1"/>
  <c r="B68" i="35"/>
  <c r="I143" i="29" s="1"/>
  <c r="N395" i="17" s="1"/>
  <c r="E395" i="17" s="1"/>
  <c r="B67" i="35"/>
  <c r="I142" i="29" s="1"/>
  <c r="N394" i="17" s="1"/>
  <c r="E394" i="17" s="1"/>
  <c r="B69" i="35"/>
  <c r="I144" i="29" s="1"/>
  <c r="N397" i="17" s="1"/>
  <c r="E397" i="17" s="1"/>
  <c r="B70" i="35"/>
  <c r="B84" i="35"/>
  <c r="I154" i="29" s="1"/>
  <c r="N412" i="17" s="1"/>
  <c r="E412" i="17" s="1"/>
  <c r="B78" i="35" l="1"/>
  <c r="B71" i="35"/>
  <c r="I145" i="29" s="1"/>
  <c r="N399" i="17" s="1"/>
  <c r="E399" i="17" s="1"/>
  <c r="B73" i="35"/>
  <c r="I147" i="29" s="1"/>
  <c r="N401" i="17" s="1"/>
  <c r="E401" i="17" s="1"/>
  <c r="J102" i="18"/>
  <c r="C102" i="18" s="1"/>
  <c r="N393" i="17"/>
  <c r="E393" i="17" s="1"/>
  <c r="N476" i="17"/>
  <c r="E476" i="17" s="1"/>
  <c r="N405" i="17"/>
  <c r="E405" i="17" s="1"/>
  <c r="B82" i="35"/>
  <c r="N479" i="17"/>
  <c r="D479" i="17" s="1"/>
  <c r="B72" i="35"/>
  <c r="I146" i="29" s="1"/>
  <c r="N400" i="17" s="1"/>
  <c r="E400" i="17" s="1"/>
  <c r="N410" i="17"/>
  <c r="E410" i="17" s="1"/>
  <c r="J98" i="18" l="1"/>
  <c r="C98" i="18" s="1"/>
  <c r="J77" i="18"/>
  <c r="C77" i="18" s="1"/>
  <c r="N73" i="17"/>
  <c r="E73" i="17" s="1"/>
  <c r="J106" i="18"/>
  <c r="C106" i="18" s="1"/>
  <c r="J105" i="18"/>
  <c r="C105" i="18" s="1"/>
  <c r="J104" i="18"/>
  <c r="C104" i="18" s="1"/>
  <c r="N398" i="17"/>
  <c r="E398" i="17" s="1"/>
  <c r="J97" i="18" l="1"/>
  <c r="C97" i="18" s="1"/>
  <c r="J76" i="18"/>
  <c r="C76" i="18" s="1"/>
  <c r="J103" i="18"/>
  <c r="C103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730A86-14EF-4DE7-BD77-1F704AA1DDAF}" keepAlive="1" name="Query - Aggregate_Flow_Ratio" description="Connection to the 'Aggregate_Flow_Ratio' query in the workbook." type="5" refreshedVersion="8" background="1" saveData="1">
    <dbPr connection="Provider=Microsoft.Mashup.OleDb.1;Data Source=$Workbook$;Location=Aggregate_Flow_Ratio;Extended Properties=&quot;&quot;" command="SELECT * FROM [Aggregate_Flow_Ratio]"/>
  </connection>
  <connection id="2" xr16:uid="{B14FFACE-B548-403A-AC2F-2F969ACABA9B}" keepAlive="1" name="Query - Aggregate_Flow_Ratio (2)" description="Connection to the 'Aggregate_Flow_Ratio (2)' query in the workbook." type="5" refreshedVersion="8" background="1" saveData="1">
    <dbPr connection="Provider=Microsoft.Mashup.OleDb.1;Data Source=$Workbook$;Location=&quot;Aggregate_Flow_Ratio (2)&quot;;Extended Properties=&quot;&quot;" command="SELECT * FROM [Aggregate_Flow_Ratio (2)]"/>
  </connection>
  <connection id="3" xr16:uid="{F7E8F87F-B80C-48D6-B33C-0A77FBF02B97}" keepAlive="1" name="Query - Aggregate_Flow_Ratio (3)" description="Connection to the 'Aggregate_Flow_Ratio (3)' query in the workbook." type="5" refreshedVersion="8" background="1" saveData="1">
    <dbPr connection="Provider=Microsoft.Mashup.OleDb.1;Data Source=$Workbook$;Location=&quot;Aggregate_Flow_Ratio (3)&quot;;Extended Properties=&quot;&quot;" command="SELECT * FROM [Aggregate_Flow_Ratio (3)]"/>
  </connection>
  <connection id="4" xr16:uid="{5CBEE075-38AD-48C8-A964-782B2C96F60A}" keepAlive="1" name="Query - Aggregate_Flow_Ratio (4)" description="Connection to the 'Aggregate_Flow_Ratio (4)' query in the workbook." type="5" refreshedVersion="8" background="1" saveData="1">
    <dbPr connection="Provider=Microsoft.Mashup.OleDb.1;Data Source=$Workbook$;Location=&quot;Aggregate_Flow_Ratio (4)&quot;;Extended Properties=&quot;&quot;" command="SELECT * FROM [Aggregate_Flow_Ratio (4)]"/>
  </connection>
  <connection id="5" xr16:uid="{56817C5D-F69B-4BFB-A95E-958C54CE6DC0}" keepAlive="1" name="Query - Aggregate_Flow_Ratio (5)" description="Connection to the 'Aggregate_Flow_Ratio (5)' query in the workbook." type="5" refreshedVersion="8" background="1" saveData="1">
    <dbPr connection="Provider=Microsoft.Mashup.OleDb.1;Data Source=$Workbook$;Location=&quot;Aggregate_Flow_Ratio (5)&quot;;Extended Properties=&quot;&quot;" command="SELECT * FROM [Aggregate_Flow_Ratio (5)]"/>
  </connection>
  <connection id="6" xr16:uid="{BECA6531-9241-4ACA-B3DE-CE8949E0C8E9}" keepAlive="1" name="Query - Aggregate_Flow_Simple_V8" description="Connection to the 'Aggregate_Flow_Simple_V8' query in the workbook." type="5" refreshedVersion="8" background="1" saveData="1">
    <dbPr connection="Provider=Microsoft.Mashup.OleDb.1;Data Source=$Workbook$;Location=Aggregate_Flow_Simple_V8;Extended Properties=&quot;&quot;" command="SELECT * FROM [Aggregate_Flow_Simple_V8]"/>
  </connection>
  <connection id="7" xr16:uid="{6203680E-D968-4962-8A95-41CB599F68DA}" keepAlive="1" name="Query - aluminiumflow" description="Connection to the 'aluminiumflow' query in the workbook." type="5" refreshedVersion="8" background="1" saveData="1">
    <dbPr connection="Provider=Microsoft.Mashup.OleDb.1;Data Source=$Workbook$;Location=aluminiumflow;Extended Properties=&quot;&quot;" command="SELECT * FROM [aluminiumflow]"/>
  </connection>
  <connection id="8" xr16:uid="{4FE396FF-372D-48D6-81F1-5780BF3BE557}" keepAlive="1" name="Query - aluminiumflow (10)" description="Connection to the 'aluminiumflow (10)' query in the workbook." type="5" refreshedVersion="8" background="1" saveData="1">
    <dbPr connection="Provider=Microsoft.Mashup.OleDb.1;Data Source=$Workbook$;Location=&quot;aluminiumflow (10)&quot;;Extended Properties=&quot;&quot;" command="SELECT * FROM [aluminiumflow (10)]"/>
  </connection>
  <connection id="9" xr16:uid="{10823CBD-E709-4BD1-BA72-AA90C4F9D8FA}" keepAlive="1" name="Query - aluminiumflow (11)" description="Connection to the 'aluminiumflow (11)' query in the workbook." type="5" refreshedVersion="8" background="1" saveData="1">
    <dbPr connection="Provider=Microsoft.Mashup.OleDb.1;Data Source=$Workbook$;Location=&quot;aluminiumflow (11)&quot;;Extended Properties=&quot;&quot;" command="SELECT * FROM [aluminiumflow (11)]"/>
  </connection>
  <connection id="10" xr16:uid="{7D9AFEB9-F6F0-41CB-A495-6A395AEE3FFB}" keepAlive="1" name="Query - aluminiumflow (12)" description="Connection to the 'aluminiumflow (12)' query in the workbook." type="5" refreshedVersion="8" background="1" saveData="1">
    <dbPr connection="Provider=Microsoft.Mashup.OleDb.1;Data Source=$Workbook$;Location=&quot;aluminiumflow (12)&quot;;Extended Properties=&quot;&quot;" command="SELECT * FROM [aluminiumflow (12)]"/>
  </connection>
  <connection id="11" xr16:uid="{06D629E1-825A-46D7-A8A6-8FD89204936B}" keepAlive="1" name="Query - aluminiumflow (13)" description="Connection to the 'aluminiumflow (13)' query in the workbook." type="5" refreshedVersion="8" background="1" saveData="1">
    <dbPr connection="Provider=Microsoft.Mashup.OleDb.1;Data Source=$Workbook$;Location=&quot;aluminiumflow (13)&quot;;Extended Properties=&quot;&quot;" command="SELECT * FROM [aluminiumflow (13)]"/>
  </connection>
  <connection id="12" xr16:uid="{D7282053-3830-4A7B-9A39-519BF917E069}" keepAlive="1" name="Query - aluminiumflow (14)" description="Connection to the 'aluminiumflow (14)' query in the workbook." type="5" refreshedVersion="8" background="1" saveData="1">
    <dbPr connection="Provider=Microsoft.Mashup.OleDb.1;Data Source=$Workbook$;Location=&quot;aluminiumflow (14)&quot;;Extended Properties=&quot;&quot;" command="SELECT * FROM [aluminiumflow (14)]"/>
  </connection>
  <connection id="13" xr16:uid="{6758936B-D291-429F-BC43-7A1D179856DC}" keepAlive="1" name="Query - aluminiumflow (15)" description="Connection to the 'aluminiumflow (15)' query in the workbook." type="5" refreshedVersion="8" background="1" saveData="1">
    <dbPr connection="Provider=Microsoft.Mashup.OleDb.1;Data Source=$Workbook$;Location=&quot;aluminiumflow (15)&quot;;Extended Properties=&quot;&quot;" command="SELECT * FROM [aluminiumflow (15)]"/>
  </connection>
  <connection id="14" xr16:uid="{78D479F1-9A97-4CBE-8C6F-58D57C0486CD}" keepAlive="1" name="Query - aluminiumflow (16)" description="Connection to the 'aluminiumflow (16)' query in the workbook." type="5" refreshedVersion="8" background="1" saveData="1">
    <dbPr connection="Provider=Microsoft.Mashup.OleDb.1;Data Source=$Workbook$;Location=&quot;aluminiumflow (16)&quot;;Extended Properties=&quot;&quot;" command="SELECT * FROM [aluminiumflow (16)]"/>
  </connection>
  <connection id="15" xr16:uid="{24AD7FDD-4545-421C-A8B2-0C28313E7DF2}" keepAlive="1" name="Query - aluminiumflow (2)" description="Connection to the 'aluminiumflow (2)' query in the workbook." type="5" refreshedVersion="8" background="1" saveData="1">
    <dbPr connection="Provider=Microsoft.Mashup.OleDb.1;Data Source=$Workbook$;Location=&quot;aluminiumflow (2)&quot;;Extended Properties=&quot;&quot;" command="SELECT * FROM [aluminiumflow (2)]"/>
  </connection>
  <connection id="16" xr16:uid="{D044C5D0-40A7-456B-B666-6D7E69E28B13}" keepAlive="1" name="Query - aluminiumflow (3)" description="Connection to the 'aluminiumflow (3)' query in the workbook." type="5" refreshedVersion="8" background="1" saveData="1">
    <dbPr connection="Provider=Microsoft.Mashup.OleDb.1;Data Source=$Workbook$;Location=&quot;aluminiumflow (3)&quot;;Extended Properties=&quot;&quot;" command="SELECT * FROM [aluminiumflow (3)]"/>
  </connection>
  <connection id="17" xr16:uid="{C050713E-7554-472D-9C60-F6CB2BF2FD71}" keepAlive="1" name="Query - aluminiumflow (4)" description="Connection to the 'aluminiumflow (4)' query in the workbook." type="5" refreshedVersion="8" background="1" saveData="1">
    <dbPr connection="Provider=Microsoft.Mashup.OleDb.1;Data Source=$Workbook$;Location=&quot;aluminiumflow (4)&quot;;Extended Properties=&quot;&quot;" command="SELECT * FROM [aluminiumflow (4)]"/>
  </connection>
  <connection id="18" xr16:uid="{FDFF40B0-46CF-48A4-A22D-AB14F8856F65}" keepAlive="1" name="Query - aluminiumflow (5)" description="Connection to the 'aluminiumflow (5)' query in the workbook." type="5" refreshedVersion="8" background="1" saveData="1">
    <dbPr connection="Provider=Microsoft.Mashup.OleDb.1;Data Source=$Workbook$;Location=&quot;aluminiumflow (5)&quot;;Extended Properties=&quot;&quot;" command="SELECT * FROM [aluminiumflow (5)]"/>
  </connection>
  <connection id="19" xr16:uid="{6FA3776F-77A3-429C-8C6E-5584B8A90F14}" keepAlive="1" name="Query - aluminiumflow (6)" description="Connection to the 'aluminiumflow (6)' query in the workbook." type="5" refreshedVersion="8" background="1" saveData="1">
    <dbPr connection="Provider=Microsoft.Mashup.OleDb.1;Data Source=$Workbook$;Location=&quot;aluminiumflow (6)&quot;;Extended Properties=&quot;&quot;" command="SELECT * FROM [aluminiumflow (6)]"/>
  </connection>
  <connection id="20" xr16:uid="{03166F5A-4151-4B9C-A204-6214E5ACAB4D}" keepAlive="1" name="Query - aluminiumflow (7)" description="Connection to the 'aluminiumflow (7)' query in the workbook." type="5" refreshedVersion="8" background="1" saveData="1">
    <dbPr connection="Provider=Microsoft.Mashup.OleDb.1;Data Source=$Workbook$;Location=&quot;aluminiumflow (7)&quot;;Extended Properties=&quot;&quot;" command="SELECT * FROM [aluminiumflow (7)]"/>
  </connection>
  <connection id="21" xr16:uid="{0D4F950B-8B83-42C4-B385-9D123AE26B0B}" keepAlive="1" name="Query - aluminiumflow (8)" description="Connection to the 'aluminiumflow (8)' query in the workbook." type="5" refreshedVersion="8" background="1" saveData="1">
    <dbPr connection="Provider=Microsoft.Mashup.OleDb.1;Data Source=$Workbook$;Location=&quot;aluminiumflow (8)&quot;;Extended Properties=&quot;&quot;" command="SELECT * FROM [aluminiumflow (8)]"/>
  </connection>
  <connection id="22" xr16:uid="{E565A070-193C-457A-BA94-3C9E469B4DEA}" keepAlive="1" name="Query - aluminiumflow (9)" description="Connection to the 'aluminiumflow (9)' query in the workbook." type="5" refreshedVersion="8" background="1" saveData="1">
    <dbPr connection="Provider=Microsoft.Mashup.OleDb.1;Data Source=$Workbook$;Location=&quot;aluminiumflow (9)&quot;;Extended Properties=&quot;&quot;" command="SELECT * FROM [aluminiumflow (9)]"/>
  </connection>
  <connection id="23" xr16:uid="{B2205286-E28D-4295-AF92-9154CB0D8D26}" keepAlive="1" name="Query - aluminiumstock" description="Connection to the 'aluminiumstock' query in the workbook." type="5" refreshedVersion="8" background="1" saveData="1">
    <dbPr connection="Provider=Microsoft.Mashup.OleDb.1;Data Source=$Workbook$;Location=aluminiumstock;Extended Properties=&quot;&quot;" command="SELECT * FROM [aluminiumstock]"/>
  </connection>
  <connection id="24" xr16:uid="{FD097B80-0552-41F6-B8BB-E231CB1B1CC6}" keepAlive="1" name="Query - aluminiumstock (2)" description="Connection to the 'aluminiumstock (2)' query in the workbook." type="5" refreshedVersion="8" background="1" saveData="1">
    <dbPr connection="Provider=Microsoft.Mashup.OleDb.1;Data Source=$Workbook$;Location=&quot;aluminiumstock (2)&quot;;Extended Properties=&quot;&quot;" command="SELECT * FROM [aluminiumstock (2)]"/>
  </connection>
  <connection id="25" xr16:uid="{62C6DC9D-A9AA-4455-8ECA-0530038F5C61}" keepAlive="1" name="Query - aluminiumstock (3)" description="Connection to the 'aluminiumstock (3)' query in the workbook." type="5" refreshedVersion="8" background="1" saveData="1">
    <dbPr connection="Provider=Microsoft.Mashup.OleDb.1;Data Source=$Workbook$;Location=&quot;aluminiumstock (3)&quot;;Extended Properties=&quot;&quot;" command="SELECT * FROM [aluminiumstock (3)]"/>
  </connection>
  <connection id="26" xr16:uid="{4D1CDE0E-AF24-4D81-8B89-2BB55ADAD7EA}" keepAlive="1" name="Query - aluminiumstock (4)" description="Connection to the 'aluminiumstock (4)' query in the workbook." type="5" refreshedVersion="8" background="1" saveData="1">
    <dbPr connection="Provider=Microsoft.Mashup.OleDb.1;Data Source=$Workbook$;Location=&quot;aluminiumstock (4)&quot;;Extended Properties=&quot;&quot;" command="SELECT * FROM [aluminiumstock (4)]"/>
  </connection>
  <connection id="27" xr16:uid="{248332D1-1671-4D4C-AEA0-CBFAB756E0F7}" keepAlive="1" name="Query - aluminiumstock (5)" description="Connection to the 'aluminiumstock (5)' query in the workbook." type="5" refreshedVersion="8" background="1" saveData="1">
    <dbPr connection="Provider=Microsoft.Mashup.OleDb.1;Data Source=$Workbook$;Location=&quot;aluminiumstock (5)&quot;;Extended Properties=&quot;&quot;" command="SELECT * FROM [aluminiumstock (5)]"/>
  </connection>
  <connection id="28" xr16:uid="{28D748E2-FAA4-40BF-A3EF-AD3FEBA286E0}" keepAlive="1" name="Query - aluminiumstock (6)" description="Connection to the 'aluminiumstock (6)' query in the workbook." type="5" refreshedVersion="8" background="1" saveData="1">
    <dbPr connection="Provider=Microsoft.Mashup.OleDb.1;Data Source=$Workbook$;Location=&quot;aluminiumstock (6)&quot;;Extended Properties=&quot;&quot;" command="SELECT * FROM [aluminiumstock (6)]"/>
  </connection>
  <connection id="29" xr16:uid="{A0AEF2E6-0E89-48B9-9413-FE479F88A553}" keepAlive="1" name="Query - aluminiumstock (7)" description="Connection to the 'aluminiumstock (7)' query in the workbook." type="5" refreshedVersion="8" background="1" saveData="1">
    <dbPr connection="Provider=Microsoft.Mashup.OleDb.1;Data Source=$Workbook$;Location=&quot;aluminiumstock (7)&quot;;Extended Properties=&quot;&quot;" command="SELECT * FROM [aluminiumstock (7)]"/>
  </connection>
  <connection id="30" xr16:uid="{616D9705-2605-46DE-80CA-7EBC5B9B916C}" keepAlive="1" name="Query - aluminiumstock (8)" description="Connection to the 'aluminiumstock (8)' query in the workbook." type="5" refreshedVersion="8" background="1" saveData="1">
    <dbPr connection="Provider=Microsoft.Mashup.OleDb.1;Data Source=$Workbook$;Location=&quot;aluminiumstock (8)&quot;;Extended Properties=&quot;&quot;" command="SELECT * FROM [aluminiumstock (8)]"/>
  </connection>
  <connection id="31" xr16:uid="{FA1D405B-2EC8-4309-9FE6-1DA3B16001D1}" keepAlive="1" name="Query - aluminiumstock (9)" description="Connection to the 'aluminiumstock (9)' query in the workbook." type="5" refreshedVersion="8" background="1" saveData="1">
    <dbPr connection="Provider=Microsoft.Mashup.OleDb.1;Data Source=$Workbook$;Location=&quot;aluminiumstock (9)&quot;;Extended Properties=&quot;&quot;" command="SELECT * FROM [aluminiumstock (9)]"/>
  </connection>
</connections>
</file>

<file path=xl/sharedStrings.xml><?xml version="1.0" encoding="utf-8"?>
<sst xmlns="http://schemas.openxmlformats.org/spreadsheetml/2006/main" count="28770" uniqueCount="1004">
  <si>
    <t>quantity</t>
  </si>
  <si>
    <t>time</t>
  </si>
  <si>
    <t>location</t>
  </si>
  <si>
    <t>nan</t>
  </si>
  <si>
    <t>Process</t>
  </si>
  <si>
    <t>massconserved</t>
  </si>
  <si>
    <t>Processnumber</t>
  </si>
  <si>
    <t>ParentProcess</t>
  </si>
  <si>
    <t>Subprocessnumbers</t>
  </si>
  <si>
    <t>Other-simple-processed-wood</t>
  </si>
  <si>
    <t>From</t>
  </si>
  <si>
    <t>to</t>
  </si>
  <si>
    <t>Flownumberfrom</t>
  </si>
  <si>
    <t>Flownumberto</t>
  </si>
  <si>
    <t>ParentProcessFlowfrom</t>
  </si>
  <si>
    <t>ParentProcessFlowto</t>
  </si>
  <si>
    <t>Subprocessnumbersfrom</t>
  </si>
  <si>
    <t>Subprocessnumbersto</t>
  </si>
  <si>
    <t>1</t>
  </si>
  <si>
    <t>2021</t>
  </si>
  <si>
    <t>From_top</t>
  </si>
  <si>
    <t>To_top</t>
  </si>
  <si>
    <t>Processnumbersfromtop</t>
  </si>
  <si>
    <t>Processnumberstotop</t>
  </si>
  <si>
    <t>From_bottom</t>
  </si>
  <si>
    <t>To_bottom</t>
  </si>
  <si>
    <t>Processnumbersfrombottom</t>
  </si>
  <si>
    <t>Processnumberstobottom</t>
  </si>
  <si>
    <t>ratio</t>
  </si>
  <si>
    <t>pw-wood-chips-and-particles</t>
  </si>
  <si>
    <t>pw-bark</t>
  </si>
  <si>
    <t>use-paper</t>
  </si>
  <si>
    <t>use-packaging</t>
  </si>
  <si>
    <t>use-construction</t>
  </si>
  <si>
    <t>use-furniture</t>
  </si>
  <si>
    <t>use-chemical</t>
  </si>
  <si>
    <t>sp-further-processed-sawnwood</t>
  </si>
  <si>
    <t>sp-wooden-wrapping-and-packaging-material</t>
  </si>
  <si>
    <t>sp-other-manufactured-wood-products</t>
  </si>
  <si>
    <t>sp-engineered-structural-timber-products</t>
  </si>
  <si>
    <t>sp-other-construction-timber</t>
  </si>
  <si>
    <t>sp-wooden-furniture</t>
  </si>
  <si>
    <t>wood-pulp-production</t>
  </si>
  <si>
    <t>other-pulp</t>
  </si>
  <si>
    <t>wbp-plywood</t>
  </si>
  <si>
    <t>wbp-particle-board</t>
  </si>
  <si>
    <t>wbp-oriented-strand-board-OSB</t>
  </si>
  <si>
    <t>wood-pellets-and-agglomerates-pr</t>
  </si>
  <si>
    <t>sawnwood-pr</t>
  </si>
  <si>
    <t>veneer-sheet-pr</t>
  </si>
  <si>
    <t>paper-and-paperboard-pr</t>
  </si>
  <si>
    <t>secondary-wood-pr</t>
  </si>
  <si>
    <t>wood-based-panels-pr</t>
  </si>
  <si>
    <t>wcp-wood-chips-and-particles</t>
  </si>
  <si>
    <t>wcp-wood-residues</t>
  </si>
  <si>
    <t>wsp-wood-charcoal</t>
  </si>
  <si>
    <t>wsp-other-simple-processed-wood</t>
  </si>
  <si>
    <t>use-other-use</t>
  </si>
  <si>
    <t>production-waste</t>
  </si>
  <si>
    <t>use</t>
  </si>
  <si>
    <t>e-o-l-waste</t>
  </si>
  <si>
    <t>hrv-wood-fuel</t>
  </si>
  <si>
    <t>hrv-sawlogs-and-veneer-logs</t>
  </si>
  <si>
    <t>hrv-pulpwood-round-and-split-and-wood-for-wood-based-panels</t>
  </si>
  <si>
    <t>hrv-other-industrial-roundwood</t>
  </si>
  <si>
    <t>wood-chips-and-particles-general</t>
  </si>
  <si>
    <t>wood-simply-processed</t>
  </si>
  <si>
    <t>pp-sanitary-and-household-papers</t>
  </si>
  <si>
    <t>pp-packaging-materials</t>
  </si>
  <si>
    <t>pp-other-paper-and-paperboard</t>
  </si>
  <si>
    <t>wpp-mechanical-pulp</t>
  </si>
  <si>
    <t>wpp-chemical-pulp</t>
  </si>
  <si>
    <t>wpp-dissolving-pulp</t>
  </si>
  <si>
    <t>pw-sanding-and-sawdust</t>
  </si>
  <si>
    <t>pw-loss</t>
  </si>
  <si>
    <t>wbp-fibreboard-softboard</t>
  </si>
  <si>
    <t>wbp-oriented-strand-board-osb</t>
  </si>
  <si>
    <t>wpp-recycling-pulp</t>
  </si>
  <si>
    <t>pp-newsprint</t>
  </si>
  <si>
    <t>pp-printing-writing</t>
  </si>
  <si>
    <t>pw-pulp-waste</t>
  </si>
  <si>
    <t>World average</t>
  </si>
  <si>
    <t>Other paper and paperboard n.e.s.</t>
  </si>
  <si>
    <t>Other papers mainly for packaging</t>
  </si>
  <si>
    <t>Cartonboard</t>
  </si>
  <si>
    <t>Case materials</t>
  </si>
  <si>
    <t>Household and sanitary papers</t>
  </si>
  <si>
    <t>Other paper and paperboard</t>
  </si>
  <si>
    <t>Printing and writing papers</t>
  </si>
  <si>
    <t>Newsprint</t>
  </si>
  <si>
    <t>Conversion Factor</t>
  </si>
  <si>
    <t>Moisture content
(%)</t>
  </si>
  <si>
    <t>Wood chips and particles</t>
  </si>
  <si>
    <t>Area</t>
  </si>
  <si>
    <t>Recovered fibre pulp</t>
  </si>
  <si>
    <t>Pulp from fibres other than wood</t>
  </si>
  <si>
    <t>Dissolving wood pulp</t>
  </si>
  <si>
    <t>Chemical wood pulp</t>
  </si>
  <si>
    <t>Mechanical and semi-chemical wood pulp</t>
  </si>
  <si>
    <t>Fibreboard, soft</t>
  </si>
  <si>
    <t>Fibreboard, medium/high</t>
  </si>
  <si>
    <t>Fibreboard, hard</t>
  </si>
  <si>
    <t>OSB</t>
  </si>
  <si>
    <t>Particle board</t>
  </si>
  <si>
    <t>Plywood</t>
  </si>
  <si>
    <t>Wood content (%)</t>
  </si>
  <si>
    <r>
      <t>Product basic density
(kg/m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)</t>
    </r>
  </si>
  <si>
    <t>Wood-based panels</t>
  </si>
  <si>
    <t>Veneer sheets</t>
  </si>
  <si>
    <t>Sawnwood, non-coniferous all</t>
  </si>
  <si>
    <t>Sawnwood, coniferous</t>
  </si>
  <si>
    <t>Moisture content (%)</t>
  </si>
  <si>
    <t>Sawnwood</t>
  </si>
  <si>
    <t>Other agglomerates</t>
  </si>
  <si>
    <t>Wood pellets</t>
  </si>
  <si>
    <t>Wood residues</t>
  </si>
  <si>
    <r>
      <t>Wood basic density
(dry weight of wood/green 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 xml:space="preserve"> wood only)</t>
    </r>
  </si>
  <si>
    <t>Wood charcoal</t>
  </si>
  <si>
    <t>Sawlogs and veneer logs, non-coniferous</t>
  </si>
  <si>
    <t>Sawlogs and veneer logs, coniferous</t>
  </si>
  <si>
    <t>Wood fuel, non-coniferous</t>
  </si>
  <si>
    <t>Wood fuel, coniferous</t>
  </si>
  <si>
    <t>Roundwood</t>
  </si>
  <si>
    <t>Other paper and paperboard n.e.s. (not elsewhere specified)</t>
  </si>
  <si>
    <t>Export Quantity</t>
  </si>
  <si>
    <t>Forestry Production and Trade</t>
  </si>
  <si>
    <t>FO</t>
  </si>
  <si>
    <t>Import Quantity</t>
  </si>
  <si>
    <t>Production</t>
  </si>
  <si>
    <t>Wrapping papers</t>
  </si>
  <si>
    <t>Wrapping and packaging paper and paperboard (1961-1997)</t>
  </si>
  <si>
    <t>Printing and writing papers, coated</t>
  </si>
  <si>
    <t>Printing and writing papers, uncoated, wood free</t>
  </si>
  <si>
    <t>Printing and writing papers, uncoated, mechanical</t>
  </si>
  <si>
    <t>Recovered paper</t>
  </si>
  <si>
    <t>Chemical wood pulp, sulphite, bleached</t>
  </si>
  <si>
    <t>Chemical wood pulp, sulphite, unbleached</t>
  </si>
  <si>
    <t>Chemical wood pulp, sulphite</t>
  </si>
  <si>
    <t>Chemical wood pulp, sulphate, bleached</t>
  </si>
  <si>
    <t>Chemical wood pulp, sulphate, unbleached</t>
  </si>
  <si>
    <t>Semi-chemical wood pulp</t>
  </si>
  <si>
    <t>Mechanical wood pulp</t>
  </si>
  <si>
    <t>Fibreboard, compressed (1961-1994)</t>
  </si>
  <si>
    <t>m3</t>
  </si>
  <si>
    <t>Other fibreboard</t>
  </si>
  <si>
    <t>MDF/HDF</t>
  </si>
  <si>
    <t>Hardboard</t>
  </si>
  <si>
    <t>Particle board and OSB (1961-1994)</t>
  </si>
  <si>
    <t>Recovered post-consumer wood</t>
  </si>
  <si>
    <t>Other industrial roundwood, all species (export/import, 1961-1989)</t>
  </si>
  <si>
    <t>Other industrial roundwood, non-coniferous (production)</t>
  </si>
  <si>
    <t>Other industrial roundwood, coniferous (production)</t>
  </si>
  <si>
    <t>Pulpwood and particles, non-coniferous (production, 1961-1997)</t>
  </si>
  <si>
    <t>Pulpwood and particles, coniferous (production, 1961-1997)</t>
  </si>
  <si>
    <t>Pulpwood, round and split, all species (export/import, 1961-1989)</t>
  </si>
  <si>
    <t>Pulpwood, round and split, non-coniferous (production)</t>
  </si>
  <si>
    <t>Pulpwood, round and split, coniferous (production)</t>
  </si>
  <si>
    <t>Industrial roundwood, non-coniferous non-tropical (export/import)</t>
  </si>
  <si>
    <t>Industrial roundwood, non-coniferous tropical (export/import)</t>
  </si>
  <si>
    <t>Industrial roundwood, coniferous (export/import)</t>
  </si>
  <si>
    <t>Wood fuel, all species (export/import, 1961-2016)</t>
  </si>
  <si>
    <t>Flag Description</t>
  </si>
  <si>
    <t>Flag</t>
  </si>
  <si>
    <t>Value</t>
  </si>
  <si>
    <t>Unit</t>
  </si>
  <si>
    <t>Year</t>
  </si>
  <si>
    <t>Year Code</t>
  </si>
  <si>
    <t>Item</t>
  </si>
  <si>
    <t>Item Code</t>
  </si>
  <si>
    <t>Element</t>
  </si>
  <si>
    <t>Element Code</t>
  </si>
  <si>
    <t>Domain</t>
  </si>
  <si>
    <t>Domain Code</t>
  </si>
  <si>
    <t>Element Code, Item Code</t>
  </si>
  <si>
    <t>Flow</t>
  </si>
  <si>
    <t>wsp-other-simply-processed-wood</t>
  </si>
  <si>
    <t>wbp-fibreboard-hardboard</t>
  </si>
  <si>
    <t>Shrinkage</t>
  </si>
  <si>
    <t>Chips</t>
  </si>
  <si>
    <t>Loss</t>
  </si>
  <si>
    <t>Residues</t>
  </si>
  <si>
    <t>Recoverable bark*</t>
  </si>
  <si>
    <t>Plywood/Veneer</t>
  </si>
  <si>
    <t>OSB panel</t>
  </si>
  <si>
    <t>Shrinkage(densification)</t>
  </si>
  <si>
    <t>Mechanical pulp</t>
  </si>
  <si>
    <t>Chemical</t>
  </si>
  <si>
    <t>Dissolving pulp</t>
  </si>
  <si>
    <t>Recycling pulp</t>
  </si>
  <si>
    <t>Fibreboard, all</t>
  </si>
  <si>
    <t>Paper and paperboard production, all</t>
  </si>
  <si>
    <t>Loss for recovery</t>
  </si>
  <si>
    <t>Wood simply worked or processed</t>
  </si>
  <si>
    <r>
      <t>Yield ratio ɳ</t>
    </r>
    <r>
      <rPr>
        <vertAlign val="subscript"/>
        <sz val="10"/>
        <color theme="1"/>
        <rFont val="Arial"/>
        <family val="2"/>
      </rPr>
      <t>ss</t>
    </r>
  </si>
  <si>
    <r>
      <t>Yield ratio ɳ</t>
    </r>
    <r>
      <rPr>
        <vertAlign val="subscript"/>
        <sz val="10"/>
        <color theme="1"/>
        <rFont val="Arial"/>
        <family val="2"/>
      </rPr>
      <t>sh</t>
    </r>
  </si>
  <si>
    <r>
      <t>Yield ratio ɳ</t>
    </r>
    <r>
      <rPr>
        <vertAlign val="subscript"/>
        <sz val="10"/>
        <color theme="1"/>
        <rFont val="Arial"/>
        <family val="2"/>
      </rPr>
      <t>pb</t>
    </r>
  </si>
  <si>
    <r>
      <t>Yield ratio ɳ</t>
    </r>
    <r>
      <rPr>
        <vertAlign val="subscript"/>
        <sz val="10"/>
        <color theme="1"/>
        <rFont val="Arial"/>
        <family val="2"/>
      </rPr>
      <t>osb</t>
    </r>
  </si>
  <si>
    <r>
      <t>Yield ratio ɳ</t>
    </r>
    <r>
      <rPr>
        <vertAlign val="subscript"/>
        <sz val="10"/>
        <color theme="1"/>
        <rFont val="Arial"/>
        <family val="2"/>
      </rPr>
      <t>fb</t>
    </r>
  </si>
  <si>
    <r>
      <t>Yield ratio ɳ</t>
    </r>
    <r>
      <rPr>
        <vertAlign val="subscript"/>
        <sz val="10"/>
        <color theme="1"/>
        <rFont val="Arial"/>
        <family val="2"/>
      </rPr>
      <t>mp</t>
    </r>
  </si>
  <si>
    <r>
      <t>Yield ratio ɳ</t>
    </r>
    <r>
      <rPr>
        <vertAlign val="subscript"/>
        <sz val="10"/>
        <color theme="1"/>
        <rFont val="Arial"/>
        <family val="2"/>
      </rPr>
      <t>cp</t>
    </r>
  </si>
  <si>
    <r>
      <t>Yield ratio ɳ</t>
    </r>
    <r>
      <rPr>
        <vertAlign val="subscript"/>
        <sz val="10"/>
        <color theme="1"/>
        <rFont val="Arial"/>
        <family val="2"/>
      </rPr>
      <t>dp</t>
    </r>
  </si>
  <si>
    <r>
      <t>Yield ratio ɳ</t>
    </r>
    <r>
      <rPr>
        <vertAlign val="subscript"/>
        <sz val="10"/>
        <color theme="1"/>
        <rFont val="Arial"/>
        <family val="2"/>
      </rPr>
      <t>rp</t>
    </r>
  </si>
  <si>
    <r>
      <t>Yield ratio ɳ</t>
    </r>
    <r>
      <rPr>
        <vertAlign val="subscript"/>
        <sz val="10"/>
        <color theme="1"/>
        <rFont val="Arial"/>
        <family val="2"/>
      </rPr>
      <t>pp</t>
    </r>
  </si>
  <si>
    <r>
      <t>Yield ratio ɳ</t>
    </r>
    <r>
      <rPr>
        <vertAlign val="subscript"/>
        <sz val="10"/>
        <color theme="1"/>
        <rFont val="Arial"/>
        <family val="2"/>
      </rPr>
      <t>sw</t>
    </r>
  </si>
  <si>
    <r>
      <t>Yield ratio ɳ</t>
    </r>
    <r>
      <rPr>
        <vertAlign val="subscript"/>
        <sz val="10"/>
        <color theme="1"/>
        <rFont val="Arial"/>
        <family val="2"/>
      </rPr>
      <t>wsp</t>
    </r>
  </si>
  <si>
    <t>wbp-fibreboard-mdf-hdf</t>
  </si>
  <si>
    <t>0-1-2</t>
  </si>
  <si>
    <t>harvesting-roundwood</t>
  </si>
  <si>
    <t>harvesting-cork</t>
  </si>
  <si>
    <t>No Flow</t>
  </si>
  <si>
    <t>data-info</t>
  </si>
  <si>
    <t>https://www.fao.org/3/ca7952en/CA7952EN.pdf</t>
  </si>
  <si>
    <t>Comment</t>
  </si>
  <si>
    <t>General information</t>
  </si>
  <si>
    <t>Reference</t>
  </si>
  <si>
    <t>Wood Pellets and Other Agglomerates</t>
  </si>
  <si>
    <t>Wood Pulps</t>
  </si>
  <si>
    <t>Paper and paperboard</t>
  </si>
  <si>
    <r>
      <t>Yield ratio ɳ</t>
    </r>
    <r>
      <rPr>
        <vertAlign val="subscript"/>
        <sz val="10"/>
        <color theme="1"/>
        <rFont val="Arial"/>
        <family val="2"/>
      </rPr>
      <t>wchc</t>
    </r>
  </si>
  <si>
    <t>Sawnwood, non-coniferous</t>
  </si>
  <si>
    <t>Secondary wood production, all</t>
  </si>
  <si>
    <t>(Ewijk et. al., 2017)</t>
  </si>
  <si>
    <t>https://doi.org/10.1111/jiec.12613</t>
  </si>
  <si>
    <t>https://api.environdec.com/api/v1/EPDLibrary/Files/2263eda0-231e-412c-91e4-0a1894bf1a5d/Data</t>
  </si>
  <si>
    <t>http://www.journalcra.com/article/simple-determination-physical-and-thermal-properties-basis-design-and-analysis-waste-energy</t>
  </si>
  <si>
    <t>Recoverable Wood Products</t>
  </si>
  <si>
    <t>quantity-prior</t>
  </si>
  <si>
    <t>FAOSTAT</t>
  </si>
  <si>
    <t>No Change</t>
  </si>
  <si>
    <t>13-14</t>
  </si>
  <si>
    <t>General assumption according to the secondary wood products EPDs.
Non-hazardous waste disposal value at the manufacturing stage is assumed as wood waste.</t>
  </si>
  <si>
    <t>https://wwfeu.awsassets.panda.org/downloads/wwf_briefing_eutr.pdf</t>
  </si>
  <si>
    <t>Calculation based on flow balance.</t>
  </si>
  <si>
    <t>Calculation based on ratio data.</t>
  </si>
  <si>
    <t>Estimation based on sawnwood production.</t>
  </si>
  <si>
    <t>pw-paper-waste</t>
  </si>
  <si>
    <t>https://europanels.org/the-wood-based-panel-industry/types-of-wood-based-panels-economic-impact/plywood/</t>
  </si>
  <si>
    <t>https://europanels.org/the-wood-based-panel-industry/types-of-wood-based-panels-economic-impact/hardboard/</t>
  </si>
  <si>
    <t>https://europanels.org/the-wood-based-panel-industry/types-of-wood-based-panels-economic-impact/particleboard/</t>
  </si>
  <si>
    <t>https://europanels.org/the-wood-based-panel-industry/types-of-wood-based-panels-economic-impact/medium-density-fibreboard/</t>
  </si>
  <si>
    <t>https://europanels.org/the-wood-based-panel-industry/types-of-wood-based-panels-economic-impact/oriented-strand-board/</t>
  </si>
  <si>
    <t>Conversion factor,
cubic metre roundwood/product tonne (m3rw/tonne):</t>
  </si>
  <si>
    <t xml:space="preserve">Woodfuel density (kg/m3): </t>
  </si>
  <si>
    <t>Yield ratio</t>
  </si>
  <si>
    <t>The amount of roundwood
to product 1 tonne of wood charcoal (tonne)</t>
  </si>
  <si>
    <t>Materials for recycling (kg)</t>
  </si>
  <si>
    <t>Product density (kg/m3)</t>
  </si>
  <si>
    <t>Non-hazardous waste disposal (kg)</t>
  </si>
  <si>
    <t>Based on sample EPD.</t>
  </si>
  <si>
    <t>Based on sample EPD. Only production stage is considered.</t>
  </si>
  <si>
    <t>Product mass (odmt)</t>
  </si>
  <si>
    <t>Total mass with other wastes (odmt)</t>
  </si>
  <si>
    <t>Wood pellets and other agglomerates</t>
  </si>
  <si>
    <r>
      <t>Yield ratio ɳ</t>
    </r>
    <r>
      <rPr>
        <vertAlign val="subscript"/>
        <sz val="10"/>
        <color theme="1"/>
        <rFont val="Arial"/>
        <family val="2"/>
      </rPr>
      <t>wpoa</t>
    </r>
  </si>
  <si>
    <t>Conversion factor,
Solid wood m3 per tonne pellets</t>
  </si>
  <si>
    <t>Wood pellets moisture content (%)</t>
  </si>
  <si>
    <t>The amount of roundwood
to product 1 tonne of wood charcoal (odmt)</t>
  </si>
  <si>
    <t>Pulpwood, round and split, basic density (kg/m3)</t>
  </si>
  <si>
    <t>hrv-wood-fuel-softwood</t>
  </si>
  <si>
    <t>hrv-wood-fuel-hardwood</t>
  </si>
  <si>
    <t>hrv-sawlogs-and-veneer-logs-softwood</t>
  </si>
  <si>
    <t>hrv-sawlogs-and-veneer-logs-hardwood</t>
  </si>
  <si>
    <t>0</t>
  </si>
  <si>
    <t>hrv-pulpwood-wbp-softwood</t>
  </si>
  <si>
    <t>hrv-pulpwood-rwbp-hardwood</t>
  </si>
  <si>
    <t>hrv-other-industrial-roundwood-softwood</t>
  </si>
  <si>
    <t>hrv-other-industrial-roundwood-hardwood</t>
  </si>
  <si>
    <t>sawnwood-softwood</t>
  </si>
  <si>
    <t>sawnwood-hardwood</t>
  </si>
  <si>
    <t>2</t>
  </si>
  <si>
    <t>3</t>
  </si>
  <si>
    <t>4</t>
  </si>
  <si>
    <t>5</t>
  </si>
  <si>
    <t>6</t>
  </si>
  <si>
    <t>wbp-fibreboard</t>
  </si>
  <si>
    <t>sp-construction-timber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</si>
  <si>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</si>
  <si>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</si>
  <si>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</si>
  <si>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</si>
  <si>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</si>
  <si>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</si>
  <si>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</si>
  <si>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</si>
  <si>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</si>
  <si>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</si>
  <si>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</si>
  <si>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</si>
  <si>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</si>
  <si>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</si>
  <si>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</si>
  <si>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</si>
  <si>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</si>
  <si>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</si>
  <si>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</si>
  <si>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</si>
  <si>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</si>
  <si>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</si>
  <si>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</si>
  <si>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</si>
  <si>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</si>
  <si>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</si>
  <si>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</si>
  <si>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</si>
  <si>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</si>
  <si>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</si>
  <si>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</si>
  <si>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</si>
  <si>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</si>
  <si>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</si>
  <si>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</si>
  <si>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</si>
  <si>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</si>
  <si>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</si>
  <si>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</si>
  <si>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</si>
  <si>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</si>
  <si>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</si>
  <si>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</si>
  <si>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</si>
  <si>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</si>
  <si>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</si>
  <si>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</si>
  <si>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</si>
  <si>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</si>
  <si>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</si>
  <si>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</si>
  <si>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4-5</t>
  </si>
  <si>
    <t>6-7</t>
  </si>
  <si>
    <t>8-9</t>
  </si>
  <si>
    <t>10-11</t>
  </si>
  <si>
    <t>4-5-6-7-8-9-10-11</t>
  </si>
  <si>
    <t>58</t>
  </si>
  <si>
    <t>59</t>
  </si>
  <si>
    <t>15-16</t>
  </si>
  <si>
    <t>import</t>
  </si>
  <si>
    <t>export</t>
  </si>
  <si>
    <t>60</t>
  </si>
  <si>
    <t>61</t>
  </si>
  <si>
    <t>t</t>
  </si>
  <si>
    <t>Utility Poles, Conversion factor,
Cubic metre roundwood/cubic metre product</t>
  </si>
  <si>
    <t>General example</t>
  </si>
  <si>
    <t>Neglected.</t>
  </si>
  <si>
    <t>hrv-industrial-roundwood-softwood</t>
  </si>
  <si>
    <t>hrv-industrial-roundwood-hardwood</t>
  </si>
  <si>
    <t>6-8-10</t>
  </si>
  <si>
    <t>7-9-11</t>
  </si>
  <si>
    <t>Veneer sheets, coniferous</t>
  </si>
  <si>
    <t>Wood briquettes and other agglomerates</t>
  </si>
  <si>
    <t>62</t>
  </si>
  <si>
    <t>waste-treatment</t>
  </si>
  <si>
    <t>wt-energy-recovery</t>
  </si>
  <si>
    <t>wt-landfill</t>
  </si>
  <si>
    <t>63</t>
  </si>
  <si>
    <t>64</t>
  </si>
  <si>
    <t>18-19</t>
  </si>
  <si>
    <t>21-22-23-24-25-26</t>
  </si>
  <si>
    <t>24-25-26</t>
  </si>
  <si>
    <t>27-28-29-30</t>
  </si>
  <si>
    <t>32-33-34-35-36</t>
  </si>
  <si>
    <t>37-38-39-40-41-42</t>
  </si>
  <si>
    <t>43-44-45-46-47-48-49</t>
  </si>
  <si>
    <t>50-51-52-53-54-55</t>
  </si>
  <si>
    <t>39-40</t>
  </si>
  <si>
    <t>65</t>
  </si>
  <si>
    <t>Estimation based on the reference.</t>
  </si>
  <si>
    <t>https://www.corkqc.com/pages/industry-statistics</t>
  </si>
  <si>
    <t>Calculation based on the reference.</t>
  </si>
  <si>
    <t>66</t>
  </si>
  <si>
    <t>https://woodforgrowth.eu/facts-figures/</t>
  </si>
  <si>
    <t>Based on the reference EPD.</t>
  </si>
  <si>
    <t>e-o-l-wood-waste</t>
  </si>
  <si>
    <t>e-o-l-paper-and-paperboard-waste</t>
  </si>
  <si>
    <t>wt-open-dump</t>
  </si>
  <si>
    <t>56-57</t>
  </si>
  <si>
    <t>Anaerobic digestion</t>
  </si>
  <si>
    <t>Composting</t>
  </si>
  <si>
    <t>Incineration</t>
  </si>
  <si>
    <t>Recycling</t>
  </si>
  <si>
    <t>Landfill</t>
  </si>
  <si>
    <t>https://www.mdpi.com/2076-3417/11/10/4586</t>
  </si>
  <si>
    <t>Fraction of inputs in five main grades of paper</t>
  </si>
  <si>
    <t>Recycled pulp</t>
  </si>
  <si>
    <t>Chemical pulp</t>
  </si>
  <si>
    <t>Non-fibrous</t>
  </si>
  <si>
    <t>Printing + writing</t>
  </si>
  <si>
    <t>Sanitary + household</t>
  </si>
  <si>
    <t>Packaging</t>
  </si>
  <si>
    <t>Other</t>
  </si>
  <si>
    <t>Net addition to stock</t>
  </si>
  <si>
    <t>Non-energy recovery</t>
  </si>
  <si>
    <t>wt-non-energy-recovery</t>
  </si>
  <si>
    <t>wt-recovery</t>
  </si>
  <si>
    <t>Area Code</t>
  </si>
  <si>
    <t>Calculation based on waste data.</t>
  </si>
  <si>
    <t>Global</t>
  </si>
  <si>
    <t>World</t>
  </si>
  <si>
    <t>E</t>
  </si>
  <si>
    <t>Estimated value</t>
  </si>
  <si>
    <t>A</t>
  </si>
  <si>
    <t>Official figure</t>
  </si>
  <si>
    <t>Sanding and sawdust for recycling (%)</t>
  </si>
  <si>
    <t>Sanding and sawdust for disposal (%)</t>
  </si>
  <si>
    <t>wt-disposal</t>
  </si>
  <si>
    <t>58-59-60-61</t>
  </si>
  <si>
    <t>58-59-60-61-62-63-64</t>
  </si>
  <si>
    <t>wt-incineration-disposal</t>
  </si>
  <si>
    <t>62-63-64</t>
  </si>
  <si>
    <t>use-bioenergy</t>
  </si>
  <si>
    <t>Sample calculations related to production process mass balances</t>
  </si>
  <si>
    <t>Conversion factor</t>
  </si>
  <si>
    <t>Engineered structural timber products</t>
  </si>
  <si>
    <t>Conversion factors</t>
  </si>
  <si>
    <t>Mass balances for production/process stages</t>
  </si>
  <si>
    <t>Wood charcoal production</t>
  </si>
  <si>
    <t>Wood pellets and other agglomerates production</t>
  </si>
  <si>
    <t>Wood simply worked or processed production</t>
  </si>
  <si>
    <t>Sawnwood, coniferous production</t>
  </si>
  <si>
    <t>Plywood/Veneer production</t>
  </si>
  <si>
    <t>Particle board production</t>
  </si>
  <si>
    <t>OSB panel production</t>
  </si>
  <si>
    <t>Fibreboard production - all</t>
  </si>
  <si>
    <t>Mechanical pulp production</t>
  </si>
  <si>
    <t>Chemical pulp production</t>
  </si>
  <si>
    <t>Dissolving pulp production</t>
  </si>
  <si>
    <t>Recycling pulp production</t>
  </si>
  <si>
    <t>Paper and paperboard production - all</t>
  </si>
  <si>
    <t>Secondary wood production - all</t>
  </si>
  <si>
    <t>See sample calculations below.</t>
  </si>
  <si>
    <t>Paper and paperboard end-use waste</t>
  </si>
  <si>
    <t>Paper and paperboard waste</t>
  </si>
  <si>
    <t>E-o-l paper and paperboard waste treatment</t>
  </si>
  <si>
    <t>Illegal wood harvesting</t>
  </si>
  <si>
    <t>Energy recovery</t>
  </si>
  <si>
    <t>Incineration-disposal</t>
  </si>
  <si>
    <t>Open dump</t>
  </si>
  <si>
    <t>Fraction of wood production waste use</t>
  </si>
  <si>
    <t>Wood chips and particles use</t>
  </si>
  <si>
    <t>Bark</t>
  </si>
  <si>
    <t>Fraction of e-o-l wood waste treatment</t>
  </si>
  <si>
    <t>Recovery</t>
  </si>
  <si>
    <t>Disposal</t>
  </si>
  <si>
    <t>https://doi.org/10.1111/jiec.12612</t>
  </si>
  <si>
    <t>Controlled Landfill</t>
  </si>
  <si>
    <t>Landfill-unspecified</t>
  </si>
  <si>
    <t>Sanitary landfill</t>
  </si>
  <si>
    <t>Incineration energy recovery rate</t>
  </si>
  <si>
    <t>Incineration disposal rate</t>
  </si>
  <si>
    <t>https://www.epa.gov/sites/default/files/2021-01/documents/2018_ff_fact_sheet_dec_2020_fnl_508.pdf</t>
  </si>
  <si>
    <t>Supporting percentages for material balance</t>
  </si>
  <si>
    <t>https://www.eia.gov/energyexplained/biomass/wood-and-wood-waste.php#:~:text=In%202022%2C%20about%202.1,1</t>
  </si>
  <si>
    <t>Waste treatment</t>
  </si>
  <si>
    <t>Fraction of waste treatment</t>
  </si>
  <si>
    <t>Calculation based on production mass balance.</t>
  </si>
  <si>
    <t>All dissolving pulp is assumed to be used for chemical purposes.</t>
  </si>
  <si>
    <t>Calculation based on supporting percentages.</t>
  </si>
  <si>
    <t>See the supporting percentages.</t>
  </si>
  <si>
    <t>BaMFA</t>
  </si>
  <si>
    <t>Since other production waste quantities are very small, they are neglected.</t>
  </si>
  <si>
    <t>http://hdl.handle.net/10986/30317</t>
  </si>
  <si>
    <t>Area code:</t>
  </si>
  <si>
    <t>Regions</t>
  </si>
  <si>
    <t>CAZ</t>
  </si>
  <si>
    <t>CHA</t>
  </si>
  <si>
    <t>EUR</t>
  </si>
  <si>
    <t>IND</t>
  </si>
  <si>
    <t>JPN</t>
  </si>
  <si>
    <t>LAM</t>
  </si>
  <si>
    <t>MEA</t>
  </si>
  <si>
    <t>NEU</t>
  </si>
  <si>
    <t>OAS</t>
  </si>
  <si>
    <t>REF</t>
  </si>
  <si>
    <t>SSA</t>
  </si>
  <si>
    <t>USA</t>
  </si>
  <si>
    <t>Countries</t>
  </si>
  <si>
    <t>AUS</t>
  </si>
  <si>
    <t>CAN</t>
  </si>
  <si>
    <t>HMD</t>
  </si>
  <si>
    <t>NZL</t>
  </si>
  <si>
    <t>SPM</t>
  </si>
  <si>
    <t>CHN</t>
  </si>
  <si>
    <t>HKG</t>
  </si>
  <si>
    <t>MAC</t>
  </si>
  <si>
    <t>TWN</t>
  </si>
  <si>
    <t>ALA</t>
  </si>
  <si>
    <t>AUT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</si>
  <si>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</si>
  <si>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</si>
  <si>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</si>
  <si>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</si>
  <si>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</si>
  <si>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</si>
  <si>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</si>
  <si>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</si>
  <si>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</si>
  <si>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</si>
  <si>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FRO</t>
  </si>
  <si>
    <t>GBR</t>
  </si>
  <si>
    <t>GGY</t>
  </si>
  <si>
    <t>GIB</t>
  </si>
  <si>
    <t>GRC</t>
  </si>
  <si>
    <t>HRV</t>
  </si>
  <si>
    <t>HUN</t>
  </si>
  <si>
    <t>IMN</t>
  </si>
  <si>
    <t>IRL</t>
  </si>
  <si>
    <t>ITA</t>
  </si>
  <si>
    <t>JEY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</si>
  <si>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</si>
  <si>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</si>
  <si>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</si>
  <si>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</si>
  <si>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</si>
  <si>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</si>
  <si>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</si>
  <si>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</si>
  <si>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</si>
  <si>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</si>
  <si>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</si>
  <si>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ABW</t>
  </si>
  <si>
    <t>AIA</t>
  </si>
  <si>
    <t>ARG</t>
  </si>
  <si>
    <t>ATA</t>
  </si>
  <si>
    <t>ATG</t>
  </si>
  <si>
    <t>BES</t>
  </si>
  <si>
    <t>BHS</t>
  </si>
  <si>
    <t>BLM</t>
  </si>
  <si>
    <t>BLZ</t>
  </si>
  <si>
    <t>BMU</t>
  </si>
  <si>
    <t>BOL</t>
  </si>
  <si>
    <t>BRA</t>
  </si>
  <si>
    <t>BRB</t>
  </si>
  <si>
    <t>BVT</t>
  </si>
  <si>
    <t>CHL</t>
  </si>
  <si>
    <t>COL</t>
  </si>
  <si>
    <t>CRI</t>
  </si>
  <si>
    <t>CUB</t>
  </si>
  <si>
    <t>CUW</t>
  </si>
  <si>
    <t>CYM</t>
  </si>
  <si>
    <t>DMA</t>
  </si>
  <si>
    <t>DOM</t>
  </si>
  <si>
    <t>ECU</t>
  </si>
  <si>
    <t>FLK</t>
  </si>
  <si>
    <t>GLP</t>
  </si>
  <si>
    <t>GRD</t>
  </si>
  <si>
    <t>GTM</t>
  </si>
  <si>
    <t>GUF</t>
  </si>
  <si>
    <t>GUY</t>
  </si>
  <si>
    <t>HND</t>
  </si>
  <si>
    <t>HTI</t>
  </si>
  <si>
    <t>JAM</t>
  </si>
  <si>
    <t>KNA</t>
  </si>
  <si>
    <t>LCA</t>
  </si>
  <si>
    <t>MAF</t>
  </si>
  <si>
    <t>MEX</t>
  </si>
  <si>
    <t>MSR</t>
  </si>
  <si>
    <t>MTQ</t>
  </si>
  <si>
    <t>NIC</t>
  </si>
  <si>
    <t>PAN</t>
  </si>
  <si>
    <t>PER</t>
  </si>
  <si>
    <t>PRI</t>
  </si>
  <si>
    <t>PRY</t>
  </si>
  <si>
    <t>SGS</t>
  </si>
  <si>
    <t>SLV</t>
  </si>
  <si>
    <t>SUR</t>
  </si>
  <si>
    <t>SXM</t>
  </si>
  <si>
    <t>TCA</t>
  </si>
  <si>
    <t>TTO</t>
  </si>
  <si>
    <t>URY</t>
  </si>
  <si>
    <t>VCT</t>
  </si>
  <si>
    <t>VEN</t>
  </si>
  <si>
    <t>VGB</t>
  </si>
  <si>
    <t>VIR</t>
  </si>
  <si>
    <t>ARE</t>
  </si>
  <si>
    <t>BHR</t>
  </si>
  <si>
    <t>DZA</t>
  </si>
  <si>
    <t>EGY</t>
  </si>
  <si>
    <t>ESH</t>
  </si>
  <si>
    <t>IRN</t>
  </si>
  <si>
    <t>IRQ</t>
  </si>
  <si>
    <t>ISR</t>
  </si>
  <si>
    <t>JOR</t>
  </si>
  <si>
    <t>KWT</t>
  </si>
  <si>
    <t>LBN</t>
  </si>
  <si>
    <t>LBY</t>
  </si>
  <si>
    <t>MAR</t>
  </si>
  <si>
    <t>OMN</t>
  </si>
  <si>
    <t>PSE</t>
  </si>
  <si>
    <t>QAT</t>
  </si>
  <si>
    <t>SAU</t>
  </si>
  <si>
    <t>SDN</t>
  </si>
  <si>
    <t>SYR</t>
  </si>
  <si>
    <t>TUN</t>
  </si>
  <si>
    <t>YEM</t>
  </si>
  <si>
    <t>ALB</t>
  </si>
  <si>
    <t>AND</t>
  </si>
  <si>
    <t>BIH</t>
  </si>
  <si>
    <t>CHE</t>
  </si>
  <si>
    <t>GRL</t>
  </si>
  <si>
    <t>ISL</t>
  </si>
  <si>
    <t>LIE</t>
  </si>
  <si>
    <t>MCO</t>
  </si>
  <si>
    <t>MKD</t>
  </si>
  <si>
    <t>MNE</t>
  </si>
  <si>
    <t>NOR</t>
  </si>
  <si>
    <t>SJM</t>
  </si>
  <si>
    <t>SMR</t>
  </si>
  <si>
    <t>SRB</t>
  </si>
  <si>
    <t>TUR</t>
  </si>
  <si>
    <t>VAT</t>
  </si>
  <si>
    <t>AFG</t>
  </si>
  <si>
    <t>ASM</t>
  </si>
  <si>
    <t>ATF</t>
  </si>
  <si>
    <t>BGD</t>
  </si>
  <si>
    <t>BRN</t>
  </si>
  <si>
    <t>BTN</t>
  </si>
  <si>
    <t>CCK</t>
  </si>
  <si>
    <t>COK</t>
  </si>
  <si>
    <t>CXR</t>
  </si>
  <si>
    <t>FJI</t>
  </si>
  <si>
    <t>FSM</t>
  </si>
  <si>
    <t>GUM</t>
  </si>
  <si>
    <t>IDN</t>
  </si>
  <si>
    <t>IOT</t>
  </si>
  <si>
    <t>KHM</t>
  </si>
  <si>
    <t>KIR</t>
  </si>
  <si>
    <t>KOR</t>
  </si>
  <si>
    <t>LAO</t>
  </si>
  <si>
    <t>LKA</t>
  </si>
  <si>
    <t>MDV</t>
  </si>
  <si>
    <t>MHL</t>
  </si>
  <si>
    <t>MMR</t>
  </si>
  <si>
    <t>MNG</t>
  </si>
  <si>
    <t>MNP</t>
  </si>
  <si>
    <t>MYS</t>
  </si>
  <si>
    <t>NCL</t>
  </si>
  <si>
    <t>NFK</t>
  </si>
  <si>
    <t>NIU</t>
  </si>
  <si>
    <t>NPL</t>
  </si>
  <si>
    <t>NRU</t>
  </si>
  <si>
    <t>PAK</t>
  </si>
  <si>
    <t>PCN</t>
  </si>
  <si>
    <t>PHL</t>
  </si>
  <si>
    <t>PLW</t>
  </si>
  <si>
    <t>PNG</t>
  </si>
  <si>
    <t>PRK</t>
  </si>
  <si>
    <t>PYF</t>
  </si>
  <si>
    <t>SGP</t>
  </si>
  <si>
    <t>SLB</t>
  </si>
  <si>
    <t>THA</t>
  </si>
  <si>
    <t>TKL</t>
  </si>
  <si>
    <t>TLS</t>
  </si>
  <si>
    <t>TON</t>
  </si>
  <si>
    <t>TUV</t>
  </si>
  <si>
    <t>UMI</t>
  </si>
  <si>
    <t>VNM</t>
  </si>
  <si>
    <t>VUT</t>
  </si>
  <si>
    <t>WLF</t>
  </si>
  <si>
    <t>WSM</t>
  </si>
  <si>
    <t>ARM</t>
  </si>
  <si>
    <t>AZE</t>
  </si>
  <si>
    <t>BLR</t>
  </si>
  <si>
    <t>GEO</t>
  </si>
  <si>
    <t>KAZ</t>
  </si>
  <si>
    <t>KGZ</t>
  </si>
  <si>
    <t>MDA</t>
  </si>
  <si>
    <t>RUS</t>
  </si>
  <si>
    <t>TJK</t>
  </si>
  <si>
    <t>TKM</t>
  </si>
  <si>
    <t>UKR</t>
  </si>
  <si>
    <t>UZB</t>
  </si>
  <si>
    <t>AGO</t>
  </si>
  <si>
    <t>BDI</t>
  </si>
  <si>
    <t>BEN</t>
  </si>
  <si>
    <t>BFA</t>
  </si>
  <si>
    <t>BWA</t>
  </si>
  <si>
    <t>CAF</t>
  </si>
  <si>
    <t>CIV</t>
  </si>
  <si>
    <t>CMR</t>
  </si>
  <si>
    <t>COD</t>
  </si>
  <si>
    <t>COG</t>
  </si>
  <si>
    <t>COM</t>
  </si>
  <si>
    <t>CPV</t>
  </si>
  <si>
    <t>DJI</t>
  </si>
  <si>
    <t>ERI</t>
  </si>
  <si>
    <t>ETH</t>
  </si>
  <si>
    <t>GAB</t>
  </si>
  <si>
    <t>GHA</t>
  </si>
  <si>
    <t>GIN</t>
  </si>
  <si>
    <t>GMB</t>
  </si>
  <si>
    <t>GNB</t>
  </si>
  <si>
    <t>GNQ</t>
  </si>
  <si>
    <t>KEN</t>
  </si>
  <si>
    <t>LBR</t>
  </si>
  <si>
    <t>LSO</t>
  </si>
  <si>
    <t>MDG</t>
  </si>
  <si>
    <t>MLI</t>
  </si>
  <si>
    <t>MOZ</t>
  </si>
  <si>
    <t>MRT</t>
  </si>
  <si>
    <t>MUS</t>
  </si>
  <si>
    <t>MWI</t>
  </si>
  <si>
    <t>MYT</t>
  </si>
  <si>
    <t>NAM</t>
  </si>
  <si>
    <t>NER</t>
  </si>
  <si>
    <t>NGA</t>
  </si>
  <si>
    <t>REU</t>
  </si>
  <si>
    <t>RWA</t>
  </si>
  <si>
    <t>SEN</t>
  </si>
  <si>
    <t>SHN</t>
  </si>
  <si>
    <t>SLE</t>
  </si>
  <si>
    <t>SOM</t>
  </si>
  <si>
    <t>SSD</t>
  </si>
  <si>
    <t>STP</t>
  </si>
  <si>
    <t>SWZ</t>
  </si>
  <si>
    <t>SYC</t>
  </si>
  <si>
    <t>TCD</t>
  </si>
  <si>
    <t>TGO</t>
  </si>
  <si>
    <t>TZA</t>
  </si>
  <si>
    <t>UGA</t>
  </si>
  <si>
    <t>ZAF</t>
  </si>
  <si>
    <t>ZMB</t>
  </si>
  <si>
    <t>ZWE</t>
  </si>
  <si>
    <t>Total landfill</t>
  </si>
  <si>
    <t>Extra-regional trade rate</t>
  </si>
  <si>
    <t>Trade is not considered in the global analaysis.</t>
  </si>
  <si>
    <t>(5516,1627)</t>
  </si>
  <si>
    <t>(5616,1627)</t>
  </si>
  <si>
    <t>(5916,1627)</t>
  </si>
  <si>
    <t>(5516,1628)</t>
  </si>
  <si>
    <t>(5616,1628)</t>
  </si>
  <si>
    <t>(5916,1628)</t>
  </si>
  <si>
    <t>(5616,1651)</t>
  </si>
  <si>
    <t>(5916,1651)</t>
  </si>
  <si>
    <t>(5616,1657)</t>
  </si>
  <si>
    <t>(5916,1657)</t>
  </si>
  <si>
    <t>(5616,1670)</t>
  </si>
  <si>
    <t>(5916,1670)</t>
  </si>
  <si>
    <t>(5516,1601)</t>
  </si>
  <si>
    <t>(5516,1604)</t>
  </si>
  <si>
    <t>(5516,1602)</t>
  </si>
  <si>
    <t>(5516,1603)</t>
  </si>
  <si>
    <t>(5516,1623)</t>
  </si>
  <si>
    <t>(5516,1626)</t>
  </si>
  <si>
    <t>(5510,1630)</t>
  </si>
  <si>
    <t>(5510,1694)</t>
  </si>
  <si>
    <t>(5610,1630)</t>
  </si>
  <si>
    <t>(5610,1694)</t>
  </si>
  <si>
    <t>(5910,1630)</t>
  </si>
  <si>
    <t>(5910,1694)</t>
  </si>
  <si>
    <t>(5516,1619)</t>
  </si>
  <si>
    <t>(5616,1619)</t>
  </si>
  <si>
    <t>(5916,1619)</t>
  </si>
  <si>
    <t>(5516,1620)</t>
  </si>
  <si>
    <t>(5616,1620)</t>
  </si>
  <si>
    <t>(5916,1620)</t>
  </si>
  <si>
    <t>(5510,1600)</t>
  </si>
  <si>
    <t>(5610,1600)</t>
  </si>
  <si>
    <t>(5910,1600)</t>
  </si>
  <si>
    <t>(5510,1693)</t>
  </si>
  <si>
    <t>(5610,1693)</t>
  </si>
  <si>
    <t>(5910,1693)</t>
  </si>
  <si>
    <t>(5516,1632)</t>
  </si>
  <si>
    <t>(5616,1632)</t>
  </si>
  <si>
    <t>(5916,1632)</t>
  </si>
  <si>
    <t>(5516,1633)</t>
  </si>
  <si>
    <t>(5616,1633)</t>
  </si>
  <si>
    <t>(5916,1633)</t>
  </si>
  <si>
    <t>(5516,1634)</t>
  </si>
  <si>
    <t>(5616,1634)</t>
  </si>
  <si>
    <t>(5916,1634)</t>
  </si>
  <si>
    <t>(5516,1640)</t>
  </si>
  <si>
    <t>(5616,1640)</t>
  </si>
  <si>
    <t>(5916,1640)</t>
  </si>
  <si>
    <t>(5516,1697)</t>
  </si>
  <si>
    <t>(5616,1697)</t>
  </si>
  <si>
    <t>(5916,1697)</t>
  </si>
  <si>
    <t>(5516,1606)</t>
  </si>
  <si>
    <t>(5616,1606)</t>
  </si>
  <si>
    <t>(5916,1606)</t>
  </si>
  <si>
    <t>(5516,1647)</t>
  </si>
  <si>
    <t>(5616,1647)</t>
  </si>
  <si>
    <t>(5916,1647)</t>
  </si>
  <si>
    <t>(5516,1648)</t>
  </si>
  <si>
    <t>(5616,1648)</t>
  </si>
  <si>
    <t>(5916,1648)</t>
  </si>
  <si>
    <t>(5516,1650)</t>
  </si>
  <si>
    <t>(5616,1650)</t>
  </si>
  <si>
    <t>(5916,1650)</t>
  </si>
  <si>
    <t>(5510,1685)</t>
  </si>
  <si>
    <t>(5610,1685)</t>
  </si>
  <si>
    <t>(5910,1685)</t>
  </si>
  <si>
    <t>(5510,1656)</t>
  </si>
  <si>
    <t>(5610,1656)</t>
  </si>
  <si>
    <t>(5910,1656)</t>
  </si>
  <si>
    <t>(5510,1667)</t>
  </si>
  <si>
    <t>(5610,1667)</t>
  </si>
  <si>
    <t>(5910,1667)</t>
  </si>
  <si>
    <t>(5510,1668)</t>
  </si>
  <si>
    <t>(5610,1668)</t>
  </si>
  <si>
    <t>(5910,1668)</t>
  </si>
  <si>
    <t>(5510,1609)</t>
  </si>
  <si>
    <t>(5610,1609)</t>
  </si>
  <si>
    <t>(5910,1609)</t>
  </si>
  <si>
    <t>(5510,1669)</t>
  </si>
  <si>
    <t>(5610,1669)</t>
  </si>
  <si>
    <t>(5910,1669)</t>
  </si>
  <si>
    <t>(5510,1671)</t>
  </si>
  <si>
    <t>(5610,1671)</t>
  </si>
  <si>
    <t>(5910,1671)</t>
  </si>
  <si>
    <t>(5510,1674)</t>
  </si>
  <si>
    <t>(5610,1674)</t>
  </si>
  <si>
    <t>(5910,1674)</t>
  </si>
  <si>
    <t>(5510,1676)</t>
  </si>
  <si>
    <t>(5610,1676)</t>
  </si>
  <si>
    <t>(5910,1676)</t>
  </si>
  <si>
    <t>(5510,1617)</t>
  </si>
  <si>
    <t>(5610,1617)</t>
  </si>
  <si>
    <t>(5910,1617)</t>
  </si>
  <si>
    <t>(5510,1618)</t>
  </si>
  <si>
    <t>(5610,1618)</t>
  </si>
  <si>
    <t>(5910,1618)</t>
  </si>
  <si>
    <t>(5510,1621)</t>
  </si>
  <si>
    <t>(5610,1621)</t>
  </si>
  <si>
    <t>(5910,1621)</t>
  </si>
  <si>
    <t>(5510,1622)</t>
  </si>
  <si>
    <t>(5610,1622)</t>
  </si>
  <si>
    <t>(5910,1622)</t>
  </si>
  <si>
    <t>(5510,1683)</t>
  </si>
  <si>
    <t>(5610,1683)</t>
  </si>
  <si>
    <t>(5910,1683)</t>
  </si>
  <si>
    <t>X</t>
  </si>
  <si>
    <t>Figure from international organizations</t>
  </si>
  <si>
    <t>India</t>
  </si>
  <si>
    <t>I</t>
  </si>
  <si>
    <t>Imputed value</t>
  </si>
  <si>
    <t>T</t>
  </si>
  <si>
    <t>Unofficial figure</t>
  </si>
  <si>
    <t>Japan</t>
  </si>
  <si>
    <t>United States of America</t>
  </si>
  <si>
    <t>Illegal wood rate - softwood</t>
  </si>
  <si>
    <t>Illegal wood rate - hardwood</t>
  </si>
  <si>
    <t>Title:</t>
  </si>
  <si>
    <t>Input dataset</t>
  </si>
  <si>
    <t xml:space="preserve">Description: </t>
  </si>
  <si>
    <t>This spreadsheet contains the input dataset for Bayesian material flow analysis (BaMFA).</t>
  </si>
  <si>
    <t>Region:</t>
  </si>
  <si>
    <t>Contents of this supporting data file (see worksheets for descriptions):</t>
  </si>
  <si>
    <t>No</t>
  </si>
  <si>
    <t>Sheet</t>
  </si>
  <si>
    <t>Title</t>
  </si>
  <si>
    <t>Description</t>
  </si>
  <si>
    <t>content</t>
  </si>
  <si>
    <t>Contents</t>
  </si>
  <si>
    <t>Content of the spreadsheet.</t>
  </si>
  <si>
    <t>conversion-factors</t>
  </si>
  <si>
    <t>Unit conversion factors</t>
  </si>
  <si>
    <t>Unit conversion factors for wood-based products.</t>
  </si>
  <si>
    <t>production-mass-balance</t>
  </si>
  <si>
    <t>Production mass balance for wood-based products.</t>
  </si>
  <si>
    <t>waste</t>
  </si>
  <si>
    <t>Wood waste and MSW waste treatment</t>
  </si>
  <si>
    <t>Wood waste amount and MSW (Municipal solid waste) waste treatment methods' proportions in the region.</t>
  </si>
  <si>
    <t>supporting-percentages</t>
  </si>
  <si>
    <t>Supporting percentages to calculate some flows to create a complete material flow analysis.</t>
  </si>
  <si>
    <t>faostat-data</t>
  </si>
  <si>
    <t>Faostat data</t>
  </si>
  <si>
    <t>Production, import and export data for wood-based products by FAOSTAT.</t>
  </si>
  <si>
    <t>woodstock</t>
  </si>
  <si>
    <t>Changes in stocks for wood cycle</t>
  </si>
  <si>
    <t>Complete data table for 'changes in stocks' variables, including references and data classification.</t>
  </si>
  <si>
    <t>woodflow</t>
  </si>
  <si>
    <t>Flows for wood cycle</t>
  </si>
  <si>
    <t>Complete data table for 'flows' variables, including references and data classification.</t>
  </si>
  <si>
    <t>woodratio</t>
  </si>
  <si>
    <t>Transfer coefficients for wood cycle</t>
  </si>
  <si>
    <t>Complete data table for 'ratio' variables, including references.</t>
  </si>
  <si>
    <t>changesinstocks-input</t>
  </si>
  <si>
    <t>BaMFA input - changesinstocks</t>
  </si>
  <si>
    <t>flows-input</t>
  </si>
  <si>
    <t>BaMFA input - flows</t>
  </si>
  <si>
    <t>ratios-input</t>
  </si>
  <si>
    <t>BaMFA input - ratios</t>
  </si>
  <si>
    <t>Wood fuel, softwood (coniferous)</t>
  </si>
  <si>
    <t>Wood fuel, hardwood (non-coniferous)</t>
  </si>
  <si>
    <t>Industrial roundwood, softwood (coniferous)</t>
  </si>
  <si>
    <t>Industrial roundwood, hardwood (non-coniferous)</t>
  </si>
  <si>
    <t>Sawlogs and veneer logs, softwood (coniferous)</t>
  </si>
  <si>
    <t>Sawlogs and veneer logs, hardwood (non-coniferous)</t>
  </si>
  <si>
    <t>Pulpwood, round and split, softwood (coniferous)</t>
  </si>
  <si>
    <t>Pulpwood, round and split, hardwood (non-coniferous)</t>
  </si>
  <si>
    <t>Other industrial roundwood, softwood (coniferous)</t>
  </si>
  <si>
    <t>Other industrial roundwood, hardwood (non-coniferous)</t>
  </si>
  <si>
    <t>Sawnwood, softwood (coniferous)</t>
  </si>
  <si>
    <t>Sawnwood, hardwood (non-coniferous all)</t>
  </si>
  <si>
    <t>Average wood fuel density for this region.</t>
  </si>
  <si>
    <t>Calculation based on conversion factor and wood fuel density.</t>
  </si>
  <si>
    <t>Wood residues is considered to be producted from pulpwood.</t>
  </si>
  <si>
    <t>Sawnwood, non-coniferous production</t>
  </si>
  <si>
    <t>Wood waste amount (mt)</t>
  </si>
  <si>
    <t>MSW (Municipal solid waste) treatment percentages</t>
  </si>
  <si>
    <t>These data are produced from World Bank waste databese (See 'waste-all' excel file)</t>
  </si>
  <si>
    <t>Estimation based on the reference and waste treatment data from World Bank.</t>
  </si>
  <si>
    <t>World Bank database waste information is adjusted according to the reference.</t>
  </si>
  <si>
    <t>World Bank database waste information is adjusted according to FAOSTAT recovered paper quantity and production.</t>
  </si>
  <si>
    <t>Fraction of incineration type</t>
  </si>
  <si>
    <t>Recycled e-o-l wood products</t>
  </si>
  <si>
    <t>Recycled e-o-l paper and paperboard products</t>
  </si>
  <si>
    <t>Value (odmt)</t>
  </si>
  <si>
    <t>Value (Modmt)</t>
  </si>
  <si>
    <t>regions-conversion-factors</t>
  </si>
  <si>
    <t>Regions conversion factors</t>
  </si>
  <si>
    <t>quantity-input (Modmt)</t>
  </si>
  <si>
    <t>sources-roundwood</t>
  </si>
  <si>
    <t>src-legal-sources-softwood</t>
  </si>
  <si>
    <t>src-legal-sources-hardwood</t>
  </si>
  <si>
    <t>src-illegal-sources</t>
  </si>
  <si>
    <t>sources-cork</t>
  </si>
  <si>
    <t>wt-recycling-wood-products</t>
  </si>
  <si>
    <t>wt-recycling-paper</t>
  </si>
  <si>
    <t>Weighted average is calculated using all regions' production amount and their conversion factors.</t>
  </si>
  <si>
    <t>Includes all regions' production quantities and unit conversion factors to calculate global conversion factor (weighted average of all regions).</t>
  </si>
  <si>
    <t>Prior</t>
  </si>
  <si>
    <t>Observed</t>
  </si>
  <si>
    <t>changesinstocks-prior-input</t>
  </si>
  <si>
    <t>BaMFA input - changesinstocks-prior</t>
  </si>
  <si>
    <t>flows-prior-input</t>
  </si>
  <si>
    <t>BaMFA input - flows-prior</t>
  </si>
  <si>
    <t>Wood product and activity</t>
  </si>
  <si>
    <t>Input name</t>
  </si>
  <si>
    <t>Sources, roundwood</t>
  </si>
  <si>
    <t xml:space="preserve">Legal sources, softwood </t>
  </si>
  <si>
    <t xml:space="preserve">Legal sources, hardwood </t>
  </si>
  <si>
    <t>Illegal sources</t>
  </si>
  <si>
    <t>Sources, cork</t>
  </si>
  <si>
    <t>Harvesting, roundwood</t>
  </si>
  <si>
    <t>Harvesting, wood fuel</t>
  </si>
  <si>
    <t>Harvesting, industrial roundwood, hardwood</t>
  </si>
  <si>
    <t>Harvesting, industrial roundwood, softwood</t>
  </si>
  <si>
    <t>Harvesting, sawlogs and veneer logs</t>
  </si>
  <si>
    <t>Harvesting, sawlogs and veneer logs, softwood</t>
  </si>
  <si>
    <t>Harvesting, sawlogs and veneer logs, hardwood</t>
  </si>
  <si>
    <t>Harvesting, pulpwood round and split and wood for wood-based panels</t>
  </si>
  <si>
    <t>Harvesting, pulpwood round and split and wood for wood-based panels, softwood</t>
  </si>
  <si>
    <t>Harvesting, pulpwood round and split and wood for wood-based panels, hardwood</t>
  </si>
  <si>
    <t>Harvesting, other industrial roundwood</t>
  </si>
  <si>
    <t>Harvesting, other industrial roundwood, softwood</t>
  </si>
  <si>
    <t>Harvesting, other industrial roundwood, hardwood</t>
  </si>
  <si>
    <t>Harvesting, cork</t>
  </si>
  <si>
    <t>Simply worked or processed wood products</t>
  </si>
  <si>
    <t>Other simply worked or processed wood products</t>
  </si>
  <si>
    <t>Wood chips and particles, general</t>
  </si>
  <si>
    <t>Sawnwood, softwood</t>
  </si>
  <si>
    <t xml:space="preserve">Sawnwood, hardwood </t>
  </si>
  <si>
    <t>Veneer sheet</t>
  </si>
  <si>
    <t>Oriented strand board (OSB)</t>
  </si>
  <si>
    <t>Fibreboard</t>
  </si>
  <si>
    <t>Fibreboard, hardboard</t>
  </si>
  <si>
    <t>Fibreboard, MDF-HDF</t>
  </si>
  <si>
    <t>Fibreboard, other</t>
  </si>
  <si>
    <t>Wood pulp</t>
  </si>
  <si>
    <t>Non-fibrous pulp</t>
  </si>
  <si>
    <t>Printing and writing paper</t>
  </si>
  <si>
    <t>Sanitary and household paper</t>
  </si>
  <si>
    <t>Packaging materials</t>
  </si>
  <si>
    <t>Secondary wood production</t>
  </si>
  <si>
    <t>Further-processed sawnwood</t>
  </si>
  <si>
    <t>Wooden wrapping and packaging materials</t>
  </si>
  <si>
    <t>Construction timber</t>
  </si>
  <si>
    <t>Other construction timber products</t>
  </si>
  <si>
    <t>Wooden furniture</t>
  </si>
  <si>
    <t>Other manufactured wood products</t>
  </si>
  <si>
    <t>Use</t>
  </si>
  <si>
    <t>Bioenergy use</t>
  </si>
  <si>
    <t>Paper and paperboard use</t>
  </si>
  <si>
    <t>Packaging use</t>
  </si>
  <si>
    <t>Construction use</t>
  </si>
  <si>
    <t>Furniture use</t>
  </si>
  <si>
    <t>Chemical use</t>
  </si>
  <si>
    <t>Other use</t>
  </si>
  <si>
    <t>Production waste</t>
  </si>
  <si>
    <t>Production wood chips and particles waste</t>
  </si>
  <si>
    <t>Production sanding and sawdust waste</t>
  </si>
  <si>
    <t>Production bark waste</t>
  </si>
  <si>
    <t>Production pulp waste</t>
  </si>
  <si>
    <t>Production paper and paperboard waste</t>
  </si>
  <si>
    <t>End-of-life wood waste</t>
  </si>
  <si>
    <t>End-of-life paper and paperboard waste</t>
  </si>
  <si>
    <t>Recycling, wood</t>
  </si>
  <si>
    <t>Recycling, paper and paperboard</t>
  </si>
  <si>
    <t>Import</t>
  </si>
  <si>
    <t>Export</t>
  </si>
  <si>
    <t>Wood product and activity classification</t>
  </si>
  <si>
    <t>Complete wood product and activity classification and their input names in the BaMFA.</t>
  </si>
  <si>
    <t>Harvesting, wood fuel, softwood</t>
  </si>
  <si>
    <t>Harvesting, wood fuel, hardwood</t>
  </si>
  <si>
    <t>woodclass</t>
  </si>
  <si>
    <t>End-of-life waste</t>
  </si>
  <si>
    <t>Estimation based on the reference and regional estimation of illegal harvesting.</t>
  </si>
  <si>
    <t>Estimation based on the reference explanations.</t>
  </si>
  <si>
    <t>https://www.fao.org/3/cb8216en/cb8216en.pdf</t>
  </si>
  <si>
    <t>BaMFA input data table for 'changesinstocks'. Input units of global analysis are 'odmt·(10^-7)' due to the computational time of the BaMFA. Results are presented as 'Modmt' in the Sankey diagram.</t>
  </si>
  <si>
    <t>BaMFA input data table for 'changesinstocks-prior'. Input units of global analysis are 'odmt·(10^-7)' due to the computational time of the BaMFA. Results are presented as 'Modmt' in the Sankey diagram.</t>
  </si>
  <si>
    <t>BaMFA input data table for 'flows' . Input units of global analysis are 'odmt·(10^-7)' due to the computational time of the BaMFA. Results are presented as 'Modmt' in the Sankey diagram.</t>
  </si>
  <si>
    <t>BaMFA input data table for 'flows-prior'. Input units of global analysis are 'odmt·(10^-7)' due to the computational time of the BaMFA. Results are presented as 'Modmt' in the Sankey diagram.</t>
  </si>
  <si>
    <t>BaMFA input data table for 'ratio'. Input units of global analysis are 'odmt·(10^-7)' due to the computational time of the BaMFA. Results are presented as 'Modmt' in the Sankey diagram.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</si>
</sst>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"/>
    <numFmt numFmtId="165" formatCode="0.0%"/>
    <numFmt numFmtId="166" formatCode="#,##0.000000000"/>
    <numFmt numFmtId="167" formatCode="0.0000"/>
    <numFmt numFmtId="168" formatCode="0.000000"/>
    <numFmt numFmtId="169" formatCode="0.00000000000000%"/>
    <numFmt numFmtId="170" formatCode="0.0000000000000000%"/>
    <numFmt numFmtId="171" formatCode="0.000000000000000%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179">
    <xf numFmtId="0" fontId="0" fillId="0" borderId="0" xfId="0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0" fontId="4" fillId="0" borderId="0" xfId="0" applyFont="1" applyAlignment="1">
      <alignment horizontal="left"/>
    </xf>
    <xf numFmtId="165" fontId="3" fillId="0" borderId="0" xfId="2" applyNumberFormat="1" applyFont="1" applyFill="1" applyBorder="1"/>
    <xf numFmtId="166" fontId="3" fillId="0" borderId="0" xfId="0" applyNumberFormat="1" applyFont="1"/>
    <xf numFmtId="167" fontId="3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7" fillId="0" borderId="4" xfId="3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" fontId="3" fillId="0" borderId="0" xfId="0" applyNumberFormat="1" applyFont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3" fillId="0" borderId="3" xfId="0" applyFont="1" applyBorder="1"/>
    <xf numFmtId="0" fontId="3" fillId="0" borderId="5" xfId="0" applyFont="1" applyBorder="1"/>
    <xf numFmtId="165" fontId="3" fillId="0" borderId="2" xfId="2" applyNumberFormat="1" applyFont="1" applyFill="1" applyBorder="1"/>
    <xf numFmtId="0" fontId="3" fillId="0" borderId="4" xfId="0" applyFont="1" applyBorder="1"/>
    <xf numFmtId="165" fontId="3" fillId="0" borderId="1" xfId="2" applyNumberFormat="1" applyFont="1" applyFill="1" applyBorder="1"/>
    <xf numFmtId="0" fontId="3" fillId="0" borderId="6" xfId="0" applyFont="1" applyBorder="1"/>
    <xf numFmtId="0" fontId="4" fillId="0" borderId="2" xfId="0" applyFont="1" applyBorder="1"/>
    <xf numFmtId="0" fontId="4" fillId="0" borderId="8" xfId="0" applyFont="1" applyBorder="1"/>
    <xf numFmtId="165" fontId="4" fillId="0" borderId="2" xfId="2" applyNumberFormat="1" applyFont="1" applyFill="1" applyBorder="1"/>
    <xf numFmtId="0" fontId="7" fillId="0" borderId="4" xfId="3" applyBorder="1"/>
    <xf numFmtId="1" fontId="0" fillId="0" borderId="0" xfId="0" applyNumberFormat="1" applyAlignment="1">
      <alignment horizontal="left"/>
    </xf>
    <xf numFmtId="168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3" fillId="0" borderId="5" xfId="0" applyFont="1" applyBorder="1" applyAlignment="1">
      <alignment vertical="top"/>
    </xf>
    <xf numFmtId="165" fontId="3" fillId="0" borderId="1" xfId="2" applyNumberFormat="1" applyFont="1" applyFill="1" applyBorder="1" applyAlignment="1">
      <alignment vertical="top"/>
    </xf>
    <xf numFmtId="168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9" fontId="3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164" fontId="3" fillId="0" borderId="0" xfId="0" applyNumberFormat="1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164" fontId="3" fillId="0" borderId="2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4" xfId="3" applyFont="1" applyBorder="1" applyAlignment="1">
      <alignment horizontal="left" vertical="center"/>
    </xf>
    <xf numFmtId="0" fontId="8" fillId="0" borderId="4" xfId="3" applyFont="1" applyBorder="1"/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7" fillId="0" borderId="6" xfId="3" applyBorder="1"/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top"/>
    </xf>
    <xf numFmtId="165" fontId="3" fillId="0" borderId="0" xfId="2" applyNumberFormat="1" applyFont="1" applyFill="1" applyBorder="1" applyAlignment="1">
      <alignment vertical="top"/>
    </xf>
    <xf numFmtId="0" fontId="4" fillId="0" borderId="3" xfId="0" applyFont="1" applyBorder="1" applyAlignment="1">
      <alignment vertical="top"/>
    </xf>
    <xf numFmtId="165" fontId="3" fillId="0" borderId="0" xfId="0" applyNumberFormat="1" applyFont="1"/>
    <xf numFmtId="0" fontId="3" fillId="0" borderId="1" xfId="0" applyFont="1" applyBorder="1" applyAlignment="1">
      <alignment horizontal="left" vertical="top" wrapText="1"/>
    </xf>
    <xf numFmtId="0" fontId="8" fillId="0" borderId="6" xfId="3" applyFont="1" applyBorder="1"/>
    <xf numFmtId="1" fontId="3" fillId="0" borderId="1" xfId="0" applyNumberFormat="1" applyFont="1" applyBorder="1" applyAlignment="1">
      <alignment horizontal="left" vertical="center" wrapText="1"/>
    </xf>
    <xf numFmtId="4" fontId="3" fillId="2" borderId="0" xfId="0" applyNumberFormat="1" applyFont="1" applyFill="1"/>
    <xf numFmtId="0" fontId="3" fillId="0" borderId="9" xfId="0" applyFont="1" applyBorder="1" applyAlignment="1">
      <alignment vertical="top"/>
    </xf>
    <xf numFmtId="165" fontId="3" fillId="0" borderId="10" xfId="2" applyNumberFormat="1" applyFont="1" applyFill="1" applyBorder="1" applyAlignment="1">
      <alignment vertical="top"/>
    </xf>
    <xf numFmtId="0" fontId="3" fillId="0" borderId="10" xfId="0" applyFont="1" applyBorder="1" applyAlignment="1">
      <alignment horizontal="left" vertical="top" wrapText="1"/>
    </xf>
    <xf numFmtId="0" fontId="8" fillId="0" borderId="11" xfId="3" applyFont="1" applyBorder="1"/>
    <xf numFmtId="0" fontId="3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top"/>
    </xf>
    <xf numFmtId="165" fontId="3" fillId="0" borderId="2" xfId="2" applyNumberFormat="1" applyFont="1" applyFill="1" applyBorder="1" applyAlignment="1">
      <alignment vertical="top"/>
    </xf>
    <xf numFmtId="0" fontId="3" fillId="0" borderId="2" xfId="0" applyFont="1" applyBorder="1" applyAlignment="1">
      <alignment horizontal="left" vertical="top" wrapText="1"/>
    </xf>
    <xf numFmtId="0" fontId="8" fillId="0" borderId="8" xfId="3" applyFont="1" applyBorder="1"/>
    <xf numFmtId="10" fontId="3" fillId="0" borderId="1" xfId="2" applyNumberFormat="1" applyFont="1" applyFill="1" applyBorder="1"/>
    <xf numFmtId="10" fontId="3" fillId="0" borderId="0" xfId="2" applyNumberFormat="1" applyFont="1" applyFill="1" applyBorder="1"/>
    <xf numFmtId="0" fontId="3" fillId="0" borderId="9" xfId="0" applyFont="1" applyBorder="1"/>
    <xf numFmtId="0" fontId="4" fillId="0" borderId="0" xfId="0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 wrapText="1"/>
    </xf>
    <xf numFmtId="165" fontId="3" fillId="0" borderId="1" xfId="2" applyNumberFormat="1" applyFont="1" applyBorder="1" applyAlignment="1">
      <alignment horizontal="left"/>
    </xf>
    <xf numFmtId="0" fontId="4" fillId="0" borderId="7" xfId="0" applyFont="1" applyBorder="1" applyAlignment="1">
      <alignment vertical="center" wrapText="1"/>
    </xf>
    <xf numFmtId="0" fontId="9" fillId="0" borderId="4" xfId="3" applyFont="1" applyBorder="1" applyAlignment="1">
      <alignment horizontal="left" vertical="center"/>
    </xf>
    <xf numFmtId="0" fontId="9" fillId="0" borderId="6" xfId="3" applyFont="1" applyBorder="1" applyAlignment="1">
      <alignment horizontal="left" vertical="center"/>
    </xf>
    <xf numFmtId="170" fontId="3" fillId="0" borderId="0" xfId="0" applyNumberFormat="1" applyFont="1"/>
    <xf numFmtId="9" fontId="3" fillId="0" borderId="0" xfId="2" applyFont="1"/>
    <xf numFmtId="0" fontId="3" fillId="0" borderId="2" xfId="0" applyFont="1" applyBorder="1"/>
    <xf numFmtId="0" fontId="3" fillId="0" borderId="8" xfId="0" applyFont="1" applyBorder="1"/>
    <xf numFmtId="171" fontId="8" fillId="0" borderId="4" xfId="3" applyNumberFormat="1" applyFont="1" applyBorder="1"/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3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2" fontId="4" fillId="0" borderId="0" xfId="0" applyNumberFormat="1" applyFont="1" applyAlignment="1">
      <alignment horizontal="left" vertical="center" wrapText="1"/>
    </xf>
    <xf numFmtId="4" fontId="3" fillId="0" borderId="0" xfId="2" applyNumberFormat="1" applyFont="1" applyBorder="1" applyAlignment="1">
      <alignment horizontal="right"/>
    </xf>
    <xf numFmtId="165" fontId="3" fillId="0" borderId="0" xfId="2" applyNumberFormat="1" applyFont="1" applyBorder="1" applyAlignment="1">
      <alignment horizontal="left"/>
    </xf>
    <xf numFmtId="4" fontId="3" fillId="0" borderId="6" xfId="2" applyNumberFormat="1" applyFont="1" applyBorder="1" applyAlignment="1">
      <alignment horizontal="right"/>
    </xf>
    <xf numFmtId="0" fontId="4" fillId="0" borderId="5" xfId="0" applyFont="1" applyBorder="1" applyAlignment="1">
      <alignment vertical="center" wrapText="1"/>
    </xf>
    <xf numFmtId="2" fontId="10" fillId="0" borderId="3" xfId="0" applyNumberFormat="1" applyFont="1" applyBorder="1"/>
    <xf numFmtId="2" fontId="10" fillId="0" borderId="5" xfId="0" applyNumberFormat="1" applyFont="1" applyBorder="1"/>
    <xf numFmtId="165" fontId="0" fillId="0" borderId="1" xfId="2" applyNumberFormat="1" applyFont="1" applyBorder="1" applyAlignment="1">
      <alignment horizontal="left"/>
    </xf>
    <xf numFmtId="2" fontId="0" fillId="0" borderId="0" xfId="0" applyNumberFormat="1"/>
    <xf numFmtId="2" fontId="4" fillId="0" borderId="7" xfId="0" applyNumberFormat="1" applyFont="1" applyBorder="1" applyAlignment="1">
      <alignment horizontal="left" vertical="center" wrapText="1"/>
    </xf>
    <xf numFmtId="165" fontId="3" fillId="0" borderId="5" xfId="2" applyNumberFormat="1" applyFont="1" applyBorder="1" applyAlignment="1">
      <alignment horizontal="left"/>
    </xf>
    <xf numFmtId="165" fontId="3" fillId="0" borderId="3" xfId="2" applyNumberFormat="1" applyFont="1" applyBorder="1" applyAlignment="1">
      <alignment horizontal="left"/>
    </xf>
    <xf numFmtId="165" fontId="0" fillId="0" borderId="3" xfId="2" applyNumberFormat="1" applyFont="1" applyBorder="1" applyAlignment="1">
      <alignment horizontal="left"/>
    </xf>
    <xf numFmtId="165" fontId="0" fillId="0" borderId="5" xfId="2" applyNumberFormat="1" applyFont="1" applyBorder="1" applyAlignment="1">
      <alignment horizontal="left"/>
    </xf>
    <xf numFmtId="167" fontId="3" fillId="0" borderId="0" xfId="0" applyNumberFormat="1" applyFont="1" applyAlignment="1">
      <alignment horizontal="right"/>
    </xf>
    <xf numFmtId="9" fontId="3" fillId="0" borderId="0" xfId="2" applyFont="1" applyFill="1" applyBorder="1" applyAlignment="1">
      <alignment horizontal="right"/>
    </xf>
    <xf numFmtId="9" fontId="3" fillId="0" borderId="1" xfId="2" applyFont="1" applyFill="1" applyBorder="1" applyAlignment="1">
      <alignment horizontal="right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5" fontId="4" fillId="0" borderId="1" xfId="2" applyNumberFormat="1" applyFont="1" applyFill="1" applyBorder="1"/>
    <xf numFmtId="0" fontId="3" fillId="0" borderId="0" xfId="0" applyFont="1" applyAlignment="1">
      <alignment horizontal="center"/>
    </xf>
    <xf numFmtId="0" fontId="8" fillId="0" borderId="0" xfId="3" applyFont="1" applyBorder="1"/>
    <xf numFmtId="0" fontId="4" fillId="0" borderId="12" xfId="0" applyFont="1" applyBorder="1" applyAlignment="1">
      <alignment horizontal="left"/>
    </xf>
    <xf numFmtId="4" fontId="4" fillId="0" borderId="13" xfId="0" applyNumberFormat="1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0" fontId="4" fillId="0" borderId="14" xfId="0" applyFont="1" applyBorder="1"/>
    <xf numFmtId="165" fontId="3" fillId="0" borderId="15" xfId="2" applyNumberFormat="1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9" fontId="3" fillId="0" borderId="0" xfId="2" applyFont="1" applyBorder="1" applyAlignment="1">
      <alignment horizontal="left" vertical="center"/>
    </xf>
    <xf numFmtId="9" fontId="3" fillId="0" borderId="1" xfId="2" applyFont="1" applyBorder="1" applyAlignment="1">
      <alignment horizontal="left" vertical="center"/>
    </xf>
    <xf numFmtId="0" fontId="0" fillId="0" borderId="13" xfId="0" applyBorder="1"/>
    <xf numFmtId="0" fontId="0" fillId="0" borderId="13" xfId="0" applyBorder="1" applyAlignment="1">
      <alignment horizontal="left"/>
    </xf>
    <xf numFmtId="165" fontId="0" fillId="0" borderId="0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8" fillId="0" borderId="0" xfId="3" applyNumberFormat="1" applyFont="1" applyAlignment="1">
      <alignment horizontal="left"/>
    </xf>
    <xf numFmtId="49" fontId="8" fillId="0" borderId="0" xfId="3" applyNumberFormat="1" applyFont="1" applyFill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left" wrapText="1"/>
    </xf>
    <xf numFmtId="168" fontId="3" fillId="0" borderId="0" xfId="0" applyNumberFormat="1" applyFont="1"/>
    <xf numFmtId="49" fontId="11" fillId="0" borderId="0" xfId="3" applyNumberFormat="1" applyFont="1" applyAlignment="1">
      <alignment horizontal="left"/>
    </xf>
    <xf numFmtId="49" fontId="11" fillId="0" borderId="0" xfId="3" applyNumberFormat="1" applyFont="1" applyFill="1" applyAlignment="1">
      <alignment horizontal="left"/>
    </xf>
    <xf numFmtId="168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49" fontId="3" fillId="0" borderId="0" xfId="1" quotePrefix="1" applyNumberFormat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8" fillId="0" borderId="0" xfId="3" applyFont="1" applyAlignment="1">
      <alignment horizontal="left"/>
    </xf>
    <xf numFmtId="0" fontId="4" fillId="0" borderId="0" xfId="0" applyFont="1" applyAlignment="1">
      <alignment vertical="center"/>
    </xf>
    <xf numFmtId="0" fontId="12" fillId="0" borderId="0" xfId="0" applyFont="1"/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4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</cellXfs>
  <cellStyles count="4">
    <cellStyle name="Comma" xfId="1" builtinId="3"/>
    <cellStyle name="Hyperlink" xfId="3" builtinId="8" customBuiltin="1"/>
    <cellStyle name="Normal" xfId="0" builtinId="0"/>
    <cellStyle name="Percent" xfId="2" builtinId="5"/>
  </cellStyles>
  <dxfs count="110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DCB9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DCB9FF"/>
        </patternFill>
      </fill>
    </dxf>
    <dxf>
      <font>
        <strike val="0"/>
        <outline val="0"/>
        <shadow val="0"/>
        <vertAlign val="baseline"/>
        <sz val="10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4" formatCode="0.00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0.000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168" formatCode="0.0000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family val="2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2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#,##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#,##0.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0.0000"/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4" formatCode="#,##0.00"/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DCB9FF"/>
      <color rgb="FFDCADF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5" xr16:uid="{604F4F25-240F-420A-A1F3-1B8049C0578A}" autoFormatId="16" applyNumberFormats="0" applyBorderFormats="0" applyFontFormats="0" applyPatternFormats="0" applyAlignmentFormats="0" applyWidthHeightFormats="0">
  <queryTableRefresh nextId="16" unboundColumnsRight="4">
    <queryTableFields count="13">
      <queryTableField id="1" name="Process" tableColumnId="1"/>
      <queryTableField id="2" name="quantity" tableColumnId="2"/>
      <queryTableField id="15" dataBound="0" tableColumnId="14"/>
      <queryTableField id="3" name="time" tableColumnId="3"/>
      <queryTableField id="4" name="location" tableColumnId="4"/>
      <queryTableField id="5" name="massconserved" tableColumnId="5"/>
      <queryTableField id="6" name="Processnumber" tableColumnId="6"/>
      <queryTableField id="7" name="ParentProcess" tableColumnId="7"/>
      <queryTableField id="8" name="Subprocessnumbers" tableColumnId="8"/>
      <queryTableField id="14" dataBound="0" tableColumnId="13"/>
      <queryTableField id="10" dataBound="0" tableColumnId="9"/>
      <queryTableField id="12" dataBound="0" tableColumnId="11"/>
      <queryTableField id="13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0AED3F0B-5B42-4275-BB48-9B6CB7A45C2D}" autoFormatId="16" applyNumberFormats="0" applyBorderFormats="0" applyFontFormats="0" applyPatternFormats="0" applyAlignmentFormats="0" applyWidthHeightFormats="0">
  <queryTableRefresh nextId="34" unboundColumnsLeft="1" unboundColumnsRight="3">
    <queryTableFields count="17">
      <queryTableField id="13" dataBound="0" tableColumnId="14"/>
      <queryTableField id="1" name="From" tableColumnId="1"/>
      <queryTableField id="2" name="to" tableColumnId="2"/>
      <queryTableField id="22" dataBound="0" tableColumnId="18"/>
      <queryTableField id="32" dataBound="0" tableColumnId="19"/>
      <queryTableField id="4" name="time" tableColumnId="4"/>
      <queryTableField id="5" name="location" tableColumnId="5"/>
      <queryTableField id="6" name="Flownumberfrom" tableColumnId="6"/>
      <queryTableField id="7" name="Flownumberto" tableColumnId="7"/>
      <queryTableField id="8" name="ParentProcessFlowfrom" tableColumnId="8"/>
      <queryTableField id="9" name="ParentProcessFlowto" tableColumnId="9"/>
      <queryTableField id="10" name="Subprocessnumbersfrom" tableColumnId="10"/>
      <queryTableField id="11" name="Subprocessnumbersto" tableColumnId="11"/>
      <queryTableField id="3" name="quantity" tableColumnId="3"/>
      <queryTableField id="16" dataBound="0" tableColumnId="15"/>
      <queryTableField id="17" dataBound="0" tableColumnId="12"/>
      <queryTableField id="18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0738DA-9482-4B63-A6BC-4AF3209732C2}" autoFormatId="16" applyNumberFormats="0" applyBorderFormats="0" applyFontFormats="0" applyPatternFormats="0" applyAlignmentFormats="0" applyWidthHeightFormats="0">
  <queryTableRefresh nextId="16" unboundColumnsRight="2">
    <queryTableFields count="1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2" dataBound="0" tableColumnId="11"/>
      <queryTableField id="14" dataBound="0" tableColumnId="12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FABC33-AE7B-4DE1-ABDA-39718057AC1C}" name="Table3" displayName="Table3" ref="A1:R2081" totalsRowShown="0" headerRowDxfId="109" dataDxfId="108">
  <autoFilter ref="A1:R2081" xr:uid="{BDFABC33-AE7B-4DE1-ABDA-39718057AC1C}"/>
  <tableColumns count="18">
    <tableColumn id="1" xr3:uid="{0B96001A-9F66-4BE7-9F2D-C8F448BF054C}" name="Domain Code" dataDxfId="107"/>
    <tableColumn id="2" xr3:uid="{E88494BC-A85D-4045-BF90-FCE76861C5BF}" name="Domain" dataDxfId="106"/>
    <tableColumn id="3" xr3:uid="{9B319B85-D3FB-47D9-8F07-EAD782A18C39}" name="Area Code" dataDxfId="105"/>
    <tableColumn id="4" xr3:uid="{1F550646-B06D-4777-BF9E-B1D6A69E574D}" name="Area" dataDxfId="104"/>
    <tableColumn id="5" xr3:uid="{1696BC51-F7C3-4BB6-A34F-5D9882072440}" name="Element Code" dataDxfId="103"/>
    <tableColumn id="6" xr3:uid="{0F2E5B65-DFC7-466A-B4FE-B85F7E2E9BB3}" name="Element" dataDxfId="102"/>
    <tableColumn id="7" xr3:uid="{C9C2B571-8511-442E-A2F6-BBBF39FD8047}" name="Item Code" dataDxfId="101"/>
    <tableColumn id="8" xr3:uid="{080D8C95-CD0A-4A5B-A0EA-ED2D5B8181BD}" name="Item" dataDxfId="100"/>
    <tableColumn id="9" xr3:uid="{31537402-19D6-4638-A85F-6A4654586D4E}" name="Year Code" dataDxfId="99"/>
    <tableColumn id="10" xr3:uid="{EE491730-37BF-46A9-B868-4791F11F3EC5}" name="Year" dataDxfId="98"/>
    <tableColumn id="11" xr3:uid="{AFD284D1-0021-41CC-8135-96C717E9E813}" name="Unit" dataDxfId="97"/>
    <tableColumn id="12" xr3:uid="{2FFCFC60-5932-4B4D-9555-C585C103490F}" name="Value" dataDxfId="96"/>
    <tableColumn id="13" xr3:uid="{DE4B2C4C-F12C-4283-8CFF-7ACAD30F69DA}" name="Flag" dataDxfId="95"/>
    <tableColumn id="14" xr3:uid="{CC30326E-5981-48C7-AC95-1FE6C327FCF4}" name="Flag Description" dataDxfId="94"/>
    <tableColumn id="16" xr3:uid="{A5076655-A8BC-4C25-8EC6-86C2C2F35FA2}" name="Value (odmt)" dataDxfId="93"/>
    <tableColumn id="17" xr3:uid="{78CF23B7-E1AB-47FD-830A-6CDE7ADB4F5A}" name="Value (Modmt)" dataDxfId="92"/>
    <tableColumn id="18" xr3:uid="{D382BCFD-BA85-4941-BBE6-EFCD8E103AB1}" name="Element Code, Item Code" dataDxfId="91"/>
    <tableColumn id="15" xr3:uid="{BA2FCB58-1F30-4A00-ABC4-B499ED891929}" name="Conversion Factor" dataDxfId="9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4A7623-E18F-44E3-BC7A-C31C552B0760}" name="faostatdata" displayName="faostatdata" ref="A1:R161" totalsRowShown="0" headerRowDxfId="89" dataDxfId="88">
  <autoFilter ref="A1:R161" xr:uid="{B54A7623-E18F-44E3-BC7A-C31C552B0760}"/>
  <tableColumns count="18">
    <tableColumn id="18" xr3:uid="{711047F9-149C-4AD4-97D8-6782CBDA135F}" name="Domain Code" dataDxfId="87"/>
    <tableColumn id="17" xr3:uid="{9536E9FC-94D2-46BE-8FBB-014F8E5A6A8C}" name="Domain" dataDxfId="86"/>
    <tableColumn id="16" xr3:uid="{60696E68-EF90-419E-AE36-8C9F6FCA844D}" name="Area Code" dataDxfId="85"/>
    <tableColumn id="19" xr3:uid="{2BD1B1AE-D479-4C74-BA30-C29A19FB9133}" name="Area" dataDxfId="84"/>
    <tableColumn id="15" xr3:uid="{9887EB17-FF2F-44CD-93BD-0115BA06C8A3}" name="Element Code" dataDxfId="83"/>
    <tableColumn id="1" xr3:uid="{94022E42-936F-42CC-9007-57E71021491C}" name="Element" dataDxfId="82"/>
    <tableColumn id="2" xr3:uid="{82509D8B-690B-4564-90BA-087BBC18A0BB}" name="Item Code" dataDxfId="81"/>
    <tableColumn id="3" xr3:uid="{8E9E7252-150B-4D57-9770-3B6B19D18A45}" name="Item" dataDxfId="80"/>
    <tableColumn id="4" xr3:uid="{AD4460C7-511E-4B6F-A302-E5E552664011}" name="Year Code" dataDxfId="79"/>
    <tableColumn id="5" xr3:uid="{2F4E8DEC-0ABF-4EA0-9596-B00CFDCD5E51}" name="Year" dataDxfId="78"/>
    <tableColumn id="6" xr3:uid="{95280524-2BF1-43EA-8F59-6BB4187F107A}" name="Unit" dataDxfId="77"/>
    <tableColumn id="7" xr3:uid="{52256CAE-A1A0-4ADC-92BC-3A479D029488}" name="Value" dataDxfId="76"/>
    <tableColumn id="8" xr3:uid="{070F95A0-BB32-4908-922C-BDB9CE5D2E1A}" name="Flag" dataDxfId="75"/>
    <tableColumn id="9" xr3:uid="{19F866F5-4738-4B84-8138-BB36DA563592}" name="Flag Description" dataDxfId="74"/>
    <tableColumn id="10" xr3:uid="{8015D06B-BB77-42D9-9EEF-A935ABB3408A}" name="Conversion Factor" dataDxfId="73"/>
    <tableColumn id="11" xr3:uid="{AD35CA5C-E3B5-4FCF-853B-C1B036DE724F}" name="Value (odmt)" dataDxfId="72">
      <calculatedColumnFormula>L2*O2</calculatedColumnFormula>
    </tableColumn>
    <tableColumn id="12" xr3:uid="{B912C841-CE4A-45BC-BB8E-FC820056CF39}" name="Value (Modmt)" dataDxfId="71">
      <calculatedColumnFormula>faostatdata[[#This Row],[Value (odmt)]]*(10^-6)</calculatedColumnFormula>
    </tableColumn>
    <tableColumn id="14" xr3:uid="{67AC8A54-FF5B-432B-ACFC-DE68B2E65668}" name="Element Code, Item Code" dataDxfId="70">
      <calculatedColumnFormula>CONCATENATE("(",E2,",",G2,")")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98AED1-D0C6-4E3A-BDE4-F0F38012BE15}" name="Table2" displayName="Table2" ref="A1:B91" totalsRowShown="0" headerRowDxfId="69" dataDxfId="67" headerRowBorderDxfId="68" tableBorderDxfId="66">
  <autoFilter ref="A1:B91" xr:uid="{C598AED1-D0C6-4E3A-BDE4-F0F38012BE15}"/>
  <tableColumns count="2">
    <tableColumn id="1" xr3:uid="{2D7B50FF-BDAD-47E8-99CD-73E5C248A721}" name="Wood product and activity" dataDxfId="65"/>
    <tableColumn id="2" xr3:uid="{F00735F7-4128-460D-8C1C-AA197D1D1F43}" name="Input name" dataDxfId="6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6CD41F-2B6F-4CF0-A78B-51E57D8E471F}" name="woodstock" displayName="woodstock" ref="A1:M110" tableType="queryTable" totalsRowShown="0" headerRowDxfId="63" dataDxfId="62">
  <autoFilter ref="A1:M110" xr:uid="{D0593A4C-5055-4698-8E99-4A892AB92BC0}"/>
  <tableColumns count="13">
    <tableColumn id="1" xr3:uid="{34AB93E8-0856-4AF8-A4B4-CE55472E12CB}" uniqueName="1" name="Process" queryTableFieldId="1" dataDxfId="61"/>
    <tableColumn id="2" xr3:uid="{6D391BD9-B621-4FE1-A007-767825BBE049}" uniqueName="2" name="quantity" queryTableFieldId="2" dataDxfId="60"/>
    <tableColumn id="14" xr3:uid="{0456630E-A014-49E4-8FC2-1C6DB24B45B1}" uniqueName="14" name="quantity-prior" queryTableFieldId="15" dataDxfId="59">
      <calculatedColumnFormula>IF(woodstock[[#This Row],[data-info]]="Informative","",IF(woodstock[[#This Row],[data-info]]="No Change","",IF(woodstock[[#This Row],[data-info]]="Vague",woodstock[[#This Row],[quantity-input (Modmt)]],IF(woodstock[[#This Row],[data-info]]="BaMFA",""))))</calculatedColumnFormula>
    </tableColumn>
    <tableColumn id="3" xr3:uid="{30B60915-6990-460A-89EA-C6B7D16B61AB}" uniqueName="3" name="time" queryTableFieldId="3" dataDxfId="58"/>
    <tableColumn id="4" xr3:uid="{2D1745A4-95C2-48D1-A7CB-85D9C8DAE8B7}" uniqueName="4" name="location" queryTableFieldId="4" dataDxfId="57"/>
    <tableColumn id="5" xr3:uid="{199031F8-0EC1-4CCD-801C-0EDF53AC3EF4}" uniqueName="5" name="massconserved" queryTableFieldId="5" dataDxfId="56"/>
    <tableColumn id="6" xr3:uid="{AFC350B2-6D3B-4F87-957B-4B434924DF08}" uniqueName="6" name="Processnumber" queryTableFieldId="6" dataDxfId="55"/>
    <tableColumn id="7" xr3:uid="{F669AAE3-4302-4287-AA20-EF1D666FEE2E}" uniqueName="7" name="ParentProcess" queryTableFieldId="7" dataDxfId="54"/>
    <tableColumn id="8" xr3:uid="{06845270-F9D4-4382-9012-23C990DEA2CA}" uniqueName="8" name="Subprocessnumbers" queryTableFieldId="8" dataDxfId="53"/>
    <tableColumn id="13" xr3:uid="{B9CBB41F-3468-48EA-98D2-B4AA10A10002}" uniqueName="13" name="quantity-input (Modmt)" queryTableFieldId="14" dataDxfId="52"/>
    <tableColumn id="9" xr3:uid="{19E4BF01-A66C-4FC0-8BAE-95D43B76F459}" uniqueName="9" name="data-info" queryTableFieldId="10" dataDxfId="51"/>
    <tableColumn id="11" xr3:uid="{B8876C9D-E8A4-42E5-A675-FCC814B302FC}" uniqueName="11" name="Comment" queryTableFieldId="12" dataDxfId="50"/>
    <tableColumn id="12" xr3:uid="{8CDFF734-7626-43D4-B1A1-8A7711A40F9A}" uniqueName="12" name="Reference" queryTableFieldId="13" dataDxfId="4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92DFD9-563C-4078-8451-E9581440A742}" name="woodflow" displayName="woodflow" ref="A1:Q646" tableType="queryTable" totalsRowShown="0" headerRowDxfId="48" dataDxfId="47">
  <autoFilter ref="A1:Q646" xr:uid="{C0C2BC68-DFCC-40C6-8E54-A928B2BAE541}"/>
  <sortState xmlns:xlrd2="http://schemas.microsoft.com/office/spreadsheetml/2017/richdata2" ref="A2:Q646">
    <sortCondition ref="M1:M646"/>
  </sortState>
  <tableColumns count="17">
    <tableColumn id="14" xr3:uid="{6A47D1A6-B329-4A05-8690-55E418036517}" uniqueName="14" name="Flow" queryTableFieldId="13" dataDxfId="46">
      <calculatedColumnFormula>CONCATENATE("F",IF(B2&lt;&gt;"",COUNTA($B$2:B2),""))</calculatedColumnFormula>
    </tableColumn>
    <tableColumn id="1" xr3:uid="{D2EEF37A-7808-4907-8DB8-AE346FD35775}" uniqueName="1" name="From" queryTableFieldId="1" dataDxfId="45"/>
    <tableColumn id="2" xr3:uid="{519CB4FD-3C0A-4A29-9B55-E01AF2CFE0CC}" uniqueName="2" name="to" queryTableFieldId="2" dataDxfId="44"/>
    <tableColumn id="18" xr3:uid="{A2B080D2-4DDD-44AD-A025-1B04CD9AF3DA}" uniqueName="18" name="quantity" queryTableFieldId="22" dataDxfId="43">
      <calculatedColumnFormula>IF(woodflow[[#This Row],[data-info]]="Informative",woodflow[[#This Row],[quantity-input (Modmt)]],IF(woodflow[[#This Row],[data-info]]="No Flow",0,IF(woodflow[[#This Row],[data-info]]="Vague","nan",IF(woodflow[[#This Row],[data-info]]="BaMFA","nan"))))</calculatedColumnFormula>
    </tableColumn>
    <tableColumn id="19" xr3:uid="{7936A244-D4C5-4B31-BAEC-35F09470A835}" uniqueName="19" name="quantity-prior" queryTableFieldId="32" dataDxfId="42">
      <calculatedColumnFormula>IF(woodflow[[#This Row],[data-info]]="Informative","",IF(woodflow[[#This Row],[data-info]]="No Flow","",IF(woodflow[[#This Row],[data-info]]="Vague",woodflow[[#This Row],[quantity-input (Modmt)]],IF(woodflow[[#This Row],[data-info]]="BaMFA",""))))</calculatedColumnFormula>
    </tableColumn>
    <tableColumn id="4" xr3:uid="{575AAF71-ECD2-4BCE-B982-433E1C259241}" uniqueName="4" name="time" queryTableFieldId="4" dataDxfId="41"/>
    <tableColumn id="5" xr3:uid="{F8441CA3-3977-407D-B29E-E0FD70357251}" uniqueName="5" name="location" queryTableFieldId="5" dataDxfId="40"/>
    <tableColumn id="6" xr3:uid="{E0688A94-8AEA-4402-BA60-5F8C5CD25A1C}" uniqueName="6" name="Flownumberfrom" queryTableFieldId="6" dataDxfId="39"/>
    <tableColumn id="7" xr3:uid="{1358831C-AFAD-4939-8D14-4E6383AFD83C}" uniqueName="7" name="Flownumberto" queryTableFieldId="7" dataDxfId="38"/>
    <tableColumn id="8" xr3:uid="{B8D9BF27-A653-41BC-B37A-51059070EBE8}" uniqueName="8" name="ParentProcessFlowfrom" queryTableFieldId="8" dataDxfId="37"/>
    <tableColumn id="9" xr3:uid="{E4239C32-992B-412A-9F49-3A308643080C}" uniqueName="9" name="ParentProcessFlowto" queryTableFieldId="9" dataDxfId="36"/>
    <tableColumn id="10" xr3:uid="{D1E20B75-0BD2-4B32-8664-7486164541F7}" uniqueName="10" name="Subprocessnumbersfrom" queryTableFieldId="10" dataDxfId="35"/>
    <tableColumn id="11" xr3:uid="{FBBA6D3F-F066-4AA4-8B26-D25F57B628C5}" uniqueName="11" name="Subprocessnumbersto" queryTableFieldId="11" dataDxfId="34"/>
    <tableColumn id="3" xr3:uid="{91C9DFDF-4A0D-4D15-9351-49278CEFDE3B}" uniqueName="3" name="quantity-input (Modmt)" queryTableFieldId="3" dataDxfId="33"/>
    <tableColumn id="15" xr3:uid="{7F335B4C-1FD7-4CB0-8365-B680E719F6F5}" uniqueName="15" name="data-info" queryTableFieldId="16" dataDxfId="32"/>
    <tableColumn id="12" xr3:uid="{9F4C1881-96FF-4C34-B0B1-573FDEBD22EF}" uniqueName="12" name="Comment" queryTableFieldId="17" dataDxfId="31"/>
    <tableColumn id="16" xr3:uid="{D03863F9-371B-4EE6-90B6-10F064AD63F2}" uniqueName="16" name="Reference" queryTableFieldId="18" dataDxfId="30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D2DFA4-A8BE-4017-BFC6-44A3314BA7EA}" name="woodratio" displayName="woodratio" ref="A1:K178" tableType="queryTable" totalsRowShown="0" headerRowDxfId="29" dataDxfId="28">
  <autoFilter ref="A1:K178" xr:uid="{A9D2DFA4-A8BE-4017-BFC6-44A3314BA7EA}"/>
  <tableColumns count="11">
    <tableColumn id="1" xr3:uid="{64DF710E-3817-4D46-A5C0-4EB96C0BAE5E}" uniqueName="1" name="From_top" queryTableFieldId="1" dataDxfId="27"/>
    <tableColumn id="2" xr3:uid="{A1F9B345-1ED5-4671-9A00-F2ABED8D884D}" uniqueName="2" name="To_top" queryTableFieldId="2" dataDxfId="26"/>
    <tableColumn id="3" xr3:uid="{8FA83C9C-8329-4F0B-809B-F8710C0F3486}" uniqueName="3" name="Processnumbersfromtop" queryTableFieldId="3" dataDxfId="25"/>
    <tableColumn id="4" xr3:uid="{61463E32-95EE-4DB7-93BC-F3C9BC903DB7}" uniqueName="4" name="Processnumberstotop" queryTableFieldId="4" dataDxfId="24"/>
    <tableColumn id="5" xr3:uid="{E6FE3BDC-0BF1-421A-8D11-A8080869841A}" uniqueName="5" name="From_bottom" queryTableFieldId="5" dataDxfId="23"/>
    <tableColumn id="6" xr3:uid="{D9A79B69-DE11-476F-97D3-2291E9453942}" uniqueName="6" name="To_bottom" queryTableFieldId="6" dataDxfId="22"/>
    <tableColumn id="7" xr3:uid="{ED84F97F-F986-4F7C-B3BE-11FDD7243980}" uniqueName="7" name="Processnumbersfrombottom" queryTableFieldId="7" dataDxfId="21"/>
    <tableColumn id="8" xr3:uid="{8DAE0CBF-BB1E-415D-9E93-7D72F935D5F6}" uniqueName="8" name="Processnumberstobottom" queryTableFieldId="8" dataDxfId="20"/>
    <tableColumn id="9" xr3:uid="{B4F497A5-56E4-4B28-B698-4F129B3CEED0}" uniqueName="9" name="ratio" queryTableFieldId="9" dataDxfId="19"/>
    <tableColumn id="11" xr3:uid="{081EBB53-989D-4166-A195-3DE555C15E61}" uniqueName="11" name="Comment" queryTableFieldId="12" dataDxfId="18"/>
    <tableColumn id="12" xr3:uid="{D9D319E0-CD09-48E0-8287-D345D0E681E5}" uniqueName="12" name="Reference" queryTableFieldId="14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orkqc.com/pages/industry-statistics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111/jiec.12613" TargetMode="External"/><Relationship Id="rId18" Type="http://schemas.openxmlformats.org/officeDocument/2006/relationships/hyperlink" Target="https://www.epa.gov/sites/default/files/2021-01/documents/2018_ff_fact_sheet_dec_2020_fnl_508.pdf" TargetMode="External"/><Relationship Id="rId26" Type="http://schemas.openxmlformats.org/officeDocument/2006/relationships/hyperlink" Target="https://www.fao.org/3/cb8216en/cb8216en.pdf" TargetMode="External"/><Relationship Id="rId21" Type="http://schemas.openxmlformats.org/officeDocument/2006/relationships/hyperlink" Target="https://www.fao.org/3/cb8216en/cb8216en.pdf" TargetMode="External"/><Relationship Id="rId34" Type="http://schemas.openxmlformats.org/officeDocument/2006/relationships/hyperlink" Target="https://www.fao.org/3/cb8216en/cb8216en.pdf" TargetMode="External"/><Relationship Id="rId7" Type="http://schemas.openxmlformats.org/officeDocument/2006/relationships/hyperlink" Target="https://europanels.org/the-wood-based-panel-industry/types-of-wood-based-panels-economic-impact/hardboard/" TargetMode="External"/><Relationship Id="rId12" Type="http://schemas.openxmlformats.org/officeDocument/2006/relationships/hyperlink" Target="https://woodforgrowth.eu/facts-figures/" TargetMode="External"/><Relationship Id="rId17" Type="http://schemas.openxmlformats.org/officeDocument/2006/relationships/hyperlink" Target="https://www.epa.gov/sites/default/files/2021-01/documents/2018_ff_fact_sheet_dec_2020_fnl_508.pdf" TargetMode="External"/><Relationship Id="rId25" Type="http://schemas.openxmlformats.org/officeDocument/2006/relationships/hyperlink" Target="https://www.fao.org/3/cb8216en/cb8216en.pdf" TargetMode="External"/><Relationship Id="rId33" Type="http://schemas.openxmlformats.org/officeDocument/2006/relationships/hyperlink" Target="https://www.fao.org/3/cb8216en/cb8216en.pdf" TargetMode="External"/><Relationship Id="rId2" Type="http://schemas.openxmlformats.org/officeDocument/2006/relationships/hyperlink" Target="https://europanels.org/the-wood-based-panel-industry/types-of-wood-based-panels-economic-impact/plywood/" TargetMode="External"/><Relationship Id="rId16" Type="http://schemas.openxmlformats.org/officeDocument/2006/relationships/hyperlink" Target="https://www.epa.gov/sites/default/files/2021-01/documents/2018_ff_fact_sheet_dec_2020_fnl_508.pdf" TargetMode="External"/><Relationship Id="rId20" Type="http://schemas.openxmlformats.org/officeDocument/2006/relationships/hyperlink" Target="https://www.fao.org/3/cb8216en/cb8216en.pdf" TargetMode="External"/><Relationship Id="rId29" Type="http://schemas.openxmlformats.org/officeDocument/2006/relationships/hyperlink" Target="https://www.fao.org/3/cb8216en/cb8216en.pdf" TargetMode="External"/><Relationship Id="rId1" Type="http://schemas.openxmlformats.org/officeDocument/2006/relationships/hyperlink" Target="https://europanels.org/the-wood-based-panel-industry/types-of-wood-based-panels-economic-impact/plywood/" TargetMode="External"/><Relationship Id="rId6" Type="http://schemas.openxmlformats.org/officeDocument/2006/relationships/hyperlink" Target="https://europanels.org/the-wood-based-panel-industry/types-of-wood-based-panels-economic-impact/medium-density-fibreboard/" TargetMode="External"/><Relationship Id="rId11" Type="http://schemas.openxmlformats.org/officeDocument/2006/relationships/hyperlink" Target="https://woodforgrowth.eu/facts-figures/" TargetMode="External"/><Relationship Id="rId24" Type="http://schemas.openxmlformats.org/officeDocument/2006/relationships/hyperlink" Target="https://www.fao.org/3/cb8216en/cb8216en.pdf" TargetMode="External"/><Relationship Id="rId32" Type="http://schemas.openxmlformats.org/officeDocument/2006/relationships/hyperlink" Target="https://www.fao.org/3/cb8216en/cb8216en.pdf" TargetMode="External"/><Relationship Id="rId37" Type="http://schemas.openxmlformats.org/officeDocument/2006/relationships/table" Target="../tables/table6.xml"/><Relationship Id="rId5" Type="http://schemas.openxmlformats.org/officeDocument/2006/relationships/hyperlink" Target="https://europanels.org/the-wood-based-panel-industry/types-of-wood-based-panels-economic-impact/medium-density-fibreboard/" TargetMode="External"/><Relationship Id="rId15" Type="http://schemas.openxmlformats.org/officeDocument/2006/relationships/hyperlink" Target="https://doi.org/10.1111/jiec.12613" TargetMode="External"/><Relationship Id="rId23" Type="http://schemas.openxmlformats.org/officeDocument/2006/relationships/hyperlink" Target="https://www.fao.org/3/cb8216en/cb8216en.pdf" TargetMode="External"/><Relationship Id="rId28" Type="http://schemas.openxmlformats.org/officeDocument/2006/relationships/hyperlink" Target="https://www.fao.org/3/cb8216en/cb8216en.pdf" TargetMode="External"/><Relationship Id="rId36" Type="http://schemas.openxmlformats.org/officeDocument/2006/relationships/printerSettings" Target="../printerSettings/printerSettings6.bin"/><Relationship Id="rId10" Type="http://schemas.openxmlformats.org/officeDocument/2006/relationships/hyperlink" Target="https://woodforgrowth.eu/facts-figures/" TargetMode="External"/><Relationship Id="rId19" Type="http://schemas.openxmlformats.org/officeDocument/2006/relationships/hyperlink" Target="https://www.epa.gov/sites/default/files/2021-01/documents/2018_ff_fact_sheet_dec_2020_fnl_508.pdf" TargetMode="External"/><Relationship Id="rId31" Type="http://schemas.openxmlformats.org/officeDocument/2006/relationships/hyperlink" Target="https://www.fao.org/3/cb8216en/cb8216en.pdf" TargetMode="External"/><Relationship Id="rId4" Type="http://schemas.openxmlformats.org/officeDocument/2006/relationships/hyperlink" Target="https://europanels.org/the-wood-based-panel-industry/types-of-wood-based-panels-economic-impact/particleboard/" TargetMode="External"/><Relationship Id="rId9" Type="http://schemas.openxmlformats.org/officeDocument/2006/relationships/hyperlink" Target="https://woodforgrowth.eu/facts-figures/" TargetMode="External"/><Relationship Id="rId14" Type="http://schemas.openxmlformats.org/officeDocument/2006/relationships/hyperlink" Target="https://doi.org/10.1111/jiec.12613" TargetMode="External"/><Relationship Id="rId22" Type="http://schemas.openxmlformats.org/officeDocument/2006/relationships/hyperlink" Target="https://www.fao.org/3/cb8216en/cb8216en.pdf" TargetMode="External"/><Relationship Id="rId27" Type="http://schemas.openxmlformats.org/officeDocument/2006/relationships/hyperlink" Target="https://www.fao.org/3/cb8216en/cb8216en.pdf" TargetMode="External"/><Relationship Id="rId30" Type="http://schemas.openxmlformats.org/officeDocument/2006/relationships/hyperlink" Target="https://www.fao.org/3/cb8216en/cb8216en.pdf" TargetMode="External"/><Relationship Id="rId35" Type="http://schemas.openxmlformats.org/officeDocument/2006/relationships/hyperlink" Target="https://www.fao.org/3/cb8216en/cb8216en.pdf" TargetMode="External"/><Relationship Id="rId8" Type="http://schemas.openxmlformats.org/officeDocument/2006/relationships/hyperlink" Target="https://europanels.org/the-wood-based-panel-industry/types-of-wood-based-panels-economic-impact/hardboard/" TargetMode="External"/><Relationship Id="rId3" Type="http://schemas.openxmlformats.org/officeDocument/2006/relationships/hyperlink" Target="https://europanels.org/the-wood-based-panel-industry/types-of-wood-based-panels-economic-impact/particleboar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o.org/3/ca7952en/CA7952EN.pdf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21" Type="http://schemas.openxmlformats.org/officeDocument/2006/relationships/hyperlink" Target="https://api.environdec.com/api/v1/EPDLibrary/Files/2263eda0-231e-412c-91e4-0a1894bf1a5d/Data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www.fao.org/3/ca7952en/CA7952EN.pdf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20" Type="http://schemas.openxmlformats.org/officeDocument/2006/relationships/hyperlink" Target="http://www.journalcra.com/article/simple-determination-physical-and-thermal-properties-basis-design-and-analysis-waste-energy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www.fao.org/3/ca7952en/CA7952EN.pdf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www.fao.org/3/ca7952en/CA7952EN.pdf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fao.org/3/ca7952en/CA7952EN.pdf" TargetMode="External"/><Relationship Id="rId19" Type="http://schemas.openxmlformats.org/officeDocument/2006/relationships/hyperlink" Target="https://www.fao.org/3/ca7952en/CA7952EN.pdf" TargetMode="External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www.fao.org/3/ca7952en/CA7952EN.pdf" TargetMode="External"/><Relationship Id="rId14" Type="http://schemas.openxmlformats.org/officeDocument/2006/relationships/hyperlink" Target="https://www.fao.org/3/ca7952en/CA7952EN.pdf" TargetMode="External"/><Relationship Id="rId22" Type="http://schemas.openxmlformats.org/officeDocument/2006/relationships/hyperlink" Target="https://www.fao.org/3/ca7952en/CA7952EN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iec.12613" TargetMode="External"/><Relationship Id="rId13" Type="http://schemas.openxmlformats.org/officeDocument/2006/relationships/hyperlink" Target="https://www.fao.org/3/ca7952en/CA7952EN.pdf" TargetMode="External"/><Relationship Id="rId18" Type="http://schemas.openxmlformats.org/officeDocument/2006/relationships/hyperlink" Target="https://www.fao.org/3/ca7952en/CA7952EN.pdf" TargetMode="External"/><Relationship Id="rId3" Type="http://schemas.openxmlformats.org/officeDocument/2006/relationships/hyperlink" Target="https://www.fao.org/3/ca7952en/CA7952EN.pdf" TargetMode="External"/><Relationship Id="rId7" Type="http://schemas.openxmlformats.org/officeDocument/2006/relationships/hyperlink" Target="https://www.fao.org/3/ca7952en/CA7952EN.pdf" TargetMode="External"/><Relationship Id="rId12" Type="http://schemas.openxmlformats.org/officeDocument/2006/relationships/hyperlink" Target="https://api.environdec.com/api/v1/EPDLibrary/Files/2263eda0-231e-412c-91e4-0a1894bf1a5d/Data" TargetMode="External"/><Relationship Id="rId17" Type="http://schemas.openxmlformats.org/officeDocument/2006/relationships/hyperlink" Target="https://www.fao.org/3/ca7952en/CA7952EN.pdf" TargetMode="External"/><Relationship Id="rId2" Type="http://schemas.openxmlformats.org/officeDocument/2006/relationships/hyperlink" Target="https://www.fao.org/3/ca7952en/CA7952EN.pdf" TargetMode="External"/><Relationship Id="rId16" Type="http://schemas.openxmlformats.org/officeDocument/2006/relationships/hyperlink" Target="https://www.fao.org/3/ca7952en/CA7952EN.pdf" TargetMode="External"/><Relationship Id="rId1" Type="http://schemas.openxmlformats.org/officeDocument/2006/relationships/hyperlink" Target="https://www.fao.org/3/ca7952en/CA7952EN.pdf" TargetMode="External"/><Relationship Id="rId6" Type="http://schemas.openxmlformats.org/officeDocument/2006/relationships/hyperlink" Target="https://www.fao.org/3/ca7952en/CA7952EN.pdf" TargetMode="External"/><Relationship Id="rId11" Type="http://schemas.openxmlformats.org/officeDocument/2006/relationships/hyperlink" Target="https://doi.org/10.1111/jiec.12613" TargetMode="External"/><Relationship Id="rId5" Type="http://schemas.openxmlformats.org/officeDocument/2006/relationships/hyperlink" Target="https://www.fao.org/3/ca7952en/CA7952EN.pdf" TargetMode="External"/><Relationship Id="rId15" Type="http://schemas.openxmlformats.org/officeDocument/2006/relationships/hyperlink" Target="https://api.environdec.com/api/v1/EPDLibrary/Files/2263eda0-231e-412c-91e4-0a1894bf1a5d/Data" TargetMode="External"/><Relationship Id="rId10" Type="http://schemas.openxmlformats.org/officeDocument/2006/relationships/hyperlink" Target="https://doi.org/10.1111/jiec.12613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www.fao.org/3/ca7952en/CA7952EN.pdf" TargetMode="External"/><Relationship Id="rId9" Type="http://schemas.openxmlformats.org/officeDocument/2006/relationships/hyperlink" Target="https://doi.org/10.1111/jiec.12613" TargetMode="External"/><Relationship Id="rId14" Type="http://schemas.openxmlformats.org/officeDocument/2006/relationships/hyperlink" Target="https://www.fao.org/3/ca7952en/CA7952EN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feu.awsassets.panda.org/downloads/wwf_briefing_eutr.pdf" TargetMode="External"/><Relationship Id="rId3" Type="http://schemas.openxmlformats.org/officeDocument/2006/relationships/hyperlink" Target="https://doi.org/10.1111/jiec.12613" TargetMode="External"/><Relationship Id="rId7" Type="http://schemas.openxmlformats.org/officeDocument/2006/relationships/hyperlink" Target="http://hdl.handle.net/10986/30317" TargetMode="External"/><Relationship Id="rId2" Type="http://schemas.openxmlformats.org/officeDocument/2006/relationships/hyperlink" Target="https://wwfeu.awsassets.panda.org/downloads/wwf_briefing_eutr.pdf" TargetMode="External"/><Relationship Id="rId1" Type="http://schemas.openxmlformats.org/officeDocument/2006/relationships/hyperlink" Target="https://doi.org/10.1111/jiec.12613" TargetMode="External"/><Relationship Id="rId6" Type="http://schemas.openxmlformats.org/officeDocument/2006/relationships/hyperlink" Target="http://hdl.handle.net/10986/30317" TargetMode="External"/><Relationship Id="rId5" Type="http://schemas.openxmlformats.org/officeDocument/2006/relationships/hyperlink" Target="https://doi.org/10.1111/jiec.12613" TargetMode="External"/><Relationship Id="rId4" Type="http://schemas.openxmlformats.org/officeDocument/2006/relationships/hyperlink" Target="https://doi.org/10.1111/jiec.12613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54D5-98A1-4195-8310-A660AAF08F69}">
  <sheetPr codeName="Sheet4"/>
  <dimension ref="A1:D28"/>
  <sheetViews>
    <sheetView tabSelected="1" zoomScale="70" zoomScaleNormal="70" workbookViewId="0"/>
  </sheetViews>
  <sheetFormatPr defaultColWidth="13.88671875" defaultRowHeight="13.2" x14ac:dyDescent="0.25"/>
  <cols>
    <col min="1" max="1" width="7" style="4" customWidth="1"/>
    <col min="2" max="2" width="32.6640625" style="4" bestFit="1" customWidth="1"/>
    <col min="3" max="3" width="38.44140625" style="4" bestFit="1" customWidth="1"/>
    <col min="4" max="16384" width="13.88671875" style="4"/>
  </cols>
  <sheetData>
    <row r="1" spans="1:4" x14ac:dyDescent="0.25">
      <c r="A1" s="2" t="s">
        <v>840</v>
      </c>
      <c r="B1" s="2"/>
    </row>
    <row r="2" spans="1:4" x14ac:dyDescent="0.25">
      <c r="A2" s="2" t="s">
        <v>841</v>
      </c>
      <c r="B2" s="2"/>
    </row>
    <row r="3" spans="1:4" x14ac:dyDescent="0.25">
      <c r="A3" s="2"/>
      <c r="B3" s="2"/>
    </row>
    <row r="4" spans="1:4" x14ac:dyDescent="0.25">
      <c r="A4" s="4" t="s">
        <v>842</v>
      </c>
    </row>
    <row r="5" spans="1:4" x14ac:dyDescent="0.25">
      <c r="A5" s="4" t="s">
        <v>843</v>
      </c>
    </row>
    <row r="7" spans="1:4" x14ac:dyDescent="0.25">
      <c r="A7" s="4" t="s">
        <v>844</v>
      </c>
    </row>
    <row r="8" spans="1:4" x14ac:dyDescent="0.25">
      <c r="A8" s="4" t="s">
        <v>395</v>
      </c>
    </row>
    <row r="11" spans="1:4" x14ac:dyDescent="0.25">
      <c r="A11" s="2" t="s">
        <v>845</v>
      </c>
    </row>
    <row r="12" spans="1:4" x14ac:dyDescent="0.25">
      <c r="A12" s="132" t="s">
        <v>846</v>
      </c>
      <c r="B12" s="4" t="s">
        <v>847</v>
      </c>
      <c r="C12" s="4" t="s">
        <v>848</v>
      </c>
      <c r="D12" s="4" t="s">
        <v>849</v>
      </c>
    </row>
    <row r="13" spans="1:4" x14ac:dyDescent="0.25">
      <c r="A13" s="132">
        <v>1</v>
      </c>
      <c r="B13" s="133" t="s">
        <v>850</v>
      </c>
      <c r="C13" s="4" t="s">
        <v>851</v>
      </c>
      <c r="D13" s="4" t="s">
        <v>852</v>
      </c>
    </row>
    <row r="14" spans="1:4" x14ac:dyDescent="0.25">
      <c r="A14" s="132">
        <v>2</v>
      </c>
      <c r="B14" s="133" t="s">
        <v>908</v>
      </c>
      <c r="C14" s="4" t="s">
        <v>909</v>
      </c>
      <c r="D14" s="4" t="s">
        <v>919</v>
      </c>
    </row>
    <row r="15" spans="1:4" x14ac:dyDescent="0.25">
      <c r="A15" s="132">
        <v>3</v>
      </c>
      <c r="B15" s="133" t="s">
        <v>853</v>
      </c>
      <c r="C15" s="4" t="s">
        <v>854</v>
      </c>
      <c r="D15" s="4" t="s">
        <v>855</v>
      </c>
    </row>
    <row r="16" spans="1:4" x14ac:dyDescent="0.25">
      <c r="A16" s="132">
        <v>4</v>
      </c>
      <c r="B16" s="133" t="s">
        <v>856</v>
      </c>
      <c r="C16" s="4" t="s">
        <v>413</v>
      </c>
      <c r="D16" s="4" t="s">
        <v>857</v>
      </c>
    </row>
    <row r="17" spans="1:4" x14ac:dyDescent="0.25">
      <c r="A17" s="132">
        <v>5</v>
      </c>
      <c r="B17" s="133" t="s">
        <v>858</v>
      </c>
      <c r="C17" s="4" t="s">
        <v>859</v>
      </c>
      <c r="D17" s="4" t="s">
        <v>860</v>
      </c>
    </row>
    <row r="18" spans="1:4" x14ac:dyDescent="0.25">
      <c r="A18" s="132">
        <v>6</v>
      </c>
      <c r="B18" s="133" t="s">
        <v>861</v>
      </c>
      <c r="C18" s="4" t="s">
        <v>449</v>
      </c>
      <c r="D18" s="4" t="s">
        <v>862</v>
      </c>
    </row>
    <row r="19" spans="1:4" x14ac:dyDescent="0.25">
      <c r="A19" s="132">
        <v>7</v>
      </c>
      <c r="B19" s="133" t="s">
        <v>863</v>
      </c>
      <c r="C19" s="4" t="s">
        <v>864</v>
      </c>
      <c r="D19" s="4" t="s">
        <v>865</v>
      </c>
    </row>
    <row r="20" spans="1:4" x14ac:dyDescent="0.25">
      <c r="A20" s="132">
        <v>8</v>
      </c>
      <c r="B20" s="133" t="s">
        <v>994</v>
      </c>
      <c r="C20" s="4" t="s">
        <v>990</v>
      </c>
      <c r="D20" s="4" t="s">
        <v>991</v>
      </c>
    </row>
    <row r="21" spans="1:4" x14ac:dyDescent="0.25">
      <c r="A21" s="132">
        <v>9</v>
      </c>
      <c r="B21" s="133" t="s">
        <v>866</v>
      </c>
      <c r="C21" s="4" t="s">
        <v>867</v>
      </c>
      <c r="D21" s="4" t="s">
        <v>868</v>
      </c>
    </row>
    <row r="22" spans="1:4" x14ac:dyDescent="0.25">
      <c r="A22" s="132">
        <v>10</v>
      </c>
      <c r="B22" s="133" t="s">
        <v>869</v>
      </c>
      <c r="C22" s="4" t="s">
        <v>870</v>
      </c>
      <c r="D22" s="4" t="s">
        <v>871</v>
      </c>
    </row>
    <row r="23" spans="1:4" x14ac:dyDescent="0.25">
      <c r="A23" s="132">
        <v>11</v>
      </c>
      <c r="B23" s="133" t="s">
        <v>872</v>
      </c>
      <c r="C23" s="4" t="s">
        <v>873</v>
      </c>
      <c r="D23" s="4" t="s">
        <v>874</v>
      </c>
    </row>
    <row r="24" spans="1:4" x14ac:dyDescent="0.25">
      <c r="A24" s="132">
        <v>12</v>
      </c>
      <c r="B24" s="133" t="s">
        <v>875</v>
      </c>
      <c r="C24" s="4" t="s">
        <v>876</v>
      </c>
      <c r="D24" s="4" t="s">
        <v>999</v>
      </c>
    </row>
    <row r="25" spans="1:4" x14ac:dyDescent="0.25">
      <c r="A25" s="132">
        <v>13</v>
      </c>
      <c r="B25" s="133" t="s">
        <v>922</v>
      </c>
      <c r="C25" s="4" t="s">
        <v>923</v>
      </c>
      <c r="D25" s="4" t="s">
        <v>1000</v>
      </c>
    </row>
    <row r="26" spans="1:4" ht="13.8" x14ac:dyDescent="0.3">
      <c r="A26" s="132">
        <v>14</v>
      </c>
      <c r="B26" s="133" t="s">
        <v>877</v>
      </c>
      <c r="C26" s="4" t="s">
        <v>878</v>
      </c>
      <c r="D26" s="4" t="s">
        <v>1001</v>
      </c>
    </row>
    <row r="27" spans="1:4" x14ac:dyDescent="0.25">
      <c r="A27" s="132">
        <v>15</v>
      </c>
      <c r="B27" s="133" t="s">
        <v>924</v>
      </c>
      <c r="C27" s="4" t="s">
        <v>925</v>
      </c>
      <c r="D27" s="4" t="s">
        <v>1002</v>
      </c>
    </row>
    <row r="28" spans="1:4" x14ac:dyDescent="0.25">
      <c r="A28" s="132">
        <v>16</v>
      </c>
      <c r="B28" s="133" t="s">
        <v>879</v>
      </c>
      <c r="C28" s="4" t="s">
        <v>880</v>
      </c>
      <c r="D28" s="4" t="s">
        <v>1003</v>
      </c>
    </row>
  </sheetData>
  <hyperlinks>
    <hyperlink ref="B13" location="contents!A1" display="content" xr:uid="{F6090D86-FFF4-493C-9A5F-A24257C5917E}"/>
    <hyperlink ref="B15" location="'conversion-factors'!A1" display="conversion-factors" xr:uid="{89679144-B394-4BF8-B200-2A4C6CDB3951}"/>
    <hyperlink ref="B16" location="'production-mass-balance'!A1" display="production-mass-balance" xr:uid="{C3EE26CE-EF75-4C7E-9552-20AC9BD3108B}"/>
    <hyperlink ref="B17" location="waste!A1" display="waste" xr:uid="{22C8D1AD-BFAD-47A2-86B8-991689D9560D}"/>
    <hyperlink ref="B18" location="'supporting-percentages'!A1" display="supporting-percentages" xr:uid="{E2BFCDCA-CC33-4E68-99F0-68B0058EF48C}"/>
    <hyperlink ref="B19" location="'faostat-data'!A1" display="faostat-data" xr:uid="{B996A1EC-C521-4451-82B9-BA42CCC16F79}"/>
    <hyperlink ref="B21" location="woodstock!A1" display="woodstock" xr:uid="{85F2EFEA-11D9-4C4D-A110-3CF8A730F12D}"/>
    <hyperlink ref="B22" location="woodflow!A1" display="woodflow" xr:uid="{45663057-3DDC-48BF-9164-02B832590B8C}"/>
    <hyperlink ref="B23" location="woodratio!A1" display="woodratio" xr:uid="{07ED22F3-1445-444F-A611-BF82703D5F4A}"/>
    <hyperlink ref="B24" location="'changesinstocks-input'!A1" display="changesinstocks-input" xr:uid="{EDEABCC0-A35B-48F9-A7FB-023B7D6ADFC7}"/>
    <hyperlink ref="B25" location="'changesinstocks-prior-input'!A1" display="changesinstocks-prior-input" xr:uid="{06174276-7E67-48F5-A915-78DAA6E94602}"/>
    <hyperlink ref="B26" location="'flows-input'!A1" display="flows-input" xr:uid="{E68BB281-4569-448D-82A4-05772A424E00}"/>
    <hyperlink ref="B27" location="'flows-prior-input'!A1" display="flows-prior-input" xr:uid="{8DC99EFA-A221-495C-AAE4-E368FC22A317}"/>
    <hyperlink ref="B28" location="'ratios-input'!A1" display="ratios-input" xr:uid="{318AFF41-37A4-43B1-B140-6709A5CACFEE}"/>
    <hyperlink ref="B14" location="'regions-conversion-factors'!A1" display="regions-conversion-factors" xr:uid="{5B4ED057-D98D-4633-A8F8-9E75E93FB072}"/>
    <hyperlink ref="B20" location="woodclass!A1" display="woodclass" xr:uid="{B13B941A-8743-4EC0-83B1-54CC865AB2F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CDE-87B9-42A8-97BA-35138B2875A8}">
  <sheetPr codeName="Sheet7"/>
  <dimension ref="A1:V646"/>
  <sheetViews>
    <sheetView zoomScale="70" zoomScaleNormal="70" workbookViewId="0"/>
  </sheetViews>
  <sheetFormatPr defaultColWidth="12.33203125" defaultRowHeight="14.4" x14ac:dyDescent="0.3"/>
  <cols>
    <col min="1" max="1" width="7.109375" style="1" bestFit="1" customWidth="1"/>
    <col min="2" max="2" width="36.6640625" style="1" customWidth="1"/>
    <col min="3" max="3" width="40.109375" style="1" customWidth="1"/>
    <col min="4" max="4" width="13.33203125" style="43" customWidth="1"/>
    <col min="5" max="5" width="13.33203125" style="11" bestFit="1" customWidth="1"/>
    <col min="6" max="7" width="12.33203125" style="12" customWidth="1"/>
    <col min="8" max="11" width="12.33203125" style="42" customWidth="1"/>
    <col min="12" max="12" width="24.6640625" style="1" customWidth="1"/>
    <col min="13" max="13" width="22" style="1" customWidth="1"/>
    <col min="14" max="14" width="18.33203125" style="43" bestFit="1" customWidth="1"/>
    <col min="15" max="15" width="12.33203125" style="1"/>
    <col min="16" max="16" width="36.44140625" style="12" customWidth="1"/>
    <col min="17" max="17" width="48.6640625" style="12" bestFit="1" customWidth="1"/>
    <col min="18" max="22" width="12.33203125" style="12"/>
    <col min="23" max="16384" width="12.33203125" style="1"/>
  </cols>
  <sheetData>
    <row r="1" spans="1:22" x14ac:dyDescent="0.3">
      <c r="A1" s="148" t="s">
        <v>174</v>
      </c>
      <c r="B1" s="148" t="s">
        <v>10</v>
      </c>
      <c r="C1" s="148" t="s">
        <v>11</v>
      </c>
      <c r="D1" s="149" t="s">
        <v>0</v>
      </c>
      <c r="E1" s="150" t="s">
        <v>226</v>
      </c>
      <c r="F1" s="148" t="s">
        <v>1</v>
      </c>
      <c r="G1" s="148" t="s">
        <v>2</v>
      </c>
      <c r="H1" s="151" t="s">
        <v>12</v>
      </c>
      <c r="I1" s="151" t="s">
        <v>13</v>
      </c>
      <c r="J1" s="151" t="s">
        <v>14</v>
      </c>
      <c r="K1" s="151" t="s">
        <v>15</v>
      </c>
      <c r="L1" s="148" t="s">
        <v>16</v>
      </c>
      <c r="M1" s="148" t="s">
        <v>17</v>
      </c>
      <c r="N1" s="149" t="s">
        <v>910</v>
      </c>
      <c r="O1" s="148" t="s">
        <v>210</v>
      </c>
      <c r="P1" s="148" t="s">
        <v>212</v>
      </c>
      <c r="Q1" s="148" t="s">
        <v>214</v>
      </c>
      <c r="R1" s="1"/>
      <c r="S1" s="1"/>
      <c r="T1" s="1"/>
      <c r="U1" s="1"/>
      <c r="V1" s="1"/>
    </row>
    <row r="2" spans="1:22" x14ac:dyDescent="0.3">
      <c r="A2" s="5" t="str">
        <f>CONCATENATE("F",IF(B2&lt;&gt;"",COUNTA($B$2:B2),""))</f>
        <v>F1</v>
      </c>
      <c r="B2" s="148" t="s">
        <v>912</v>
      </c>
      <c r="C2" s="5" t="s">
        <v>258</v>
      </c>
      <c r="D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102.84447225150004</v>
      </c>
      <c r="E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" s="148">
        <f>VLOOKUP(woodflow[[#This Row],[From]],woodstock[#All],4,FALSE)</f>
        <v>2021</v>
      </c>
      <c r="G2" s="5" t="str">
        <f>VLOOKUP(woodflow[[#This Row],[From]],woodstock[#All],5,FALSE)</f>
        <v>Global</v>
      </c>
      <c r="H2" s="151" t="str">
        <f>VLOOKUP(woodflow[[#This Row],[From]],woodstock[#All],7,FALSE)</f>
        <v>0</v>
      </c>
      <c r="I2" s="151" t="str">
        <f>VLOOKUP(woodflow[[#This Row],[to]],woodstock[#All],7,FALSE)</f>
        <v>4</v>
      </c>
      <c r="J2" s="151" t="str">
        <f>VLOOKUP(woodflow[[#This Row],[From]],woodstock[#All],8,FALSE)</f>
        <v>0</v>
      </c>
      <c r="K2" s="151" t="str">
        <f>VLOOKUP(woodflow[[#This Row],[to]],woodstock[#All],8,FALSE)</f>
        <v>0</v>
      </c>
      <c r="L2" s="152" t="str">
        <f>VLOOKUP(woodflow[[#This Row],[From]],woodstock[#All],9,FALSE)</f>
        <v>nan</v>
      </c>
      <c r="M2" s="152" t="str">
        <f>VLOOKUP(woodflow[[#This Row],[to]],woodstock[#All],9,FALSE)</f>
        <v>nan</v>
      </c>
      <c r="N2" s="157">
        <f>'faostat-data'!Q2</f>
        <v>102.84447225150004</v>
      </c>
      <c r="O2" s="148" t="s">
        <v>921</v>
      </c>
      <c r="P2" s="148"/>
      <c r="Q2" s="148" t="s">
        <v>227</v>
      </c>
      <c r="R2" s="1"/>
      <c r="S2" s="1"/>
      <c r="T2" s="1"/>
      <c r="U2" s="1"/>
      <c r="V2" s="1"/>
    </row>
    <row r="3" spans="1:22" x14ac:dyDescent="0.3">
      <c r="A3" s="5" t="str">
        <f>CONCATENATE("F",IF(B3&lt;&gt;"",COUNTA($B$2:B3),""))</f>
        <v>F</v>
      </c>
      <c r="B3" s="148"/>
      <c r="C3" s="148"/>
      <c r="D3" s="149"/>
      <c r="E3" s="149"/>
      <c r="F3" s="148"/>
      <c r="G3" s="5"/>
      <c r="H3" s="151"/>
      <c r="I3" s="151"/>
      <c r="J3" s="151"/>
      <c r="K3" s="151"/>
      <c r="L3" s="152"/>
      <c r="M3" s="152"/>
      <c r="N3" s="157"/>
      <c r="O3" s="148"/>
      <c r="P3" s="148"/>
      <c r="Q3" s="148"/>
      <c r="R3" s="1"/>
      <c r="S3" s="1"/>
      <c r="T3" s="1"/>
      <c r="U3" s="1"/>
      <c r="V3" s="1"/>
    </row>
    <row r="4" spans="1:22" x14ac:dyDescent="0.3">
      <c r="A4" s="5" t="str">
        <f>CONCATENATE("F",IF(B4&lt;&gt;"",COUNTA($B$2:B4),""))</f>
        <v>F</v>
      </c>
      <c r="B4" s="148"/>
      <c r="C4" s="148"/>
      <c r="D4" s="149"/>
      <c r="E4" s="149"/>
      <c r="F4" s="148"/>
      <c r="G4" s="5"/>
      <c r="H4" s="151"/>
      <c r="I4" s="151"/>
      <c r="J4" s="151"/>
      <c r="K4" s="151"/>
      <c r="L4" s="152"/>
      <c r="M4" s="152"/>
      <c r="N4" s="157"/>
      <c r="O4" s="148"/>
      <c r="P4" s="148"/>
      <c r="Q4" s="148"/>
      <c r="R4" s="1"/>
      <c r="S4" s="1"/>
      <c r="T4" s="1"/>
      <c r="U4" s="1"/>
      <c r="V4" s="1"/>
    </row>
    <row r="5" spans="1:22" x14ac:dyDescent="0.3">
      <c r="A5" s="5" t="str">
        <f>CONCATENATE("F",IF(B5&lt;&gt;"",COUNTA($B$2:B5),""))</f>
        <v>F2</v>
      </c>
      <c r="B5" s="148" t="s">
        <v>912</v>
      </c>
      <c r="C5" s="5" t="s">
        <v>260</v>
      </c>
      <c r="D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332.43309708899994</v>
      </c>
      <c r="F5" s="148">
        <f>VLOOKUP(woodflow[[#This Row],[From]],woodstock[#All],4,FALSE)</f>
        <v>2021</v>
      </c>
      <c r="G5" s="5" t="str">
        <f>VLOOKUP(woodflow[[#This Row],[From]],woodstock[#All],5,FALSE)</f>
        <v>Global</v>
      </c>
      <c r="H5" s="151" t="str">
        <f>VLOOKUP(woodflow[[#This Row],[From]],woodstock[#All],7,FALSE)</f>
        <v>0</v>
      </c>
      <c r="I5" s="151" t="str">
        <f>VLOOKUP(woodflow[[#This Row],[to]],woodstock[#All],7,FALSE)</f>
        <v>6</v>
      </c>
      <c r="J5" s="151" t="str">
        <f>VLOOKUP(woodflow[[#This Row],[From]],woodstock[#All],8,FALSE)</f>
        <v>0</v>
      </c>
      <c r="K5" s="151" t="str">
        <f>VLOOKUP(woodflow[[#This Row],[to]],woodstock[#All],8,FALSE)</f>
        <v>0</v>
      </c>
      <c r="L5" s="152" t="str">
        <f>VLOOKUP(woodflow[[#This Row],[From]],woodstock[#All],9,FALSE)</f>
        <v>nan</v>
      </c>
      <c r="M5" s="152" t="str">
        <f>VLOOKUP(woodflow[[#This Row],[to]],woodstock[#All],9,FALSE)</f>
        <v>nan</v>
      </c>
      <c r="N5" s="157">
        <f>'faostat-data'!Q16</f>
        <v>332.43309708899994</v>
      </c>
      <c r="O5" s="148" t="s">
        <v>920</v>
      </c>
      <c r="P5" s="148"/>
      <c r="Q5" s="148" t="s">
        <v>227</v>
      </c>
      <c r="R5" s="1"/>
      <c r="S5" s="1"/>
      <c r="T5" s="1"/>
      <c r="U5" s="1"/>
      <c r="V5" s="1"/>
    </row>
    <row r="6" spans="1:22" x14ac:dyDescent="0.3">
      <c r="A6" s="5" t="str">
        <f>CONCATENATE("F",IF(B6&lt;&gt;"",COUNTA($B$2:B6),""))</f>
        <v>F</v>
      </c>
      <c r="B6" s="148"/>
      <c r="C6" s="148"/>
      <c r="D6" s="149"/>
      <c r="E6" s="149"/>
      <c r="F6" s="148"/>
      <c r="G6" s="5"/>
      <c r="H6" s="151"/>
      <c r="I6" s="151"/>
      <c r="J6" s="151"/>
      <c r="K6" s="151"/>
      <c r="L6" s="152"/>
      <c r="M6" s="152"/>
      <c r="N6" s="157"/>
      <c r="O6" s="148"/>
      <c r="P6" s="148"/>
      <c r="Q6" s="148"/>
      <c r="R6" s="1"/>
      <c r="S6" s="1"/>
      <c r="T6" s="1"/>
      <c r="U6" s="1"/>
      <c r="V6" s="1"/>
    </row>
    <row r="7" spans="1:22" x14ac:dyDescent="0.3">
      <c r="A7" s="5" t="str">
        <f>CONCATENATE("F",IF(B7&lt;&gt;"",COUNTA($B$2:B7),""))</f>
        <v>F</v>
      </c>
      <c r="B7" s="148"/>
      <c r="C7" s="148"/>
      <c r="D7" s="149"/>
      <c r="E7" s="149"/>
      <c r="F7" s="148"/>
      <c r="G7" s="5"/>
      <c r="H7" s="151"/>
      <c r="I7" s="151"/>
      <c r="J7" s="151"/>
      <c r="K7" s="151"/>
      <c r="L7" s="152"/>
      <c r="M7" s="152"/>
      <c r="N7" s="157"/>
      <c r="O7" s="148"/>
      <c r="P7" s="148"/>
      <c r="Q7" s="148"/>
      <c r="R7" s="1"/>
      <c r="S7" s="1"/>
      <c r="T7" s="1"/>
      <c r="U7" s="1"/>
      <c r="V7" s="1"/>
    </row>
    <row r="8" spans="1:22" x14ac:dyDescent="0.3">
      <c r="A8" s="5" t="str">
        <f>CONCATENATE("F",IF(B8&lt;&gt;"",COUNTA($B$2:B8),""))</f>
        <v>F3</v>
      </c>
      <c r="B8" s="148" t="s">
        <v>912</v>
      </c>
      <c r="C8" s="5" t="s">
        <v>263</v>
      </c>
      <c r="D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150.632696931</v>
      </c>
      <c r="F8" s="148">
        <f>VLOOKUP(woodflow[[#This Row],[From]],woodstock[#All],4,FALSE)</f>
        <v>2021</v>
      </c>
      <c r="G8" s="5" t="str">
        <f>VLOOKUP(woodflow[[#This Row],[From]],woodstock[#All],5,FALSE)</f>
        <v>Global</v>
      </c>
      <c r="H8" s="151" t="str">
        <f>VLOOKUP(woodflow[[#This Row],[From]],woodstock[#All],7,FALSE)</f>
        <v>0</v>
      </c>
      <c r="I8" s="151" t="str">
        <f>VLOOKUP(woodflow[[#This Row],[to]],woodstock[#All],7,FALSE)</f>
        <v>8</v>
      </c>
      <c r="J8" s="151" t="str">
        <f>VLOOKUP(woodflow[[#This Row],[From]],woodstock[#All],8,FALSE)</f>
        <v>0</v>
      </c>
      <c r="K8" s="151" t="str">
        <f>VLOOKUP(woodflow[[#This Row],[to]],woodstock[#All],8,FALSE)</f>
        <v>0</v>
      </c>
      <c r="L8" s="152" t="str">
        <f>VLOOKUP(woodflow[[#This Row],[From]],woodstock[#All],9,FALSE)</f>
        <v>nan</v>
      </c>
      <c r="M8" s="152" t="str">
        <f>VLOOKUP(woodflow[[#This Row],[to]],woodstock[#All],9,FALSE)</f>
        <v>nan</v>
      </c>
      <c r="N8" s="157">
        <f>'faostat-data'!Q22</f>
        <v>150.632696931</v>
      </c>
      <c r="O8" s="148" t="s">
        <v>920</v>
      </c>
      <c r="P8" s="148"/>
      <c r="Q8" s="148" t="s">
        <v>227</v>
      </c>
      <c r="R8" s="1"/>
      <c r="S8" s="1"/>
      <c r="T8" s="1"/>
      <c r="U8" s="1"/>
      <c r="V8" s="1"/>
    </row>
    <row r="9" spans="1:22" x14ac:dyDescent="0.3">
      <c r="A9" s="5" t="str">
        <f>CONCATENATE("F",IF(B9&lt;&gt;"",COUNTA($B$2:B9),""))</f>
        <v>F</v>
      </c>
      <c r="B9" s="148"/>
      <c r="C9" s="148"/>
      <c r="D9" s="149"/>
      <c r="E9" s="149"/>
      <c r="F9" s="148"/>
      <c r="G9" s="5"/>
      <c r="H9" s="151"/>
      <c r="I9" s="151"/>
      <c r="J9" s="151"/>
      <c r="K9" s="151"/>
      <c r="L9" s="152"/>
      <c r="M9" s="152"/>
      <c r="N9" s="157"/>
      <c r="O9" s="148"/>
      <c r="P9" s="148"/>
      <c r="Q9" s="148"/>
      <c r="R9" s="1"/>
      <c r="S9" s="1"/>
      <c r="T9" s="1"/>
      <c r="U9" s="1"/>
      <c r="V9" s="1"/>
    </row>
    <row r="10" spans="1:22" x14ac:dyDescent="0.3">
      <c r="A10" s="5" t="str">
        <f>CONCATENATE("F",IF(B10&lt;&gt;"",COUNTA($B$2:B10),""))</f>
        <v>F</v>
      </c>
      <c r="B10" s="148"/>
      <c r="C10" s="148"/>
      <c r="D10" s="149"/>
      <c r="E10" s="149"/>
      <c r="F10" s="148"/>
      <c r="G10" s="5"/>
      <c r="H10" s="151"/>
      <c r="I10" s="151"/>
      <c r="J10" s="151"/>
      <c r="K10" s="151"/>
      <c r="L10" s="152"/>
      <c r="M10" s="152"/>
      <c r="N10" s="157"/>
      <c r="O10" s="148"/>
      <c r="P10" s="148"/>
      <c r="Q10" s="148"/>
      <c r="R10" s="1"/>
      <c r="S10" s="1"/>
      <c r="T10" s="1"/>
      <c r="U10" s="1"/>
      <c r="V10" s="1"/>
    </row>
    <row r="11" spans="1:22" x14ac:dyDescent="0.3">
      <c r="A11" s="5" t="str">
        <f>CONCATENATE("F",IF(B11&lt;&gt;"",COUNTA($B$2:B11),""))</f>
        <v>F4</v>
      </c>
      <c r="B11" s="148" t="s">
        <v>912</v>
      </c>
      <c r="C11" s="5" t="s">
        <v>265</v>
      </c>
      <c r="D1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18.830889724999995</v>
      </c>
      <c r="F11" s="148">
        <f>VLOOKUP(woodflow[[#This Row],[From]],woodstock[#All],4,FALSE)</f>
        <v>2021</v>
      </c>
      <c r="G11" s="5" t="str">
        <f>VLOOKUP(woodflow[[#This Row],[From]],woodstock[#All],5,FALSE)</f>
        <v>Global</v>
      </c>
      <c r="H11" s="151" t="str">
        <f>VLOOKUP(woodflow[[#This Row],[From]],woodstock[#All],7,FALSE)</f>
        <v>0</v>
      </c>
      <c r="I11" s="151" t="str">
        <f>VLOOKUP(woodflow[[#This Row],[to]],woodstock[#All],7,FALSE)</f>
        <v>10</v>
      </c>
      <c r="J11" s="151" t="str">
        <f>VLOOKUP(woodflow[[#This Row],[From]],woodstock[#All],8,FALSE)</f>
        <v>0</v>
      </c>
      <c r="K11" s="151" t="str">
        <f>VLOOKUP(woodflow[[#This Row],[to]],woodstock[#All],8,FALSE)</f>
        <v>0</v>
      </c>
      <c r="L11" s="152" t="str">
        <f>VLOOKUP(woodflow[[#This Row],[From]],woodstock[#All],9,FALSE)</f>
        <v>nan</v>
      </c>
      <c r="M11" s="152" t="str">
        <f>VLOOKUP(woodflow[[#This Row],[to]],woodstock[#All],9,FALSE)</f>
        <v>nan</v>
      </c>
      <c r="N11" s="157">
        <f>'faostat-data'!Q29</f>
        <v>18.830889724999995</v>
      </c>
      <c r="O11" s="148" t="s">
        <v>920</v>
      </c>
      <c r="P11" s="148"/>
      <c r="Q11" s="148" t="s">
        <v>227</v>
      </c>
      <c r="R11" s="1"/>
      <c r="S11" s="1"/>
      <c r="T11" s="1"/>
      <c r="U11" s="1"/>
      <c r="V11" s="1"/>
    </row>
    <row r="12" spans="1:22" x14ac:dyDescent="0.3">
      <c r="A12" s="5" t="str">
        <f>CONCATENATE("F",IF(B12&lt;&gt;"",COUNTA($B$2:B12),""))</f>
        <v>F</v>
      </c>
      <c r="B12" s="148"/>
      <c r="C12" s="148"/>
      <c r="D12" s="149"/>
      <c r="E12" s="149"/>
      <c r="F12" s="148"/>
      <c r="G12" s="5"/>
      <c r="H12" s="151"/>
      <c r="I12" s="151"/>
      <c r="J12" s="151"/>
      <c r="K12" s="151"/>
      <c r="L12" s="152"/>
      <c r="M12" s="152"/>
      <c r="N12" s="157"/>
      <c r="O12" s="148"/>
      <c r="P12" s="148"/>
      <c r="Q12" s="148"/>
      <c r="R12" s="1"/>
      <c r="S12" s="1"/>
      <c r="T12" s="1"/>
      <c r="U12" s="1"/>
      <c r="V12" s="1"/>
    </row>
    <row r="13" spans="1:22" x14ac:dyDescent="0.3">
      <c r="A13" s="5" t="str">
        <f>CONCATENATE("F",IF(B13&lt;&gt;"",COUNTA($B$2:B13),""))</f>
        <v>F</v>
      </c>
      <c r="B13" s="148"/>
      <c r="C13" s="148"/>
      <c r="D13" s="149"/>
      <c r="E13" s="149"/>
      <c r="F13" s="148"/>
      <c r="G13" s="5"/>
      <c r="H13" s="151"/>
      <c r="I13" s="151"/>
      <c r="J13" s="151"/>
      <c r="K13" s="151"/>
      <c r="L13" s="152"/>
      <c r="M13" s="152"/>
      <c r="N13" s="157"/>
      <c r="O13" s="148"/>
      <c r="P13" s="148"/>
      <c r="Q13" s="148"/>
      <c r="R13" s="1"/>
      <c r="S13" s="1"/>
      <c r="T13" s="1"/>
      <c r="U13" s="1"/>
      <c r="V13" s="1"/>
    </row>
    <row r="14" spans="1:22" x14ac:dyDescent="0.3">
      <c r="A14" s="5" t="str">
        <f>CONCATENATE("F",IF(B14&lt;&gt;"",COUNTA($B$2:B14),""))</f>
        <v>F5</v>
      </c>
      <c r="B14" s="148" t="s">
        <v>913</v>
      </c>
      <c r="C14" s="5" t="s">
        <v>259</v>
      </c>
      <c r="D1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1150.7629771904599</v>
      </c>
      <c r="E1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" s="148">
        <f>VLOOKUP(woodflow[[#This Row],[From]],woodstock[#All],4,FALSE)</f>
        <v>2021</v>
      </c>
      <c r="G14" s="5" t="str">
        <f>VLOOKUP(woodflow[[#This Row],[From]],woodstock[#All],5,FALSE)</f>
        <v>Global</v>
      </c>
      <c r="H14" s="151" t="str">
        <f>VLOOKUP(woodflow[[#This Row],[From]],woodstock[#All],7,FALSE)</f>
        <v>1</v>
      </c>
      <c r="I14" s="151" t="str">
        <f>VLOOKUP(woodflow[[#This Row],[to]],woodstock[#All],7,FALSE)</f>
        <v>5</v>
      </c>
      <c r="J14" s="151" t="str">
        <f>VLOOKUP(woodflow[[#This Row],[From]],woodstock[#All],8,FALSE)</f>
        <v>0</v>
      </c>
      <c r="K14" s="151" t="str">
        <f>VLOOKUP(woodflow[[#This Row],[to]],woodstock[#All],8,FALSE)</f>
        <v>0</v>
      </c>
      <c r="L14" s="152" t="str">
        <f>VLOOKUP(woodflow[[#This Row],[From]],woodstock[#All],9,FALSE)</f>
        <v>nan</v>
      </c>
      <c r="M14" s="152" t="str">
        <f>VLOOKUP(woodflow[[#This Row],[to]],woodstock[#All],9,FALSE)</f>
        <v>nan</v>
      </c>
      <c r="N14" s="157">
        <f>'faostat-data'!Q5</f>
        <v>1150.7629771904599</v>
      </c>
      <c r="O14" s="148" t="s">
        <v>921</v>
      </c>
      <c r="P14" s="148"/>
      <c r="Q14" s="148" t="s">
        <v>227</v>
      </c>
      <c r="R14" s="1"/>
      <c r="S14" s="1"/>
      <c r="T14" s="1"/>
      <c r="U14" s="1"/>
      <c r="V14" s="1"/>
    </row>
    <row r="15" spans="1:22" x14ac:dyDescent="0.3">
      <c r="A15" s="5" t="str">
        <f>CONCATENATE("F",IF(B15&lt;&gt;"",COUNTA($B$2:B15),""))</f>
        <v>F</v>
      </c>
      <c r="B15" s="148"/>
      <c r="C15" s="148"/>
      <c r="D15" s="149"/>
      <c r="E15" s="149"/>
      <c r="F15" s="148"/>
      <c r="G15" s="5"/>
      <c r="H15" s="151"/>
      <c r="I15" s="151"/>
      <c r="J15" s="151"/>
      <c r="K15" s="151"/>
      <c r="L15" s="152"/>
      <c r="M15" s="152"/>
      <c r="N15" s="157"/>
      <c r="O15" s="148"/>
      <c r="P15" s="148"/>
      <c r="Q15" s="148"/>
      <c r="R15" s="1"/>
      <c r="S15" s="1"/>
      <c r="T15" s="1"/>
      <c r="U15" s="1"/>
      <c r="V15" s="1"/>
    </row>
    <row r="16" spans="1:22" x14ac:dyDescent="0.3">
      <c r="A16" s="5" t="str">
        <f>CONCATENATE("F",IF(B16&lt;&gt;"",COUNTA($B$2:B16),""))</f>
        <v>F</v>
      </c>
      <c r="B16" s="148"/>
      <c r="C16" s="148"/>
      <c r="D16" s="149"/>
      <c r="E16" s="149"/>
      <c r="F16" s="148"/>
      <c r="G16" s="5"/>
      <c r="H16" s="151"/>
      <c r="I16" s="151"/>
      <c r="J16" s="151"/>
      <c r="K16" s="151"/>
      <c r="L16" s="152"/>
      <c r="M16" s="152"/>
      <c r="N16" s="157"/>
      <c r="O16" s="148"/>
      <c r="P16" s="148"/>
      <c r="Q16" s="148"/>
      <c r="R16" s="1"/>
      <c r="S16" s="1"/>
      <c r="T16" s="1"/>
      <c r="U16" s="1"/>
      <c r="V16" s="1"/>
    </row>
    <row r="17" spans="1:22" x14ac:dyDescent="0.3">
      <c r="A17" s="5" t="str">
        <f>CONCATENATE("F",IF(B17&lt;&gt;"",COUNTA($B$2:B17),""))</f>
        <v>F6</v>
      </c>
      <c r="B17" s="148" t="s">
        <v>913</v>
      </c>
      <c r="C17" s="5" t="s">
        <v>261</v>
      </c>
      <c r="D1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234.55451115985716</v>
      </c>
      <c r="F17" s="148">
        <f>VLOOKUP(woodflow[[#This Row],[From]],woodstock[#All],4,FALSE)</f>
        <v>2021</v>
      </c>
      <c r="G17" s="5" t="str">
        <f>VLOOKUP(woodflow[[#This Row],[From]],woodstock[#All],5,FALSE)</f>
        <v>Global</v>
      </c>
      <c r="H17" s="151" t="str">
        <f>VLOOKUP(woodflow[[#This Row],[From]],woodstock[#All],7,FALSE)</f>
        <v>1</v>
      </c>
      <c r="I17" s="151" t="str">
        <f>VLOOKUP(woodflow[[#This Row],[to]],woodstock[#All],7,FALSE)</f>
        <v>7</v>
      </c>
      <c r="J17" s="151" t="str">
        <f>VLOOKUP(woodflow[[#This Row],[From]],woodstock[#All],8,FALSE)</f>
        <v>0</v>
      </c>
      <c r="K17" s="151" t="str">
        <f>VLOOKUP(woodflow[[#This Row],[to]],woodstock[#All],8,FALSE)</f>
        <v>0</v>
      </c>
      <c r="L17" s="152" t="str">
        <f>VLOOKUP(woodflow[[#This Row],[From]],woodstock[#All],9,FALSE)</f>
        <v>nan</v>
      </c>
      <c r="M17" s="152" t="str">
        <f>VLOOKUP(woodflow[[#This Row],[to]],woodstock[#All],9,FALSE)</f>
        <v>nan</v>
      </c>
      <c r="N17" s="157">
        <f>'faostat-data'!Q19</f>
        <v>234.55451115985716</v>
      </c>
      <c r="O17" s="148" t="s">
        <v>920</v>
      </c>
      <c r="P17" s="148"/>
      <c r="Q17" s="148" t="s">
        <v>227</v>
      </c>
      <c r="R17" s="1"/>
      <c r="S17" s="1"/>
      <c r="T17" s="1"/>
      <c r="U17" s="1"/>
      <c r="V17" s="1"/>
    </row>
    <row r="18" spans="1:22" x14ac:dyDescent="0.3">
      <c r="A18" s="5" t="str">
        <f>CONCATENATE("F",IF(B18&lt;&gt;"",COUNTA($B$2:B18),""))</f>
        <v>F</v>
      </c>
      <c r="B18" s="148"/>
      <c r="C18" s="148"/>
      <c r="D18" s="149"/>
      <c r="E18" s="149"/>
      <c r="F18" s="148"/>
      <c r="G18" s="5"/>
      <c r="H18" s="151"/>
      <c r="I18" s="151"/>
      <c r="J18" s="151"/>
      <c r="K18" s="151"/>
      <c r="L18" s="152"/>
      <c r="M18" s="152"/>
      <c r="N18" s="157"/>
      <c r="O18" s="148"/>
      <c r="P18" s="148"/>
      <c r="Q18" s="148"/>
      <c r="R18" s="1"/>
      <c r="S18" s="1"/>
      <c r="T18" s="1"/>
      <c r="U18" s="1"/>
      <c r="V18" s="1"/>
    </row>
    <row r="19" spans="1:22" x14ac:dyDescent="0.3">
      <c r="A19" s="5" t="str">
        <f>CONCATENATE("F",IF(B19&lt;&gt;"",COUNTA($B$2:B19),""))</f>
        <v>F</v>
      </c>
      <c r="B19" s="148"/>
      <c r="C19" s="148"/>
      <c r="D19" s="149"/>
      <c r="E19" s="149"/>
      <c r="F19" s="148"/>
      <c r="G19" s="5"/>
      <c r="H19" s="151"/>
      <c r="I19" s="151"/>
      <c r="J19" s="151"/>
      <c r="K19" s="151"/>
      <c r="L19" s="152"/>
      <c r="M19" s="152"/>
      <c r="N19" s="157"/>
      <c r="O19" s="148"/>
      <c r="P19" s="148"/>
      <c r="Q19" s="148"/>
      <c r="R19" s="1"/>
      <c r="S19" s="1"/>
      <c r="T19" s="1"/>
      <c r="U19" s="1"/>
      <c r="V19" s="1"/>
    </row>
    <row r="20" spans="1:22" x14ac:dyDescent="0.3">
      <c r="A20" s="5" t="str">
        <f>CONCATENATE("F",IF(B20&lt;&gt;"",COUNTA($B$2:B20),""))</f>
        <v>F7</v>
      </c>
      <c r="B20" s="148" t="s">
        <v>913</v>
      </c>
      <c r="C20" s="5" t="s">
        <v>264</v>
      </c>
      <c r="D2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178.55280548749997</v>
      </c>
      <c r="F20" s="148">
        <f>VLOOKUP(woodflow[[#This Row],[From]],woodstock[#All],4,FALSE)</f>
        <v>2021</v>
      </c>
      <c r="G20" s="5" t="str">
        <f>VLOOKUP(woodflow[[#This Row],[From]],woodstock[#All],5,FALSE)</f>
        <v>Global</v>
      </c>
      <c r="H20" s="151" t="str">
        <f>VLOOKUP(woodflow[[#This Row],[From]],woodstock[#All],7,FALSE)</f>
        <v>1</v>
      </c>
      <c r="I20" s="151" t="str">
        <f>VLOOKUP(woodflow[[#This Row],[to]],woodstock[#All],7,FALSE)</f>
        <v>9</v>
      </c>
      <c r="J20" s="151" t="str">
        <f>VLOOKUP(woodflow[[#This Row],[From]],woodstock[#All],8,FALSE)</f>
        <v>0</v>
      </c>
      <c r="K20" s="151" t="str">
        <f>VLOOKUP(woodflow[[#This Row],[to]],woodstock[#All],8,FALSE)</f>
        <v>0</v>
      </c>
      <c r="L20" s="152" t="str">
        <f>VLOOKUP(woodflow[[#This Row],[From]],woodstock[#All],9,FALSE)</f>
        <v>nan</v>
      </c>
      <c r="M20" s="152" t="str">
        <f>VLOOKUP(woodflow[[#This Row],[to]],woodstock[#All],9,FALSE)</f>
        <v>nan</v>
      </c>
      <c r="N20" s="157">
        <f>'faostat-data'!Q23</f>
        <v>178.55280548749997</v>
      </c>
      <c r="O20" s="148" t="s">
        <v>920</v>
      </c>
      <c r="P20" s="148"/>
      <c r="Q20" s="148" t="s">
        <v>227</v>
      </c>
      <c r="R20" s="1"/>
      <c r="S20" s="1"/>
      <c r="T20" s="1"/>
      <c r="U20" s="1"/>
      <c r="V20" s="1"/>
    </row>
    <row r="21" spans="1:22" x14ac:dyDescent="0.3">
      <c r="A21" s="5" t="str">
        <f>CONCATENATE("F",IF(B21&lt;&gt;"",COUNTA($B$2:B21),""))</f>
        <v>F</v>
      </c>
      <c r="B21" s="148"/>
      <c r="C21" s="148"/>
      <c r="D21" s="149"/>
      <c r="E21" s="149"/>
      <c r="F21" s="148"/>
      <c r="G21" s="5"/>
      <c r="H21" s="151"/>
      <c r="I21" s="151"/>
      <c r="J21" s="151"/>
      <c r="K21" s="151"/>
      <c r="L21" s="152"/>
      <c r="M21" s="152"/>
      <c r="N21" s="157"/>
      <c r="O21" s="148"/>
      <c r="P21" s="148"/>
      <c r="Q21" s="148"/>
      <c r="R21" s="1"/>
      <c r="S21" s="1"/>
      <c r="T21" s="1"/>
      <c r="U21" s="1"/>
      <c r="V21" s="1"/>
    </row>
    <row r="22" spans="1:22" x14ac:dyDescent="0.3">
      <c r="A22" s="5" t="str">
        <f>CONCATENATE("F",IF(B22&lt;&gt;"",COUNTA($B$2:B22),""))</f>
        <v>F</v>
      </c>
      <c r="B22" s="148"/>
      <c r="C22" s="148"/>
      <c r="D22" s="149"/>
      <c r="E22" s="149"/>
      <c r="F22" s="148"/>
      <c r="G22" s="5"/>
      <c r="H22" s="151"/>
      <c r="I22" s="151"/>
      <c r="J22" s="151"/>
      <c r="K22" s="151"/>
      <c r="L22" s="152"/>
      <c r="M22" s="152"/>
      <c r="N22" s="157"/>
      <c r="O22" s="148"/>
      <c r="P22" s="148"/>
      <c r="Q22" s="148"/>
      <c r="R22" s="1"/>
      <c r="S22" s="1"/>
      <c r="T22" s="1"/>
      <c r="U22" s="1"/>
      <c r="V22" s="1"/>
    </row>
    <row r="23" spans="1:22" x14ac:dyDescent="0.3">
      <c r="A23" s="5" t="str">
        <f>CONCATENATE("F",IF(B23&lt;&gt;"",COUNTA($B$2:B23),""))</f>
        <v>F8</v>
      </c>
      <c r="B23" s="148" t="s">
        <v>913</v>
      </c>
      <c r="C23" s="5" t="s">
        <v>266</v>
      </c>
      <c r="D2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65.035985645678579</v>
      </c>
      <c r="F23" s="148">
        <f>VLOOKUP(woodflow[[#This Row],[From]],woodstock[#All],4,FALSE)</f>
        <v>2021</v>
      </c>
      <c r="G23" s="5" t="str">
        <f>VLOOKUP(woodflow[[#This Row],[From]],woodstock[#All],5,FALSE)</f>
        <v>Global</v>
      </c>
      <c r="H23" s="151" t="str">
        <f>VLOOKUP(woodflow[[#This Row],[From]],woodstock[#All],7,FALSE)</f>
        <v>1</v>
      </c>
      <c r="I23" s="151" t="str">
        <f>VLOOKUP(woodflow[[#This Row],[to]],woodstock[#All],7,FALSE)</f>
        <v>11</v>
      </c>
      <c r="J23" s="151" t="str">
        <f>VLOOKUP(woodflow[[#This Row],[From]],woodstock[#All],8,FALSE)</f>
        <v>0</v>
      </c>
      <c r="K23" s="151" t="str">
        <f>VLOOKUP(woodflow[[#This Row],[to]],woodstock[#All],8,FALSE)</f>
        <v>0</v>
      </c>
      <c r="L23" s="152" t="str">
        <f>VLOOKUP(woodflow[[#This Row],[From]],woodstock[#All],9,FALSE)</f>
        <v>nan</v>
      </c>
      <c r="M23" s="152" t="str">
        <f>VLOOKUP(woodflow[[#This Row],[to]],woodstock[#All],9,FALSE)</f>
        <v>nan</v>
      </c>
      <c r="N23" s="157">
        <f>'faostat-data'!Q30</f>
        <v>65.035985645678579</v>
      </c>
      <c r="O23" s="148" t="s">
        <v>920</v>
      </c>
      <c r="P23" s="148"/>
      <c r="Q23" s="148" t="s">
        <v>227</v>
      </c>
      <c r="R23" s="1"/>
      <c r="S23" s="1"/>
      <c r="T23" s="1"/>
      <c r="U23" s="1"/>
      <c r="V23" s="1"/>
    </row>
    <row r="24" spans="1:22" x14ac:dyDescent="0.3">
      <c r="A24" s="5" t="str">
        <f>CONCATENATE("F",IF(B24&lt;&gt;"",COUNTA($B$2:B24),""))</f>
        <v>F</v>
      </c>
      <c r="B24" s="148"/>
      <c r="C24" s="148"/>
      <c r="D24" s="149"/>
      <c r="E24" s="149"/>
      <c r="F24" s="148"/>
      <c r="G24" s="5"/>
      <c r="H24" s="151"/>
      <c r="I24" s="151"/>
      <c r="J24" s="151"/>
      <c r="K24" s="151"/>
      <c r="L24" s="152"/>
      <c r="M24" s="152"/>
      <c r="N24" s="157"/>
      <c r="O24" s="148"/>
      <c r="P24" s="148"/>
      <c r="Q24" s="148"/>
      <c r="R24" s="1"/>
      <c r="S24" s="1"/>
      <c r="T24" s="1"/>
      <c r="U24" s="1"/>
      <c r="V24" s="1"/>
    </row>
    <row r="25" spans="1:22" x14ac:dyDescent="0.3">
      <c r="A25" s="5" t="str">
        <f>CONCATENATE("F",IF(B25&lt;&gt;"",COUNTA($B$2:B25),""))</f>
        <v>F</v>
      </c>
      <c r="B25" s="148"/>
      <c r="C25" s="148"/>
      <c r="D25" s="149"/>
      <c r="E25" s="149"/>
      <c r="F25" s="148"/>
      <c r="G25" s="5"/>
      <c r="H25" s="151"/>
      <c r="I25" s="151"/>
      <c r="J25" s="151"/>
      <c r="K25" s="151"/>
      <c r="L25" s="152"/>
      <c r="M25" s="152"/>
      <c r="N25" s="157"/>
      <c r="O25" s="148"/>
      <c r="P25" s="148"/>
      <c r="Q25" s="148"/>
      <c r="R25" s="1"/>
      <c r="S25" s="1"/>
      <c r="T25" s="1"/>
      <c r="U25" s="1"/>
      <c r="V25" s="1"/>
    </row>
    <row r="26" spans="1:22" x14ac:dyDescent="0.3">
      <c r="A26" s="5" t="str">
        <f>CONCATENATE("F",IF(B26&lt;&gt;"",COUNTA($B$2:B26),""))</f>
        <v>F9</v>
      </c>
      <c r="B26" s="148" t="s">
        <v>914</v>
      </c>
      <c r="C26" s="148" t="s">
        <v>61</v>
      </c>
      <c r="D2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252.74445487516152</v>
      </c>
      <c r="E2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" s="148">
        <f>VLOOKUP(woodflow[[#This Row],[From]],woodstock[#All],4,FALSE)</f>
        <v>2021</v>
      </c>
      <c r="G26" s="5" t="str">
        <f>VLOOKUP(woodflow[[#This Row],[From]],woodstock[#All],5,FALSE)</f>
        <v>Global</v>
      </c>
      <c r="H26" s="151" t="str">
        <f>VLOOKUP(woodflow[[#This Row],[From]],woodstock[#All],7,FALSE)</f>
        <v>2</v>
      </c>
      <c r="I26" s="151" t="str">
        <f>VLOOKUP(woodflow[[#This Row],[to]],woodstock[#All],7,FALSE)</f>
        <v>2</v>
      </c>
      <c r="J26" s="151" t="str">
        <f>VLOOKUP(woodflow[[#This Row],[From]],woodstock[#All],8,FALSE)</f>
        <v>0</v>
      </c>
      <c r="K26" s="151" t="str">
        <f>VLOOKUP(woodflow[[#This Row],[to]],woodstock[#All],8,FALSE)</f>
        <v>1</v>
      </c>
      <c r="L26" s="152" t="str">
        <f>VLOOKUP(woodflow[[#This Row],[From]],woodstock[#All],9,FALSE)</f>
        <v>nan</v>
      </c>
      <c r="M26" s="152" t="str">
        <f>VLOOKUP(woodflow[[#This Row],[to]],woodstock[#All],9,FALSE)</f>
        <v>4-5</v>
      </c>
      <c r="N26" s="157">
        <f>SUM(N27:N28)</f>
        <v>252.74445487516152</v>
      </c>
      <c r="O26" s="148" t="s">
        <v>921</v>
      </c>
      <c r="P26" s="148" t="s">
        <v>455</v>
      </c>
      <c r="Q26" s="153"/>
      <c r="R26" s="1"/>
      <c r="S26" s="1"/>
      <c r="T26" s="1"/>
      <c r="U26" s="1"/>
      <c r="V26" s="1"/>
    </row>
    <row r="27" spans="1:22" x14ac:dyDescent="0.3">
      <c r="A27" s="5" t="str">
        <f>CONCATENATE("F",IF(B27&lt;&gt;"",COUNTA($B$2:B27),""))</f>
        <v>F10</v>
      </c>
      <c r="B27" s="148" t="s">
        <v>914</v>
      </c>
      <c r="C27" s="5" t="s">
        <v>258</v>
      </c>
      <c r="D2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13.961137108141131</v>
      </c>
      <c r="F27" s="148">
        <f>VLOOKUP(woodflow[[#This Row],[From]],woodstock[#All],4,FALSE)</f>
        <v>2021</v>
      </c>
      <c r="G27" s="5" t="str">
        <f>VLOOKUP(woodflow[[#This Row],[From]],woodstock[#All],5,FALSE)</f>
        <v>Global</v>
      </c>
      <c r="H27" s="151" t="str">
        <f>VLOOKUP(woodflow[[#This Row],[From]],woodstock[#All],7,FALSE)</f>
        <v>2</v>
      </c>
      <c r="I27" s="151" t="str">
        <f>VLOOKUP(woodflow[[#This Row],[to]],woodstock[#All],7,FALSE)</f>
        <v>4</v>
      </c>
      <c r="J27" s="151" t="str">
        <f>VLOOKUP(woodflow[[#This Row],[From]],woodstock[#All],8,FALSE)</f>
        <v>0</v>
      </c>
      <c r="K27" s="151" t="str">
        <f>VLOOKUP(woodflow[[#This Row],[to]],woodstock[#All],8,FALSE)</f>
        <v>0</v>
      </c>
      <c r="L27" s="152" t="str">
        <f>VLOOKUP(woodflow[[#This Row],[From]],woodstock[#All],9,FALSE)</f>
        <v>nan</v>
      </c>
      <c r="M27" s="152" t="str">
        <f>VLOOKUP(woodflow[[#This Row],[to]],woodstock[#All],9,FALSE)</f>
        <v>nan</v>
      </c>
      <c r="N27" s="157">
        <f>N2*'supporting-percentages'!B4</f>
        <v>13.961137108141131</v>
      </c>
      <c r="O27" s="148" t="s">
        <v>920</v>
      </c>
      <c r="P27" s="148" t="s">
        <v>455</v>
      </c>
      <c r="Q27" s="154"/>
      <c r="R27" s="1"/>
      <c r="S27" s="1"/>
      <c r="T27" s="1"/>
      <c r="U27" s="1"/>
      <c r="V27" s="1"/>
    </row>
    <row r="28" spans="1:22" x14ac:dyDescent="0.3">
      <c r="A28" s="5" t="str">
        <f>CONCATENATE("F",IF(B28&lt;&gt;"",COUNTA($B$2:B28),""))</f>
        <v>F11</v>
      </c>
      <c r="B28" s="148" t="s">
        <v>914</v>
      </c>
      <c r="C28" s="5" t="s">
        <v>259</v>
      </c>
      <c r="D2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8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238.78331776702041</v>
      </c>
      <c r="F28" s="148">
        <f>VLOOKUP(woodflow[[#This Row],[From]],woodstock[#All],4,FALSE)</f>
        <v>2021</v>
      </c>
      <c r="G28" s="5" t="str">
        <f>VLOOKUP(woodflow[[#This Row],[From]],woodstock[#All],5,FALSE)</f>
        <v>Global</v>
      </c>
      <c r="H28" s="151" t="str">
        <f>VLOOKUP(woodflow[[#This Row],[From]],woodstock[#All],7,FALSE)</f>
        <v>2</v>
      </c>
      <c r="I28" s="151" t="str">
        <f>VLOOKUP(woodflow[[#This Row],[to]],woodstock[#All],7,FALSE)</f>
        <v>5</v>
      </c>
      <c r="J28" s="151" t="str">
        <f>VLOOKUP(woodflow[[#This Row],[From]],woodstock[#All],8,FALSE)</f>
        <v>0</v>
      </c>
      <c r="K28" s="151" t="str">
        <f>VLOOKUP(woodflow[[#This Row],[to]],woodstock[#All],8,FALSE)</f>
        <v>0</v>
      </c>
      <c r="L28" s="152" t="str">
        <f>VLOOKUP(woodflow[[#This Row],[From]],woodstock[#All],9,FALSE)</f>
        <v>nan</v>
      </c>
      <c r="M28" s="152" t="str">
        <f>VLOOKUP(woodflow[[#This Row],[to]],woodstock[#All],9,FALSE)</f>
        <v>nan</v>
      </c>
      <c r="N28" s="157">
        <f>N14*'supporting-percentages'!B5</f>
        <v>238.78331776702041</v>
      </c>
      <c r="O28" s="148" t="s">
        <v>920</v>
      </c>
      <c r="P28" s="148" t="s">
        <v>455</v>
      </c>
      <c r="Q28" s="154"/>
      <c r="R28" s="1"/>
      <c r="S28" s="1"/>
      <c r="T28" s="1"/>
      <c r="U28" s="1"/>
      <c r="V28" s="1"/>
    </row>
    <row r="29" spans="1:22" x14ac:dyDescent="0.3">
      <c r="A29" s="5" t="str">
        <f>CONCATENATE("F",IF(B29&lt;&gt;"",COUNTA($B$2:B29),""))</f>
        <v>F</v>
      </c>
      <c r="B29" s="148"/>
      <c r="C29" s="148"/>
      <c r="D29" s="149"/>
      <c r="E29" s="149"/>
      <c r="F29" s="148"/>
      <c r="G29" s="5"/>
      <c r="H29" s="151"/>
      <c r="I29" s="151"/>
      <c r="J29" s="151"/>
      <c r="K29" s="151"/>
      <c r="L29" s="152"/>
      <c r="M29" s="152"/>
      <c r="N29" s="157"/>
      <c r="O29" s="148"/>
      <c r="P29" s="148"/>
      <c r="Q29" s="154"/>
      <c r="R29" s="1"/>
      <c r="S29" s="1"/>
      <c r="T29" s="1"/>
      <c r="U29" s="1"/>
      <c r="V29" s="1"/>
    </row>
    <row r="30" spans="1:22" x14ac:dyDescent="0.3">
      <c r="A30" s="5" t="str">
        <f>CONCATENATE("F",IF(B30&lt;&gt;"",COUNTA($B$2:B30),""))</f>
        <v>F</v>
      </c>
      <c r="B30" s="148"/>
      <c r="C30" s="148"/>
      <c r="D30" s="149"/>
      <c r="E30" s="149"/>
      <c r="F30" s="148"/>
      <c r="G30" s="5"/>
      <c r="H30" s="151"/>
      <c r="I30" s="151"/>
      <c r="J30" s="151"/>
      <c r="K30" s="151"/>
      <c r="L30" s="152"/>
      <c r="M30" s="152"/>
      <c r="N30" s="157"/>
      <c r="O30" s="148"/>
      <c r="P30" s="148"/>
      <c r="Q30" s="154"/>
      <c r="R30" s="1"/>
      <c r="S30" s="1"/>
      <c r="T30" s="1"/>
      <c r="U30" s="1"/>
      <c r="V30" s="1"/>
    </row>
    <row r="31" spans="1:22" x14ac:dyDescent="0.3">
      <c r="A31" s="5" t="str">
        <f>CONCATENATE("F",IF(B31&lt;&gt;"",COUNTA($B$2:B31),""))</f>
        <v>F12</v>
      </c>
      <c r="B31" s="148" t="s">
        <v>914</v>
      </c>
      <c r="C31" s="148" t="s">
        <v>62</v>
      </c>
      <c r="D3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93.797853995502109</v>
      </c>
      <c r="E3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" s="148">
        <f>VLOOKUP(woodflow[[#This Row],[From]],woodstock[#All],4,FALSE)</f>
        <v>2021</v>
      </c>
      <c r="G31" s="5" t="str">
        <f>VLOOKUP(woodflow[[#This Row],[From]],woodstock[#All],5,FALSE)</f>
        <v>Global</v>
      </c>
      <c r="H31" s="151" t="str">
        <f>VLOOKUP(woodflow[[#This Row],[From]],woodstock[#All],7,FALSE)</f>
        <v>2</v>
      </c>
      <c r="I31" s="151" t="str">
        <f>VLOOKUP(woodflow[[#This Row],[to]],woodstock[#All],7,FALSE)</f>
        <v>5</v>
      </c>
      <c r="J31" s="151" t="str">
        <f>VLOOKUP(woodflow[[#This Row],[From]],woodstock[#All],8,FALSE)</f>
        <v>0</v>
      </c>
      <c r="K31" s="151" t="str">
        <f>VLOOKUP(woodflow[[#This Row],[to]],woodstock[#All],8,FALSE)</f>
        <v>1</v>
      </c>
      <c r="L31" s="152" t="str">
        <f>VLOOKUP(woodflow[[#This Row],[From]],woodstock[#All],9,FALSE)</f>
        <v>nan</v>
      </c>
      <c r="M31" s="152" t="str">
        <f>VLOOKUP(woodflow[[#This Row],[to]],woodstock[#All],9,FALSE)</f>
        <v>6-7</v>
      </c>
      <c r="N31" s="157">
        <f>SUM(N32:N33)</f>
        <v>93.797853995502109</v>
      </c>
      <c r="O31" s="148" t="s">
        <v>921</v>
      </c>
      <c r="P31" s="148" t="s">
        <v>455</v>
      </c>
      <c r="Q31" s="153"/>
      <c r="R31" s="1"/>
      <c r="S31" s="1"/>
      <c r="T31" s="1"/>
      <c r="U31" s="1"/>
      <c r="V31" s="1"/>
    </row>
    <row r="32" spans="1:22" x14ac:dyDescent="0.3">
      <c r="A32" s="5" t="str">
        <f>CONCATENATE("F",IF(B32&lt;&gt;"",COUNTA($B$2:B32),""))</f>
        <v>F13</v>
      </c>
      <c r="B32" s="148" t="s">
        <v>914</v>
      </c>
      <c r="C32" s="5" t="s">
        <v>260</v>
      </c>
      <c r="D3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45.127792929831749</v>
      </c>
      <c r="F32" s="148">
        <f>VLOOKUP(woodflow[[#This Row],[From]],woodstock[#All],4,FALSE)</f>
        <v>2021</v>
      </c>
      <c r="G32" s="5" t="str">
        <f>VLOOKUP(woodflow[[#This Row],[From]],woodstock[#All],5,FALSE)</f>
        <v>Global</v>
      </c>
      <c r="H32" s="151" t="str">
        <f>VLOOKUP(woodflow[[#This Row],[From]],woodstock[#All],7,FALSE)</f>
        <v>2</v>
      </c>
      <c r="I32" s="151" t="str">
        <f>VLOOKUP(woodflow[[#This Row],[to]],woodstock[#All],7,FALSE)</f>
        <v>6</v>
      </c>
      <c r="J32" s="151" t="str">
        <f>VLOOKUP(woodflow[[#This Row],[From]],woodstock[#All],8,FALSE)</f>
        <v>0</v>
      </c>
      <c r="K32" s="151" t="str">
        <f>VLOOKUP(woodflow[[#This Row],[to]],woodstock[#All],8,FALSE)</f>
        <v>0</v>
      </c>
      <c r="L32" s="152" t="str">
        <f>VLOOKUP(woodflow[[#This Row],[From]],woodstock[#All],9,FALSE)</f>
        <v>nan</v>
      </c>
      <c r="M32" s="152" t="str">
        <f>VLOOKUP(woodflow[[#This Row],[to]],woodstock[#All],9,FALSE)</f>
        <v>nan</v>
      </c>
      <c r="N32" s="157">
        <f>(N5)*'supporting-percentages'!B4</f>
        <v>45.127792929831749</v>
      </c>
      <c r="O32" s="148" t="s">
        <v>920</v>
      </c>
      <c r="P32" s="148" t="s">
        <v>455</v>
      </c>
      <c r="Q32" s="154"/>
      <c r="R32" s="1"/>
      <c r="S32" s="1"/>
      <c r="T32" s="1"/>
      <c r="U32" s="1"/>
      <c r="V32" s="1"/>
    </row>
    <row r="33" spans="1:22" x14ac:dyDescent="0.3">
      <c r="A33" s="5" t="str">
        <f>CONCATENATE("F",IF(B33&lt;&gt;"",COUNTA($B$2:B33),""))</f>
        <v>F14</v>
      </c>
      <c r="B33" s="148" t="s">
        <v>914</v>
      </c>
      <c r="C33" s="5" t="s">
        <v>261</v>
      </c>
      <c r="D3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48.67006106567036</v>
      </c>
      <c r="F33" s="148">
        <f>VLOOKUP(woodflow[[#This Row],[From]],woodstock[#All],4,FALSE)</f>
        <v>2021</v>
      </c>
      <c r="G33" s="5" t="str">
        <f>VLOOKUP(woodflow[[#This Row],[From]],woodstock[#All],5,FALSE)</f>
        <v>Global</v>
      </c>
      <c r="H33" s="151" t="str">
        <f>VLOOKUP(woodflow[[#This Row],[From]],woodstock[#All],7,FALSE)</f>
        <v>2</v>
      </c>
      <c r="I33" s="151" t="str">
        <f>VLOOKUP(woodflow[[#This Row],[to]],woodstock[#All],7,FALSE)</f>
        <v>7</v>
      </c>
      <c r="J33" s="151" t="str">
        <f>VLOOKUP(woodflow[[#This Row],[From]],woodstock[#All],8,FALSE)</f>
        <v>0</v>
      </c>
      <c r="K33" s="151" t="str">
        <f>VLOOKUP(woodflow[[#This Row],[to]],woodstock[#All],8,FALSE)</f>
        <v>0</v>
      </c>
      <c r="L33" s="152" t="str">
        <f>VLOOKUP(woodflow[[#This Row],[From]],woodstock[#All],9,FALSE)</f>
        <v>nan</v>
      </c>
      <c r="M33" s="152" t="str">
        <f>VLOOKUP(woodflow[[#This Row],[to]],woodstock[#All],9,FALSE)</f>
        <v>nan</v>
      </c>
      <c r="N33" s="157">
        <f>(N17)*'supporting-percentages'!B5</f>
        <v>48.67006106567036</v>
      </c>
      <c r="O33" s="148" t="s">
        <v>920</v>
      </c>
      <c r="P33" s="148" t="s">
        <v>455</v>
      </c>
      <c r="Q33" s="154"/>
      <c r="R33" s="1"/>
      <c r="S33" s="1"/>
      <c r="T33" s="1"/>
      <c r="U33" s="1"/>
      <c r="V33" s="1"/>
    </row>
    <row r="34" spans="1:22" x14ac:dyDescent="0.3">
      <c r="A34" s="5" t="str">
        <f>CONCATENATE("F",IF(B34&lt;&gt;"",COUNTA($B$2:B34),""))</f>
        <v>F</v>
      </c>
      <c r="B34" s="148"/>
      <c r="C34" s="148"/>
      <c r="D34" s="149"/>
      <c r="E34" s="149"/>
      <c r="F34" s="148"/>
      <c r="G34" s="5"/>
      <c r="H34" s="151"/>
      <c r="I34" s="151"/>
      <c r="J34" s="151"/>
      <c r="K34" s="151"/>
      <c r="L34" s="152"/>
      <c r="M34" s="152"/>
      <c r="N34" s="157"/>
      <c r="O34" s="148"/>
      <c r="P34" s="148"/>
      <c r="Q34" s="154"/>
      <c r="R34" s="1"/>
      <c r="S34" s="1"/>
      <c r="T34" s="1"/>
      <c r="U34" s="1"/>
      <c r="V34" s="1"/>
    </row>
    <row r="35" spans="1:22" x14ac:dyDescent="0.3">
      <c r="A35" s="5" t="str">
        <f>CONCATENATE("F",IF(B35&lt;&gt;"",COUNTA($B$2:B35),""))</f>
        <v>F</v>
      </c>
      <c r="B35" s="148"/>
      <c r="C35" s="148"/>
      <c r="D35" s="149"/>
      <c r="E35" s="149"/>
      <c r="F35" s="148"/>
      <c r="G35" s="5"/>
      <c r="H35" s="151"/>
      <c r="I35" s="151"/>
      <c r="J35" s="151"/>
      <c r="K35" s="151"/>
      <c r="L35" s="152"/>
      <c r="M35" s="152"/>
      <c r="N35" s="157"/>
      <c r="O35" s="148"/>
      <c r="P35" s="148"/>
      <c r="Q35" s="154"/>
      <c r="R35" s="1"/>
      <c r="S35" s="1"/>
      <c r="T35" s="1"/>
      <c r="U35" s="1"/>
      <c r="V35" s="1"/>
    </row>
    <row r="36" spans="1:22" x14ac:dyDescent="0.3">
      <c r="A36" s="5" t="str">
        <f>CONCATENATE("F",IF(B36&lt;&gt;"",COUNTA($B$2:B36),""))</f>
        <v>F15</v>
      </c>
      <c r="B36" s="148" t="s">
        <v>914</v>
      </c>
      <c r="C36" s="148" t="s">
        <v>63</v>
      </c>
      <c r="D3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57.498095747039486</v>
      </c>
      <c r="E3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" s="148">
        <f>VLOOKUP(woodflow[[#This Row],[From]],woodstock[#All],4,FALSE)</f>
        <v>2021</v>
      </c>
      <c r="G36" s="5" t="str">
        <f>VLOOKUP(woodflow[[#This Row],[From]],woodstock[#All],5,FALSE)</f>
        <v>Global</v>
      </c>
      <c r="H36" s="151" t="str">
        <f>VLOOKUP(woodflow[[#This Row],[From]],woodstock[#All],7,FALSE)</f>
        <v>2</v>
      </c>
      <c r="I36" s="151" t="str">
        <f>VLOOKUP(woodflow[[#This Row],[to]],woodstock[#All],7,FALSE)</f>
        <v>6</v>
      </c>
      <c r="J36" s="151" t="str">
        <f>VLOOKUP(woodflow[[#This Row],[From]],woodstock[#All],8,FALSE)</f>
        <v>0</v>
      </c>
      <c r="K36" s="151" t="str">
        <f>VLOOKUP(woodflow[[#This Row],[to]],woodstock[#All],8,FALSE)</f>
        <v>1</v>
      </c>
      <c r="L36" s="152" t="str">
        <f>VLOOKUP(woodflow[[#This Row],[From]],woodstock[#All],9,FALSE)</f>
        <v>nan</v>
      </c>
      <c r="M36" s="152" t="str">
        <f>VLOOKUP(woodflow[[#This Row],[to]],woodstock[#All],9,FALSE)</f>
        <v>8-9</v>
      </c>
      <c r="N36" s="157">
        <f>SUM(N37:N38)</f>
        <v>57.498095747039486</v>
      </c>
      <c r="O36" s="148" t="s">
        <v>921</v>
      </c>
      <c r="P36" s="148" t="s">
        <v>455</v>
      </c>
      <c r="Q36" s="153"/>
      <c r="R36" s="1"/>
      <c r="S36" s="1"/>
      <c r="T36" s="1"/>
      <c r="U36" s="1"/>
      <c r="V36" s="1"/>
    </row>
    <row r="37" spans="1:22" x14ac:dyDescent="0.3">
      <c r="A37" s="5" t="str">
        <f>CONCATENATE("F",IF(B37&lt;&gt;"",COUNTA($B$2:B37),""))</f>
        <v>F16</v>
      </c>
      <c r="B37" s="148" t="s">
        <v>914</v>
      </c>
      <c r="C37" s="5" t="s">
        <v>263</v>
      </c>
      <c r="D3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20.448388608383251</v>
      </c>
      <c r="F37" s="148">
        <f>VLOOKUP(woodflow[[#This Row],[From]],woodstock[#All],4,FALSE)</f>
        <v>2021</v>
      </c>
      <c r="G37" s="5" t="str">
        <f>VLOOKUP(woodflow[[#This Row],[From]],woodstock[#All],5,FALSE)</f>
        <v>Global</v>
      </c>
      <c r="H37" s="151" t="str">
        <f>VLOOKUP(woodflow[[#This Row],[From]],woodstock[#All],7,FALSE)</f>
        <v>2</v>
      </c>
      <c r="I37" s="151" t="str">
        <f>VLOOKUP(woodflow[[#This Row],[to]],woodstock[#All],7,FALSE)</f>
        <v>8</v>
      </c>
      <c r="J37" s="151" t="str">
        <f>VLOOKUP(woodflow[[#This Row],[From]],woodstock[#All],8,FALSE)</f>
        <v>0</v>
      </c>
      <c r="K37" s="151" t="str">
        <f>VLOOKUP(woodflow[[#This Row],[to]],woodstock[#All],8,FALSE)</f>
        <v>0</v>
      </c>
      <c r="L37" s="152" t="str">
        <f>VLOOKUP(woodflow[[#This Row],[From]],woodstock[#All],9,FALSE)</f>
        <v>nan</v>
      </c>
      <c r="M37" s="152" t="str">
        <f>VLOOKUP(woodflow[[#This Row],[to]],woodstock[#All],9,FALSE)</f>
        <v>nan</v>
      </c>
      <c r="N37" s="157">
        <f>(N8)*'supporting-percentages'!B4</f>
        <v>20.448388608383251</v>
      </c>
      <c r="O37" s="148" t="s">
        <v>920</v>
      </c>
      <c r="P37" s="148" t="s">
        <v>455</v>
      </c>
      <c r="Q37" s="154"/>
      <c r="R37" s="1"/>
      <c r="S37" s="1"/>
      <c r="T37" s="1"/>
      <c r="U37" s="1"/>
      <c r="V37" s="1"/>
    </row>
    <row r="38" spans="1:22" x14ac:dyDescent="0.3">
      <c r="A38" s="5" t="str">
        <f>CONCATENATE("F",IF(B38&lt;&gt;"",COUNTA($B$2:B38),""))</f>
        <v>F17</v>
      </c>
      <c r="B38" s="148" t="s">
        <v>914</v>
      </c>
      <c r="C38" s="5" t="s">
        <v>264</v>
      </c>
      <c r="D3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37.049707138656238</v>
      </c>
      <c r="F38" s="148">
        <f>VLOOKUP(woodflow[[#This Row],[From]],woodstock[#All],4,FALSE)</f>
        <v>2021</v>
      </c>
      <c r="G38" s="5" t="str">
        <f>VLOOKUP(woodflow[[#This Row],[From]],woodstock[#All],5,FALSE)</f>
        <v>Global</v>
      </c>
      <c r="H38" s="151" t="str">
        <f>VLOOKUP(woodflow[[#This Row],[From]],woodstock[#All],7,FALSE)</f>
        <v>2</v>
      </c>
      <c r="I38" s="151" t="str">
        <f>VLOOKUP(woodflow[[#This Row],[to]],woodstock[#All],7,FALSE)</f>
        <v>9</v>
      </c>
      <c r="J38" s="151" t="str">
        <f>VLOOKUP(woodflow[[#This Row],[From]],woodstock[#All],8,FALSE)</f>
        <v>0</v>
      </c>
      <c r="K38" s="151" t="str">
        <f>VLOOKUP(woodflow[[#This Row],[to]],woodstock[#All],8,FALSE)</f>
        <v>0</v>
      </c>
      <c r="L38" s="152" t="str">
        <f>VLOOKUP(woodflow[[#This Row],[From]],woodstock[#All],9,FALSE)</f>
        <v>nan</v>
      </c>
      <c r="M38" s="152" t="str">
        <f>VLOOKUP(woodflow[[#This Row],[to]],woodstock[#All],9,FALSE)</f>
        <v>nan</v>
      </c>
      <c r="N38" s="157">
        <f>(N20)*'supporting-percentages'!B5</f>
        <v>37.049707138656238</v>
      </c>
      <c r="O38" s="148" t="s">
        <v>920</v>
      </c>
      <c r="P38" s="148" t="s">
        <v>455</v>
      </c>
      <c r="Q38" s="154"/>
      <c r="R38" s="1"/>
      <c r="S38" s="1"/>
      <c r="T38" s="1"/>
      <c r="U38" s="1"/>
      <c r="V38" s="1"/>
    </row>
    <row r="39" spans="1:22" x14ac:dyDescent="0.3">
      <c r="A39" s="5" t="str">
        <f>CONCATENATE("F",IF(B39&lt;&gt;"",COUNTA($B$2:B39),""))</f>
        <v>F</v>
      </c>
      <c r="B39" s="148"/>
      <c r="C39" s="148"/>
      <c r="D39" s="149"/>
      <c r="E39" s="149"/>
      <c r="F39" s="148"/>
      <c r="G39" s="5"/>
      <c r="H39" s="151"/>
      <c r="I39" s="151"/>
      <c r="J39" s="151"/>
      <c r="K39" s="151"/>
      <c r="L39" s="152"/>
      <c r="M39" s="152"/>
      <c r="N39" s="157"/>
      <c r="O39" s="148"/>
      <c r="P39" s="148"/>
      <c r="Q39" s="154"/>
      <c r="R39" s="1"/>
      <c r="S39" s="1"/>
      <c r="T39" s="1"/>
      <c r="U39" s="1"/>
      <c r="V39" s="1"/>
    </row>
    <row r="40" spans="1:22" x14ac:dyDescent="0.3">
      <c r="A40" s="5" t="str">
        <f>CONCATENATE("F",IF(B40&lt;&gt;"",COUNTA($B$2:B40),""))</f>
        <v>F</v>
      </c>
      <c r="B40" s="148"/>
      <c r="C40" s="148"/>
      <c r="D40" s="149"/>
      <c r="E40" s="149"/>
      <c r="F40" s="148"/>
      <c r="G40" s="5"/>
      <c r="H40" s="151"/>
      <c r="I40" s="151"/>
      <c r="J40" s="151"/>
      <c r="K40" s="151"/>
      <c r="L40" s="152"/>
      <c r="M40" s="152"/>
      <c r="N40" s="157"/>
      <c r="O40" s="148"/>
      <c r="P40" s="148"/>
      <c r="Q40" s="154"/>
      <c r="R40" s="1"/>
      <c r="S40" s="1"/>
      <c r="T40" s="1"/>
      <c r="U40" s="1"/>
      <c r="V40" s="1"/>
    </row>
    <row r="41" spans="1:22" x14ac:dyDescent="0.3">
      <c r="A41" s="5" t="str">
        <f>CONCATENATE("F",IF(B41&lt;&gt;"",COUNTA($B$2:B41),""))</f>
        <v>F18</v>
      </c>
      <c r="B41" s="148" t="s">
        <v>914</v>
      </c>
      <c r="C41" s="148" t="s">
        <v>64</v>
      </c>
      <c r="D4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16.051260301647055</v>
      </c>
      <c r="E4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" s="148">
        <f>VLOOKUP(woodflow[[#This Row],[From]],woodstock[#All],4,FALSE)</f>
        <v>2021</v>
      </c>
      <c r="G41" s="5" t="str">
        <f>VLOOKUP(woodflow[[#This Row],[From]],woodstock[#All],5,FALSE)</f>
        <v>Global</v>
      </c>
      <c r="H41" s="151" t="str">
        <f>VLOOKUP(woodflow[[#This Row],[From]],woodstock[#All],7,FALSE)</f>
        <v>2</v>
      </c>
      <c r="I41" s="151" t="str">
        <f>VLOOKUP(woodflow[[#This Row],[to]],woodstock[#All],7,FALSE)</f>
        <v>7</v>
      </c>
      <c r="J41" s="151" t="str">
        <f>VLOOKUP(woodflow[[#This Row],[From]],woodstock[#All],8,FALSE)</f>
        <v>0</v>
      </c>
      <c r="K41" s="151" t="str">
        <f>VLOOKUP(woodflow[[#This Row],[to]],woodstock[#All],8,FALSE)</f>
        <v>1</v>
      </c>
      <c r="L41" s="152" t="str">
        <f>VLOOKUP(woodflow[[#This Row],[From]],woodstock[#All],9,FALSE)</f>
        <v>nan</v>
      </c>
      <c r="M41" s="152" t="str">
        <f>VLOOKUP(woodflow[[#This Row],[to]],woodstock[#All],9,FALSE)</f>
        <v>10-11</v>
      </c>
      <c r="N41" s="157">
        <f>SUM(N42:N43)</f>
        <v>16.051260301647055</v>
      </c>
      <c r="O41" s="148" t="s">
        <v>921</v>
      </c>
      <c r="P41" s="148" t="s">
        <v>455</v>
      </c>
      <c r="Q41" s="153"/>
      <c r="R41" s="1"/>
      <c r="S41" s="1"/>
      <c r="T41" s="1"/>
      <c r="U41" s="1"/>
      <c r="V41" s="1"/>
    </row>
    <row r="42" spans="1:22" x14ac:dyDescent="0.3">
      <c r="A42" s="5" t="str">
        <f>CONCATENATE("F",IF(B42&lt;&gt;"",COUNTA($B$2:B42),""))</f>
        <v>F19</v>
      </c>
      <c r="B42" s="148" t="s">
        <v>914</v>
      </c>
      <c r="C42" s="5" t="s">
        <v>265</v>
      </c>
      <c r="D4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2.5562932801687497</v>
      </c>
      <c r="F42" s="148">
        <f>VLOOKUP(woodflow[[#This Row],[From]],woodstock[#All],4,FALSE)</f>
        <v>2021</v>
      </c>
      <c r="G42" s="5" t="str">
        <f>VLOOKUP(woodflow[[#This Row],[From]],woodstock[#All],5,FALSE)</f>
        <v>Global</v>
      </c>
      <c r="H42" s="151" t="str">
        <f>VLOOKUP(woodflow[[#This Row],[From]],woodstock[#All],7,FALSE)</f>
        <v>2</v>
      </c>
      <c r="I42" s="151" t="str">
        <f>VLOOKUP(woodflow[[#This Row],[to]],woodstock[#All],7,FALSE)</f>
        <v>10</v>
      </c>
      <c r="J42" s="151" t="str">
        <f>VLOOKUP(woodflow[[#This Row],[From]],woodstock[#All],8,FALSE)</f>
        <v>0</v>
      </c>
      <c r="K42" s="151" t="str">
        <f>VLOOKUP(woodflow[[#This Row],[to]],woodstock[#All],8,FALSE)</f>
        <v>0</v>
      </c>
      <c r="L42" s="152" t="str">
        <f>VLOOKUP(woodflow[[#This Row],[From]],woodstock[#All],9,FALSE)</f>
        <v>nan</v>
      </c>
      <c r="M42" s="152" t="str">
        <f>VLOOKUP(woodflow[[#This Row],[to]],woodstock[#All],9,FALSE)</f>
        <v>nan</v>
      </c>
      <c r="N42" s="157">
        <f>(N11)*'supporting-percentages'!B4</f>
        <v>2.5562932801687497</v>
      </c>
      <c r="O42" s="148" t="s">
        <v>920</v>
      </c>
      <c r="P42" s="148" t="s">
        <v>455</v>
      </c>
      <c r="Q42" s="148"/>
      <c r="R42" s="1"/>
      <c r="S42" s="1"/>
      <c r="T42" s="1"/>
      <c r="U42" s="1"/>
      <c r="V42" s="1"/>
    </row>
    <row r="43" spans="1:22" x14ac:dyDescent="0.3">
      <c r="A43" s="5" t="str">
        <f>CONCATENATE("F",IF(B43&lt;&gt;"",COUNTA($B$2:B43),""))</f>
        <v>F20</v>
      </c>
      <c r="B43" s="148" t="s">
        <v>914</v>
      </c>
      <c r="C43" s="5" t="s">
        <v>266</v>
      </c>
      <c r="D4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13.494967021478304</v>
      </c>
      <c r="F43" s="148">
        <f>VLOOKUP(woodflow[[#This Row],[From]],woodstock[#All],4,FALSE)</f>
        <v>2021</v>
      </c>
      <c r="G43" s="5" t="str">
        <f>VLOOKUP(woodflow[[#This Row],[From]],woodstock[#All],5,FALSE)</f>
        <v>Global</v>
      </c>
      <c r="H43" s="151" t="str">
        <f>VLOOKUP(woodflow[[#This Row],[From]],woodstock[#All],7,FALSE)</f>
        <v>2</v>
      </c>
      <c r="I43" s="151" t="str">
        <f>VLOOKUP(woodflow[[#This Row],[to]],woodstock[#All],7,FALSE)</f>
        <v>11</v>
      </c>
      <c r="J43" s="151" t="str">
        <f>VLOOKUP(woodflow[[#This Row],[From]],woodstock[#All],8,FALSE)</f>
        <v>0</v>
      </c>
      <c r="K43" s="151" t="str">
        <f>VLOOKUP(woodflow[[#This Row],[to]],woodstock[#All],8,FALSE)</f>
        <v>0</v>
      </c>
      <c r="L43" s="152" t="str">
        <f>VLOOKUP(woodflow[[#This Row],[From]],woodstock[#All],9,FALSE)</f>
        <v>nan</v>
      </c>
      <c r="M43" s="152" t="str">
        <f>VLOOKUP(woodflow[[#This Row],[to]],woodstock[#All],9,FALSE)</f>
        <v>nan</v>
      </c>
      <c r="N43" s="157">
        <f>(N23)*'supporting-percentages'!B5</f>
        <v>13.494967021478304</v>
      </c>
      <c r="O43" s="148" t="s">
        <v>920</v>
      </c>
      <c r="P43" s="148" t="s">
        <v>455</v>
      </c>
      <c r="Q43" s="148"/>
      <c r="R43" s="1"/>
      <c r="S43" s="1"/>
      <c r="T43" s="1"/>
      <c r="U43" s="1"/>
      <c r="V43" s="1"/>
    </row>
    <row r="44" spans="1:22" x14ac:dyDescent="0.3">
      <c r="A44" s="5" t="str">
        <f>CONCATENATE("F",IF(B44&lt;&gt;"",COUNTA($B$2:B44),""))</f>
        <v>F</v>
      </c>
      <c r="B44" s="148"/>
      <c r="C44" s="148"/>
      <c r="D44" s="149"/>
      <c r="E44" s="149"/>
      <c r="F44" s="148"/>
      <c r="G44" s="5"/>
      <c r="H44" s="151"/>
      <c r="I44" s="151"/>
      <c r="J44" s="151"/>
      <c r="K44" s="151"/>
      <c r="L44" s="152"/>
      <c r="M44" s="152"/>
      <c r="N44" s="157"/>
      <c r="O44" s="148"/>
      <c r="P44" s="148"/>
      <c r="Q44" s="148"/>
      <c r="R44" s="1"/>
      <c r="S44" s="1"/>
      <c r="T44" s="1"/>
      <c r="U44" s="1"/>
      <c r="V44" s="1"/>
    </row>
    <row r="45" spans="1:22" x14ac:dyDescent="0.3">
      <c r="A45" s="5" t="str">
        <f>CONCATENATE("F",IF(B45&lt;&gt;"",COUNTA($B$2:B45),""))</f>
        <v>F</v>
      </c>
      <c r="B45" s="148"/>
      <c r="C45" s="148"/>
      <c r="D45" s="149"/>
      <c r="E45" s="149"/>
      <c r="F45" s="148"/>
      <c r="G45" s="5"/>
      <c r="H45" s="151"/>
      <c r="I45" s="151"/>
      <c r="J45" s="151"/>
      <c r="K45" s="151"/>
      <c r="L45" s="152"/>
      <c r="M45" s="152"/>
      <c r="N45" s="157"/>
      <c r="O45" s="148"/>
      <c r="P45" s="148"/>
      <c r="Q45" s="148"/>
      <c r="R45" s="1"/>
      <c r="S45" s="1"/>
      <c r="T45" s="1"/>
      <c r="U45" s="1"/>
      <c r="V45" s="1"/>
    </row>
    <row r="46" spans="1:22" x14ac:dyDescent="0.3">
      <c r="A46" s="5" t="str">
        <f>CONCATENATE("F",IF(B46&lt;&gt;"",COUNTA($B$2:B46),""))</f>
        <v>F21</v>
      </c>
      <c r="B46" s="148" t="s">
        <v>915</v>
      </c>
      <c r="C46" s="148" t="s">
        <v>208</v>
      </c>
      <c r="D4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0.20100000000000001</v>
      </c>
      <c r="E4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" s="148">
        <f>VLOOKUP(woodflow[[#This Row],[From]],woodstock[#All],4,FALSE)</f>
        <v>2021</v>
      </c>
      <c r="G46" s="5" t="str">
        <f>VLOOKUP(woodflow[[#This Row],[From]],woodstock[#All],5,FALSE)</f>
        <v>Global</v>
      </c>
      <c r="H46" s="151" t="str">
        <f>VLOOKUP(woodflow[[#This Row],[From]],woodstock[#All],7,FALSE)</f>
        <v>3</v>
      </c>
      <c r="I46" s="151" t="str">
        <f>VLOOKUP(woodflow[[#This Row],[to]],woodstock[#All],7,FALSE)</f>
        <v>12</v>
      </c>
      <c r="J46" s="151" t="str">
        <f>VLOOKUP(woodflow[[#This Row],[From]],woodstock[#All],8,FALSE)</f>
        <v>0</v>
      </c>
      <c r="K46" s="151" t="str">
        <f>VLOOKUP(woodflow[[#This Row],[to]],woodstock[#All],8,FALSE)</f>
        <v>0</v>
      </c>
      <c r="L46" s="152" t="str">
        <f>VLOOKUP(woodflow[[#This Row],[From]],woodstock[#All],9,FALSE)</f>
        <v>nan</v>
      </c>
      <c r="M46" s="152" t="str">
        <f>VLOOKUP(woodflow[[#This Row],[to]],woodstock[#All],9,FALSE)</f>
        <v>nan</v>
      </c>
      <c r="N46" s="157">
        <v>0.20100000000000001</v>
      </c>
      <c r="O46" s="148" t="s">
        <v>921</v>
      </c>
      <c r="P46" s="148"/>
      <c r="Q46" s="153" t="s">
        <v>366</v>
      </c>
      <c r="R46" s="1"/>
      <c r="S46" s="1"/>
      <c r="T46" s="1"/>
      <c r="U46" s="1"/>
      <c r="V46" s="1"/>
    </row>
    <row r="47" spans="1:22" x14ac:dyDescent="0.3">
      <c r="A47" s="5" t="str">
        <f>CONCATENATE("F",IF(B47&lt;&gt;"",COUNTA($B$2:B47),""))</f>
        <v>F</v>
      </c>
      <c r="B47" s="148"/>
      <c r="C47" s="148"/>
      <c r="D47" s="149"/>
      <c r="E47" s="149"/>
      <c r="F47" s="148"/>
      <c r="G47" s="5"/>
      <c r="H47" s="151"/>
      <c r="I47" s="151"/>
      <c r="J47" s="151"/>
      <c r="K47" s="151"/>
      <c r="L47" s="152"/>
      <c r="M47" s="152"/>
      <c r="N47" s="157"/>
      <c r="O47" s="148"/>
      <c r="P47" s="148"/>
      <c r="Q47" s="148"/>
      <c r="R47" s="1"/>
      <c r="S47" s="1"/>
      <c r="T47" s="1"/>
      <c r="U47" s="1"/>
      <c r="V47" s="1"/>
    </row>
    <row r="48" spans="1:22" x14ac:dyDescent="0.3">
      <c r="A48" s="5" t="str">
        <f>CONCATENATE("F",IF(B48&lt;&gt;"",COUNTA($B$2:B48),""))</f>
        <v>F</v>
      </c>
      <c r="B48" s="148"/>
      <c r="C48" s="148"/>
      <c r="D48" s="149"/>
      <c r="E48" s="149"/>
      <c r="F48" s="148"/>
      <c r="G48" s="5"/>
      <c r="H48" s="151"/>
      <c r="I48" s="151"/>
      <c r="J48" s="151"/>
      <c r="K48" s="151"/>
      <c r="L48" s="152"/>
      <c r="M48" s="152"/>
      <c r="N48" s="157"/>
      <c r="O48" s="148"/>
      <c r="P48" s="148"/>
      <c r="Q48" s="148"/>
      <c r="R48" s="1"/>
      <c r="S48" s="1"/>
      <c r="T48" s="1"/>
      <c r="U48" s="1"/>
      <c r="V48" s="1"/>
    </row>
    <row r="49" spans="1:22" x14ac:dyDescent="0.3">
      <c r="A49" s="5" t="str">
        <f>CONCATENATE("F",IF(B49&lt;&gt;"",COUNTA($B$2:B49),""))</f>
        <v>F22</v>
      </c>
      <c r="B49" s="148" t="s">
        <v>61</v>
      </c>
      <c r="C49" s="148" t="s">
        <v>55</v>
      </c>
      <c r="D4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172.1210389443988</v>
      </c>
      <c r="E4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" s="148">
        <f>VLOOKUP(woodflow[[#This Row],[From]],woodstock[#All],4,FALSE)</f>
        <v>2021</v>
      </c>
      <c r="G49" s="5" t="str">
        <f>VLOOKUP(woodflow[[#This Row],[From]],woodstock[#All],5,FALSE)</f>
        <v>Global</v>
      </c>
      <c r="H49" s="151" t="str">
        <f>VLOOKUP(woodflow[[#This Row],[From]],woodstock[#All],7,FALSE)</f>
        <v>2</v>
      </c>
      <c r="I49" s="151" t="str">
        <f>VLOOKUP(woodflow[[#This Row],[to]],woodstock[#All],7,FALSE)</f>
        <v>13</v>
      </c>
      <c r="J49" s="151" t="str">
        <f>VLOOKUP(woodflow[[#This Row],[From]],woodstock[#All],8,FALSE)</f>
        <v>1</v>
      </c>
      <c r="K49" s="151" t="str">
        <f>VLOOKUP(woodflow[[#This Row],[to]],woodstock[#All],8,FALSE)</f>
        <v>0</v>
      </c>
      <c r="L49" s="152" t="str">
        <f>VLOOKUP(woodflow[[#This Row],[From]],woodstock[#All],9,FALSE)</f>
        <v>4-5</v>
      </c>
      <c r="M49" s="152" t="str">
        <f>VLOOKUP(woodflow[[#This Row],[to]],woodstock[#All],9,FALSE)</f>
        <v>nan</v>
      </c>
      <c r="N49" s="157">
        <f>N97+'faostat-data'!Q33</f>
        <v>172.1210389443988</v>
      </c>
      <c r="O49" s="148" t="s">
        <v>921</v>
      </c>
      <c r="P49" s="148" t="s">
        <v>232</v>
      </c>
      <c r="Q49" s="148" t="s">
        <v>227</v>
      </c>
      <c r="R49" s="1"/>
      <c r="S49" s="1"/>
      <c r="T49" s="1"/>
      <c r="U49" s="1"/>
      <c r="V49" s="1"/>
    </row>
    <row r="50" spans="1:22" x14ac:dyDescent="0.3">
      <c r="A50" s="5" t="str">
        <f>CONCATENATE("F",IF(B50&lt;&gt;"",COUNTA($B$2:B50),""))</f>
        <v>F23</v>
      </c>
      <c r="B50" s="5" t="s">
        <v>258</v>
      </c>
      <c r="C50" s="148" t="s">
        <v>55</v>
      </c>
      <c r="D5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1E-3</v>
      </c>
      <c r="F50" s="148">
        <f>VLOOKUP(woodflow[[#This Row],[From]],woodstock[#All],4,FALSE)</f>
        <v>2021</v>
      </c>
      <c r="G50" s="5" t="str">
        <f>VLOOKUP(woodflow[[#This Row],[From]],woodstock[#All],5,FALSE)</f>
        <v>Global</v>
      </c>
      <c r="H50" s="151" t="str">
        <f>VLOOKUP(woodflow[[#This Row],[From]],woodstock[#All],7,FALSE)</f>
        <v>4</v>
      </c>
      <c r="I50" s="151" t="str">
        <f>VLOOKUP(woodflow[[#This Row],[to]],woodstock[#All],7,FALSE)</f>
        <v>13</v>
      </c>
      <c r="J50" s="151" t="str">
        <f>VLOOKUP(woodflow[[#This Row],[From]],woodstock[#All],8,FALSE)</f>
        <v>0</v>
      </c>
      <c r="K50" s="151" t="str">
        <f>VLOOKUP(woodflow[[#This Row],[to]],woodstock[#All],8,FALSE)</f>
        <v>0</v>
      </c>
      <c r="L50" s="152" t="str">
        <f>VLOOKUP(woodflow[[#This Row],[From]],woodstock[#All],9,FALSE)</f>
        <v>nan</v>
      </c>
      <c r="M50" s="152" t="str">
        <f>VLOOKUP(woodflow[[#This Row],[to]],woodstock[#All],9,FALSE)</f>
        <v>nan</v>
      </c>
      <c r="N50" s="157">
        <f>1*10^-3</f>
        <v>1E-3</v>
      </c>
      <c r="O50" s="148" t="s">
        <v>920</v>
      </c>
      <c r="P50" s="148" t="s">
        <v>342</v>
      </c>
      <c r="Q50" s="148"/>
      <c r="R50" s="1"/>
      <c r="S50" s="1"/>
      <c r="T50" s="1"/>
      <c r="U50" s="1"/>
      <c r="V50" s="1"/>
    </row>
    <row r="51" spans="1:22" x14ac:dyDescent="0.3">
      <c r="A51" s="5" t="str">
        <f>CONCATENATE("F",IF(B51&lt;&gt;"",COUNTA($B$2:B51),""))</f>
        <v>F24</v>
      </c>
      <c r="B51" s="5" t="s">
        <v>259</v>
      </c>
      <c r="C51" s="148" t="s">
        <v>55</v>
      </c>
      <c r="D5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172.1210389443988</v>
      </c>
      <c r="F51" s="148">
        <f>VLOOKUP(woodflow[[#This Row],[From]],woodstock[#All],4,FALSE)</f>
        <v>2021</v>
      </c>
      <c r="G51" s="5" t="str">
        <f>VLOOKUP(woodflow[[#This Row],[From]],woodstock[#All],5,FALSE)</f>
        <v>Global</v>
      </c>
      <c r="H51" s="151" t="str">
        <f>VLOOKUP(woodflow[[#This Row],[From]],woodstock[#All],7,FALSE)</f>
        <v>5</v>
      </c>
      <c r="I51" s="151" t="str">
        <f>VLOOKUP(woodflow[[#This Row],[to]],woodstock[#All],7,FALSE)</f>
        <v>13</v>
      </c>
      <c r="J51" s="151" t="str">
        <f>VLOOKUP(woodflow[[#This Row],[From]],woodstock[#All],8,FALSE)</f>
        <v>0</v>
      </c>
      <c r="K51" s="151" t="str">
        <f>VLOOKUP(woodflow[[#This Row],[to]],woodstock[#All],8,FALSE)</f>
        <v>0</v>
      </c>
      <c r="L51" s="152" t="str">
        <f>VLOOKUP(woodflow[[#This Row],[From]],woodstock[#All],9,FALSE)</f>
        <v>nan</v>
      </c>
      <c r="M51" s="152" t="str">
        <f>VLOOKUP(woodflow[[#This Row],[to]],woodstock[#All],9,FALSE)</f>
        <v>nan</v>
      </c>
      <c r="N51" s="157">
        <f>N49</f>
        <v>172.1210389443988</v>
      </c>
      <c r="O51" s="148" t="s">
        <v>920</v>
      </c>
      <c r="P51" s="148" t="s">
        <v>232</v>
      </c>
      <c r="Q51" s="148" t="s">
        <v>227</v>
      </c>
      <c r="R51" s="1"/>
      <c r="S51" s="1"/>
      <c r="T51" s="1"/>
      <c r="U51" s="1"/>
      <c r="V51" s="1"/>
    </row>
    <row r="52" spans="1:22" x14ac:dyDescent="0.3">
      <c r="A52" s="5" t="str">
        <f>CONCATENATE("F",IF(B52&lt;&gt;"",COUNTA($B$2:B52),""))</f>
        <v>F</v>
      </c>
      <c r="B52" s="148"/>
      <c r="C52" s="148"/>
      <c r="D52" s="149"/>
      <c r="E52" s="149"/>
      <c r="F52" s="148"/>
      <c r="G52" s="5"/>
      <c r="H52" s="151"/>
      <c r="I52" s="151"/>
      <c r="J52" s="151"/>
      <c r="K52" s="151"/>
      <c r="L52" s="152"/>
      <c r="M52" s="152"/>
      <c r="N52" s="157"/>
      <c r="O52" s="148"/>
      <c r="P52" s="148"/>
      <c r="Q52" s="148"/>
      <c r="R52" s="1"/>
      <c r="S52" s="1"/>
      <c r="T52" s="1"/>
      <c r="U52" s="1"/>
      <c r="V52" s="1"/>
    </row>
    <row r="53" spans="1:22" x14ac:dyDescent="0.3">
      <c r="A53" s="5" t="str">
        <f>CONCATENATE("F",IF(B53&lt;&gt;"",COUNTA($B$2:B53),""))</f>
        <v>F</v>
      </c>
      <c r="B53" s="148"/>
      <c r="C53" s="148"/>
      <c r="D53" s="149"/>
      <c r="E53" s="149"/>
      <c r="F53" s="148"/>
      <c r="G53" s="5"/>
      <c r="H53" s="151"/>
      <c r="I53" s="151"/>
      <c r="J53" s="151"/>
      <c r="K53" s="151"/>
      <c r="L53" s="152"/>
      <c r="M53" s="152"/>
      <c r="N53" s="157"/>
      <c r="O53" s="148"/>
      <c r="P53" s="148"/>
      <c r="Q53" s="148"/>
      <c r="R53" s="1"/>
      <c r="S53" s="1"/>
      <c r="T53" s="1"/>
      <c r="U53" s="1"/>
      <c r="V53" s="1"/>
    </row>
    <row r="54" spans="1:22" x14ac:dyDescent="0.3">
      <c r="A54" s="5" t="str">
        <f>CONCATENATE("F",IF(B54&lt;&gt;"",COUNTA($B$2:B54),""))</f>
        <v>F25</v>
      </c>
      <c r="B54" s="148" t="s">
        <v>61</v>
      </c>
      <c r="C54" s="148" t="s">
        <v>408</v>
      </c>
      <c r="D5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1334.2308653727225</v>
      </c>
      <c r="E5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" s="148">
        <f>VLOOKUP(woodflow[[#This Row],[From]],woodstock[#All],4,FALSE)</f>
        <v>2021</v>
      </c>
      <c r="G54" s="5" t="str">
        <f>VLOOKUP(woodflow[[#This Row],[From]],woodstock[#All],5,FALSE)</f>
        <v>Global</v>
      </c>
      <c r="H54" s="151" t="str">
        <f>VLOOKUP(woodflow[[#This Row],[From]],woodstock[#All],7,FALSE)</f>
        <v>2</v>
      </c>
      <c r="I54" s="151" t="str">
        <f>VLOOKUP(woodflow[[#This Row],[to]],woodstock[#All],7,FALSE)</f>
        <v>43</v>
      </c>
      <c r="J54" s="151" t="str">
        <f>VLOOKUP(woodflow[[#This Row],[From]],woodstock[#All],8,FALSE)</f>
        <v>1</v>
      </c>
      <c r="K54" s="151" t="str">
        <f>VLOOKUP(woodflow[[#This Row],[to]],woodstock[#All],8,FALSE)</f>
        <v>0</v>
      </c>
      <c r="L54" s="152" t="str">
        <f>VLOOKUP(woodflow[[#This Row],[From]],woodstock[#All],9,FALSE)</f>
        <v>4-5</v>
      </c>
      <c r="M54" s="152" t="str">
        <f>VLOOKUP(woodflow[[#This Row],[to]],woodstock[#All],9,FALSE)</f>
        <v>nan</v>
      </c>
      <c r="N54" s="157">
        <f>N2+N14+N26-N49+'faostat-data'!Q3-'faostat-data'!Q4+'faostat-data'!Q6-'faostat-data'!Q7</f>
        <v>1334.2308653727225</v>
      </c>
      <c r="O54" s="148" t="s">
        <v>921</v>
      </c>
      <c r="P54" s="148" t="s">
        <v>232</v>
      </c>
      <c r="Q54" s="148" t="s">
        <v>227</v>
      </c>
      <c r="R54" s="1"/>
      <c r="S54" s="1"/>
      <c r="T54" s="1"/>
      <c r="U54" s="1"/>
      <c r="V54" s="1"/>
    </row>
    <row r="55" spans="1:22" x14ac:dyDescent="0.3">
      <c r="A55" s="5" t="str">
        <f>CONCATENATE("F",IF(B55&lt;&gt;"",COUNTA($B$2:B55),""))</f>
        <v>F26</v>
      </c>
      <c r="B55" s="5" t="s">
        <v>258</v>
      </c>
      <c r="C55" s="148" t="s">
        <v>408</v>
      </c>
      <c r="D5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116.80460935964116</v>
      </c>
      <c r="F55" s="148">
        <f>VLOOKUP(woodflow[[#This Row],[From]],woodstock[#All],4,FALSE)</f>
        <v>2021</v>
      </c>
      <c r="G55" s="5" t="str">
        <f>VLOOKUP(woodflow[[#This Row],[From]],woodstock[#All],5,FALSE)</f>
        <v>Global</v>
      </c>
      <c r="H55" s="151" t="str">
        <f>VLOOKUP(woodflow[[#This Row],[From]],woodstock[#All],7,FALSE)</f>
        <v>4</v>
      </c>
      <c r="I55" s="151" t="str">
        <f>VLOOKUP(woodflow[[#This Row],[to]],woodstock[#All],7,FALSE)</f>
        <v>43</v>
      </c>
      <c r="J55" s="151" t="str">
        <f>VLOOKUP(woodflow[[#This Row],[From]],woodstock[#All],8,FALSE)</f>
        <v>0</v>
      </c>
      <c r="K55" s="151" t="str">
        <f>VLOOKUP(woodflow[[#This Row],[to]],woodstock[#All],8,FALSE)</f>
        <v>0</v>
      </c>
      <c r="L55" s="152" t="str">
        <f>VLOOKUP(woodflow[[#This Row],[From]],woodstock[#All],9,FALSE)</f>
        <v>nan</v>
      </c>
      <c r="M55" s="152" t="str">
        <f>VLOOKUP(woodflow[[#This Row],[to]],woodstock[#All],9,FALSE)</f>
        <v>nan</v>
      </c>
      <c r="N55" s="157">
        <f>N2+N27-N50+'faostat-data'!Q3-'faostat-data'!Q4</f>
        <v>116.80460935964116</v>
      </c>
      <c r="O55" s="148" t="s">
        <v>920</v>
      </c>
      <c r="P55" s="148" t="s">
        <v>232</v>
      </c>
      <c r="Q55" s="148" t="s">
        <v>227</v>
      </c>
      <c r="R55" s="1"/>
      <c r="S55" s="1"/>
      <c r="T55" s="1"/>
      <c r="U55" s="1"/>
      <c r="V55" s="1"/>
    </row>
    <row r="56" spans="1:22" x14ac:dyDescent="0.3">
      <c r="A56" s="5" t="str">
        <f>CONCATENATE("F",IF(B56&lt;&gt;"",COUNTA($B$2:B56),""))</f>
        <v>F27</v>
      </c>
      <c r="B56" s="5" t="s">
        <v>259</v>
      </c>
      <c r="C56" s="148" t="s">
        <v>408</v>
      </c>
      <c r="D5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5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1217.4252560130815</v>
      </c>
      <c r="F56" s="148">
        <f>VLOOKUP(woodflow[[#This Row],[From]],woodstock[#All],4,FALSE)</f>
        <v>2021</v>
      </c>
      <c r="G56" s="5" t="str">
        <f>VLOOKUP(woodflow[[#This Row],[From]],woodstock[#All],5,FALSE)</f>
        <v>Global</v>
      </c>
      <c r="H56" s="151" t="str">
        <f>VLOOKUP(woodflow[[#This Row],[From]],woodstock[#All],7,FALSE)</f>
        <v>5</v>
      </c>
      <c r="I56" s="151" t="str">
        <f>VLOOKUP(woodflow[[#This Row],[to]],woodstock[#All],7,FALSE)</f>
        <v>43</v>
      </c>
      <c r="J56" s="151" t="str">
        <f>VLOOKUP(woodflow[[#This Row],[From]],woodstock[#All],8,FALSE)</f>
        <v>0</v>
      </c>
      <c r="K56" s="151" t="str">
        <f>VLOOKUP(woodflow[[#This Row],[to]],woodstock[#All],8,FALSE)</f>
        <v>0</v>
      </c>
      <c r="L56" s="152" t="str">
        <f>VLOOKUP(woodflow[[#This Row],[From]],woodstock[#All],9,FALSE)</f>
        <v>nan</v>
      </c>
      <c r="M56" s="152" t="str">
        <f>VLOOKUP(woodflow[[#This Row],[to]],woodstock[#All],9,FALSE)</f>
        <v>nan</v>
      </c>
      <c r="N56" s="157">
        <f>N14+N28-N51+'faostat-data'!Q6-'faostat-data'!Q7</f>
        <v>1217.4252560130815</v>
      </c>
      <c r="O56" s="148" t="s">
        <v>920</v>
      </c>
      <c r="P56" s="148" t="s">
        <v>232</v>
      </c>
      <c r="Q56" s="148" t="s">
        <v>227</v>
      </c>
      <c r="R56" s="1"/>
      <c r="S56" s="1"/>
      <c r="T56" s="1"/>
      <c r="U56" s="1"/>
      <c r="V56" s="1"/>
    </row>
    <row r="57" spans="1:22" x14ac:dyDescent="0.3">
      <c r="A57" s="5" t="str">
        <f>CONCATENATE("F",IF(B57&lt;&gt;"",COUNTA($B$2:B57),""))</f>
        <v>F</v>
      </c>
      <c r="B57" s="148"/>
      <c r="C57" s="148"/>
      <c r="D57" s="149"/>
      <c r="E57" s="149"/>
      <c r="F57" s="148"/>
      <c r="G57" s="5"/>
      <c r="H57" s="151"/>
      <c r="I57" s="151"/>
      <c r="J57" s="151"/>
      <c r="K57" s="151"/>
      <c r="L57" s="152"/>
      <c r="M57" s="152"/>
      <c r="N57" s="157"/>
      <c r="O57" s="148"/>
      <c r="P57" s="148"/>
      <c r="Q57" s="148"/>
      <c r="R57" s="1"/>
      <c r="S57" s="1"/>
      <c r="T57" s="1"/>
      <c r="U57" s="1"/>
      <c r="V57" s="1"/>
    </row>
    <row r="58" spans="1:22" x14ac:dyDescent="0.3">
      <c r="A58" s="5" t="str">
        <f>CONCATENATE("F",IF(B58&lt;&gt;"",COUNTA($B$2:B58),""))</f>
        <v>F</v>
      </c>
      <c r="B58" s="148"/>
      <c r="C58" s="148"/>
      <c r="D58" s="149"/>
      <c r="E58" s="149"/>
      <c r="F58" s="148"/>
      <c r="G58" s="5"/>
      <c r="H58" s="151"/>
      <c r="I58" s="151"/>
      <c r="J58" s="151"/>
      <c r="K58" s="151"/>
      <c r="L58" s="152"/>
      <c r="M58" s="152"/>
      <c r="N58" s="157"/>
      <c r="O58" s="148"/>
      <c r="P58" s="148"/>
      <c r="Q58" s="148"/>
      <c r="R58" s="1"/>
      <c r="S58" s="1"/>
      <c r="T58" s="1"/>
      <c r="U58" s="1"/>
      <c r="V58" s="1"/>
    </row>
    <row r="59" spans="1:22" x14ac:dyDescent="0.3">
      <c r="A59" s="5" t="str">
        <f>CONCATENATE("F",IF(B59&lt;&gt;"",COUNTA($B$2:B59),""))</f>
        <v>F28</v>
      </c>
      <c r="B59" s="5" t="s">
        <v>260</v>
      </c>
      <c r="C59" s="5" t="s">
        <v>267</v>
      </c>
      <c r="D5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333.98878259253672</v>
      </c>
      <c r="E5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" s="148">
        <f>VLOOKUP(woodflow[[#This Row],[From]],woodstock[#All],4,FALSE)</f>
        <v>2021</v>
      </c>
      <c r="G59" s="5" t="str">
        <f>VLOOKUP(woodflow[[#This Row],[From]],woodstock[#All],5,FALSE)</f>
        <v>Global</v>
      </c>
      <c r="H59" s="151" t="str">
        <f>VLOOKUP(woodflow[[#This Row],[From]],woodstock[#All],7,FALSE)</f>
        <v>6</v>
      </c>
      <c r="I59" s="151" t="str">
        <f>VLOOKUP(woodflow[[#This Row],[to]],woodstock[#All],7,FALSE)</f>
        <v>18</v>
      </c>
      <c r="J59" s="151" t="str">
        <f>VLOOKUP(woodflow[[#This Row],[From]],woodstock[#All],8,FALSE)</f>
        <v>0</v>
      </c>
      <c r="K59" s="151" t="str">
        <f>VLOOKUP(woodflow[[#This Row],[to]],woodstock[#All],8,FALSE)</f>
        <v>0</v>
      </c>
      <c r="L59" s="152" t="str">
        <f>VLOOKUP(woodflow[[#This Row],[From]],woodstock[#All],9,FALSE)</f>
        <v>nan</v>
      </c>
      <c r="M59" s="152" t="str">
        <f>VLOOKUP(woodflow[[#This Row],[to]],woodstock[#All],9,FALSE)</f>
        <v>nan</v>
      </c>
      <c r="N59" s="157">
        <f>('faostat-data'!Q51/('production-mass-balance'!B26))+('faostat-data'!Q51/'production-mass-balance'!B26*'production-mass-balance'!B25)</f>
        <v>333.98878259253672</v>
      </c>
      <c r="O59" s="148" t="s">
        <v>921</v>
      </c>
      <c r="P59" s="148" t="s">
        <v>453</v>
      </c>
      <c r="Q59" s="148" t="s">
        <v>227</v>
      </c>
      <c r="R59" s="1"/>
      <c r="S59" s="1"/>
      <c r="T59" s="1"/>
      <c r="U59" s="1"/>
      <c r="V59" s="1"/>
    </row>
    <row r="60" spans="1:22" x14ac:dyDescent="0.3">
      <c r="A60" s="5" t="str">
        <f>CONCATENATE("F",IF(B60&lt;&gt;"",COUNTA($B$2:B60),""))</f>
        <v>F29</v>
      </c>
      <c r="B60" s="5" t="s">
        <v>261</v>
      </c>
      <c r="C60" s="5" t="s">
        <v>268</v>
      </c>
      <c r="D6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184.8257214828466</v>
      </c>
      <c r="E6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" s="148">
        <f>VLOOKUP(woodflow[[#This Row],[From]],woodstock[#All],4,FALSE)</f>
        <v>2021</v>
      </c>
      <c r="G60" s="5" t="str">
        <f>VLOOKUP(woodflow[[#This Row],[From]],woodstock[#All],5,FALSE)</f>
        <v>Global</v>
      </c>
      <c r="H60" s="151" t="str">
        <f>VLOOKUP(woodflow[[#This Row],[From]],woodstock[#All],7,FALSE)</f>
        <v>7</v>
      </c>
      <c r="I60" s="151" t="str">
        <f>VLOOKUP(woodflow[[#This Row],[to]],woodstock[#All],7,FALSE)</f>
        <v>19</v>
      </c>
      <c r="J60" s="151" t="str">
        <f>VLOOKUP(woodflow[[#This Row],[From]],woodstock[#All],8,FALSE)</f>
        <v>0</v>
      </c>
      <c r="K60" s="151" t="str">
        <f>VLOOKUP(woodflow[[#This Row],[to]],woodstock[#All],8,FALSE)</f>
        <v>0</v>
      </c>
      <c r="L60" s="152" t="str">
        <f>VLOOKUP(woodflow[[#This Row],[From]],woodstock[#All],9,FALSE)</f>
        <v>nan</v>
      </c>
      <c r="M60" s="152" t="str">
        <f>VLOOKUP(woodflow[[#This Row],[to]],woodstock[#All],9,FALSE)</f>
        <v>nan</v>
      </c>
      <c r="N60" s="157">
        <f>('faostat-data'!Q54/('production-mass-balance'!B34))+('faostat-data'!Q54/'production-mass-balance'!B34*'production-mass-balance'!B33)</f>
        <v>184.8257214828466</v>
      </c>
      <c r="O60" s="148" t="s">
        <v>921</v>
      </c>
      <c r="P60" s="148" t="s">
        <v>453</v>
      </c>
      <c r="Q60" s="148" t="s">
        <v>227</v>
      </c>
      <c r="R60" s="1"/>
      <c r="S60" s="1"/>
      <c r="T60" s="1"/>
      <c r="U60" s="1"/>
      <c r="V60" s="1"/>
    </row>
    <row r="61" spans="1:22" x14ac:dyDescent="0.3">
      <c r="A61" s="5" t="str">
        <f>CONCATENATE("F",IF(B61&lt;&gt;"",COUNTA($B$2:B61),""))</f>
        <v>F</v>
      </c>
      <c r="B61" s="148"/>
      <c r="C61" s="148"/>
      <c r="D61" s="149"/>
      <c r="E61" s="149"/>
      <c r="F61" s="148"/>
      <c r="G61" s="5"/>
      <c r="H61" s="151"/>
      <c r="I61" s="151"/>
      <c r="J61" s="151"/>
      <c r="K61" s="151"/>
      <c r="L61" s="152"/>
      <c r="M61" s="152"/>
      <c r="N61" s="157"/>
      <c r="O61" s="148"/>
      <c r="P61" s="148"/>
      <c r="Q61" s="148"/>
      <c r="R61" s="1"/>
      <c r="S61" s="1"/>
      <c r="T61" s="1"/>
      <c r="U61" s="1"/>
      <c r="V61" s="1"/>
    </row>
    <row r="62" spans="1:22" x14ac:dyDescent="0.3">
      <c r="A62" s="5" t="str">
        <f>CONCATENATE("F",IF(B62&lt;&gt;"",COUNTA($B$2:B62),""))</f>
        <v>F</v>
      </c>
      <c r="B62" s="148"/>
      <c r="C62" s="148"/>
      <c r="D62" s="149"/>
      <c r="E62" s="149"/>
      <c r="F62" s="148"/>
      <c r="G62" s="5"/>
      <c r="H62" s="151"/>
      <c r="I62" s="151"/>
      <c r="J62" s="151"/>
      <c r="K62" s="151"/>
      <c r="L62" s="152"/>
      <c r="M62" s="152"/>
      <c r="N62" s="157"/>
      <c r="O62" s="148"/>
      <c r="P62" s="148"/>
      <c r="Q62" s="148"/>
      <c r="R62" s="1"/>
      <c r="S62" s="1"/>
      <c r="T62" s="1"/>
      <c r="U62" s="1"/>
      <c r="V62" s="1"/>
    </row>
    <row r="63" spans="1:22" x14ac:dyDescent="0.3">
      <c r="A63" s="5" t="str">
        <f>CONCATENATE("F",IF(B63&lt;&gt;"",COUNTA($B$2:B63),""))</f>
        <v>F30</v>
      </c>
      <c r="B63" s="148" t="s">
        <v>62</v>
      </c>
      <c r="C63" s="148" t="s">
        <v>49</v>
      </c>
      <c r="D6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20.872847728052825</v>
      </c>
      <c r="E6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" s="148">
        <f>VLOOKUP(woodflow[[#This Row],[From]],woodstock[#All],4,FALSE)</f>
        <v>2021</v>
      </c>
      <c r="G63" s="5" t="str">
        <f>VLOOKUP(woodflow[[#This Row],[From]],woodstock[#All],5,FALSE)</f>
        <v>Global</v>
      </c>
      <c r="H63" s="151" t="str">
        <f>VLOOKUP(woodflow[[#This Row],[From]],woodstock[#All],7,FALSE)</f>
        <v>5</v>
      </c>
      <c r="I63" s="151" t="str">
        <f>VLOOKUP(woodflow[[#This Row],[to]],woodstock[#All],7,FALSE)</f>
        <v>20</v>
      </c>
      <c r="J63" s="151" t="str">
        <f>VLOOKUP(woodflow[[#This Row],[From]],woodstock[#All],8,FALSE)</f>
        <v>1</v>
      </c>
      <c r="K63" s="151" t="str">
        <f>VLOOKUP(woodflow[[#This Row],[to]],woodstock[#All],8,FALSE)</f>
        <v>0</v>
      </c>
      <c r="L63" s="152" t="str">
        <f>VLOOKUP(woodflow[[#This Row],[From]],woodstock[#All],9,FALSE)</f>
        <v>6-7</v>
      </c>
      <c r="M63" s="152" t="str">
        <f>VLOOKUP(woodflow[[#This Row],[to]],woodstock[#All],9,FALSE)</f>
        <v>nan</v>
      </c>
      <c r="N63" s="157">
        <f>('faostat-data'!Q57/'production-mass-balance'!B42)+('faostat-data'!Q57/'production-mass-balance'!B42*'production-mass-balance'!B41)</f>
        <v>20.872847728052825</v>
      </c>
      <c r="O63" s="148" t="s">
        <v>921</v>
      </c>
      <c r="P63" s="148" t="s">
        <v>453</v>
      </c>
      <c r="Q63" s="148" t="s">
        <v>227</v>
      </c>
      <c r="R63" s="1"/>
      <c r="S63" s="1"/>
      <c r="T63" s="1"/>
      <c r="U63" s="1"/>
      <c r="V63" s="1"/>
    </row>
    <row r="64" spans="1:22" x14ac:dyDescent="0.3">
      <c r="A64" s="5" t="str">
        <f>CONCATENATE("F",IF(B64&lt;&gt;"",COUNTA($B$2:B64),""))</f>
        <v>F31</v>
      </c>
      <c r="B64" s="5" t="s">
        <v>260</v>
      </c>
      <c r="C64" s="148" t="s">
        <v>49</v>
      </c>
      <c r="D6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12.238054790534628</v>
      </c>
      <c r="F64" s="148">
        <f>VLOOKUP(woodflow[[#This Row],[From]],woodstock[#All],4,FALSE)</f>
        <v>2021</v>
      </c>
      <c r="G64" s="5" t="str">
        <f>VLOOKUP(woodflow[[#This Row],[From]],woodstock[#All],5,FALSE)</f>
        <v>Global</v>
      </c>
      <c r="H64" s="151" t="str">
        <f>VLOOKUP(woodflow[[#This Row],[From]],woodstock[#All],7,FALSE)</f>
        <v>6</v>
      </c>
      <c r="I64" s="151" t="str">
        <f>VLOOKUP(woodflow[[#This Row],[to]],woodstock[#All],7,FALSE)</f>
        <v>20</v>
      </c>
      <c r="J64" s="151" t="str">
        <f>VLOOKUP(woodflow[[#This Row],[From]],woodstock[#All],8,FALSE)</f>
        <v>0</v>
      </c>
      <c r="K64" s="151" t="str">
        <f>VLOOKUP(woodflow[[#This Row],[to]],woodstock[#All],8,FALSE)</f>
        <v>0</v>
      </c>
      <c r="L64" s="152" t="str">
        <f>VLOOKUP(woodflow[[#This Row],[From]],woodstock[#All],9,FALSE)</f>
        <v>nan</v>
      </c>
      <c r="M64" s="152" t="str">
        <f>VLOOKUP(woodflow[[#This Row],[to]],woodstock[#All],9,FALSE)</f>
        <v>nan</v>
      </c>
      <c r="N64" s="157">
        <f>N63*woodratio!I22</f>
        <v>12.238054790534628</v>
      </c>
      <c r="O64" s="148" t="s">
        <v>920</v>
      </c>
      <c r="P64" s="148" t="s">
        <v>233</v>
      </c>
      <c r="Q64" s="148"/>
      <c r="R64" s="1"/>
      <c r="S64" s="1"/>
      <c r="T64" s="1"/>
      <c r="U64" s="1"/>
      <c r="V64" s="1"/>
    </row>
    <row r="65" spans="1:22" x14ac:dyDescent="0.3">
      <c r="A65" s="5" t="str">
        <f>CONCATENATE("F",IF(B65&lt;&gt;"",COUNTA($B$2:B65),""))</f>
        <v>F32</v>
      </c>
      <c r="B65" s="5" t="s">
        <v>261</v>
      </c>
      <c r="C65" s="148" t="s">
        <v>49</v>
      </c>
      <c r="D6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8.6347929375181973</v>
      </c>
      <c r="F65" s="148">
        <f>VLOOKUP(woodflow[[#This Row],[From]],woodstock[#All],4,FALSE)</f>
        <v>2021</v>
      </c>
      <c r="G65" s="5" t="str">
        <f>VLOOKUP(woodflow[[#This Row],[From]],woodstock[#All],5,FALSE)</f>
        <v>Global</v>
      </c>
      <c r="H65" s="151" t="str">
        <f>VLOOKUP(woodflow[[#This Row],[From]],woodstock[#All],7,FALSE)</f>
        <v>7</v>
      </c>
      <c r="I65" s="151" t="str">
        <f>VLOOKUP(woodflow[[#This Row],[to]],woodstock[#All],7,FALSE)</f>
        <v>20</v>
      </c>
      <c r="J65" s="151" t="str">
        <f>VLOOKUP(woodflow[[#This Row],[From]],woodstock[#All],8,FALSE)</f>
        <v>0</v>
      </c>
      <c r="K65" s="151" t="str">
        <f>VLOOKUP(woodflow[[#This Row],[to]],woodstock[#All],8,FALSE)</f>
        <v>0</v>
      </c>
      <c r="L65" s="152" t="str">
        <f>VLOOKUP(woodflow[[#This Row],[From]],woodstock[#All],9,FALSE)</f>
        <v>nan</v>
      </c>
      <c r="M65" s="152" t="str">
        <f>VLOOKUP(woodflow[[#This Row],[to]],woodstock[#All],9,FALSE)</f>
        <v>nan</v>
      </c>
      <c r="N65" s="157">
        <f>N63*woodratio!I23</f>
        <v>8.6347929375181973</v>
      </c>
      <c r="O65" s="148" t="s">
        <v>920</v>
      </c>
      <c r="P65" s="148" t="s">
        <v>233</v>
      </c>
      <c r="Q65" s="148"/>
      <c r="R65" s="1"/>
      <c r="S65" s="1"/>
      <c r="T65" s="1"/>
      <c r="U65" s="1"/>
      <c r="V65" s="1"/>
    </row>
    <row r="66" spans="1:22" x14ac:dyDescent="0.3">
      <c r="A66" s="5" t="str">
        <f>CONCATENATE("F",IF(B66&lt;&gt;"",COUNTA($B$2:B66),""))</f>
        <v>F</v>
      </c>
      <c r="B66" s="148"/>
      <c r="C66" s="148"/>
      <c r="D66" s="149"/>
      <c r="E66" s="149"/>
      <c r="F66" s="148"/>
      <c r="G66" s="5"/>
      <c r="H66" s="151"/>
      <c r="I66" s="151"/>
      <c r="J66" s="151"/>
      <c r="K66" s="151"/>
      <c r="L66" s="152"/>
      <c r="M66" s="152"/>
      <c r="N66" s="157"/>
      <c r="O66" s="148"/>
      <c r="P66" s="148"/>
      <c r="Q66" s="148"/>
      <c r="R66" s="1"/>
      <c r="S66" s="1"/>
      <c r="T66" s="1"/>
      <c r="U66" s="1"/>
      <c r="V66" s="1"/>
    </row>
    <row r="67" spans="1:22" x14ac:dyDescent="0.3">
      <c r="A67" s="5" t="str">
        <f>CONCATENATE("F",IF(B67&lt;&gt;"",COUNTA($B$2:B67),""))</f>
        <v>F</v>
      </c>
      <c r="B67" s="5"/>
      <c r="C67" s="148"/>
      <c r="D67" s="149"/>
      <c r="E67" s="149"/>
      <c r="F67" s="148"/>
      <c r="G67" s="5"/>
      <c r="H67" s="151"/>
      <c r="I67" s="151"/>
      <c r="J67" s="151"/>
      <c r="K67" s="151"/>
      <c r="L67" s="152"/>
      <c r="M67" s="152"/>
      <c r="N67" s="157"/>
      <c r="O67" s="148"/>
      <c r="P67" s="148"/>
      <c r="Q67" s="148"/>
      <c r="R67" s="1"/>
      <c r="S67" s="1"/>
      <c r="T67" s="1"/>
      <c r="U67" s="1"/>
      <c r="V67" s="1"/>
    </row>
    <row r="68" spans="1:22" x14ac:dyDescent="0.3">
      <c r="A68" s="5" t="str">
        <f>CONCATENATE("F",IF(B68&lt;&gt;"",COUNTA($B$2:B68),""))</f>
        <v>F33</v>
      </c>
      <c r="B68" s="148" t="s">
        <v>62</v>
      </c>
      <c r="C68" s="148" t="s">
        <v>44</v>
      </c>
      <c r="D6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145.63223285500695</v>
      </c>
      <c r="E6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8" s="148">
        <f>VLOOKUP(woodflow[[#This Row],[From]],woodstock[#All],4,FALSE)</f>
        <v>2021</v>
      </c>
      <c r="G68" s="5" t="str">
        <f>VLOOKUP(woodflow[[#This Row],[From]],woodstock[#All],5,FALSE)</f>
        <v>Global</v>
      </c>
      <c r="H68" s="151" t="str">
        <f>VLOOKUP(woodflow[[#This Row],[From]],woodstock[#All],7,FALSE)</f>
        <v>5</v>
      </c>
      <c r="I68" s="151" t="str">
        <f>VLOOKUP(woodflow[[#This Row],[to]],woodstock[#All],7,FALSE)</f>
        <v>21</v>
      </c>
      <c r="J68" s="151" t="str">
        <f>VLOOKUP(woodflow[[#This Row],[From]],woodstock[#All],8,FALSE)</f>
        <v>1</v>
      </c>
      <c r="K68" s="151" t="str">
        <f>VLOOKUP(woodflow[[#This Row],[to]],woodstock[#All],8,FALSE)</f>
        <v>0</v>
      </c>
      <c r="L68" s="152" t="str">
        <f>VLOOKUP(woodflow[[#This Row],[From]],woodstock[#All],9,FALSE)</f>
        <v>6-7</v>
      </c>
      <c r="M68" s="152" t="str">
        <f>VLOOKUP(woodflow[[#This Row],[to]],woodstock[#All],9,FALSE)</f>
        <v>nan</v>
      </c>
      <c r="N68" s="157">
        <f>('faostat-data'!Q60/'production-mass-balance'!B42)+('faostat-data'!Q60/'production-mass-balance'!B42*'production-mass-balance'!B41)</f>
        <v>145.63223285500695</v>
      </c>
      <c r="O68" s="148" t="s">
        <v>921</v>
      </c>
      <c r="P68" s="148" t="s">
        <v>453</v>
      </c>
      <c r="Q68" s="148" t="s">
        <v>227</v>
      </c>
      <c r="R68" s="1"/>
      <c r="S68" s="1"/>
      <c r="T68" s="1"/>
      <c r="U68" s="1"/>
      <c r="V68" s="1"/>
    </row>
    <row r="69" spans="1:22" x14ac:dyDescent="0.3">
      <c r="A69" s="5" t="str">
        <f>CONCATENATE("F",IF(B69&lt;&gt;"",COUNTA($B$2:B69),""))</f>
        <v>F34</v>
      </c>
      <c r="B69" s="5" t="s">
        <v>260</v>
      </c>
      <c r="C69" s="148" t="s">
        <v>44</v>
      </c>
      <c r="D69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69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85.386300334675724</v>
      </c>
      <c r="F69" s="148">
        <f>VLOOKUP(woodflow[[#This Row],[From]],woodstock[#All],4,FALSE)</f>
        <v>2021</v>
      </c>
      <c r="G69" s="5" t="str">
        <f>VLOOKUP(woodflow[[#This Row],[From]],woodstock[#All],5,FALSE)</f>
        <v>Global</v>
      </c>
      <c r="H69" s="151" t="str">
        <f>VLOOKUP(woodflow[[#This Row],[From]],woodstock[#All],7,FALSE)</f>
        <v>6</v>
      </c>
      <c r="I69" s="151" t="str">
        <f>VLOOKUP(woodflow[[#This Row],[to]],woodstock[#All],7,FALSE)</f>
        <v>21</v>
      </c>
      <c r="J69" s="151" t="str">
        <f>VLOOKUP(woodflow[[#This Row],[From]],woodstock[#All],8,FALSE)</f>
        <v>0</v>
      </c>
      <c r="K69" s="151" t="str">
        <f>VLOOKUP(woodflow[[#This Row],[to]],woodstock[#All],8,FALSE)</f>
        <v>0</v>
      </c>
      <c r="L69" s="152" t="str">
        <f>VLOOKUP(woodflow[[#This Row],[From]],woodstock[#All],9,FALSE)</f>
        <v>nan</v>
      </c>
      <c r="M69" s="152" t="str">
        <f>VLOOKUP(woodflow[[#This Row],[to]],woodstock[#All],9,FALSE)</f>
        <v>nan</v>
      </c>
      <c r="N69" s="157">
        <f>N68*woodratio!I26</f>
        <v>85.386300334675724</v>
      </c>
      <c r="O69" s="148" t="s">
        <v>920</v>
      </c>
      <c r="P69" s="148" t="s">
        <v>233</v>
      </c>
      <c r="Q69" s="148"/>
      <c r="R69" s="1"/>
      <c r="S69" s="1"/>
      <c r="T69" s="1"/>
      <c r="U69" s="1"/>
      <c r="V69" s="1"/>
    </row>
    <row r="70" spans="1:22" x14ac:dyDescent="0.3">
      <c r="A70" s="5" t="str">
        <f>CONCATENATE("F",IF(B70&lt;&gt;"",COUNTA($B$2:B70),""))</f>
        <v>F35</v>
      </c>
      <c r="B70" s="5" t="s">
        <v>261</v>
      </c>
      <c r="C70" s="148" t="s">
        <v>44</v>
      </c>
      <c r="D7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60.24593252033123</v>
      </c>
      <c r="F70" s="148">
        <f>VLOOKUP(woodflow[[#This Row],[From]],woodstock[#All],4,FALSE)</f>
        <v>2021</v>
      </c>
      <c r="G70" s="5" t="str">
        <f>VLOOKUP(woodflow[[#This Row],[From]],woodstock[#All],5,FALSE)</f>
        <v>Global</v>
      </c>
      <c r="H70" s="151" t="str">
        <f>VLOOKUP(woodflow[[#This Row],[From]],woodstock[#All],7,FALSE)</f>
        <v>7</v>
      </c>
      <c r="I70" s="151" t="str">
        <f>VLOOKUP(woodflow[[#This Row],[to]],woodstock[#All],7,FALSE)</f>
        <v>21</v>
      </c>
      <c r="J70" s="151" t="str">
        <f>VLOOKUP(woodflow[[#This Row],[From]],woodstock[#All],8,FALSE)</f>
        <v>0</v>
      </c>
      <c r="K70" s="151" t="str">
        <f>VLOOKUP(woodflow[[#This Row],[to]],woodstock[#All],8,FALSE)</f>
        <v>0</v>
      </c>
      <c r="L70" s="152" t="str">
        <f>VLOOKUP(woodflow[[#This Row],[From]],woodstock[#All],9,FALSE)</f>
        <v>nan</v>
      </c>
      <c r="M70" s="152" t="str">
        <f>VLOOKUP(woodflow[[#This Row],[to]],woodstock[#All],9,FALSE)</f>
        <v>nan</v>
      </c>
      <c r="N70" s="157">
        <f>N68*woodratio!I27</f>
        <v>60.24593252033123</v>
      </c>
      <c r="O70" s="148" t="s">
        <v>920</v>
      </c>
      <c r="P70" s="148" t="s">
        <v>233</v>
      </c>
      <c r="Q70" s="148"/>
      <c r="R70" s="1"/>
      <c r="S70" s="1"/>
      <c r="T70" s="1"/>
      <c r="U70" s="1"/>
      <c r="V70" s="1"/>
    </row>
    <row r="71" spans="1:22" x14ac:dyDescent="0.3">
      <c r="A71" s="5" t="str">
        <f>CONCATENATE("F",IF(B71&lt;&gt;"",COUNTA($B$2:B71),""))</f>
        <v>F</v>
      </c>
      <c r="B71" s="5"/>
      <c r="C71" s="148"/>
      <c r="D71" s="149"/>
      <c r="E71" s="149"/>
      <c r="F71" s="148"/>
      <c r="G71" s="5"/>
      <c r="H71" s="151"/>
      <c r="I71" s="151"/>
      <c r="J71" s="151"/>
      <c r="K71" s="151"/>
      <c r="L71" s="152"/>
      <c r="M71" s="152"/>
      <c r="N71" s="157"/>
      <c r="O71" s="148"/>
      <c r="P71" s="148"/>
      <c r="Q71" s="148"/>
      <c r="R71" s="1"/>
      <c r="S71" s="1"/>
      <c r="T71" s="1"/>
      <c r="U71" s="1"/>
      <c r="V71" s="1"/>
    </row>
    <row r="72" spans="1:22" x14ac:dyDescent="0.3">
      <c r="A72" s="5" t="str">
        <f>CONCATENATE("F",IF(B72&lt;&gt;"",COUNTA($B$2:B72),""))</f>
        <v>F</v>
      </c>
      <c r="B72" s="148"/>
      <c r="C72" s="148"/>
      <c r="D72" s="149"/>
      <c r="E72" s="149"/>
      <c r="F72" s="148"/>
      <c r="G72" s="5"/>
      <c r="H72" s="151"/>
      <c r="I72" s="151"/>
      <c r="J72" s="151"/>
      <c r="K72" s="151"/>
      <c r="L72" s="152"/>
      <c r="M72" s="152"/>
      <c r="N72" s="157"/>
      <c r="O72" s="148"/>
      <c r="P72" s="148"/>
      <c r="Q72" s="148"/>
      <c r="R72" s="1"/>
      <c r="S72" s="1"/>
      <c r="T72" s="1"/>
      <c r="U72" s="1"/>
      <c r="V72" s="1"/>
    </row>
    <row r="73" spans="1:22" x14ac:dyDescent="0.3">
      <c r="A73" s="5" t="str">
        <f>CONCATENATE("F",IF(B73&lt;&gt;"",COUNTA($B$2:B73),""))</f>
        <v>F36</v>
      </c>
      <c r="B73" s="5" t="s">
        <v>63</v>
      </c>
      <c r="C73" s="148" t="s">
        <v>65</v>
      </c>
      <c r="D7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425.11292787885367</v>
      </c>
      <c r="F73" s="148">
        <f>VLOOKUP(woodflow[[#This Row],[From]],woodstock[#All],4,FALSE)</f>
        <v>2021</v>
      </c>
      <c r="G73" s="5" t="str">
        <f>VLOOKUP(woodflow[[#This Row],[From]],woodstock[#All],5,FALSE)</f>
        <v>Global</v>
      </c>
      <c r="H73" s="151" t="str">
        <f>VLOOKUP(woodflow[[#This Row],[From]],woodstock[#All],7,FALSE)</f>
        <v>6</v>
      </c>
      <c r="I73" s="151" t="str">
        <f>VLOOKUP(woodflow[[#This Row],[to]],woodstock[#All],7,FALSE)</f>
        <v>9</v>
      </c>
      <c r="J73" s="151" t="str">
        <f>VLOOKUP(woodflow[[#This Row],[From]],woodstock[#All],8,FALSE)</f>
        <v>1</v>
      </c>
      <c r="K73" s="151" t="str">
        <f>VLOOKUP(woodflow[[#This Row],[to]],woodstock[#All],8,FALSE)</f>
        <v>1</v>
      </c>
      <c r="L73" s="152" t="str">
        <f>VLOOKUP(woodflow[[#This Row],[From]],woodstock[#All],9,FALSE)</f>
        <v>8-9</v>
      </c>
      <c r="M73" s="152" t="str">
        <f>VLOOKUP(woodflow[[#This Row],[to]],woodstock[#All],9,FALSE)</f>
        <v>15-16</v>
      </c>
      <c r="N73" s="157">
        <f>(N122+N125+N128+N131+N134+N137+N142+N147+N152)+(-N416-N431-N446-N479)+(-'faostat-data'!Q40+'faostat-data'!Q41-'faostat-data'!Q43+'faostat-data'!Q44)</f>
        <v>425.11292787885367</v>
      </c>
      <c r="O73" s="148" t="s">
        <v>920</v>
      </c>
      <c r="P73" s="148" t="s">
        <v>232</v>
      </c>
      <c r="Q73" s="148"/>
      <c r="R73" s="1"/>
      <c r="S73" s="1"/>
      <c r="T73" s="1"/>
      <c r="U73" s="1"/>
      <c r="V73" s="1"/>
    </row>
    <row r="74" spans="1:22" x14ac:dyDescent="0.3">
      <c r="A74" s="5" t="str">
        <f>CONCATENATE("F",IF(B74&lt;&gt;"",COUNTA($B$2:B74),""))</f>
        <v>F37</v>
      </c>
      <c r="B74" s="5" t="s">
        <v>263</v>
      </c>
      <c r="C74" s="148" t="s">
        <v>53</v>
      </c>
      <c r="D7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4" s="148">
        <f>VLOOKUP(woodflow[[#This Row],[From]],woodstock[#All],4,FALSE)</f>
        <v>2021</v>
      </c>
      <c r="G74" s="5" t="str">
        <f>VLOOKUP(woodflow[[#This Row],[From]],woodstock[#All],5,FALSE)</f>
        <v>Global</v>
      </c>
      <c r="H74" s="151" t="str">
        <f>VLOOKUP(woodflow[[#This Row],[From]],woodstock[#All],7,FALSE)</f>
        <v>8</v>
      </c>
      <c r="I74" s="151" t="str">
        <f>VLOOKUP(woodflow[[#This Row],[to]],woodstock[#All],7,FALSE)</f>
        <v>15</v>
      </c>
      <c r="J74" s="151" t="str">
        <f>VLOOKUP(woodflow[[#This Row],[From]],woodstock[#All],8,FALSE)</f>
        <v>0</v>
      </c>
      <c r="K74" s="151" t="str">
        <f>VLOOKUP(woodflow[[#This Row],[to]],woodstock[#All],8,FALSE)</f>
        <v>0</v>
      </c>
      <c r="L74" s="152" t="str">
        <f>VLOOKUP(woodflow[[#This Row],[From]],woodstock[#All],9,FALSE)</f>
        <v>nan</v>
      </c>
      <c r="M74" s="152" t="str">
        <f>VLOOKUP(woodflow[[#This Row],[to]],woodstock[#All],9,FALSE)</f>
        <v>nan</v>
      </c>
      <c r="N74" s="157"/>
      <c r="O74" s="148" t="s">
        <v>457</v>
      </c>
      <c r="P74" s="148"/>
      <c r="Q74" s="148"/>
      <c r="R74" s="1"/>
      <c r="S74" s="1"/>
      <c r="T74" s="1"/>
      <c r="U74" s="1"/>
      <c r="V74" s="1"/>
    </row>
    <row r="75" spans="1:22" x14ac:dyDescent="0.3">
      <c r="A75" s="5" t="str">
        <f>CONCATENATE("F",IF(B75&lt;&gt;"",COUNTA($B$2:B75),""))</f>
        <v>F38</v>
      </c>
      <c r="B75" s="5" t="s">
        <v>263</v>
      </c>
      <c r="C75" s="148" t="s">
        <v>54</v>
      </c>
      <c r="D7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5" s="148">
        <f>VLOOKUP(woodflow[[#This Row],[From]],woodstock[#All],4,FALSE)</f>
        <v>2021</v>
      </c>
      <c r="G75" s="5" t="str">
        <f>VLOOKUP(woodflow[[#This Row],[From]],woodstock[#All],5,FALSE)</f>
        <v>Global</v>
      </c>
      <c r="H75" s="151" t="str">
        <f>VLOOKUP(woodflow[[#This Row],[From]],woodstock[#All],7,FALSE)</f>
        <v>8</v>
      </c>
      <c r="I75" s="151" t="str">
        <f>VLOOKUP(woodflow[[#This Row],[to]],woodstock[#All],7,FALSE)</f>
        <v>16</v>
      </c>
      <c r="J75" s="151" t="str">
        <f>VLOOKUP(woodflow[[#This Row],[From]],woodstock[#All],8,FALSE)</f>
        <v>0</v>
      </c>
      <c r="K75" s="151" t="str">
        <f>VLOOKUP(woodflow[[#This Row],[to]],woodstock[#All],8,FALSE)</f>
        <v>0</v>
      </c>
      <c r="L75" s="152" t="str">
        <f>VLOOKUP(woodflow[[#This Row],[From]],woodstock[#All],9,FALSE)</f>
        <v>nan</v>
      </c>
      <c r="M75" s="152" t="str">
        <f>VLOOKUP(woodflow[[#This Row],[to]],woodstock[#All],9,FALSE)</f>
        <v>nan</v>
      </c>
      <c r="N75" s="157"/>
      <c r="O75" s="148" t="s">
        <v>457</v>
      </c>
      <c r="P75" s="148"/>
      <c r="Q75" s="148"/>
      <c r="R75" s="1"/>
      <c r="S75" s="1"/>
      <c r="T75" s="1"/>
      <c r="U75" s="1"/>
      <c r="V75" s="1"/>
    </row>
    <row r="76" spans="1:22" x14ac:dyDescent="0.3">
      <c r="A76" s="5" t="str">
        <f>CONCATENATE("F",IF(B76&lt;&gt;"",COUNTA($B$2:B76),""))</f>
        <v>F39</v>
      </c>
      <c r="B76" s="5" t="s">
        <v>264</v>
      </c>
      <c r="C76" s="148" t="s">
        <v>53</v>
      </c>
      <c r="D7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6" s="148">
        <f>VLOOKUP(woodflow[[#This Row],[From]],woodstock[#All],4,FALSE)</f>
        <v>2021</v>
      </c>
      <c r="G76" s="5" t="str">
        <f>VLOOKUP(woodflow[[#This Row],[From]],woodstock[#All],5,FALSE)</f>
        <v>Global</v>
      </c>
      <c r="H76" s="151" t="str">
        <f>VLOOKUP(woodflow[[#This Row],[From]],woodstock[#All],7,FALSE)</f>
        <v>9</v>
      </c>
      <c r="I76" s="151" t="str">
        <f>VLOOKUP(woodflow[[#This Row],[to]],woodstock[#All],7,FALSE)</f>
        <v>15</v>
      </c>
      <c r="J76" s="151" t="str">
        <f>VLOOKUP(woodflow[[#This Row],[From]],woodstock[#All],8,FALSE)</f>
        <v>0</v>
      </c>
      <c r="K76" s="151" t="str">
        <f>VLOOKUP(woodflow[[#This Row],[to]],woodstock[#All],8,FALSE)</f>
        <v>0</v>
      </c>
      <c r="L76" s="152" t="str">
        <f>VLOOKUP(woodflow[[#This Row],[From]],woodstock[#All],9,FALSE)</f>
        <v>nan</v>
      </c>
      <c r="M76" s="152" t="str">
        <f>VLOOKUP(woodflow[[#This Row],[to]],woodstock[#All],9,FALSE)</f>
        <v>nan</v>
      </c>
      <c r="N76" s="157"/>
      <c r="O76" s="148" t="s">
        <v>457</v>
      </c>
      <c r="P76" s="148"/>
      <c r="Q76" s="148"/>
      <c r="R76" s="1"/>
      <c r="S76" s="1"/>
      <c r="T76" s="1"/>
      <c r="U76" s="1"/>
      <c r="V76" s="1"/>
    </row>
    <row r="77" spans="1:22" x14ac:dyDescent="0.3">
      <c r="A77" s="5" t="str">
        <f>CONCATENATE("F",IF(B77&lt;&gt;"",COUNTA($B$2:B77),""))</f>
        <v>F40</v>
      </c>
      <c r="B77" s="5" t="s">
        <v>264</v>
      </c>
      <c r="C77" s="148" t="s">
        <v>54</v>
      </c>
      <c r="D7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7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77" s="148">
        <f>VLOOKUP(woodflow[[#This Row],[From]],woodstock[#All],4,FALSE)</f>
        <v>2021</v>
      </c>
      <c r="G77" s="5" t="str">
        <f>VLOOKUP(woodflow[[#This Row],[From]],woodstock[#All],5,FALSE)</f>
        <v>Global</v>
      </c>
      <c r="H77" s="151" t="str">
        <f>VLOOKUP(woodflow[[#This Row],[From]],woodstock[#All],7,FALSE)</f>
        <v>9</v>
      </c>
      <c r="I77" s="151" t="str">
        <f>VLOOKUP(woodflow[[#This Row],[to]],woodstock[#All],7,FALSE)</f>
        <v>16</v>
      </c>
      <c r="J77" s="151" t="str">
        <f>VLOOKUP(woodflow[[#This Row],[From]],woodstock[#All],8,FALSE)</f>
        <v>0</v>
      </c>
      <c r="K77" s="151" t="str">
        <f>VLOOKUP(woodflow[[#This Row],[to]],woodstock[#All],8,FALSE)</f>
        <v>0</v>
      </c>
      <c r="L77" s="152" t="str">
        <f>VLOOKUP(woodflow[[#This Row],[From]],woodstock[#All],9,FALSE)</f>
        <v>nan</v>
      </c>
      <c r="M77" s="152" t="str">
        <f>VLOOKUP(woodflow[[#This Row],[to]],woodstock[#All],9,FALSE)</f>
        <v>nan</v>
      </c>
      <c r="N77" s="157"/>
      <c r="O77" s="148" t="s">
        <v>457</v>
      </c>
      <c r="P77" s="148"/>
      <c r="Q77" s="148"/>
      <c r="R77" s="1"/>
      <c r="S77" s="1"/>
      <c r="T77" s="1"/>
      <c r="U77" s="1"/>
      <c r="V77" s="1"/>
    </row>
    <row r="78" spans="1:22" x14ac:dyDescent="0.3">
      <c r="A78" s="5" t="str">
        <f>CONCATENATE("F",IF(B78&lt;&gt;"",COUNTA($B$2:B78),""))</f>
        <v>F</v>
      </c>
      <c r="B78" s="148"/>
      <c r="C78" s="148"/>
      <c r="D78" s="149"/>
      <c r="E78" s="149"/>
      <c r="F78" s="148"/>
      <c r="G78" s="5"/>
      <c r="H78" s="151"/>
      <c r="I78" s="151"/>
      <c r="J78" s="151"/>
      <c r="K78" s="151"/>
      <c r="L78" s="152"/>
      <c r="M78" s="152"/>
      <c r="N78" s="157"/>
      <c r="O78" s="148"/>
      <c r="P78" s="148"/>
      <c r="Q78" s="148"/>
      <c r="R78" s="1"/>
      <c r="S78" s="1"/>
      <c r="T78" s="1"/>
      <c r="U78" s="1"/>
      <c r="V78" s="1"/>
    </row>
    <row r="79" spans="1:22" x14ac:dyDescent="0.3">
      <c r="A79" s="5" t="str">
        <f>CONCATENATE("F",IF(B79&lt;&gt;"",COUNTA($B$2:B79),""))</f>
        <v>F</v>
      </c>
      <c r="B79" s="148"/>
      <c r="C79" s="148"/>
      <c r="D79" s="149"/>
      <c r="E79" s="149"/>
      <c r="F79" s="148"/>
      <c r="G79" s="5"/>
      <c r="H79" s="151"/>
      <c r="I79" s="151"/>
      <c r="J79" s="151"/>
      <c r="K79" s="151"/>
      <c r="L79" s="152"/>
      <c r="M79" s="152"/>
      <c r="N79" s="157"/>
      <c r="O79" s="148"/>
      <c r="P79" s="148"/>
      <c r="Q79" s="148"/>
      <c r="R79" s="1"/>
      <c r="S79" s="1"/>
      <c r="T79" s="1"/>
      <c r="U79" s="1"/>
      <c r="V79" s="1"/>
    </row>
    <row r="80" spans="1:22" x14ac:dyDescent="0.3">
      <c r="A80" s="5" t="str">
        <f>CONCATENATE("F",IF(B80&lt;&gt;"",COUNTA($B$2:B80),""))</f>
        <v>F41</v>
      </c>
      <c r="B80" s="148" t="s">
        <v>64</v>
      </c>
      <c r="C80" s="148" t="s">
        <v>175</v>
      </c>
      <c r="D8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99.918135672325633</v>
      </c>
      <c r="E8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0" s="148">
        <f>VLOOKUP(woodflow[[#This Row],[From]],woodstock[#All],4,FALSE)</f>
        <v>2021</v>
      </c>
      <c r="G80" s="5" t="str">
        <f>VLOOKUP(woodflow[[#This Row],[From]],woodstock[#All],5,FALSE)</f>
        <v>Global</v>
      </c>
      <c r="H80" s="151" t="str">
        <f>VLOOKUP(woodflow[[#This Row],[From]],woodstock[#All],7,FALSE)</f>
        <v>7</v>
      </c>
      <c r="I80" s="151" t="str">
        <f>VLOOKUP(woodflow[[#This Row],[to]],woodstock[#All],7,FALSE)</f>
        <v>14</v>
      </c>
      <c r="J80" s="151" t="str">
        <f>VLOOKUP(woodflow[[#This Row],[From]],woodstock[#All],8,FALSE)</f>
        <v>1</v>
      </c>
      <c r="K80" s="151" t="str">
        <f>VLOOKUP(woodflow[[#This Row],[to]],woodstock[#All],8,FALSE)</f>
        <v>0</v>
      </c>
      <c r="L80" s="152" t="str">
        <f>VLOOKUP(woodflow[[#This Row],[From]],woodstock[#All],9,FALSE)</f>
        <v>10-11</v>
      </c>
      <c r="M80" s="152" t="str">
        <f>VLOOKUP(woodflow[[#This Row],[to]],woodstock[#All],9,FALSE)</f>
        <v>nan</v>
      </c>
      <c r="N80" s="157">
        <f>N11+N23+N41</f>
        <v>99.918135672325633</v>
      </c>
      <c r="O80" s="148" t="s">
        <v>921</v>
      </c>
      <c r="P80" s="148" t="s">
        <v>232</v>
      </c>
      <c r="Q80" s="148"/>
      <c r="R80" s="1"/>
      <c r="S80" s="1"/>
      <c r="T80" s="1"/>
      <c r="U80" s="1"/>
      <c r="V80" s="1"/>
    </row>
    <row r="81" spans="1:22" x14ac:dyDescent="0.3">
      <c r="A81" s="5" t="str">
        <f>CONCATENATE("F",IF(B81&lt;&gt;"",COUNTA($B$2:B81),""))</f>
        <v>F42</v>
      </c>
      <c r="B81" s="5" t="s">
        <v>265</v>
      </c>
      <c r="C81" s="148" t="s">
        <v>175</v>
      </c>
      <c r="D8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22.434928999763073</v>
      </c>
      <c r="F81" s="148">
        <f>VLOOKUP(woodflow[[#This Row],[From]],woodstock[#All],4,FALSE)</f>
        <v>2021</v>
      </c>
      <c r="G81" s="5" t="str">
        <f>VLOOKUP(woodflow[[#This Row],[From]],woodstock[#All],5,FALSE)</f>
        <v>Global</v>
      </c>
      <c r="H81" s="151" t="str">
        <f>VLOOKUP(woodflow[[#This Row],[From]],woodstock[#All],7,FALSE)</f>
        <v>10</v>
      </c>
      <c r="I81" s="151" t="str">
        <f>VLOOKUP(woodflow[[#This Row],[to]],woodstock[#All],7,FALSE)</f>
        <v>14</v>
      </c>
      <c r="J81" s="151" t="str">
        <f>VLOOKUP(woodflow[[#This Row],[From]],woodstock[#All],8,FALSE)</f>
        <v>0</v>
      </c>
      <c r="K81" s="151" t="str">
        <f>VLOOKUP(woodflow[[#This Row],[to]],woodstock[#All],8,FALSE)</f>
        <v>0</v>
      </c>
      <c r="L81" s="152" t="str">
        <f>VLOOKUP(woodflow[[#This Row],[From]],woodstock[#All],9,FALSE)</f>
        <v>nan</v>
      </c>
      <c r="M81" s="152" t="str">
        <f>VLOOKUP(woodflow[[#This Row],[to]],woodstock[#All],9,FALSE)</f>
        <v>nan</v>
      </c>
      <c r="N81" s="157">
        <f>N80*woodratio!I30</f>
        <v>22.434928999763073</v>
      </c>
      <c r="O81" s="148" t="s">
        <v>920</v>
      </c>
      <c r="P81" s="148" t="s">
        <v>233</v>
      </c>
      <c r="Q81" s="148"/>
      <c r="R81" s="1"/>
      <c r="S81" s="1"/>
      <c r="T81" s="1"/>
      <c r="U81" s="1"/>
      <c r="V81" s="1"/>
    </row>
    <row r="82" spans="1:22" x14ac:dyDescent="0.3">
      <c r="A82" s="5" t="str">
        <f>CONCATENATE("F",IF(B82&lt;&gt;"",COUNTA($B$2:B82),""))</f>
        <v>F43</v>
      </c>
      <c r="B82" s="5" t="s">
        <v>266</v>
      </c>
      <c r="C82" s="148" t="s">
        <v>175</v>
      </c>
      <c r="D8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8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77.483206672562559</v>
      </c>
      <c r="F82" s="148">
        <f>VLOOKUP(woodflow[[#This Row],[From]],woodstock[#All],4,FALSE)</f>
        <v>2021</v>
      </c>
      <c r="G82" s="5" t="str">
        <f>VLOOKUP(woodflow[[#This Row],[From]],woodstock[#All],5,FALSE)</f>
        <v>Global</v>
      </c>
      <c r="H82" s="151" t="str">
        <f>VLOOKUP(woodflow[[#This Row],[From]],woodstock[#All],7,FALSE)</f>
        <v>11</v>
      </c>
      <c r="I82" s="151" t="str">
        <f>VLOOKUP(woodflow[[#This Row],[to]],woodstock[#All],7,FALSE)</f>
        <v>14</v>
      </c>
      <c r="J82" s="151" t="str">
        <f>VLOOKUP(woodflow[[#This Row],[From]],woodstock[#All],8,FALSE)</f>
        <v>0</v>
      </c>
      <c r="K82" s="151" t="str">
        <f>VLOOKUP(woodflow[[#This Row],[to]],woodstock[#All],8,FALSE)</f>
        <v>0</v>
      </c>
      <c r="L82" s="152" t="str">
        <f>VLOOKUP(woodflow[[#This Row],[From]],woodstock[#All],9,FALSE)</f>
        <v>nan</v>
      </c>
      <c r="M82" s="152" t="str">
        <f>VLOOKUP(woodflow[[#This Row],[to]],woodstock[#All],9,FALSE)</f>
        <v>nan</v>
      </c>
      <c r="N82" s="157">
        <f>N80*woodratio!I31</f>
        <v>77.483206672562559</v>
      </c>
      <c r="O82" s="148" t="s">
        <v>920</v>
      </c>
      <c r="P82" s="148" t="s">
        <v>233</v>
      </c>
      <c r="Q82" s="148"/>
      <c r="R82" s="1"/>
      <c r="S82" s="1"/>
      <c r="T82" s="1"/>
      <c r="U82" s="1"/>
      <c r="V82" s="1"/>
    </row>
    <row r="83" spans="1:22" x14ac:dyDescent="0.3">
      <c r="A83" s="5" t="str">
        <f>CONCATENATE("F",IF(B83&lt;&gt;"",COUNTA($B$2:B83),""))</f>
        <v>F</v>
      </c>
      <c r="B83" s="148"/>
      <c r="C83" s="148"/>
      <c r="D83" s="149"/>
      <c r="E83" s="149"/>
      <c r="F83" s="148"/>
      <c r="G83" s="5"/>
      <c r="H83" s="151"/>
      <c r="I83" s="151"/>
      <c r="J83" s="151"/>
      <c r="K83" s="151"/>
      <c r="L83" s="152"/>
      <c r="M83" s="152"/>
      <c r="N83" s="157"/>
      <c r="O83" s="148"/>
      <c r="P83" s="148"/>
      <c r="Q83" s="148"/>
      <c r="R83" s="1"/>
      <c r="S83" s="1"/>
      <c r="T83" s="1"/>
      <c r="U83" s="1"/>
      <c r="V83" s="1"/>
    </row>
    <row r="84" spans="1:22" x14ac:dyDescent="0.3">
      <c r="A84" s="5" t="str">
        <f>CONCATENATE("F",IF(B84&lt;&gt;"",COUNTA($B$2:B84),""))</f>
        <v>F</v>
      </c>
      <c r="B84" s="148"/>
      <c r="C84" s="148"/>
      <c r="D84" s="149"/>
      <c r="E84" s="149"/>
      <c r="F84" s="148"/>
      <c r="G84" s="5"/>
      <c r="H84" s="151"/>
      <c r="I84" s="151"/>
      <c r="J84" s="151"/>
      <c r="K84" s="151"/>
      <c r="L84" s="152"/>
      <c r="M84" s="152"/>
      <c r="N84" s="157"/>
      <c r="O84" s="148"/>
      <c r="P84" s="148"/>
      <c r="Q84" s="148"/>
      <c r="R84" s="1"/>
      <c r="S84" s="1"/>
      <c r="T84" s="1"/>
      <c r="U84" s="1"/>
      <c r="V84" s="1"/>
    </row>
    <row r="85" spans="1:22" x14ac:dyDescent="0.3">
      <c r="A85" s="5" t="str">
        <f>CONCATENATE("F",IF(B85&lt;&gt;"",COUNTA($B$2:B85),""))</f>
        <v>F44</v>
      </c>
      <c r="B85" s="148" t="s">
        <v>208</v>
      </c>
      <c r="C85" s="148" t="s">
        <v>51</v>
      </c>
      <c r="D8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0.20100000000000001</v>
      </c>
      <c r="E8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5" s="148">
        <f>VLOOKUP(woodflow[[#This Row],[From]],woodstock[#All],4,FALSE)</f>
        <v>2021</v>
      </c>
      <c r="G85" s="5" t="str">
        <f>VLOOKUP(woodflow[[#This Row],[From]],woodstock[#All],5,FALSE)</f>
        <v>Global</v>
      </c>
      <c r="H85" s="151" t="str">
        <f>VLOOKUP(woodflow[[#This Row],[From]],woodstock[#All],7,FALSE)</f>
        <v>12</v>
      </c>
      <c r="I85" s="151" t="str">
        <f>VLOOKUP(woodflow[[#This Row],[to]],woodstock[#All],7,FALSE)</f>
        <v>15</v>
      </c>
      <c r="J85" s="151" t="str">
        <f>VLOOKUP(woodflow[[#This Row],[From]],woodstock[#All],8,FALSE)</f>
        <v>0</v>
      </c>
      <c r="K85" s="151" t="str">
        <f>VLOOKUP(woodflow[[#This Row],[to]],woodstock[#All],8,FALSE)</f>
        <v>1</v>
      </c>
      <c r="L85" s="152" t="str">
        <f>VLOOKUP(woodflow[[#This Row],[From]],woodstock[#All],9,FALSE)</f>
        <v>nan</v>
      </c>
      <c r="M85" s="152" t="str">
        <f>VLOOKUP(woodflow[[#This Row],[to]],woodstock[#All],9,FALSE)</f>
        <v>37-38-39-40-41-42</v>
      </c>
      <c r="N85" s="157">
        <f>N46-N94+N503-N584</f>
        <v>0.20100000000000001</v>
      </c>
      <c r="O85" s="148" t="s">
        <v>921</v>
      </c>
      <c r="P85" s="148" t="s">
        <v>232</v>
      </c>
      <c r="Q85" s="148"/>
      <c r="R85" s="1"/>
      <c r="S85" s="1"/>
      <c r="T85" s="1"/>
      <c r="U85" s="1"/>
      <c r="V85" s="1"/>
    </row>
    <row r="86" spans="1:22" x14ac:dyDescent="0.3">
      <c r="A86" s="5" t="str">
        <f>CONCATENATE("F",IF(B86&lt;&gt;"",COUNTA($B$2:B86),""))</f>
        <v>F45</v>
      </c>
      <c r="B86" s="148" t="s">
        <v>208</v>
      </c>
      <c r="C86" s="148" t="s">
        <v>36</v>
      </c>
      <c r="D8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6" s="148">
        <f>VLOOKUP(woodflow[[#This Row],[From]],woodstock[#All],4,FALSE)</f>
        <v>2021</v>
      </c>
      <c r="G86" s="5" t="str">
        <f>VLOOKUP(woodflow[[#This Row],[From]],woodstock[#All],5,FALSE)</f>
        <v>Global</v>
      </c>
      <c r="H86" s="151" t="str">
        <f>VLOOKUP(woodflow[[#This Row],[From]],woodstock[#All],7,FALSE)</f>
        <v>12</v>
      </c>
      <c r="I86" s="151" t="str">
        <f>VLOOKUP(woodflow[[#This Row],[to]],woodstock[#All],7,FALSE)</f>
        <v>37</v>
      </c>
      <c r="J86" s="151" t="str">
        <f>VLOOKUP(woodflow[[#This Row],[From]],woodstock[#All],8,FALSE)</f>
        <v>0</v>
      </c>
      <c r="K86" s="151" t="str">
        <f>VLOOKUP(woodflow[[#This Row],[to]],woodstock[#All],8,FALSE)</f>
        <v>0</v>
      </c>
      <c r="L86" s="152" t="str">
        <f>VLOOKUP(woodflow[[#This Row],[From]],woodstock[#All],9,FALSE)</f>
        <v>nan</v>
      </c>
      <c r="M86" s="152" t="str">
        <f>VLOOKUP(woodflow[[#This Row],[to]],woodstock[#All],9,FALSE)</f>
        <v>nan</v>
      </c>
      <c r="N86" s="157">
        <v>0</v>
      </c>
      <c r="O86" s="148" t="s">
        <v>209</v>
      </c>
      <c r="P86" s="148"/>
      <c r="Q86" s="148"/>
      <c r="R86" s="1"/>
      <c r="S86" s="1"/>
      <c r="T86" s="1"/>
      <c r="U86" s="1"/>
      <c r="V86" s="1"/>
    </row>
    <row r="87" spans="1:22" x14ac:dyDescent="0.3">
      <c r="A87" s="5" t="str">
        <f>CONCATENATE("F",IF(B87&lt;&gt;"",COUNTA($B$2:B87),""))</f>
        <v>F46</v>
      </c>
      <c r="B87" s="148" t="s">
        <v>208</v>
      </c>
      <c r="C87" s="148" t="s">
        <v>37</v>
      </c>
      <c r="D8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2.0100000000000003E-2</v>
      </c>
      <c r="E8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7" s="148">
        <f>VLOOKUP(woodflow[[#This Row],[From]],woodstock[#All],4,FALSE)</f>
        <v>2021</v>
      </c>
      <c r="G87" s="5" t="str">
        <f>VLOOKUP(woodflow[[#This Row],[From]],woodstock[#All],5,FALSE)</f>
        <v>Global</v>
      </c>
      <c r="H87" s="151" t="str">
        <f>VLOOKUP(woodflow[[#This Row],[From]],woodstock[#All],7,FALSE)</f>
        <v>12</v>
      </c>
      <c r="I87" s="151" t="str">
        <f>VLOOKUP(woodflow[[#This Row],[to]],woodstock[#All],7,FALSE)</f>
        <v>38</v>
      </c>
      <c r="J87" s="151" t="str">
        <f>VLOOKUP(woodflow[[#This Row],[From]],woodstock[#All],8,FALSE)</f>
        <v>0</v>
      </c>
      <c r="K87" s="151" t="str">
        <f>VLOOKUP(woodflow[[#This Row],[to]],woodstock[#All],8,FALSE)</f>
        <v>0</v>
      </c>
      <c r="L87" s="152" t="str">
        <f>VLOOKUP(woodflow[[#This Row],[From]],woodstock[#All],9,FALSE)</f>
        <v>nan</v>
      </c>
      <c r="M87" s="152" t="str">
        <f>VLOOKUP(woodflow[[#This Row],[to]],woodstock[#All],9,FALSE)</f>
        <v>nan</v>
      </c>
      <c r="N87" s="157">
        <f>N85*woodratio!I34</f>
        <v>2.0100000000000003E-2</v>
      </c>
      <c r="O87" s="148" t="s">
        <v>921</v>
      </c>
      <c r="P87" s="148" t="s">
        <v>233</v>
      </c>
      <c r="Q87" s="148"/>
      <c r="R87" s="1"/>
      <c r="S87" s="1"/>
      <c r="T87" s="1"/>
      <c r="U87" s="1"/>
      <c r="V87" s="1"/>
    </row>
    <row r="88" spans="1:22" x14ac:dyDescent="0.3">
      <c r="A88" s="5" t="str">
        <f>CONCATENATE("F",IF(B88&lt;&gt;"",COUNTA($B$2:B88),""))</f>
        <v>F47</v>
      </c>
      <c r="B88" s="148" t="s">
        <v>208</v>
      </c>
      <c r="C88" s="148" t="s">
        <v>39</v>
      </c>
      <c r="D8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8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8" s="148">
        <f>VLOOKUP(woodflow[[#This Row],[From]],woodstock[#All],4,FALSE)</f>
        <v>2021</v>
      </c>
      <c r="G88" s="5" t="str">
        <f>VLOOKUP(woodflow[[#This Row],[From]],woodstock[#All],5,FALSE)</f>
        <v>Global</v>
      </c>
      <c r="H88" s="151" t="str">
        <f>VLOOKUP(woodflow[[#This Row],[From]],woodstock[#All],7,FALSE)</f>
        <v>12</v>
      </c>
      <c r="I88" s="151" t="str">
        <f>VLOOKUP(woodflow[[#This Row],[to]],woodstock[#All],7,FALSE)</f>
        <v>39</v>
      </c>
      <c r="J88" s="151" t="str">
        <f>VLOOKUP(woodflow[[#This Row],[From]],woodstock[#All],8,FALSE)</f>
        <v>0</v>
      </c>
      <c r="K88" s="151" t="str">
        <f>VLOOKUP(woodflow[[#This Row],[to]],woodstock[#All],8,FALSE)</f>
        <v>0</v>
      </c>
      <c r="L88" s="152" t="str">
        <f>VLOOKUP(woodflow[[#This Row],[From]],woodstock[#All],9,FALSE)</f>
        <v>nan</v>
      </c>
      <c r="M88" s="152" t="str">
        <f>VLOOKUP(woodflow[[#This Row],[to]],woodstock[#All],9,FALSE)</f>
        <v>nan</v>
      </c>
      <c r="N88" s="157">
        <v>0</v>
      </c>
      <c r="O88" s="148" t="s">
        <v>209</v>
      </c>
      <c r="P88" s="148"/>
      <c r="Q88" s="148"/>
      <c r="R88" s="1"/>
      <c r="S88" s="1"/>
      <c r="T88" s="1"/>
      <c r="U88" s="1"/>
      <c r="V88" s="1"/>
    </row>
    <row r="89" spans="1:22" x14ac:dyDescent="0.3">
      <c r="A89" s="5" t="str">
        <f>CONCATENATE("F",IF(B89&lt;&gt;"",COUNTA($B$2:B89),""))</f>
        <v>F48</v>
      </c>
      <c r="B89" s="148" t="s">
        <v>208</v>
      </c>
      <c r="C89" s="148" t="s">
        <v>40</v>
      </c>
      <c r="D8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4.0200000000000007E-2</v>
      </c>
      <c r="E8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89" s="148">
        <f>VLOOKUP(woodflow[[#This Row],[From]],woodstock[#All],4,FALSE)</f>
        <v>2021</v>
      </c>
      <c r="G89" s="5" t="str">
        <f>VLOOKUP(woodflow[[#This Row],[From]],woodstock[#All],5,FALSE)</f>
        <v>Global</v>
      </c>
      <c r="H89" s="151" t="str">
        <f>VLOOKUP(woodflow[[#This Row],[From]],woodstock[#All],7,FALSE)</f>
        <v>12</v>
      </c>
      <c r="I89" s="151" t="str">
        <f>VLOOKUP(woodflow[[#This Row],[to]],woodstock[#All],7,FALSE)</f>
        <v>40</v>
      </c>
      <c r="J89" s="151" t="str">
        <f>VLOOKUP(woodflow[[#This Row],[From]],woodstock[#All],8,FALSE)</f>
        <v>0</v>
      </c>
      <c r="K89" s="151" t="str">
        <f>VLOOKUP(woodflow[[#This Row],[to]],woodstock[#All],8,FALSE)</f>
        <v>0</v>
      </c>
      <c r="L89" s="152" t="str">
        <f>VLOOKUP(woodflow[[#This Row],[From]],woodstock[#All],9,FALSE)</f>
        <v>nan</v>
      </c>
      <c r="M89" s="152" t="str">
        <f>VLOOKUP(woodflow[[#This Row],[to]],woodstock[#All],9,FALSE)</f>
        <v>nan</v>
      </c>
      <c r="N89" s="157">
        <f>N85*woodratio!I35</f>
        <v>4.0200000000000007E-2</v>
      </c>
      <c r="O89" s="148" t="s">
        <v>921</v>
      </c>
      <c r="P89" s="148" t="s">
        <v>233</v>
      </c>
      <c r="Q89" s="148"/>
      <c r="R89" s="1"/>
      <c r="S89" s="1"/>
      <c r="T89" s="1"/>
      <c r="U89" s="1"/>
      <c r="V89" s="1"/>
    </row>
    <row r="90" spans="1:22" x14ac:dyDescent="0.3">
      <c r="A90" s="5" t="str">
        <f>CONCATENATE("F",IF(B90&lt;&gt;"",COUNTA($B$2:B90),""))</f>
        <v>F49</v>
      </c>
      <c r="B90" s="148" t="s">
        <v>208</v>
      </c>
      <c r="C90" s="148" t="s">
        <v>41</v>
      </c>
      <c r="D9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2.0100000000000003E-2</v>
      </c>
      <c r="E9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0" s="148">
        <f>VLOOKUP(woodflow[[#This Row],[From]],woodstock[#All],4,FALSE)</f>
        <v>2021</v>
      </c>
      <c r="G90" s="5" t="str">
        <f>VLOOKUP(woodflow[[#This Row],[From]],woodstock[#All],5,FALSE)</f>
        <v>Global</v>
      </c>
      <c r="H90" s="151" t="str">
        <f>VLOOKUP(woodflow[[#This Row],[From]],woodstock[#All],7,FALSE)</f>
        <v>12</v>
      </c>
      <c r="I90" s="151" t="str">
        <f>VLOOKUP(woodflow[[#This Row],[to]],woodstock[#All],7,FALSE)</f>
        <v>41</v>
      </c>
      <c r="J90" s="151" t="str">
        <f>VLOOKUP(woodflow[[#This Row],[From]],woodstock[#All],8,FALSE)</f>
        <v>0</v>
      </c>
      <c r="K90" s="151" t="str">
        <f>VLOOKUP(woodflow[[#This Row],[to]],woodstock[#All],8,FALSE)</f>
        <v>0</v>
      </c>
      <c r="L90" s="152" t="str">
        <f>VLOOKUP(woodflow[[#This Row],[From]],woodstock[#All],9,FALSE)</f>
        <v>nan</v>
      </c>
      <c r="M90" s="152" t="str">
        <f>VLOOKUP(woodflow[[#This Row],[to]],woodstock[#All],9,FALSE)</f>
        <v>nan</v>
      </c>
      <c r="N90" s="157">
        <f>N85*woodratio!I36</f>
        <v>2.0100000000000003E-2</v>
      </c>
      <c r="O90" s="148" t="s">
        <v>921</v>
      </c>
      <c r="P90" s="148" t="s">
        <v>233</v>
      </c>
      <c r="Q90" s="148"/>
      <c r="R90" s="1"/>
      <c r="S90" s="1"/>
      <c r="T90" s="1"/>
      <c r="U90" s="1"/>
      <c r="V90" s="1"/>
    </row>
    <row r="91" spans="1:22" x14ac:dyDescent="0.3">
      <c r="A91" s="5" t="str">
        <f>CONCATENATE("F",IF(B91&lt;&gt;"",COUNTA($B$2:B91),""))</f>
        <v>F50</v>
      </c>
      <c r="B91" s="148" t="s">
        <v>208</v>
      </c>
      <c r="C91" s="148" t="s">
        <v>38</v>
      </c>
      <c r="D9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0.1206</v>
      </c>
      <c r="E9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1" s="148">
        <f>VLOOKUP(woodflow[[#This Row],[From]],woodstock[#All],4,FALSE)</f>
        <v>2021</v>
      </c>
      <c r="G91" s="5" t="str">
        <f>VLOOKUP(woodflow[[#This Row],[From]],woodstock[#All],5,FALSE)</f>
        <v>Global</v>
      </c>
      <c r="H91" s="151" t="str">
        <f>VLOOKUP(woodflow[[#This Row],[From]],woodstock[#All],7,FALSE)</f>
        <v>12</v>
      </c>
      <c r="I91" s="151" t="str">
        <f>VLOOKUP(woodflow[[#This Row],[to]],woodstock[#All],7,FALSE)</f>
        <v>42</v>
      </c>
      <c r="J91" s="151" t="str">
        <f>VLOOKUP(woodflow[[#This Row],[From]],woodstock[#All],8,FALSE)</f>
        <v>0</v>
      </c>
      <c r="K91" s="151" t="str">
        <f>VLOOKUP(woodflow[[#This Row],[to]],woodstock[#All],8,FALSE)</f>
        <v>0</v>
      </c>
      <c r="L91" s="152" t="str">
        <f>VLOOKUP(woodflow[[#This Row],[From]],woodstock[#All],9,FALSE)</f>
        <v>nan</v>
      </c>
      <c r="M91" s="152" t="str">
        <f>VLOOKUP(woodflow[[#This Row],[to]],woodstock[#All],9,FALSE)</f>
        <v>nan</v>
      </c>
      <c r="N91" s="157">
        <f>N85*woodratio!I37</f>
        <v>0.1206</v>
      </c>
      <c r="O91" s="148" t="s">
        <v>921</v>
      </c>
      <c r="P91" s="148" t="s">
        <v>233</v>
      </c>
      <c r="Q91" s="148"/>
      <c r="R91" s="1"/>
      <c r="S91" s="1"/>
      <c r="T91" s="1"/>
      <c r="U91" s="1"/>
      <c r="V91" s="1"/>
    </row>
    <row r="92" spans="1:22" x14ac:dyDescent="0.3">
      <c r="A92" s="5" t="str">
        <f>CONCATENATE("F",IF(B92&lt;&gt;"",COUNTA($B$2:B92),""))</f>
        <v>F</v>
      </c>
      <c r="B92" s="148"/>
      <c r="C92" s="148"/>
      <c r="D92" s="149"/>
      <c r="E92" s="149"/>
      <c r="F92" s="148"/>
      <c r="G92" s="5"/>
      <c r="H92" s="151"/>
      <c r="I92" s="151"/>
      <c r="J92" s="151"/>
      <c r="K92" s="151"/>
      <c r="L92" s="152"/>
      <c r="M92" s="152"/>
      <c r="N92" s="157"/>
      <c r="O92" s="148"/>
      <c r="P92" s="148"/>
      <c r="Q92" s="148"/>
      <c r="R92" s="1"/>
      <c r="S92" s="1"/>
      <c r="T92" s="1"/>
      <c r="U92" s="1"/>
      <c r="V92" s="1"/>
    </row>
    <row r="93" spans="1:22" x14ac:dyDescent="0.3">
      <c r="A93" s="5" t="str">
        <f>CONCATENATE("F",IF(B93&lt;&gt;"",COUNTA($B$2:B93),""))</f>
        <v>F</v>
      </c>
      <c r="B93" s="148"/>
      <c r="C93" s="148"/>
      <c r="D93" s="149"/>
      <c r="E93" s="149"/>
      <c r="F93" s="148"/>
      <c r="G93" s="5"/>
      <c r="H93" s="151"/>
      <c r="I93" s="151"/>
      <c r="J93" s="151"/>
      <c r="K93" s="151"/>
      <c r="L93" s="152"/>
      <c r="M93" s="152"/>
      <c r="N93" s="157"/>
      <c r="O93" s="148"/>
      <c r="P93" s="148"/>
      <c r="Q93" s="148"/>
      <c r="R93" s="1"/>
      <c r="S93" s="1"/>
      <c r="T93" s="1"/>
      <c r="U93" s="1"/>
      <c r="V93" s="1"/>
    </row>
    <row r="94" spans="1:22" x14ac:dyDescent="0.3">
      <c r="A94" s="5" t="str">
        <f>CONCATENATE("F",IF(B94&lt;&gt;"",COUNTA($B$2:B94),""))</f>
        <v>F51</v>
      </c>
      <c r="B94" s="148" t="s">
        <v>208</v>
      </c>
      <c r="C94" s="5" t="s">
        <v>74</v>
      </c>
      <c r="D9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9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4" s="148">
        <f>VLOOKUP(woodflow[[#This Row],[From]],woodstock[#All],4,FALSE)</f>
        <v>2021</v>
      </c>
      <c r="G94" s="5" t="str">
        <f>VLOOKUP(woodflow[[#This Row],[From]],woodstock[#All],5,FALSE)</f>
        <v>Global</v>
      </c>
      <c r="H94" s="151" t="str">
        <f>VLOOKUP(woodflow[[#This Row],[From]],woodstock[#All],7,FALSE)</f>
        <v>12</v>
      </c>
      <c r="I94" s="151" t="str">
        <f>VLOOKUP(woodflow[[#This Row],[to]],woodstock[#All],7,FALSE)</f>
        <v>55</v>
      </c>
      <c r="J94" s="151" t="str">
        <f>VLOOKUP(woodflow[[#This Row],[From]],woodstock[#All],8,FALSE)</f>
        <v>0</v>
      </c>
      <c r="K94" s="151" t="str">
        <f>VLOOKUP(woodflow[[#This Row],[to]],woodstock[#All],8,FALSE)</f>
        <v>0</v>
      </c>
      <c r="L94" s="152" t="str">
        <f>VLOOKUP(woodflow[[#This Row],[From]],woodstock[#All],9,FALSE)</f>
        <v>nan</v>
      </c>
      <c r="M94" s="152" t="str">
        <f>VLOOKUP(woodflow[[#This Row],[to]],woodstock[#All],9,FALSE)</f>
        <v>nan</v>
      </c>
      <c r="N94" s="157">
        <v>0</v>
      </c>
      <c r="O94" s="148" t="s">
        <v>921</v>
      </c>
      <c r="P94" s="148" t="s">
        <v>342</v>
      </c>
      <c r="Q94" s="153"/>
      <c r="R94" s="1"/>
      <c r="S94" s="1"/>
      <c r="T94" s="1"/>
      <c r="U94" s="1"/>
      <c r="V94" s="1"/>
    </row>
    <row r="95" spans="1:22" x14ac:dyDescent="0.3">
      <c r="A95" s="5" t="str">
        <f>CONCATENATE("F",IF(B95&lt;&gt;"",COUNTA($B$2:B95),""))</f>
        <v>F</v>
      </c>
      <c r="B95" s="148"/>
      <c r="C95" s="148"/>
      <c r="D95" s="149"/>
      <c r="E95" s="149"/>
      <c r="F95" s="148"/>
      <c r="G95" s="5"/>
      <c r="H95" s="151"/>
      <c r="I95" s="151"/>
      <c r="J95" s="151"/>
      <c r="K95" s="151"/>
      <c r="L95" s="152"/>
      <c r="M95" s="152"/>
      <c r="N95" s="157"/>
      <c r="O95" s="148"/>
      <c r="P95" s="148"/>
      <c r="Q95" s="148"/>
      <c r="R95" s="1"/>
      <c r="S95" s="1"/>
      <c r="T95" s="1"/>
      <c r="U95" s="1"/>
      <c r="V95" s="1"/>
    </row>
    <row r="96" spans="1:22" x14ac:dyDescent="0.3">
      <c r="A96" s="5" t="str">
        <f>CONCATENATE("F",IF(B96&lt;&gt;"",COUNTA($B$2:B96),""))</f>
        <v>F</v>
      </c>
      <c r="B96" s="148"/>
      <c r="C96" s="148"/>
      <c r="D96" s="149"/>
      <c r="E96" s="149"/>
      <c r="F96" s="148"/>
      <c r="G96" s="5"/>
      <c r="H96" s="151"/>
      <c r="I96" s="151"/>
      <c r="J96" s="151"/>
      <c r="K96" s="151"/>
      <c r="L96" s="152"/>
      <c r="M96" s="152"/>
      <c r="N96" s="157"/>
      <c r="O96" s="148"/>
      <c r="P96" s="148"/>
      <c r="Q96" s="148"/>
      <c r="R96" s="1"/>
      <c r="S96" s="1"/>
      <c r="T96" s="1"/>
      <c r="U96" s="1"/>
      <c r="V96" s="1"/>
    </row>
    <row r="97" spans="1:22" x14ac:dyDescent="0.3">
      <c r="A97" s="5" t="str">
        <f>CONCATENATE("F",IF(B97&lt;&gt;"",COUNTA($B$2:B97),""))</f>
        <v>F52</v>
      </c>
      <c r="B97" s="148" t="s">
        <v>55</v>
      </c>
      <c r="C97" s="5" t="s">
        <v>74</v>
      </c>
      <c r="D9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120.0284475443988</v>
      </c>
      <c r="E9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97" s="148">
        <f>VLOOKUP(woodflow[[#This Row],[From]],woodstock[#All],4,FALSE)</f>
        <v>2021</v>
      </c>
      <c r="G97" s="5" t="str">
        <f>VLOOKUP(woodflow[[#This Row],[From]],woodstock[#All],5,FALSE)</f>
        <v>Global</v>
      </c>
      <c r="H97" s="151" t="str">
        <f>VLOOKUP(woodflow[[#This Row],[From]],woodstock[#All],7,FALSE)</f>
        <v>13</v>
      </c>
      <c r="I97" s="151" t="str">
        <f>VLOOKUP(woodflow[[#This Row],[to]],woodstock[#All],7,FALSE)</f>
        <v>55</v>
      </c>
      <c r="J97" s="151" t="str">
        <f>VLOOKUP(woodflow[[#This Row],[From]],woodstock[#All],8,FALSE)</f>
        <v>0</v>
      </c>
      <c r="K97" s="151" t="str">
        <f>VLOOKUP(woodflow[[#This Row],[to]],woodstock[#All],8,FALSE)</f>
        <v>0</v>
      </c>
      <c r="L97" s="152" t="str">
        <f>VLOOKUP(woodflow[[#This Row],[From]],woodstock[#All],9,FALSE)</f>
        <v>nan</v>
      </c>
      <c r="M97" s="152" t="str">
        <f>VLOOKUP(woodflow[[#This Row],[to]],woodstock[#All],9,FALSE)</f>
        <v>nan</v>
      </c>
      <c r="N97" s="157">
        <f>(('faostat-data'!Q33)/'production-mass-balance'!B6)*'production-mass-balance'!B5</f>
        <v>120.0284475443988</v>
      </c>
      <c r="O97" s="148" t="s">
        <v>921</v>
      </c>
      <c r="P97" s="148" t="s">
        <v>453</v>
      </c>
      <c r="Q97" s="148"/>
      <c r="R97" s="1"/>
      <c r="S97" s="1"/>
      <c r="T97" s="1"/>
      <c r="U97" s="1"/>
      <c r="V97" s="1"/>
    </row>
    <row r="98" spans="1:22" x14ac:dyDescent="0.3">
      <c r="A98" s="5" t="str">
        <f>CONCATENATE("F",IF(B98&lt;&gt;"",COUNTA($B$2:B98),""))</f>
        <v>F</v>
      </c>
      <c r="B98" s="148"/>
      <c r="C98" s="148"/>
      <c r="D98" s="149"/>
      <c r="E98" s="149"/>
      <c r="F98" s="148"/>
      <c r="G98" s="5"/>
      <c r="H98" s="151"/>
      <c r="I98" s="151"/>
      <c r="J98" s="151"/>
      <c r="K98" s="151"/>
      <c r="L98" s="152"/>
      <c r="M98" s="152"/>
      <c r="N98" s="157"/>
      <c r="O98" s="148"/>
      <c r="P98" s="148"/>
      <c r="Q98" s="148"/>
      <c r="R98" s="1"/>
      <c r="S98" s="1"/>
      <c r="T98" s="1"/>
      <c r="U98" s="1"/>
      <c r="V98" s="1"/>
    </row>
    <row r="99" spans="1:22" x14ac:dyDescent="0.3">
      <c r="A99" s="5" t="str">
        <f>CONCATENATE("F",IF(B99&lt;&gt;"",COUNTA($B$2:B99),""))</f>
        <v>F</v>
      </c>
      <c r="B99" s="148"/>
      <c r="C99" s="148"/>
      <c r="D99" s="149"/>
      <c r="E99" s="149"/>
      <c r="F99" s="148"/>
      <c r="G99" s="5"/>
      <c r="H99" s="151"/>
      <c r="I99" s="151"/>
      <c r="J99" s="151"/>
      <c r="K99" s="151"/>
      <c r="L99" s="152"/>
      <c r="M99" s="152"/>
      <c r="N99" s="157"/>
      <c r="O99" s="148"/>
      <c r="P99" s="148"/>
      <c r="Q99" s="148"/>
      <c r="R99" s="1"/>
      <c r="S99" s="1"/>
      <c r="T99" s="1"/>
      <c r="U99" s="1"/>
      <c r="V99" s="1"/>
    </row>
    <row r="100" spans="1:22" x14ac:dyDescent="0.3">
      <c r="A100" s="5" t="str">
        <f>CONCATENATE("F",IF(B100&lt;&gt;"",COUNTA($B$2:B100),""))</f>
        <v>F53</v>
      </c>
      <c r="B100" s="148" t="s">
        <v>55</v>
      </c>
      <c r="C100" s="148" t="s">
        <v>408</v>
      </c>
      <c r="D10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52.092591399999996</v>
      </c>
      <c r="E10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0" s="148">
        <f>VLOOKUP(woodflow[[#This Row],[From]],woodstock[#All],4,FALSE)</f>
        <v>2021</v>
      </c>
      <c r="G100" s="5" t="str">
        <f>VLOOKUP(woodflow[[#This Row],[From]],woodstock[#All],5,FALSE)</f>
        <v>Global</v>
      </c>
      <c r="H100" s="151" t="str">
        <f>VLOOKUP(woodflow[[#This Row],[From]],woodstock[#All],7,FALSE)</f>
        <v>13</v>
      </c>
      <c r="I100" s="151" t="str">
        <f>VLOOKUP(woodflow[[#This Row],[to]],woodstock[#All],7,FALSE)</f>
        <v>43</v>
      </c>
      <c r="J100" s="151" t="str">
        <f>VLOOKUP(woodflow[[#This Row],[From]],woodstock[#All],8,FALSE)</f>
        <v>0</v>
      </c>
      <c r="K100" s="151" t="str">
        <f>VLOOKUP(woodflow[[#This Row],[to]],woodstock[#All],8,FALSE)</f>
        <v>0</v>
      </c>
      <c r="L100" s="152" t="str">
        <f>VLOOKUP(woodflow[[#This Row],[From]],woodstock[#All],9,FALSE)</f>
        <v>nan</v>
      </c>
      <c r="M100" s="152" t="str">
        <f>VLOOKUP(woodflow[[#This Row],[to]],woodstock[#All],9,FALSE)</f>
        <v>nan</v>
      </c>
      <c r="N100" s="157">
        <f>'faostat-data'!Q33+'faostat-data'!Q35-'faostat-data'!Q37</f>
        <v>52.092591399999996</v>
      </c>
      <c r="O100" s="148" t="s">
        <v>921</v>
      </c>
      <c r="P100" s="148"/>
      <c r="Q100" s="148" t="s">
        <v>227</v>
      </c>
      <c r="R100" s="1"/>
      <c r="S100" s="1"/>
      <c r="T100" s="1"/>
      <c r="U100" s="1"/>
      <c r="V100" s="1"/>
    </row>
    <row r="101" spans="1:22" x14ac:dyDescent="0.3">
      <c r="A101" s="5" t="str">
        <f>CONCATENATE("F",IF(B101&lt;&gt;"",COUNTA($B$2:B101),""))</f>
        <v>F</v>
      </c>
      <c r="B101" s="148"/>
      <c r="C101" s="148"/>
      <c r="D101" s="149"/>
      <c r="E101" s="149"/>
      <c r="F101" s="148"/>
      <c r="G101" s="5"/>
      <c r="H101" s="151"/>
      <c r="I101" s="151"/>
      <c r="J101" s="151"/>
      <c r="K101" s="151"/>
      <c r="L101" s="152"/>
      <c r="M101" s="152"/>
      <c r="N101" s="157"/>
      <c r="O101" s="148"/>
      <c r="P101" s="148"/>
      <c r="Q101" s="148"/>
      <c r="R101" s="1"/>
      <c r="S101" s="1"/>
      <c r="T101" s="1"/>
      <c r="U101" s="1"/>
      <c r="V101" s="1"/>
    </row>
    <row r="102" spans="1:22" x14ac:dyDescent="0.3">
      <c r="A102" s="5" t="str">
        <f>CONCATENATE("F",IF(B102&lt;&gt;"",COUNTA($B$2:B102),""))</f>
        <v>F</v>
      </c>
      <c r="B102" s="148"/>
      <c r="C102" s="148"/>
      <c r="D102" s="149"/>
      <c r="E102" s="149"/>
      <c r="F102" s="148"/>
      <c r="G102" s="5"/>
      <c r="H102" s="151"/>
      <c r="I102" s="151"/>
      <c r="J102" s="151"/>
      <c r="K102" s="151"/>
      <c r="L102" s="152"/>
      <c r="M102" s="152"/>
      <c r="N102" s="157"/>
      <c r="O102" s="148"/>
      <c r="P102" s="148"/>
      <c r="Q102" s="148"/>
      <c r="R102" s="1"/>
      <c r="S102" s="1"/>
      <c r="T102" s="1"/>
      <c r="U102" s="1"/>
      <c r="V102" s="1"/>
    </row>
    <row r="103" spans="1:22" x14ac:dyDescent="0.3">
      <c r="A103" s="5" t="str">
        <f>CONCATENATE("F",IF(B103&lt;&gt;"",COUNTA($B$2:B103),""))</f>
        <v>F54</v>
      </c>
      <c r="B103" s="148" t="s">
        <v>175</v>
      </c>
      <c r="C103" s="148" t="s">
        <v>59</v>
      </c>
      <c r="D10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68.701287830456636</v>
      </c>
      <c r="E10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3" s="148">
        <f>VLOOKUP(woodflow[[#This Row],[From]],woodstock[#All],4,FALSE)</f>
        <v>2021</v>
      </c>
      <c r="G103" s="5" t="str">
        <f>VLOOKUP(woodflow[[#This Row],[From]],woodstock[#All],5,FALSE)</f>
        <v>Global</v>
      </c>
      <c r="H103" s="151" t="str">
        <f>VLOOKUP(woodflow[[#This Row],[From]],woodstock[#All],7,FALSE)</f>
        <v>14</v>
      </c>
      <c r="I103" s="151" t="str">
        <f>VLOOKUP(woodflow[[#This Row],[to]],woodstock[#All],7,FALSE)</f>
        <v>17</v>
      </c>
      <c r="J103" s="151" t="str">
        <f>VLOOKUP(woodflow[[#This Row],[From]],woodstock[#All],8,FALSE)</f>
        <v>0</v>
      </c>
      <c r="K103" s="151" t="str">
        <f>VLOOKUP(woodflow[[#This Row],[to]],woodstock[#All],8,FALSE)</f>
        <v>1</v>
      </c>
      <c r="L103" s="152" t="str">
        <f>VLOOKUP(woodflow[[#This Row],[From]],woodstock[#All],9,FALSE)</f>
        <v>nan</v>
      </c>
      <c r="M103" s="152" t="str">
        <f>VLOOKUP(woodflow[[#This Row],[to]],woodstock[#All],9,FALSE)</f>
        <v>43-44-45-46-47-48-49</v>
      </c>
      <c r="N103" s="157">
        <f>(N80*'production-mass-balance'!B18-N80*'production-mass-balance'!B17)+N507-N588</f>
        <v>68.701287830456636</v>
      </c>
      <c r="O103" s="148" t="s">
        <v>921</v>
      </c>
      <c r="P103" s="148" t="s">
        <v>453</v>
      </c>
      <c r="Q103" s="148"/>
      <c r="R103" s="1"/>
      <c r="S103" s="1"/>
      <c r="T103" s="1"/>
      <c r="U103" s="1"/>
      <c r="V103" s="1"/>
    </row>
    <row r="104" spans="1:22" x14ac:dyDescent="0.3">
      <c r="A104" s="5" t="str">
        <f>CONCATENATE("F",IF(B104&lt;&gt;"",COUNTA($B$2:B104),""))</f>
        <v>F55</v>
      </c>
      <c r="B104" s="148" t="s">
        <v>175</v>
      </c>
      <c r="C104" s="148" t="s">
        <v>408</v>
      </c>
      <c r="D10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6.8701287830456641</v>
      </c>
      <c r="F104" s="148">
        <f>VLOOKUP(woodflow[[#This Row],[From]],woodstock[#All],4,FALSE)</f>
        <v>2021</v>
      </c>
      <c r="G104" s="5" t="str">
        <f>VLOOKUP(woodflow[[#This Row],[From]],woodstock[#All],5,FALSE)</f>
        <v>Global</v>
      </c>
      <c r="H104" s="151" t="str">
        <f>VLOOKUP(woodflow[[#This Row],[From]],woodstock[#All],7,FALSE)</f>
        <v>14</v>
      </c>
      <c r="I104" s="151" t="str">
        <f>VLOOKUP(woodflow[[#This Row],[to]],woodstock[#All],7,FALSE)</f>
        <v>43</v>
      </c>
      <c r="J104" s="151" t="str">
        <f>VLOOKUP(woodflow[[#This Row],[From]],woodstock[#All],8,FALSE)</f>
        <v>0</v>
      </c>
      <c r="K104" s="151" t="str">
        <f>VLOOKUP(woodflow[[#This Row],[to]],woodstock[#All],8,FALSE)</f>
        <v>0</v>
      </c>
      <c r="L104" s="152" t="str">
        <f>VLOOKUP(woodflow[[#This Row],[From]],woodstock[#All],9,FALSE)</f>
        <v>nan</v>
      </c>
      <c r="M104" s="152" t="str">
        <f>VLOOKUP(woodflow[[#This Row],[to]],woodstock[#All],9,FALSE)</f>
        <v>nan</v>
      </c>
      <c r="N104" s="157">
        <f>$N$103*woodratio!I40</f>
        <v>6.8701287830456641</v>
      </c>
      <c r="O104" s="148" t="s">
        <v>920</v>
      </c>
      <c r="P104" s="148" t="s">
        <v>233</v>
      </c>
      <c r="Q104" s="148"/>
      <c r="R104" s="1"/>
      <c r="S104" s="1"/>
      <c r="T104" s="1"/>
      <c r="U104" s="1"/>
      <c r="V104" s="1"/>
    </row>
    <row r="105" spans="1:22" x14ac:dyDescent="0.3">
      <c r="A105" s="5" t="str">
        <f>CONCATENATE("F",IF(B105&lt;&gt;"",COUNTA($B$2:B105),""))</f>
        <v>F56</v>
      </c>
      <c r="B105" s="148" t="s">
        <v>175</v>
      </c>
      <c r="C105" s="148" t="s">
        <v>31</v>
      </c>
      <c r="D10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5" s="148">
        <f>VLOOKUP(woodflow[[#This Row],[From]],woodstock[#All],4,FALSE)</f>
        <v>2021</v>
      </c>
      <c r="G105" s="5" t="str">
        <f>VLOOKUP(woodflow[[#This Row],[From]],woodstock[#All],5,FALSE)</f>
        <v>Global</v>
      </c>
      <c r="H105" s="151" t="str">
        <f>VLOOKUP(woodflow[[#This Row],[From]],woodstock[#All],7,FALSE)</f>
        <v>14</v>
      </c>
      <c r="I105" s="151" t="str">
        <f>VLOOKUP(woodflow[[#This Row],[to]],woodstock[#All],7,FALSE)</f>
        <v>44</v>
      </c>
      <c r="J105" s="151" t="str">
        <f>VLOOKUP(woodflow[[#This Row],[From]],woodstock[#All],8,FALSE)</f>
        <v>0</v>
      </c>
      <c r="K105" s="151" t="str">
        <f>VLOOKUP(woodflow[[#This Row],[to]],woodstock[#All],8,FALSE)</f>
        <v>0</v>
      </c>
      <c r="L105" s="152" t="str">
        <f>VLOOKUP(woodflow[[#This Row],[From]],woodstock[#All],9,FALSE)</f>
        <v>nan</v>
      </c>
      <c r="M105" s="152" t="str">
        <f>VLOOKUP(woodflow[[#This Row],[to]],woodstock[#All],9,FALSE)</f>
        <v>nan</v>
      </c>
      <c r="N105" s="157">
        <v>0</v>
      </c>
      <c r="O105" s="148" t="s">
        <v>209</v>
      </c>
      <c r="P105" s="148"/>
      <c r="Q105" s="148"/>
      <c r="R105" s="1"/>
      <c r="S105" s="1"/>
      <c r="T105" s="1"/>
      <c r="U105" s="1"/>
      <c r="V105" s="1"/>
    </row>
    <row r="106" spans="1:22" x14ac:dyDescent="0.3">
      <c r="A106" s="5" t="str">
        <f>CONCATENATE("F",IF(B106&lt;&gt;"",COUNTA($B$2:B106),""))</f>
        <v>F57</v>
      </c>
      <c r="B106" s="148" t="s">
        <v>175</v>
      </c>
      <c r="C106" s="148" t="s">
        <v>32</v>
      </c>
      <c r="D10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6" s="148">
        <f>VLOOKUP(woodflow[[#This Row],[From]],woodstock[#All],4,FALSE)</f>
        <v>2021</v>
      </c>
      <c r="G106" s="5" t="str">
        <f>VLOOKUP(woodflow[[#This Row],[From]],woodstock[#All],5,FALSE)</f>
        <v>Global</v>
      </c>
      <c r="H106" s="151" t="str">
        <f>VLOOKUP(woodflow[[#This Row],[From]],woodstock[#All],7,FALSE)</f>
        <v>14</v>
      </c>
      <c r="I106" s="151" t="str">
        <f>VLOOKUP(woodflow[[#This Row],[to]],woodstock[#All],7,FALSE)</f>
        <v>45</v>
      </c>
      <c r="J106" s="151" t="str">
        <f>VLOOKUP(woodflow[[#This Row],[From]],woodstock[#All],8,FALSE)</f>
        <v>0</v>
      </c>
      <c r="K106" s="151" t="str">
        <f>VLOOKUP(woodflow[[#This Row],[to]],woodstock[#All],8,FALSE)</f>
        <v>0</v>
      </c>
      <c r="L106" s="152" t="str">
        <f>VLOOKUP(woodflow[[#This Row],[From]],woodstock[#All],9,FALSE)</f>
        <v>nan</v>
      </c>
      <c r="M106" s="152" t="str">
        <f>VLOOKUP(woodflow[[#This Row],[to]],woodstock[#All],9,FALSE)</f>
        <v>nan</v>
      </c>
      <c r="N106" s="157">
        <v>0</v>
      </c>
      <c r="O106" s="148" t="s">
        <v>209</v>
      </c>
      <c r="P106" s="148"/>
      <c r="Q106" s="148"/>
      <c r="R106" s="1"/>
      <c r="S106" s="1"/>
      <c r="T106" s="1"/>
      <c r="U106" s="1"/>
      <c r="V106" s="1"/>
    </row>
    <row r="107" spans="1:22" x14ac:dyDescent="0.3">
      <c r="A107" s="5" t="str">
        <f>CONCATENATE("F",IF(B107&lt;&gt;"",COUNTA($B$2:B107),""))</f>
        <v>F58</v>
      </c>
      <c r="B107" s="148" t="s">
        <v>175</v>
      </c>
      <c r="C107" s="148" t="s">
        <v>33</v>
      </c>
      <c r="D10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0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54.961030264365313</v>
      </c>
      <c r="F107" s="148">
        <f>VLOOKUP(woodflow[[#This Row],[From]],woodstock[#All],4,FALSE)</f>
        <v>2021</v>
      </c>
      <c r="G107" s="5" t="str">
        <f>VLOOKUP(woodflow[[#This Row],[From]],woodstock[#All],5,FALSE)</f>
        <v>Global</v>
      </c>
      <c r="H107" s="151" t="str">
        <f>VLOOKUP(woodflow[[#This Row],[From]],woodstock[#All],7,FALSE)</f>
        <v>14</v>
      </c>
      <c r="I107" s="151" t="str">
        <f>VLOOKUP(woodflow[[#This Row],[to]],woodstock[#All],7,FALSE)</f>
        <v>46</v>
      </c>
      <c r="J107" s="151" t="str">
        <f>VLOOKUP(woodflow[[#This Row],[From]],woodstock[#All],8,FALSE)</f>
        <v>0</v>
      </c>
      <c r="K107" s="151" t="str">
        <f>VLOOKUP(woodflow[[#This Row],[to]],woodstock[#All],8,FALSE)</f>
        <v>0</v>
      </c>
      <c r="L107" s="152" t="str">
        <f>VLOOKUP(woodflow[[#This Row],[From]],woodstock[#All],9,FALSE)</f>
        <v>nan</v>
      </c>
      <c r="M107" s="152" t="str">
        <f>VLOOKUP(woodflow[[#This Row],[to]],woodstock[#All],9,FALSE)</f>
        <v>nan</v>
      </c>
      <c r="N107" s="157">
        <f>$N$103*woodratio!I41</f>
        <v>54.961030264365313</v>
      </c>
      <c r="O107" s="148" t="s">
        <v>920</v>
      </c>
      <c r="P107" s="148" t="s">
        <v>233</v>
      </c>
      <c r="Q107" s="148"/>
      <c r="R107" s="1"/>
      <c r="S107" s="1"/>
      <c r="T107" s="1"/>
      <c r="U107" s="1"/>
      <c r="V107" s="1"/>
    </row>
    <row r="108" spans="1:22" x14ac:dyDescent="0.3">
      <c r="A108" s="5" t="str">
        <f>CONCATENATE("F",IF(B108&lt;&gt;"",COUNTA($B$2:B108),""))</f>
        <v>F59</v>
      </c>
      <c r="B108" s="148" t="s">
        <v>175</v>
      </c>
      <c r="C108" s="148" t="s">
        <v>34</v>
      </c>
      <c r="D10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8" s="148">
        <f>VLOOKUP(woodflow[[#This Row],[From]],woodstock[#All],4,FALSE)</f>
        <v>2021</v>
      </c>
      <c r="G108" s="5" t="str">
        <f>VLOOKUP(woodflow[[#This Row],[From]],woodstock[#All],5,FALSE)</f>
        <v>Global</v>
      </c>
      <c r="H108" s="151" t="str">
        <f>VLOOKUP(woodflow[[#This Row],[From]],woodstock[#All],7,FALSE)</f>
        <v>14</v>
      </c>
      <c r="I108" s="151" t="str">
        <f>VLOOKUP(woodflow[[#This Row],[to]],woodstock[#All],7,FALSE)</f>
        <v>47</v>
      </c>
      <c r="J108" s="151" t="str">
        <f>VLOOKUP(woodflow[[#This Row],[From]],woodstock[#All],8,FALSE)</f>
        <v>0</v>
      </c>
      <c r="K108" s="151" t="str">
        <f>VLOOKUP(woodflow[[#This Row],[to]],woodstock[#All],8,FALSE)</f>
        <v>0</v>
      </c>
      <c r="L108" s="152" t="str">
        <f>VLOOKUP(woodflow[[#This Row],[From]],woodstock[#All],9,FALSE)</f>
        <v>nan</v>
      </c>
      <c r="M108" s="152" t="str">
        <f>VLOOKUP(woodflow[[#This Row],[to]],woodstock[#All],9,FALSE)</f>
        <v>nan</v>
      </c>
      <c r="N108" s="157">
        <v>0</v>
      </c>
      <c r="O108" s="148" t="s">
        <v>209</v>
      </c>
      <c r="P108" s="148"/>
      <c r="Q108" s="148"/>
      <c r="R108" s="1"/>
      <c r="S108" s="1"/>
      <c r="T108" s="1"/>
      <c r="U108" s="1"/>
      <c r="V108" s="1"/>
    </row>
    <row r="109" spans="1:22" x14ac:dyDescent="0.3">
      <c r="A109" s="5" t="str">
        <f>CONCATENATE("F",IF(B109&lt;&gt;"",COUNTA($B$2:B109),""))</f>
        <v>F60</v>
      </c>
      <c r="B109" s="148" t="s">
        <v>175</v>
      </c>
      <c r="C109" s="148" t="s">
        <v>35</v>
      </c>
      <c r="D10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0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09" s="148">
        <f>VLOOKUP(woodflow[[#This Row],[From]],woodstock[#All],4,FALSE)</f>
        <v>2021</v>
      </c>
      <c r="G109" s="5" t="str">
        <f>VLOOKUP(woodflow[[#This Row],[From]],woodstock[#All],5,FALSE)</f>
        <v>Global</v>
      </c>
      <c r="H109" s="151" t="str">
        <f>VLOOKUP(woodflow[[#This Row],[From]],woodstock[#All],7,FALSE)</f>
        <v>14</v>
      </c>
      <c r="I109" s="151" t="str">
        <f>VLOOKUP(woodflow[[#This Row],[to]],woodstock[#All],7,FALSE)</f>
        <v>48</v>
      </c>
      <c r="J109" s="151" t="str">
        <f>VLOOKUP(woodflow[[#This Row],[From]],woodstock[#All],8,FALSE)</f>
        <v>0</v>
      </c>
      <c r="K109" s="151" t="str">
        <f>VLOOKUP(woodflow[[#This Row],[to]],woodstock[#All],8,FALSE)</f>
        <v>0</v>
      </c>
      <c r="L109" s="152" t="str">
        <f>VLOOKUP(woodflow[[#This Row],[From]],woodstock[#All],9,FALSE)</f>
        <v>nan</v>
      </c>
      <c r="M109" s="152" t="str">
        <f>VLOOKUP(woodflow[[#This Row],[to]],woodstock[#All],9,FALSE)</f>
        <v>nan</v>
      </c>
      <c r="N109" s="157">
        <v>0</v>
      </c>
      <c r="O109" s="148" t="s">
        <v>209</v>
      </c>
      <c r="P109" s="148"/>
      <c r="Q109" s="148"/>
      <c r="R109" s="1"/>
      <c r="S109" s="1"/>
      <c r="T109" s="1"/>
      <c r="U109" s="1"/>
      <c r="V109" s="1"/>
    </row>
    <row r="110" spans="1:22" x14ac:dyDescent="0.3">
      <c r="A110" s="5" t="str">
        <f>CONCATENATE("F",IF(B110&lt;&gt;"",COUNTA($B$2:B110),""))</f>
        <v>F61</v>
      </c>
      <c r="B110" s="148" t="s">
        <v>175</v>
      </c>
      <c r="C110" s="148" t="s">
        <v>57</v>
      </c>
      <c r="D11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6.8701287830456641</v>
      </c>
      <c r="F110" s="148">
        <f>VLOOKUP(woodflow[[#This Row],[From]],woodstock[#All],4,FALSE)</f>
        <v>2021</v>
      </c>
      <c r="G110" s="5" t="str">
        <f>VLOOKUP(woodflow[[#This Row],[From]],woodstock[#All],5,FALSE)</f>
        <v>Global</v>
      </c>
      <c r="H110" s="151" t="str">
        <f>VLOOKUP(woodflow[[#This Row],[From]],woodstock[#All],7,FALSE)</f>
        <v>14</v>
      </c>
      <c r="I110" s="151" t="str">
        <f>VLOOKUP(woodflow[[#This Row],[to]],woodstock[#All],7,FALSE)</f>
        <v>49</v>
      </c>
      <c r="J110" s="151" t="str">
        <f>VLOOKUP(woodflow[[#This Row],[From]],woodstock[#All],8,FALSE)</f>
        <v>0</v>
      </c>
      <c r="K110" s="151" t="str">
        <f>VLOOKUP(woodflow[[#This Row],[to]],woodstock[#All],8,FALSE)</f>
        <v>0</v>
      </c>
      <c r="L110" s="152" t="str">
        <f>VLOOKUP(woodflow[[#This Row],[From]],woodstock[#All],9,FALSE)</f>
        <v>nan</v>
      </c>
      <c r="M110" s="152" t="str">
        <f>VLOOKUP(woodflow[[#This Row],[to]],woodstock[#All],9,FALSE)</f>
        <v>nan</v>
      </c>
      <c r="N110" s="157">
        <f>$N$103*woodratio!I42</f>
        <v>6.8701287830456641</v>
      </c>
      <c r="O110" s="148" t="s">
        <v>920</v>
      </c>
      <c r="P110" s="148" t="s">
        <v>233</v>
      </c>
      <c r="Q110" s="148"/>
      <c r="R110" s="1"/>
      <c r="S110" s="1"/>
      <c r="T110" s="1"/>
      <c r="U110" s="1"/>
      <c r="V110" s="1"/>
    </row>
    <row r="111" spans="1:22" x14ac:dyDescent="0.3">
      <c r="A111" s="5" t="str">
        <f>CONCATENATE("F",IF(B111&lt;&gt;"",COUNTA($B$2:B111),""))</f>
        <v>F</v>
      </c>
      <c r="B111" s="148"/>
      <c r="C111" s="148"/>
      <c r="D111" s="149"/>
      <c r="E111" s="149"/>
      <c r="F111" s="148"/>
      <c r="G111" s="5"/>
      <c r="H111" s="151"/>
      <c r="I111" s="151"/>
      <c r="J111" s="151"/>
      <c r="K111" s="151"/>
      <c r="L111" s="152"/>
      <c r="M111" s="152"/>
      <c r="N111" s="157"/>
      <c r="O111" s="148"/>
      <c r="P111" s="148"/>
      <c r="Q111" s="148"/>
      <c r="R111" s="1"/>
      <c r="S111" s="1"/>
      <c r="T111" s="1"/>
      <c r="U111" s="1"/>
      <c r="V111" s="1"/>
    </row>
    <row r="112" spans="1:22" x14ac:dyDescent="0.3">
      <c r="A112" s="5" t="str">
        <f>CONCATENATE("F",IF(B112&lt;&gt;"",COUNTA($B$2:B112),""))</f>
        <v>F</v>
      </c>
      <c r="B112" s="148"/>
      <c r="C112" s="148"/>
      <c r="D112" s="149"/>
      <c r="E112" s="149"/>
      <c r="F112" s="148"/>
      <c r="G112" s="5"/>
      <c r="H112" s="151"/>
      <c r="I112" s="151"/>
      <c r="J112" s="151"/>
      <c r="K112" s="151"/>
      <c r="L112" s="152"/>
      <c r="M112" s="152"/>
      <c r="N112" s="157"/>
      <c r="O112" s="148"/>
      <c r="P112" s="148"/>
      <c r="Q112" s="148"/>
      <c r="R112" s="1"/>
      <c r="S112" s="1"/>
      <c r="T112" s="1"/>
      <c r="U112" s="1"/>
      <c r="V112" s="1"/>
    </row>
    <row r="113" spans="1:22" x14ac:dyDescent="0.3">
      <c r="A113" s="5" t="str">
        <f>CONCATENATE("F",IF(B113&lt;&gt;"",COUNTA($B$2:B113),""))</f>
        <v>F62</v>
      </c>
      <c r="B113" s="148" t="s">
        <v>175</v>
      </c>
      <c r="C113" s="148" t="s">
        <v>58</v>
      </c>
      <c r="D11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31.216847841869011</v>
      </c>
      <c r="E11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3" s="148">
        <f>VLOOKUP(woodflow[[#This Row],[From]],woodstock[#All],4,FALSE)</f>
        <v>2021</v>
      </c>
      <c r="G113" s="5" t="str">
        <f>VLOOKUP(woodflow[[#This Row],[From]],woodstock[#All],5,FALSE)</f>
        <v>Global</v>
      </c>
      <c r="H113" s="151" t="str">
        <f>VLOOKUP(woodflow[[#This Row],[From]],woodstock[#All],7,FALSE)</f>
        <v>14</v>
      </c>
      <c r="I113" s="151" t="str">
        <f>VLOOKUP(woodflow[[#This Row],[to]],woodstock[#All],7,FALSE)</f>
        <v>18</v>
      </c>
      <c r="J113" s="151" t="str">
        <f>VLOOKUP(woodflow[[#This Row],[From]],woodstock[#All],8,FALSE)</f>
        <v>0</v>
      </c>
      <c r="K113" s="151" t="str">
        <f>VLOOKUP(woodflow[[#This Row],[to]],woodstock[#All],8,FALSE)</f>
        <v>1</v>
      </c>
      <c r="L113" s="152" t="str">
        <f>VLOOKUP(woodflow[[#This Row],[From]],woodstock[#All],9,FALSE)</f>
        <v>nan</v>
      </c>
      <c r="M113" s="152" t="str">
        <f>VLOOKUP(woodflow[[#This Row],[to]],woodstock[#All],9,FALSE)</f>
        <v>50-51-52-53-54-55</v>
      </c>
      <c r="N113" s="157">
        <f>(N80)*SUM('production-mass-balance'!B13:B17)</f>
        <v>31.216847841869011</v>
      </c>
      <c r="O113" s="148" t="s">
        <v>921</v>
      </c>
      <c r="P113" s="148" t="s">
        <v>453</v>
      </c>
      <c r="Q113" s="148"/>
      <c r="R113" s="1"/>
      <c r="S113" s="1"/>
      <c r="T113" s="1"/>
      <c r="U113" s="1"/>
      <c r="V113" s="1"/>
    </row>
    <row r="114" spans="1:22" x14ac:dyDescent="0.3">
      <c r="A114" s="5" t="str">
        <f>CONCATENATE("F",IF(B114&lt;&gt;"",COUNTA($B$2:B114),""))</f>
        <v>F63</v>
      </c>
      <c r="B114" s="148" t="s">
        <v>175</v>
      </c>
      <c r="C114" s="148" t="s">
        <v>29</v>
      </c>
      <c r="D11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12.15849331180091</v>
      </c>
      <c r="F114" s="148">
        <f>VLOOKUP(woodflow[[#This Row],[From]],woodstock[#All],4,FALSE)</f>
        <v>2021</v>
      </c>
      <c r="G114" s="5" t="str">
        <f>VLOOKUP(woodflow[[#This Row],[From]],woodstock[#All],5,FALSE)</f>
        <v>Global</v>
      </c>
      <c r="H114" s="151" t="str">
        <f>VLOOKUP(woodflow[[#This Row],[From]],woodstock[#All],7,FALSE)</f>
        <v>14</v>
      </c>
      <c r="I114" s="151" t="str">
        <f>VLOOKUP(woodflow[[#This Row],[to]],woodstock[#All],7,FALSE)</f>
        <v>50</v>
      </c>
      <c r="J114" s="151" t="str">
        <f>VLOOKUP(woodflow[[#This Row],[From]],woodstock[#All],8,FALSE)</f>
        <v>0</v>
      </c>
      <c r="K114" s="151" t="str">
        <f>VLOOKUP(woodflow[[#This Row],[to]],woodstock[#All],8,FALSE)</f>
        <v>0</v>
      </c>
      <c r="L114" s="152" t="str">
        <f>VLOOKUP(woodflow[[#This Row],[From]],woodstock[#All],9,FALSE)</f>
        <v>nan</v>
      </c>
      <c r="M114" s="152" t="str">
        <f>VLOOKUP(woodflow[[#This Row],[to]],woodstock[#All],9,FALSE)</f>
        <v>nan</v>
      </c>
      <c r="N114" s="157">
        <f>$N$113*woodratio!I45</f>
        <v>12.15849331180091</v>
      </c>
      <c r="O114" s="148" t="s">
        <v>920</v>
      </c>
      <c r="P114" s="148" t="s">
        <v>233</v>
      </c>
      <c r="Q114" s="148"/>
      <c r="R114" s="1"/>
      <c r="S114" s="1"/>
      <c r="T114" s="1"/>
      <c r="U114" s="1"/>
      <c r="V114" s="1"/>
    </row>
    <row r="115" spans="1:22" x14ac:dyDescent="0.3">
      <c r="A115" s="5" t="str">
        <f>CONCATENATE("F",IF(B115&lt;&gt;"",COUNTA($B$2:B115),""))</f>
        <v>F64</v>
      </c>
      <c r="B115" s="148" t="s">
        <v>175</v>
      </c>
      <c r="C115" s="148" t="s">
        <v>73</v>
      </c>
      <c r="D11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6.8998612182671923</v>
      </c>
      <c r="F115" s="148">
        <f>VLOOKUP(woodflow[[#This Row],[From]],woodstock[#All],4,FALSE)</f>
        <v>2021</v>
      </c>
      <c r="G115" s="5" t="str">
        <f>VLOOKUP(woodflow[[#This Row],[From]],woodstock[#All],5,FALSE)</f>
        <v>Global</v>
      </c>
      <c r="H115" s="151" t="str">
        <f>VLOOKUP(woodflow[[#This Row],[From]],woodstock[#All],7,FALSE)</f>
        <v>14</v>
      </c>
      <c r="I115" s="151" t="str">
        <f>VLOOKUP(woodflow[[#This Row],[to]],woodstock[#All],7,FALSE)</f>
        <v>51</v>
      </c>
      <c r="J115" s="151" t="str">
        <f>VLOOKUP(woodflow[[#This Row],[From]],woodstock[#All],8,FALSE)</f>
        <v>0</v>
      </c>
      <c r="K115" s="151" t="str">
        <f>VLOOKUP(woodflow[[#This Row],[to]],woodstock[#All],8,FALSE)</f>
        <v>0</v>
      </c>
      <c r="L115" s="152" t="str">
        <f>VLOOKUP(woodflow[[#This Row],[From]],woodstock[#All],9,FALSE)</f>
        <v>nan</v>
      </c>
      <c r="M115" s="152" t="str">
        <f>VLOOKUP(woodflow[[#This Row],[to]],woodstock[#All],9,FALSE)</f>
        <v>nan</v>
      </c>
      <c r="N115" s="157">
        <f>$N$113*woodratio!I46</f>
        <v>6.8998612182671923</v>
      </c>
      <c r="O115" s="148" t="s">
        <v>920</v>
      </c>
      <c r="P115" s="148" t="s">
        <v>233</v>
      </c>
      <c r="Q115" s="148"/>
      <c r="R115" s="1"/>
      <c r="S115" s="1"/>
      <c r="T115" s="1"/>
      <c r="U115" s="1"/>
      <c r="V115" s="1"/>
    </row>
    <row r="116" spans="1:22" x14ac:dyDescent="0.3">
      <c r="A116" s="5" t="str">
        <f>CONCATENATE("F",IF(B116&lt;&gt;"",COUNTA($B$2:B116),""))</f>
        <v>F65</v>
      </c>
      <c r="B116" s="148" t="s">
        <v>175</v>
      </c>
      <c r="C116" s="148" t="s">
        <v>30</v>
      </c>
      <c r="D11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7.7372230166005806</v>
      </c>
      <c r="F116" s="148">
        <f>VLOOKUP(woodflow[[#This Row],[From]],woodstock[#All],4,FALSE)</f>
        <v>2021</v>
      </c>
      <c r="G116" s="5" t="str">
        <f>VLOOKUP(woodflow[[#This Row],[From]],woodstock[#All],5,FALSE)</f>
        <v>Global</v>
      </c>
      <c r="H116" s="151" t="str">
        <f>VLOOKUP(woodflow[[#This Row],[From]],woodstock[#All],7,FALSE)</f>
        <v>14</v>
      </c>
      <c r="I116" s="151" t="str">
        <f>VLOOKUP(woodflow[[#This Row],[to]],woodstock[#All],7,FALSE)</f>
        <v>52</v>
      </c>
      <c r="J116" s="151" t="str">
        <f>VLOOKUP(woodflow[[#This Row],[From]],woodstock[#All],8,FALSE)</f>
        <v>0</v>
      </c>
      <c r="K116" s="151" t="str">
        <f>VLOOKUP(woodflow[[#This Row],[to]],woodstock[#All],8,FALSE)</f>
        <v>0</v>
      </c>
      <c r="L116" s="152" t="str">
        <f>VLOOKUP(woodflow[[#This Row],[From]],woodstock[#All],9,FALSE)</f>
        <v>nan</v>
      </c>
      <c r="M116" s="152" t="str">
        <f>VLOOKUP(woodflow[[#This Row],[to]],woodstock[#All],9,FALSE)</f>
        <v>nan</v>
      </c>
      <c r="N116" s="157">
        <f>$N$113*woodratio!I47</f>
        <v>7.7372230166005806</v>
      </c>
      <c r="O116" s="148" t="s">
        <v>920</v>
      </c>
      <c r="P116" s="148" t="s">
        <v>233</v>
      </c>
      <c r="Q116" s="148"/>
      <c r="R116" s="1"/>
      <c r="S116" s="1"/>
      <c r="T116" s="1"/>
      <c r="U116" s="1"/>
      <c r="V116" s="1"/>
    </row>
    <row r="117" spans="1:22" x14ac:dyDescent="0.3">
      <c r="A117" s="5" t="str">
        <f>CONCATENATE("F",IF(B117&lt;&gt;"",COUNTA($B$2:B117),""))</f>
        <v>F66</v>
      </c>
      <c r="B117" s="148" t="s">
        <v>175</v>
      </c>
      <c r="C117" s="148" t="s">
        <v>80</v>
      </c>
      <c r="D11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7" s="148">
        <f>VLOOKUP(woodflow[[#This Row],[From]],woodstock[#All],4,FALSE)</f>
        <v>2021</v>
      </c>
      <c r="G117" s="5" t="str">
        <f>VLOOKUP(woodflow[[#This Row],[From]],woodstock[#All],5,FALSE)</f>
        <v>Global</v>
      </c>
      <c r="H117" s="151" t="str">
        <f>VLOOKUP(woodflow[[#This Row],[From]],woodstock[#All],7,FALSE)</f>
        <v>14</v>
      </c>
      <c r="I117" s="151" t="str">
        <f>VLOOKUP(woodflow[[#This Row],[to]],woodstock[#All],7,FALSE)</f>
        <v>53</v>
      </c>
      <c r="J117" s="151" t="str">
        <f>VLOOKUP(woodflow[[#This Row],[From]],woodstock[#All],8,FALSE)</f>
        <v>0</v>
      </c>
      <c r="K117" s="151" t="str">
        <f>VLOOKUP(woodflow[[#This Row],[to]],woodstock[#All],8,FALSE)</f>
        <v>0</v>
      </c>
      <c r="L117" s="152" t="str">
        <f>VLOOKUP(woodflow[[#This Row],[From]],woodstock[#All],9,FALSE)</f>
        <v>nan</v>
      </c>
      <c r="M117" s="152" t="str">
        <f>VLOOKUP(woodflow[[#This Row],[to]],woodstock[#All],9,FALSE)</f>
        <v>nan</v>
      </c>
      <c r="N117" s="157">
        <v>0</v>
      </c>
      <c r="O117" s="148" t="s">
        <v>209</v>
      </c>
      <c r="P117" s="148"/>
      <c r="Q117" s="148"/>
      <c r="R117" s="1"/>
      <c r="S117" s="1"/>
      <c r="T117" s="1"/>
      <c r="U117" s="1"/>
      <c r="V117" s="1"/>
    </row>
    <row r="118" spans="1:22" x14ac:dyDescent="0.3">
      <c r="A118" s="5" t="str">
        <f>CONCATENATE("F",IF(B118&lt;&gt;"",COUNTA($B$2:B118),""))</f>
        <v>F67</v>
      </c>
      <c r="B118" s="148" t="s">
        <v>175</v>
      </c>
      <c r="C118" s="5" t="s">
        <v>235</v>
      </c>
      <c r="D11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1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18" s="148">
        <f>VLOOKUP(woodflow[[#This Row],[From]],woodstock[#All],4,FALSE)</f>
        <v>2021</v>
      </c>
      <c r="G118" s="5" t="str">
        <f>VLOOKUP(woodflow[[#This Row],[From]],woodstock[#All],5,FALSE)</f>
        <v>Global</v>
      </c>
      <c r="H118" s="151" t="str">
        <f>VLOOKUP(woodflow[[#This Row],[From]],woodstock[#All],7,FALSE)</f>
        <v>14</v>
      </c>
      <c r="I118" s="151" t="str">
        <f>VLOOKUP(woodflow[[#This Row],[to]],woodstock[#All],7,FALSE)</f>
        <v>54</v>
      </c>
      <c r="J118" s="151" t="str">
        <f>VLOOKUP(woodflow[[#This Row],[From]],woodstock[#All],8,FALSE)</f>
        <v>0</v>
      </c>
      <c r="K118" s="151" t="str">
        <f>VLOOKUP(woodflow[[#This Row],[to]],woodstock[#All],8,FALSE)</f>
        <v>0</v>
      </c>
      <c r="L118" s="152" t="str">
        <f>VLOOKUP(woodflow[[#This Row],[From]],woodstock[#All],9,FALSE)</f>
        <v>nan</v>
      </c>
      <c r="M118" s="152" t="str">
        <f>VLOOKUP(woodflow[[#This Row],[to]],woodstock[#All],9,FALSE)</f>
        <v>nan</v>
      </c>
      <c r="N118" s="157">
        <v>0</v>
      </c>
      <c r="O118" s="148" t="s">
        <v>209</v>
      </c>
      <c r="P118" s="148"/>
      <c r="Q118" s="148"/>
      <c r="R118" s="1"/>
      <c r="S118" s="1"/>
      <c r="T118" s="1"/>
      <c r="U118" s="1"/>
      <c r="V118" s="1"/>
    </row>
    <row r="119" spans="1:22" x14ac:dyDescent="0.3">
      <c r="A119" s="5" t="str">
        <f>CONCATENATE("F",IF(B119&lt;&gt;"",COUNTA($B$2:B119),""))</f>
        <v>F68</v>
      </c>
      <c r="B119" s="148" t="s">
        <v>175</v>
      </c>
      <c r="C119" s="148" t="s">
        <v>74</v>
      </c>
      <c r="D119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19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4.4212702952003227</v>
      </c>
      <c r="F119" s="148">
        <f>VLOOKUP(woodflow[[#This Row],[From]],woodstock[#All],4,FALSE)</f>
        <v>2021</v>
      </c>
      <c r="G119" s="5" t="str">
        <f>VLOOKUP(woodflow[[#This Row],[From]],woodstock[#All],5,FALSE)</f>
        <v>Global</v>
      </c>
      <c r="H119" s="151" t="str">
        <f>VLOOKUP(woodflow[[#This Row],[From]],woodstock[#All],7,FALSE)</f>
        <v>14</v>
      </c>
      <c r="I119" s="151" t="str">
        <f>VLOOKUP(woodflow[[#This Row],[to]],woodstock[#All],7,FALSE)</f>
        <v>55</v>
      </c>
      <c r="J119" s="151" t="str">
        <f>VLOOKUP(woodflow[[#This Row],[From]],woodstock[#All],8,FALSE)</f>
        <v>0</v>
      </c>
      <c r="K119" s="151" t="str">
        <f>VLOOKUP(woodflow[[#This Row],[to]],woodstock[#All],8,FALSE)</f>
        <v>0</v>
      </c>
      <c r="L119" s="152" t="str">
        <f>VLOOKUP(woodflow[[#This Row],[From]],woodstock[#All],9,FALSE)</f>
        <v>nan</v>
      </c>
      <c r="M119" s="152" t="str">
        <f>VLOOKUP(woodflow[[#This Row],[to]],woodstock[#All],9,FALSE)</f>
        <v>nan</v>
      </c>
      <c r="N119" s="157">
        <f>$N$113*woodratio!I48</f>
        <v>4.4212702952003227</v>
      </c>
      <c r="O119" s="148" t="s">
        <v>920</v>
      </c>
      <c r="P119" s="148" t="s">
        <v>233</v>
      </c>
      <c r="Q119" s="148"/>
      <c r="R119" s="1"/>
      <c r="S119" s="1"/>
      <c r="T119" s="1"/>
      <c r="U119" s="1"/>
      <c r="V119" s="1"/>
    </row>
    <row r="120" spans="1:22" x14ac:dyDescent="0.3">
      <c r="A120" s="5" t="str">
        <f>CONCATENATE("F",IF(B120&lt;&gt;"",COUNTA($B$2:B120),""))</f>
        <v>F</v>
      </c>
      <c r="B120" s="148"/>
      <c r="C120" s="148"/>
      <c r="D120" s="149"/>
      <c r="E120" s="149"/>
      <c r="F120" s="148"/>
      <c r="G120" s="5"/>
      <c r="H120" s="151"/>
      <c r="I120" s="151"/>
      <c r="J120" s="151"/>
      <c r="K120" s="151"/>
      <c r="L120" s="152"/>
      <c r="M120" s="152"/>
      <c r="N120" s="157"/>
      <c r="O120" s="148"/>
      <c r="P120" s="148"/>
      <c r="Q120" s="148"/>
      <c r="R120" s="1"/>
      <c r="S120" s="1"/>
      <c r="T120" s="1"/>
      <c r="U120" s="1"/>
      <c r="V120" s="1"/>
    </row>
    <row r="121" spans="1:22" x14ac:dyDescent="0.3">
      <c r="A121" s="5" t="str">
        <f>CONCATENATE("F",IF(B121&lt;&gt;"",COUNTA($B$2:B121),""))</f>
        <v>F</v>
      </c>
      <c r="B121" s="148"/>
      <c r="C121" s="148"/>
      <c r="D121" s="149"/>
      <c r="E121" s="149"/>
      <c r="F121" s="148"/>
      <c r="G121" s="5"/>
      <c r="H121" s="151"/>
      <c r="I121" s="151"/>
      <c r="J121" s="151"/>
      <c r="K121" s="151"/>
      <c r="L121" s="152"/>
      <c r="M121" s="152"/>
      <c r="N121" s="157"/>
      <c r="O121" s="148"/>
      <c r="P121" s="148"/>
      <c r="Q121" s="148"/>
      <c r="R121" s="1"/>
      <c r="S121" s="1"/>
      <c r="T121" s="1"/>
      <c r="U121" s="1"/>
      <c r="V121" s="1"/>
    </row>
    <row r="122" spans="1:22" x14ac:dyDescent="0.3">
      <c r="A122" s="5" t="str">
        <f>CONCATENATE("F",IF(B122&lt;&gt;"",COUNTA($B$2:B122),""))</f>
        <v>F69</v>
      </c>
      <c r="B122" s="148" t="s">
        <v>53</v>
      </c>
      <c r="C122" s="148" t="s">
        <v>76</v>
      </c>
      <c r="D12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18.195015764359532</v>
      </c>
      <c r="E12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2" s="148">
        <f>VLOOKUP(woodflow[[#This Row],[From]],woodstock[#All],4,FALSE)</f>
        <v>2021</v>
      </c>
      <c r="G122" s="5" t="str">
        <f>VLOOKUP(woodflow[[#This Row],[From]],woodstock[#All],5,FALSE)</f>
        <v>Global</v>
      </c>
      <c r="H122" s="151" t="str">
        <f>VLOOKUP(woodflow[[#This Row],[From]],woodstock[#All],7,FALSE)</f>
        <v>15</v>
      </c>
      <c r="I122" s="151" t="str">
        <f>VLOOKUP(woodflow[[#This Row],[to]],woodstock[#All],7,FALSE)</f>
        <v>23</v>
      </c>
      <c r="J122" s="151" t="str">
        <f>VLOOKUP(woodflow[[#This Row],[From]],woodstock[#All],8,FALSE)</f>
        <v>0</v>
      </c>
      <c r="K122" s="151" t="str">
        <f>VLOOKUP(woodflow[[#This Row],[to]],woodstock[#All],8,FALSE)</f>
        <v>0</v>
      </c>
      <c r="L122" s="152" t="str">
        <f>VLOOKUP(woodflow[[#This Row],[From]],woodstock[#All],9,FALSE)</f>
        <v>nan</v>
      </c>
      <c r="M122" s="152" t="str">
        <f>VLOOKUP(woodflow[[#This Row],[to]],woodstock[#All],9,FALSE)</f>
        <v>nan</v>
      </c>
      <c r="N122" s="157">
        <f>'faostat-data'!Q69/'production-mass-balance'!B55</f>
        <v>18.195015764359532</v>
      </c>
      <c r="O122" s="148" t="s">
        <v>921</v>
      </c>
      <c r="P122" s="148" t="s">
        <v>453</v>
      </c>
      <c r="Q122" s="148" t="s">
        <v>227</v>
      </c>
      <c r="R122" s="1"/>
      <c r="S122" s="1"/>
      <c r="T122" s="1"/>
      <c r="U122" s="1"/>
      <c r="V122" s="1"/>
    </row>
    <row r="123" spans="1:22" x14ac:dyDescent="0.3">
      <c r="A123" s="5" t="str">
        <f>CONCATENATE("F",IF(B123&lt;&gt;"",COUNTA($B$2:B123),""))</f>
        <v>F</v>
      </c>
      <c r="B123" s="148"/>
      <c r="C123" s="148"/>
      <c r="D123" s="149"/>
      <c r="E123" s="149"/>
      <c r="F123" s="148"/>
      <c r="G123" s="5"/>
      <c r="H123" s="151"/>
      <c r="I123" s="151"/>
      <c r="J123" s="151"/>
      <c r="K123" s="151"/>
      <c r="L123" s="152"/>
      <c r="M123" s="152"/>
      <c r="N123" s="157"/>
      <c r="O123" s="148"/>
      <c r="P123" s="148"/>
      <c r="Q123" s="148"/>
      <c r="R123" s="1"/>
      <c r="S123" s="1"/>
      <c r="T123" s="1"/>
      <c r="U123" s="1"/>
      <c r="V123" s="1"/>
    </row>
    <row r="124" spans="1:22" x14ac:dyDescent="0.3">
      <c r="A124" s="5" t="str">
        <f>CONCATENATE("F",IF(B124&lt;&gt;"",COUNTA($B$2:B124),""))</f>
        <v>F</v>
      </c>
      <c r="B124" s="148"/>
      <c r="C124" s="148"/>
      <c r="D124" s="149"/>
      <c r="E124" s="149"/>
      <c r="F124" s="148"/>
      <c r="G124" s="5"/>
      <c r="H124" s="151"/>
      <c r="I124" s="151"/>
      <c r="J124" s="151"/>
      <c r="K124" s="151"/>
      <c r="L124" s="152"/>
      <c r="M124" s="152"/>
      <c r="N124" s="157"/>
      <c r="O124" s="148"/>
      <c r="P124" s="148"/>
      <c r="Q124" s="148"/>
      <c r="R124" s="1"/>
      <c r="S124" s="1"/>
      <c r="T124" s="1"/>
      <c r="U124" s="1"/>
      <c r="V124" s="1"/>
    </row>
    <row r="125" spans="1:22" x14ac:dyDescent="0.3">
      <c r="A125" s="5" t="str">
        <f>CONCATENATE("F",IF(B125&lt;&gt;"",COUNTA($B$2:B125),""))</f>
        <v>F70</v>
      </c>
      <c r="B125" s="148" t="s">
        <v>54</v>
      </c>
      <c r="C125" s="148" t="s">
        <v>45</v>
      </c>
      <c r="D12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57.220760936583339</v>
      </c>
      <c r="E12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5" s="148">
        <f>VLOOKUP(woodflow[[#This Row],[From]],woodstock[#All],4,FALSE)</f>
        <v>2021</v>
      </c>
      <c r="G125" s="5" t="str">
        <f>VLOOKUP(woodflow[[#This Row],[From]],woodstock[#All],5,FALSE)</f>
        <v>Global</v>
      </c>
      <c r="H125" s="151" t="str">
        <f>VLOOKUP(woodflow[[#This Row],[From]],woodstock[#All],7,FALSE)</f>
        <v>16</v>
      </c>
      <c r="I125" s="151" t="str">
        <f>VLOOKUP(woodflow[[#This Row],[to]],woodstock[#All],7,FALSE)</f>
        <v>22</v>
      </c>
      <c r="J125" s="151" t="str">
        <f>VLOOKUP(woodflow[[#This Row],[From]],woodstock[#All],8,FALSE)</f>
        <v>0</v>
      </c>
      <c r="K125" s="151" t="str">
        <f>VLOOKUP(woodflow[[#This Row],[to]],woodstock[#All],8,FALSE)</f>
        <v>0</v>
      </c>
      <c r="L125" s="152" t="str">
        <f>VLOOKUP(woodflow[[#This Row],[From]],woodstock[#All],9,FALSE)</f>
        <v>nan</v>
      </c>
      <c r="M125" s="152" t="str">
        <f>VLOOKUP(woodflow[[#This Row],[to]],woodstock[#All],9,FALSE)</f>
        <v>nan</v>
      </c>
      <c r="N125" s="157">
        <f>'faostat-data'!Q66/'production-mass-balance'!B48</f>
        <v>57.220760936583339</v>
      </c>
      <c r="O125" s="148" t="s">
        <v>921</v>
      </c>
      <c r="P125" s="148" t="s">
        <v>453</v>
      </c>
      <c r="Q125" s="148" t="s">
        <v>227</v>
      </c>
      <c r="R125" s="1"/>
      <c r="S125" s="1"/>
      <c r="T125" s="1"/>
      <c r="U125" s="1"/>
      <c r="V125" s="1"/>
    </row>
    <row r="126" spans="1:22" x14ac:dyDescent="0.3">
      <c r="A126" s="5" t="str">
        <f>CONCATENATE("F",IF(B126&lt;&gt;"",COUNTA($B$2:B126),""))</f>
        <v>F</v>
      </c>
      <c r="B126" s="148"/>
      <c r="C126" s="148"/>
      <c r="D126" s="149"/>
      <c r="E126" s="149"/>
      <c r="F126" s="148"/>
      <c r="G126" s="5"/>
      <c r="H126" s="151"/>
      <c r="I126" s="151"/>
      <c r="J126" s="151"/>
      <c r="K126" s="151"/>
      <c r="L126" s="152"/>
      <c r="M126" s="152"/>
      <c r="N126" s="157"/>
      <c r="O126" s="148"/>
      <c r="P126" s="148"/>
      <c r="Q126" s="148"/>
      <c r="R126" s="1"/>
      <c r="S126" s="1"/>
      <c r="T126" s="1"/>
      <c r="U126" s="1"/>
      <c r="V126" s="1"/>
    </row>
    <row r="127" spans="1:22" x14ac:dyDescent="0.3">
      <c r="A127" s="5" t="str">
        <f>CONCATENATE("F",IF(B127&lt;&gt;"",COUNTA($B$2:B127),""))</f>
        <v>F</v>
      </c>
      <c r="B127" s="148"/>
      <c r="C127" s="148"/>
      <c r="D127" s="149"/>
      <c r="E127" s="149"/>
      <c r="F127" s="148"/>
      <c r="G127" s="5"/>
      <c r="H127" s="151"/>
      <c r="I127" s="151"/>
      <c r="J127" s="151"/>
      <c r="K127" s="151"/>
      <c r="L127" s="152"/>
      <c r="M127" s="152"/>
      <c r="N127" s="157"/>
      <c r="O127" s="148"/>
      <c r="P127" s="148"/>
      <c r="Q127" s="148"/>
      <c r="R127" s="1"/>
      <c r="S127" s="1"/>
      <c r="T127" s="1"/>
      <c r="U127" s="1"/>
      <c r="V127" s="1"/>
    </row>
    <row r="128" spans="1:22" x14ac:dyDescent="0.3">
      <c r="A128" s="5" t="str">
        <f>CONCATENATE("F",IF(B128&lt;&gt;"",COUNTA($B$2:B128),""))</f>
        <v>F71</v>
      </c>
      <c r="B128" s="148" t="s">
        <v>54</v>
      </c>
      <c r="C128" s="148" t="s">
        <v>176</v>
      </c>
      <c r="D12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5.7396538866657147</v>
      </c>
      <c r="E12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28" s="148">
        <f>VLOOKUP(woodflow[[#This Row],[From]],woodstock[#All],4,FALSE)</f>
        <v>2021</v>
      </c>
      <c r="G128" s="5" t="str">
        <f>VLOOKUP(woodflow[[#This Row],[From]],woodstock[#All],5,FALSE)</f>
        <v>Global</v>
      </c>
      <c r="H128" s="151" t="str">
        <f>VLOOKUP(woodflow[[#This Row],[From]],woodstock[#All],7,FALSE)</f>
        <v>16</v>
      </c>
      <c r="I128" s="151" t="str">
        <f>VLOOKUP(woodflow[[#This Row],[to]],woodstock[#All],7,FALSE)</f>
        <v>24</v>
      </c>
      <c r="J128" s="151" t="str">
        <f>VLOOKUP(woodflow[[#This Row],[From]],woodstock[#All],8,FALSE)</f>
        <v>0</v>
      </c>
      <c r="K128" s="151" t="str">
        <f>VLOOKUP(woodflow[[#This Row],[to]],woodstock[#All],8,FALSE)</f>
        <v>0</v>
      </c>
      <c r="L128" s="152" t="str">
        <f>VLOOKUP(woodflow[[#This Row],[From]],woodstock[#All],9,FALSE)</f>
        <v>nan</v>
      </c>
      <c r="M128" s="152" t="str">
        <f>VLOOKUP(woodflow[[#This Row],[to]],woodstock[#All],9,FALSE)</f>
        <v>nan</v>
      </c>
      <c r="N128" s="157">
        <f>'faostat-data'!Q72/'production-mass-balance'!B60</f>
        <v>5.7396538866657147</v>
      </c>
      <c r="O128" s="148" t="s">
        <v>921</v>
      </c>
      <c r="P128" s="148" t="s">
        <v>453</v>
      </c>
      <c r="Q128" s="148" t="s">
        <v>227</v>
      </c>
      <c r="R128" s="1"/>
      <c r="S128" s="1"/>
      <c r="T128" s="1"/>
      <c r="U128" s="1"/>
      <c r="V128" s="1"/>
    </row>
    <row r="129" spans="1:22" x14ac:dyDescent="0.3">
      <c r="A129" s="5" t="str">
        <f>CONCATENATE("F",IF(B129&lt;&gt;"",COUNTA($B$2:B129),""))</f>
        <v>F</v>
      </c>
      <c r="B129" s="148"/>
      <c r="C129" s="148"/>
      <c r="D129" s="149"/>
      <c r="E129" s="149"/>
      <c r="F129" s="148"/>
      <c r="G129" s="5"/>
      <c r="H129" s="151"/>
      <c r="I129" s="151"/>
      <c r="J129" s="151"/>
      <c r="K129" s="151"/>
      <c r="L129" s="152"/>
      <c r="M129" s="152"/>
      <c r="N129" s="157"/>
      <c r="O129" s="148"/>
      <c r="P129" s="148"/>
      <c r="Q129" s="148"/>
      <c r="R129" s="1"/>
      <c r="S129" s="1"/>
      <c r="T129" s="1"/>
      <c r="U129" s="1"/>
      <c r="V129" s="1"/>
    </row>
    <row r="130" spans="1:22" x14ac:dyDescent="0.3">
      <c r="A130" s="5" t="str">
        <f>CONCATENATE("F",IF(B130&lt;&gt;"",COUNTA($B$2:B130),""))</f>
        <v>F</v>
      </c>
      <c r="B130" s="148"/>
      <c r="C130" s="148"/>
      <c r="D130" s="149"/>
      <c r="E130" s="149"/>
      <c r="F130" s="148"/>
      <c r="G130" s="5"/>
      <c r="H130" s="151"/>
      <c r="I130" s="151"/>
      <c r="J130" s="151"/>
      <c r="K130" s="151"/>
      <c r="L130" s="152"/>
      <c r="M130" s="152"/>
      <c r="N130" s="157"/>
      <c r="O130" s="148"/>
      <c r="P130" s="148"/>
      <c r="Q130" s="148"/>
      <c r="R130" s="1"/>
      <c r="S130" s="1"/>
      <c r="T130" s="1"/>
      <c r="U130" s="1"/>
      <c r="V130" s="1"/>
    </row>
    <row r="131" spans="1:22" x14ac:dyDescent="0.3">
      <c r="A131" s="5" t="str">
        <f>CONCATENATE("F",IF(B131&lt;&gt;"",COUNTA($B$2:B131),""))</f>
        <v>F72</v>
      </c>
      <c r="B131" s="148" t="s">
        <v>54</v>
      </c>
      <c r="C131" s="148" t="s">
        <v>205</v>
      </c>
      <c r="D13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67.159444157504069</v>
      </c>
      <c r="E13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1" s="148">
        <f>VLOOKUP(woodflow[[#This Row],[From]],woodstock[#All],4,FALSE)</f>
        <v>2021</v>
      </c>
      <c r="G131" s="5" t="str">
        <f>VLOOKUP(woodflow[[#This Row],[From]],woodstock[#All],5,FALSE)</f>
        <v>Global</v>
      </c>
      <c r="H131" s="151" t="str">
        <f>VLOOKUP(woodflow[[#This Row],[From]],woodstock[#All],7,FALSE)</f>
        <v>16</v>
      </c>
      <c r="I131" s="151" t="str">
        <f>VLOOKUP(woodflow[[#This Row],[to]],woodstock[#All],7,FALSE)</f>
        <v>25</v>
      </c>
      <c r="J131" s="151" t="str">
        <f>VLOOKUP(woodflow[[#This Row],[From]],woodstock[#All],8,FALSE)</f>
        <v>0</v>
      </c>
      <c r="K131" s="151" t="str">
        <f>VLOOKUP(woodflow[[#This Row],[to]],woodstock[#All],8,FALSE)</f>
        <v>0</v>
      </c>
      <c r="L131" s="152" t="str">
        <f>VLOOKUP(woodflow[[#This Row],[From]],woodstock[#All],9,FALSE)</f>
        <v>nan</v>
      </c>
      <c r="M131" s="152" t="str">
        <f>VLOOKUP(woodflow[[#This Row],[to]],woodstock[#All],9,FALSE)</f>
        <v>nan</v>
      </c>
      <c r="N131" s="157">
        <f>'faostat-data'!Q75/'production-mass-balance'!B60</f>
        <v>67.159444157504069</v>
      </c>
      <c r="O131" s="148" t="s">
        <v>921</v>
      </c>
      <c r="P131" s="148" t="s">
        <v>453</v>
      </c>
      <c r="Q131" s="148" t="s">
        <v>227</v>
      </c>
      <c r="R131" s="1"/>
      <c r="S131" s="1"/>
      <c r="T131" s="1"/>
      <c r="U131" s="1"/>
      <c r="V131" s="1"/>
    </row>
    <row r="132" spans="1:22" x14ac:dyDescent="0.3">
      <c r="A132" s="5" t="str">
        <f>CONCATENATE("F",IF(B132&lt;&gt;"",COUNTA($B$2:B132),""))</f>
        <v>F</v>
      </c>
      <c r="B132" s="148"/>
      <c r="C132" s="148"/>
      <c r="D132" s="149"/>
      <c r="E132" s="149"/>
      <c r="F132" s="148"/>
      <c r="G132" s="5"/>
      <c r="H132" s="151"/>
      <c r="I132" s="151"/>
      <c r="J132" s="151"/>
      <c r="K132" s="151"/>
      <c r="L132" s="152"/>
      <c r="M132" s="152"/>
      <c r="N132" s="157"/>
      <c r="O132" s="148"/>
      <c r="P132" s="148"/>
      <c r="Q132" s="148"/>
      <c r="R132" s="1"/>
      <c r="S132" s="1"/>
      <c r="T132" s="1"/>
      <c r="U132" s="1"/>
      <c r="V132" s="1"/>
    </row>
    <row r="133" spans="1:22" x14ac:dyDescent="0.3">
      <c r="A133" s="5" t="str">
        <f>CONCATENATE("F",IF(B133&lt;&gt;"",COUNTA($B$2:B133),""))</f>
        <v>F</v>
      </c>
      <c r="B133" s="148"/>
      <c r="C133" s="148"/>
      <c r="D133" s="149"/>
      <c r="E133" s="149"/>
      <c r="F133" s="148"/>
      <c r="G133" s="5"/>
      <c r="H133" s="151"/>
      <c r="I133" s="151"/>
      <c r="J133" s="151"/>
      <c r="K133" s="151"/>
      <c r="L133" s="152"/>
      <c r="M133" s="152"/>
      <c r="N133" s="157"/>
      <c r="O133" s="148"/>
      <c r="P133" s="148"/>
      <c r="Q133" s="148"/>
      <c r="R133" s="1"/>
      <c r="S133" s="1"/>
      <c r="T133" s="1"/>
      <c r="U133" s="1"/>
      <c r="V133" s="1"/>
    </row>
    <row r="134" spans="1:22" x14ac:dyDescent="0.3">
      <c r="A134" s="5" t="str">
        <f>CONCATENATE("F",IF(B134&lt;&gt;"",COUNTA($B$2:B134),""))</f>
        <v>F73</v>
      </c>
      <c r="B134" s="148" t="s">
        <v>54</v>
      </c>
      <c r="C134" s="148" t="s">
        <v>75</v>
      </c>
      <c r="D13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2.0173807370249999</v>
      </c>
      <c r="E13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4" s="148">
        <f>VLOOKUP(woodflow[[#This Row],[From]],woodstock[#All],4,FALSE)</f>
        <v>2021</v>
      </c>
      <c r="G134" s="5" t="str">
        <f>VLOOKUP(woodflow[[#This Row],[From]],woodstock[#All],5,FALSE)</f>
        <v>Global</v>
      </c>
      <c r="H134" s="151" t="str">
        <f>VLOOKUP(woodflow[[#This Row],[From]],woodstock[#All],7,FALSE)</f>
        <v>16</v>
      </c>
      <c r="I134" s="151" t="str">
        <f>VLOOKUP(woodflow[[#This Row],[to]],woodstock[#All],7,FALSE)</f>
        <v>26</v>
      </c>
      <c r="J134" s="151" t="str">
        <f>VLOOKUP(woodflow[[#This Row],[From]],woodstock[#All],8,FALSE)</f>
        <v>0</v>
      </c>
      <c r="K134" s="151" t="str">
        <f>VLOOKUP(woodflow[[#This Row],[to]],woodstock[#All],8,FALSE)</f>
        <v>0</v>
      </c>
      <c r="L134" s="152" t="str">
        <f>VLOOKUP(woodflow[[#This Row],[From]],woodstock[#All],9,FALSE)</f>
        <v>nan</v>
      </c>
      <c r="M134" s="152" t="str">
        <f>VLOOKUP(woodflow[[#This Row],[to]],woodstock[#All],9,FALSE)</f>
        <v>nan</v>
      </c>
      <c r="N134" s="157">
        <f>'faostat-data'!Q78/'production-mass-balance'!B60</f>
        <v>2.0173807370249999</v>
      </c>
      <c r="O134" s="148" t="s">
        <v>921</v>
      </c>
      <c r="P134" s="148" t="s">
        <v>453</v>
      </c>
      <c r="Q134" s="148" t="s">
        <v>227</v>
      </c>
      <c r="R134" s="1"/>
      <c r="S134" s="1"/>
      <c r="T134" s="1"/>
      <c r="U134" s="1"/>
      <c r="V134" s="1"/>
    </row>
    <row r="135" spans="1:22" x14ac:dyDescent="0.3">
      <c r="A135" s="5" t="str">
        <f>CONCATENATE("F",IF(B135&lt;&gt;"",COUNTA($B$2:B135),""))</f>
        <v>F</v>
      </c>
      <c r="B135" s="148"/>
      <c r="C135" s="148"/>
      <c r="D135" s="149"/>
      <c r="E135" s="149"/>
      <c r="F135" s="148"/>
      <c r="G135" s="5"/>
      <c r="H135" s="151"/>
      <c r="I135" s="151"/>
      <c r="J135" s="151"/>
      <c r="K135" s="151"/>
      <c r="L135" s="152"/>
      <c r="M135" s="152"/>
      <c r="N135" s="157"/>
      <c r="O135" s="148"/>
      <c r="P135" s="148"/>
      <c r="Q135" s="148"/>
      <c r="R135" s="1"/>
      <c r="S135" s="1"/>
      <c r="T135" s="1"/>
      <c r="U135" s="1"/>
      <c r="V135" s="1"/>
    </row>
    <row r="136" spans="1:22" x14ac:dyDescent="0.3">
      <c r="A136" s="5" t="str">
        <f>CONCATENATE("F",IF(B136&lt;&gt;"",COUNTA($B$2:B136),""))</f>
        <v>F</v>
      </c>
      <c r="B136" s="148"/>
      <c r="C136" s="148"/>
      <c r="D136" s="149"/>
      <c r="E136" s="149"/>
      <c r="F136" s="148"/>
      <c r="G136" s="5"/>
      <c r="H136" s="151"/>
      <c r="I136" s="151"/>
      <c r="J136" s="151"/>
      <c r="K136" s="151"/>
      <c r="L136" s="152"/>
      <c r="M136" s="152"/>
      <c r="N136" s="157"/>
      <c r="O136" s="148"/>
      <c r="P136" s="148"/>
      <c r="Q136" s="148"/>
      <c r="R136" s="1"/>
      <c r="S136" s="1"/>
      <c r="T136" s="1"/>
      <c r="U136" s="1"/>
      <c r="V136" s="1"/>
    </row>
    <row r="137" spans="1:22" x14ac:dyDescent="0.3">
      <c r="A137" s="5" t="str">
        <f>CONCATENATE("F",IF(B137&lt;&gt;"",COUNTA($B$2:B137),""))</f>
        <v>F74</v>
      </c>
      <c r="B137" s="148" t="s">
        <v>65</v>
      </c>
      <c r="C137" s="5" t="s">
        <v>70</v>
      </c>
      <c r="D13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34.560257387096776</v>
      </c>
      <c r="E13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7" s="148">
        <f>VLOOKUP(woodflow[[#This Row],[From]],woodstock[#All],4,FALSE)</f>
        <v>2021</v>
      </c>
      <c r="G137" s="5" t="str">
        <f>VLOOKUP(woodflow[[#This Row],[From]],woodstock[#All],5,FALSE)</f>
        <v>Global</v>
      </c>
      <c r="H137" s="151" t="str">
        <f>VLOOKUP(woodflow[[#This Row],[From]],woodstock[#All],7,FALSE)</f>
        <v>9</v>
      </c>
      <c r="I137" s="151" t="str">
        <f>VLOOKUP(woodflow[[#This Row],[to]],woodstock[#All],7,FALSE)</f>
        <v>27</v>
      </c>
      <c r="J137" s="151" t="str">
        <f>VLOOKUP(woodflow[[#This Row],[From]],woodstock[#All],8,FALSE)</f>
        <v>1</v>
      </c>
      <c r="K137" s="151" t="str">
        <f>VLOOKUP(woodflow[[#This Row],[to]],woodstock[#All],8,FALSE)</f>
        <v>0</v>
      </c>
      <c r="L137" s="152" t="str">
        <f>VLOOKUP(woodflow[[#This Row],[From]],woodstock[#All],9,FALSE)</f>
        <v>15-16</v>
      </c>
      <c r="M137" s="152" t="str">
        <f>VLOOKUP(woodflow[[#This Row],[to]],woodstock[#All],9,FALSE)</f>
        <v>nan</v>
      </c>
      <c r="N137" s="157">
        <f>N272+N305-'faostat-data'!Q85+'faostat-data'!Q86</f>
        <v>34.560257387096776</v>
      </c>
      <c r="O137" s="148" t="s">
        <v>921</v>
      </c>
      <c r="P137" s="148" t="s">
        <v>232</v>
      </c>
      <c r="Q137" s="148" t="s">
        <v>227</v>
      </c>
      <c r="R137" s="1"/>
      <c r="S137" s="1"/>
      <c r="T137" s="1"/>
      <c r="U137" s="1"/>
      <c r="V137" s="1"/>
    </row>
    <row r="138" spans="1:22" x14ac:dyDescent="0.3">
      <c r="A138" s="5" t="str">
        <f>CONCATENATE("F",IF(B138&lt;&gt;"",COUNTA($B$2:B138),""))</f>
        <v>F75</v>
      </c>
      <c r="B138" s="148" t="s">
        <v>53</v>
      </c>
      <c r="C138" s="5" t="s">
        <v>70</v>
      </c>
      <c r="D13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8" s="148">
        <f>VLOOKUP(woodflow[[#This Row],[From]],woodstock[#All],4,FALSE)</f>
        <v>2021</v>
      </c>
      <c r="G138" s="5" t="str">
        <f>VLOOKUP(woodflow[[#This Row],[From]],woodstock[#All],5,FALSE)</f>
        <v>Global</v>
      </c>
      <c r="H138" s="151" t="str">
        <f>VLOOKUP(woodflow[[#This Row],[From]],woodstock[#All],7,FALSE)</f>
        <v>15</v>
      </c>
      <c r="I138" s="151" t="str">
        <f>VLOOKUP(woodflow[[#This Row],[to]],woodstock[#All],7,FALSE)</f>
        <v>27</v>
      </c>
      <c r="J138" s="151" t="str">
        <f>VLOOKUP(woodflow[[#This Row],[From]],woodstock[#All],8,FALSE)</f>
        <v>0</v>
      </c>
      <c r="K138" s="151" t="str">
        <f>VLOOKUP(woodflow[[#This Row],[to]],woodstock[#All],8,FALSE)</f>
        <v>0</v>
      </c>
      <c r="L138" s="152" t="str">
        <f>VLOOKUP(woodflow[[#This Row],[From]],woodstock[#All],9,FALSE)</f>
        <v>nan</v>
      </c>
      <c r="M138" s="152" t="str">
        <f>VLOOKUP(woodflow[[#This Row],[to]],woodstock[#All],9,FALSE)</f>
        <v>nan</v>
      </c>
      <c r="N138" s="157"/>
      <c r="O138" s="148" t="s">
        <v>457</v>
      </c>
      <c r="P138" s="148"/>
      <c r="Q138" s="148"/>
      <c r="R138" s="1"/>
      <c r="S138" s="1"/>
      <c r="T138" s="1"/>
      <c r="U138" s="1"/>
      <c r="V138" s="1"/>
    </row>
    <row r="139" spans="1:22" x14ac:dyDescent="0.3">
      <c r="A139" s="5" t="str">
        <f>CONCATENATE("F",IF(B139&lt;&gt;"",COUNTA($B$2:B139),""))</f>
        <v>F76</v>
      </c>
      <c r="B139" s="148" t="s">
        <v>54</v>
      </c>
      <c r="C139" s="5" t="s">
        <v>70</v>
      </c>
      <c r="D139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3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39" s="148">
        <f>VLOOKUP(woodflow[[#This Row],[From]],woodstock[#All],4,FALSE)</f>
        <v>2021</v>
      </c>
      <c r="G139" s="5" t="str">
        <f>VLOOKUP(woodflow[[#This Row],[From]],woodstock[#All],5,FALSE)</f>
        <v>Global</v>
      </c>
      <c r="H139" s="151" t="str">
        <f>VLOOKUP(woodflow[[#This Row],[From]],woodstock[#All],7,FALSE)</f>
        <v>16</v>
      </c>
      <c r="I139" s="151" t="str">
        <f>VLOOKUP(woodflow[[#This Row],[to]],woodstock[#All],7,FALSE)</f>
        <v>27</v>
      </c>
      <c r="J139" s="151" t="str">
        <f>VLOOKUP(woodflow[[#This Row],[From]],woodstock[#All],8,FALSE)</f>
        <v>0</v>
      </c>
      <c r="K139" s="151" t="str">
        <f>VLOOKUP(woodflow[[#This Row],[to]],woodstock[#All],8,FALSE)</f>
        <v>0</v>
      </c>
      <c r="L139" s="152" t="str">
        <f>VLOOKUP(woodflow[[#This Row],[From]],woodstock[#All],9,FALSE)</f>
        <v>nan</v>
      </c>
      <c r="M139" s="152" t="str">
        <f>VLOOKUP(woodflow[[#This Row],[to]],woodstock[#All],9,FALSE)</f>
        <v>nan</v>
      </c>
      <c r="N139" s="157"/>
      <c r="O139" s="148" t="s">
        <v>457</v>
      </c>
      <c r="P139" s="148"/>
      <c r="Q139" s="148"/>
      <c r="R139" s="1"/>
      <c r="S139" s="1"/>
      <c r="T139" s="1"/>
      <c r="U139" s="1"/>
      <c r="V139" s="1"/>
    </row>
    <row r="140" spans="1:22" x14ac:dyDescent="0.3">
      <c r="A140" s="5" t="str">
        <f>CONCATENATE("F",IF(B140&lt;&gt;"",COUNTA($B$2:B140),""))</f>
        <v>F</v>
      </c>
      <c r="B140" s="148"/>
      <c r="C140" s="148"/>
      <c r="D140" s="149"/>
      <c r="E140" s="149"/>
      <c r="F140" s="148"/>
      <c r="G140" s="5"/>
      <c r="H140" s="151"/>
      <c r="I140" s="151"/>
      <c r="J140" s="151"/>
      <c r="K140" s="151"/>
      <c r="L140" s="152"/>
      <c r="M140" s="152"/>
      <c r="N140" s="157"/>
      <c r="O140" s="148"/>
      <c r="P140" s="148"/>
      <c r="Q140" s="148"/>
      <c r="R140" s="1"/>
      <c r="S140" s="1"/>
      <c r="T140" s="1"/>
      <c r="U140" s="1"/>
      <c r="V140" s="1"/>
    </row>
    <row r="141" spans="1:22" x14ac:dyDescent="0.3">
      <c r="A141" s="5" t="str">
        <f>CONCATENATE("F",IF(B141&lt;&gt;"",COUNTA($B$2:B141),""))</f>
        <v>F</v>
      </c>
      <c r="B141" s="148"/>
      <c r="C141" s="148"/>
      <c r="D141" s="149"/>
      <c r="E141" s="149"/>
      <c r="F141" s="148"/>
      <c r="G141" s="5"/>
      <c r="H141" s="151"/>
      <c r="I141" s="151"/>
      <c r="J141" s="151"/>
      <c r="K141" s="151"/>
      <c r="L141" s="152"/>
      <c r="M141" s="152"/>
      <c r="N141" s="157"/>
      <c r="O141" s="148"/>
      <c r="P141" s="148"/>
      <c r="Q141" s="148"/>
      <c r="R141" s="1"/>
      <c r="S141" s="1"/>
      <c r="T141" s="1"/>
      <c r="U141" s="1"/>
      <c r="V141" s="1"/>
    </row>
    <row r="142" spans="1:22" x14ac:dyDescent="0.3">
      <c r="A142" s="5" t="str">
        <f>CONCATENATE("F",IF(B142&lt;&gt;"",COUNTA($B$2:B142),""))</f>
        <v>F77</v>
      </c>
      <c r="B142" s="148" t="s">
        <v>65</v>
      </c>
      <c r="C142" s="5" t="s">
        <v>71</v>
      </c>
      <c r="D14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304.58474547916666</v>
      </c>
      <c r="E14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2" s="148">
        <f>VLOOKUP(woodflow[[#This Row],[From]],woodstock[#All],4,FALSE)</f>
        <v>2021</v>
      </c>
      <c r="G142" s="5" t="str">
        <f>VLOOKUP(woodflow[[#This Row],[From]],woodstock[#All],5,FALSE)</f>
        <v>Global</v>
      </c>
      <c r="H142" s="151" t="str">
        <f>VLOOKUP(woodflow[[#This Row],[From]],woodstock[#All],7,FALSE)</f>
        <v>9</v>
      </c>
      <c r="I142" s="151" t="str">
        <f>VLOOKUP(woodflow[[#This Row],[to]],woodstock[#All],7,FALSE)</f>
        <v>28</v>
      </c>
      <c r="J142" s="151" t="str">
        <f>VLOOKUP(woodflow[[#This Row],[From]],woodstock[#All],8,FALSE)</f>
        <v>1</v>
      </c>
      <c r="K142" s="151" t="str">
        <f>VLOOKUP(woodflow[[#This Row],[to]],woodstock[#All],8,FALSE)</f>
        <v>0</v>
      </c>
      <c r="L142" s="152" t="str">
        <f>VLOOKUP(woodflow[[#This Row],[From]],woodstock[#All],9,FALSE)</f>
        <v>15-16</v>
      </c>
      <c r="M142" s="152" t="str">
        <f>VLOOKUP(woodflow[[#This Row],[to]],woodstock[#All],9,FALSE)</f>
        <v>nan</v>
      </c>
      <c r="N142" s="157">
        <f>N280+N306-'faostat-data'!Q94+'faostat-data'!Q95</f>
        <v>304.58474547916666</v>
      </c>
      <c r="O142" s="148" t="s">
        <v>921</v>
      </c>
      <c r="P142" s="148" t="s">
        <v>232</v>
      </c>
      <c r="Q142" s="148" t="s">
        <v>227</v>
      </c>
      <c r="R142" s="1"/>
      <c r="S142" s="1"/>
      <c r="T142" s="1"/>
      <c r="U142" s="1"/>
      <c r="V142" s="1"/>
    </row>
    <row r="143" spans="1:22" x14ac:dyDescent="0.3">
      <c r="A143" s="5" t="str">
        <f>CONCATENATE("F",IF(B143&lt;&gt;"",COUNTA($B$2:B143),""))</f>
        <v>F78</v>
      </c>
      <c r="B143" s="148" t="s">
        <v>53</v>
      </c>
      <c r="C143" s="5" t="s">
        <v>71</v>
      </c>
      <c r="D14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3" s="148">
        <f>VLOOKUP(woodflow[[#This Row],[From]],woodstock[#All],4,FALSE)</f>
        <v>2021</v>
      </c>
      <c r="G143" s="5" t="str">
        <f>VLOOKUP(woodflow[[#This Row],[From]],woodstock[#All],5,FALSE)</f>
        <v>Global</v>
      </c>
      <c r="H143" s="151" t="str">
        <f>VLOOKUP(woodflow[[#This Row],[From]],woodstock[#All],7,FALSE)</f>
        <v>15</v>
      </c>
      <c r="I143" s="151" t="str">
        <f>VLOOKUP(woodflow[[#This Row],[to]],woodstock[#All],7,FALSE)</f>
        <v>28</v>
      </c>
      <c r="J143" s="151" t="str">
        <f>VLOOKUP(woodflow[[#This Row],[From]],woodstock[#All],8,FALSE)</f>
        <v>0</v>
      </c>
      <c r="K143" s="151" t="str">
        <f>VLOOKUP(woodflow[[#This Row],[to]],woodstock[#All],8,FALSE)</f>
        <v>0</v>
      </c>
      <c r="L143" s="152" t="str">
        <f>VLOOKUP(woodflow[[#This Row],[From]],woodstock[#All],9,FALSE)</f>
        <v>nan</v>
      </c>
      <c r="M143" s="152" t="str">
        <f>VLOOKUP(woodflow[[#This Row],[to]],woodstock[#All],9,FALSE)</f>
        <v>nan</v>
      </c>
      <c r="N143" s="157"/>
      <c r="O143" s="148" t="s">
        <v>457</v>
      </c>
      <c r="P143" s="148"/>
      <c r="Q143" s="148"/>
      <c r="R143" s="1"/>
      <c r="S143" s="1"/>
      <c r="T143" s="1"/>
      <c r="U143" s="1"/>
      <c r="V143" s="1"/>
    </row>
    <row r="144" spans="1:22" x14ac:dyDescent="0.3">
      <c r="A144" s="5" t="str">
        <f>CONCATENATE("F",IF(B144&lt;&gt;"",COUNTA($B$2:B144),""))</f>
        <v>F79</v>
      </c>
      <c r="B144" s="148" t="s">
        <v>54</v>
      </c>
      <c r="C144" s="5" t="s">
        <v>71</v>
      </c>
      <c r="D14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4" s="148">
        <f>VLOOKUP(woodflow[[#This Row],[From]],woodstock[#All],4,FALSE)</f>
        <v>2021</v>
      </c>
      <c r="G144" s="5" t="str">
        <f>VLOOKUP(woodflow[[#This Row],[From]],woodstock[#All],5,FALSE)</f>
        <v>Global</v>
      </c>
      <c r="H144" s="151" t="str">
        <f>VLOOKUP(woodflow[[#This Row],[From]],woodstock[#All],7,FALSE)</f>
        <v>16</v>
      </c>
      <c r="I144" s="151" t="str">
        <f>VLOOKUP(woodflow[[#This Row],[to]],woodstock[#All],7,FALSE)</f>
        <v>28</v>
      </c>
      <c r="J144" s="151" t="str">
        <f>VLOOKUP(woodflow[[#This Row],[From]],woodstock[#All],8,FALSE)</f>
        <v>0</v>
      </c>
      <c r="K144" s="151" t="str">
        <f>VLOOKUP(woodflow[[#This Row],[to]],woodstock[#All],8,FALSE)</f>
        <v>0</v>
      </c>
      <c r="L144" s="152" t="str">
        <f>VLOOKUP(woodflow[[#This Row],[From]],woodstock[#All],9,FALSE)</f>
        <v>nan</v>
      </c>
      <c r="M144" s="152" t="str">
        <f>VLOOKUP(woodflow[[#This Row],[to]],woodstock[#All],9,FALSE)</f>
        <v>nan</v>
      </c>
      <c r="N144" s="157"/>
      <c r="O144" s="148" t="s">
        <v>457</v>
      </c>
      <c r="P144" s="148"/>
      <c r="Q144" s="148"/>
      <c r="R144" s="1"/>
      <c r="S144" s="1"/>
      <c r="T144" s="1"/>
      <c r="U144" s="1"/>
      <c r="V144" s="1"/>
    </row>
    <row r="145" spans="1:22" x14ac:dyDescent="0.3">
      <c r="A145" s="5" t="str">
        <f>CONCATENATE("F",IF(B145&lt;&gt;"",COUNTA($B$2:B145),""))</f>
        <v>F</v>
      </c>
      <c r="B145" s="148"/>
      <c r="C145" s="148"/>
      <c r="D145" s="149"/>
      <c r="E145" s="149"/>
      <c r="F145" s="148"/>
      <c r="G145" s="5"/>
      <c r="H145" s="151"/>
      <c r="I145" s="151"/>
      <c r="J145" s="151"/>
      <c r="K145" s="151"/>
      <c r="L145" s="152"/>
      <c r="M145" s="152"/>
      <c r="N145" s="157"/>
      <c r="O145" s="148"/>
      <c r="P145" s="148"/>
      <c r="Q145" s="148"/>
      <c r="R145" s="1"/>
      <c r="S145" s="1"/>
      <c r="T145" s="1"/>
      <c r="U145" s="1"/>
      <c r="V145" s="1"/>
    </row>
    <row r="146" spans="1:22" x14ac:dyDescent="0.3">
      <c r="A146" s="5" t="str">
        <f>CONCATENATE("F",IF(B146&lt;&gt;"",COUNTA($B$2:B146),""))</f>
        <v>F</v>
      </c>
      <c r="B146" s="148"/>
      <c r="C146" s="148"/>
      <c r="D146" s="149"/>
      <c r="E146" s="149"/>
      <c r="F146" s="148"/>
      <c r="G146" s="5"/>
      <c r="H146" s="151"/>
      <c r="I146" s="151"/>
      <c r="J146" s="151"/>
      <c r="K146" s="151"/>
      <c r="L146" s="152"/>
      <c r="M146" s="152"/>
      <c r="N146" s="157"/>
      <c r="O146" s="148"/>
      <c r="P146" s="148"/>
      <c r="Q146" s="148"/>
      <c r="R146" s="1"/>
      <c r="S146" s="1"/>
      <c r="T146" s="1"/>
      <c r="U146" s="1"/>
      <c r="V146" s="1"/>
    </row>
    <row r="147" spans="1:22" x14ac:dyDescent="0.3">
      <c r="A147" s="5" t="str">
        <f>CONCATENATE("F",IF(B147&lt;&gt;"",COUNTA($B$2:B147),""))</f>
        <v>F80</v>
      </c>
      <c r="B147" s="148" t="s">
        <v>65</v>
      </c>
      <c r="C147" s="5" t="s">
        <v>72</v>
      </c>
      <c r="D14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23.642169428571428</v>
      </c>
      <c r="E14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7" s="148">
        <f>VLOOKUP(woodflow[[#This Row],[From]],woodstock[#All],4,FALSE)</f>
        <v>2021</v>
      </c>
      <c r="G147" s="5" t="str">
        <f>VLOOKUP(woodflow[[#This Row],[From]],woodstock[#All],5,FALSE)</f>
        <v>Global</v>
      </c>
      <c r="H147" s="151" t="str">
        <f>VLOOKUP(woodflow[[#This Row],[From]],woodstock[#All],7,FALSE)</f>
        <v>9</v>
      </c>
      <c r="I147" s="151" t="str">
        <f>VLOOKUP(woodflow[[#This Row],[to]],woodstock[#All],7,FALSE)</f>
        <v>29</v>
      </c>
      <c r="J147" s="151" t="str">
        <f>VLOOKUP(woodflow[[#This Row],[From]],woodstock[#All],8,FALSE)</f>
        <v>1</v>
      </c>
      <c r="K147" s="151" t="str">
        <f>VLOOKUP(woodflow[[#This Row],[to]],woodstock[#All],8,FALSE)</f>
        <v>0</v>
      </c>
      <c r="L147" s="152" t="str">
        <f>VLOOKUP(woodflow[[#This Row],[From]],woodstock[#All],9,FALSE)</f>
        <v>15-16</v>
      </c>
      <c r="M147" s="152" t="str">
        <f>VLOOKUP(woodflow[[#This Row],[to]],woodstock[#All],9,FALSE)</f>
        <v>nan</v>
      </c>
      <c r="N147" s="157">
        <f>'faostat-data'!Q111+N307</f>
        <v>23.642169428571428</v>
      </c>
      <c r="O147" s="148" t="s">
        <v>921</v>
      </c>
      <c r="P147" s="148" t="s">
        <v>232</v>
      </c>
      <c r="Q147" s="148" t="s">
        <v>227</v>
      </c>
      <c r="R147" s="1"/>
      <c r="S147" s="1"/>
      <c r="T147" s="1"/>
      <c r="U147" s="1"/>
      <c r="V147" s="1"/>
    </row>
    <row r="148" spans="1:22" x14ac:dyDescent="0.3">
      <c r="A148" s="5" t="str">
        <f>CONCATENATE("F",IF(B148&lt;&gt;"",COUNTA($B$2:B148),""))</f>
        <v>F81</v>
      </c>
      <c r="B148" s="148" t="s">
        <v>53</v>
      </c>
      <c r="C148" s="5" t="s">
        <v>72</v>
      </c>
      <c r="D14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8" s="148">
        <f>VLOOKUP(woodflow[[#This Row],[From]],woodstock[#All],4,FALSE)</f>
        <v>2021</v>
      </c>
      <c r="G148" s="5" t="str">
        <f>VLOOKUP(woodflow[[#This Row],[From]],woodstock[#All],5,FALSE)</f>
        <v>Global</v>
      </c>
      <c r="H148" s="151" t="str">
        <f>VLOOKUP(woodflow[[#This Row],[From]],woodstock[#All],7,FALSE)</f>
        <v>15</v>
      </c>
      <c r="I148" s="151" t="str">
        <f>VLOOKUP(woodflow[[#This Row],[to]],woodstock[#All],7,FALSE)</f>
        <v>29</v>
      </c>
      <c r="J148" s="151" t="str">
        <f>VLOOKUP(woodflow[[#This Row],[From]],woodstock[#All],8,FALSE)</f>
        <v>0</v>
      </c>
      <c r="K148" s="151" t="str">
        <f>VLOOKUP(woodflow[[#This Row],[to]],woodstock[#All],8,FALSE)</f>
        <v>0</v>
      </c>
      <c r="L148" s="152" t="str">
        <f>VLOOKUP(woodflow[[#This Row],[From]],woodstock[#All],9,FALSE)</f>
        <v>nan</v>
      </c>
      <c r="M148" s="152" t="str">
        <f>VLOOKUP(woodflow[[#This Row],[to]],woodstock[#All],9,FALSE)</f>
        <v>nan</v>
      </c>
      <c r="N148" s="157"/>
      <c r="O148" s="148" t="s">
        <v>457</v>
      </c>
      <c r="P148" s="148"/>
      <c r="Q148" s="148"/>
      <c r="R148" s="1"/>
      <c r="S148" s="1"/>
      <c r="T148" s="1"/>
      <c r="U148" s="1"/>
      <c r="V148" s="1"/>
    </row>
    <row r="149" spans="1:22" x14ac:dyDescent="0.3">
      <c r="A149" s="5" t="str">
        <f>CONCATENATE("F",IF(B149&lt;&gt;"",COUNTA($B$2:B149),""))</f>
        <v>F82</v>
      </c>
      <c r="B149" s="148" t="s">
        <v>54</v>
      </c>
      <c r="C149" s="5" t="s">
        <v>72</v>
      </c>
      <c r="D149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4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49" s="148">
        <f>VLOOKUP(woodflow[[#This Row],[From]],woodstock[#All],4,FALSE)</f>
        <v>2021</v>
      </c>
      <c r="G149" s="5" t="str">
        <f>VLOOKUP(woodflow[[#This Row],[From]],woodstock[#All],5,FALSE)</f>
        <v>Global</v>
      </c>
      <c r="H149" s="151" t="str">
        <f>VLOOKUP(woodflow[[#This Row],[From]],woodstock[#All],7,FALSE)</f>
        <v>16</v>
      </c>
      <c r="I149" s="151" t="str">
        <f>VLOOKUP(woodflow[[#This Row],[to]],woodstock[#All],7,FALSE)</f>
        <v>29</v>
      </c>
      <c r="J149" s="151" t="str">
        <f>VLOOKUP(woodflow[[#This Row],[From]],woodstock[#All],8,FALSE)</f>
        <v>0</v>
      </c>
      <c r="K149" s="151" t="str">
        <f>VLOOKUP(woodflow[[#This Row],[to]],woodstock[#All],8,FALSE)</f>
        <v>0</v>
      </c>
      <c r="L149" s="152" t="str">
        <f>VLOOKUP(woodflow[[#This Row],[From]],woodstock[#All],9,FALSE)</f>
        <v>nan</v>
      </c>
      <c r="M149" s="152" t="str">
        <f>VLOOKUP(woodflow[[#This Row],[to]],woodstock[#All],9,FALSE)</f>
        <v>nan</v>
      </c>
      <c r="N149" s="157"/>
      <c r="O149" s="148" t="s">
        <v>457</v>
      </c>
      <c r="P149" s="148"/>
      <c r="Q149" s="148"/>
      <c r="R149" s="1"/>
      <c r="S149" s="1"/>
      <c r="T149" s="1"/>
      <c r="U149" s="1"/>
      <c r="V149" s="1"/>
    </row>
    <row r="150" spans="1:22" x14ac:dyDescent="0.3">
      <c r="A150" s="5" t="str">
        <f>CONCATENATE("F",IF(B150&lt;&gt;"",COUNTA($B$2:B150),""))</f>
        <v>F</v>
      </c>
      <c r="B150" s="148"/>
      <c r="C150" s="148"/>
      <c r="D150" s="149"/>
      <c r="E150" s="149"/>
      <c r="F150" s="148"/>
      <c r="G150" s="5"/>
      <c r="H150" s="151"/>
      <c r="I150" s="151"/>
      <c r="J150" s="151"/>
      <c r="K150" s="151"/>
      <c r="L150" s="152"/>
      <c r="M150" s="152"/>
      <c r="N150" s="157"/>
      <c r="O150" s="148"/>
      <c r="P150" s="148"/>
      <c r="Q150" s="148"/>
      <c r="R150" s="1"/>
      <c r="S150" s="1"/>
      <c r="T150" s="1"/>
      <c r="U150" s="1"/>
      <c r="V150" s="1"/>
    </row>
    <row r="151" spans="1:22" x14ac:dyDescent="0.3">
      <c r="A151" s="5" t="str">
        <f>CONCATENATE("F",IF(B151&lt;&gt;"",COUNTA($B$2:B151),""))</f>
        <v>F</v>
      </c>
      <c r="B151" s="148"/>
      <c r="C151" s="148"/>
      <c r="D151" s="149"/>
      <c r="E151" s="149"/>
      <c r="F151" s="148"/>
      <c r="G151" s="5"/>
      <c r="H151" s="151"/>
      <c r="I151" s="151"/>
      <c r="J151" s="151"/>
      <c r="K151" s="151"/>
      <c r="L151" s="152"/>
      <c r="M151" s="152"/>
      <c r="N151" s="157"/>
      <c r="O151" s="148"/>
      <c r="P151" s="148"/>
      <c r="Q151" s="148"/>
      <c r="R151" s="1"/>
      <c r="S151" s="1"/>
      <c r="T151" s="1"/>
      <c r="U151" s="1"/>
      <c r="V151" s="1"/>
    </row>
    <row r="152" spans="1:22" x14ac:dyDescent="0.3">
      <c r="A152" s="5" t="str">
        <f>CONCATENATE("F",IF(B152&lt;&gt;"",COUNTA($B$2:B152),""))</f>
        <v>F83</v>
      </c>
      <c r="B152" s="148" t="s">
        <v>54</v>
      </c>
      <c r="C152" s="148" t="s">
        <v>47</v>
      </c>
      <c r="D15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52.31142676934445</v>
      </c>
      <c r="E15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2" s="148">
        <f>VLOOKUP(woodflow[[#This Row],[From]],woodstock[#All],4,FALSE)</f>
        <v>2021</v>
      </c>
      <c r="G152" s="5" t="str">
        <f>VLOOKUP(woodflow[[#This Row],[From]],woodstock[#All],5,FALSE)</f>
        <v>Global</v>
      </c>
      <c r="H152" s="151" t="str">
        <f>VLOOKUP(woodflow[[#This Row],[From]],woodstock[#All],7,FALSE)</f>
        <v>16</v>
      </c>
      <c r="I152" s="151" t="str">
        <f>VLOOKUP(woodflow[[#This Row],[to]],woodstock[#All],7,FALSE)</f>
        <v>17</v>
      </c>
      <c r="J152" s="151" t="str">
        <f>VLOOKUP(woodflow[[#This Row],[From]],woodstock[#All],8,FALSE)</f>
        <v>0</v>
      </c>
      <c r="K152" s="151" t="str">
        <f>VLOOKUP(woodflow[[#This Row],[to]],woodstock[#All],8,FALSE)</f>
        <v>0</v>
      </c>
      <c r="L152" s="152" t="str">
        <f>VLOOKUP(woodflow[[#This Row],[From]],woodstock[#All],9,FALSE)</f>
        <v>nan</v>
      </c>
      <c r="M152" s="152" t="str">
        <f>VLOOKUP(woodflow[[#This Row],[to]],woodstock[#All],9,FALSE)</f>
        <v>nan</v>
      </c>
      <c r="N152" s="157">
        <f>('faostat-data'!Q34+'faostat-data'!Q48)/'production-mass-balance'!B10</f>
        <v>52.31142676934445</v>
      </c>
      <c r="O152" s="148" t="s">
        <v>921</v>
      </c>
      <c r="P152" s="148" t="s">
        <v>453</v>
      </c>
      <c r="Q152" s="148"/>
      <c r="R152" s="1"/>
      <c r="S152" s="1"/>
      <c r="T152" s="1"/>
      <c r="U152" s="1"/>
      <c r="V152" s="1"/>
    </row>
    <row r="153" spans="1:22" x14ac:dyDescent="0.3">
      <c r="A153" s="5" t="str">
        <f>CONCATENATE("F",IF(B153&lt;&gt;"",COUNTA($B$2:B153),""))</f>
        <v>F</v>
      </c>
      <c r="B153" s="148"/>
      <c r="C153" s="148"/>
      <c r="D153" s="149"/>
      <c r="E153" s="149"/>
      <c r="F153" s="148"/>
      <c r="G153" s="5"/>
      <c r="H153" s="151"/>
      <c r="I153" s="151"/>
      <c r="J153" s="151"/>
      <c r="K153" s="151"/>
      <c r="L153" s="152"/>
      <c r="M153" s="152"/>
      <c r="N153" s="157"/>
      <c r="O153" s="148"/>
      <c r="P153" s="148"/>
      <c r="Q153" s="148"/>
      <c r="R153" s="1"/>
      <c r="S153" s="1"/>
      <c r="T153" s="1"/>
      <c r="U153" s="1"/>
      <c r="V153" s="1"/>
    </row>
    <row r="154" spans="1:22" x14ac:dyDescent="0.3">
      <c r="A154" s="5" t="str">
        <f>CONCATENATE("F",IF(B154&lt;&gt;"",COUNTA($B$2:B154),""))</f>
        <v>F</v>
      </c>
      <c r="B154" s="148"/>
      <c r="C154" s="148"/>
      <c r="D154" s="149"/>
      <c r="E154" s="149"/>
      <c r="F154" s="148"/>
      <c r="G154" s="5"/>
      <c r="H154" s="151"/>
      <c r="I154" s="151"/>
      <c r="J154" s="151"/>
      <c r="K154" s="151"/>
      <c r="L154" s="152"/>
      <c r="M154" s="152"/>
      <c r="N154" s="157"/>
      <c r="O154" s="148"/>
      <c r="P154" s="148"/>
      <c r="Q154" s="148"/>
      <c r="R154" s="1"/>
      <c r="S154" s="1"/>
      <c r="T154" s="1"/>
      <c r="U154" s="1"/>
      <c r="V154" s="1"/>
    </row>
    <row r="155" spans="1:22" x14ac:dyDescent="0.3">
      <c r="A155" s="5" t="str">
        <f>CONCATENATE("F",IF(B155&lt;&gt;"",COUNTA($B$2:B155),""))</f>
        <v>F84</v>
      </c>
      <c r="B155" s="148" t="s">
        <v>47</v>
      </c>
      <c r="C155" s="5" t="s">
        <v>74</v>
      </c>
      <c r="D15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4.9192950443444454</v>
      </c>
      <c r="E15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55" s="148">
        <f>VLOOKUP(woodflow[[#This Row],[From]],woodstock[#All],4,FALSE)</f>
        <v>2021</v>
      </c>
      <c r="G155" s="5" t="str">
        <f>VLOOKUP(woodflow[[#This Row],[From]],woodstock[#All],5,FALSE)</f>
        <v>Global</v>
      </c>
      <c r="H155" s="151" t="str">
        <f>VLOOKUP(woodflow[[#This Row],[From]],woodstock[#All],7,FALSE)</f>
        <v>17</v>
      </c>
      <c r="I155" s="151" t="str">
        <f>VLOOKUP(woodflow[[#This Row],[to]],woodstock[#All],7,FALSE)</f>
        <v>55</v>
      </c>
      <c r="J155" s="151" t="str">
        <f>VLOOKUP(woodflow[[#This Row],[From]],woodstock[#All],8,FALSE)</f>
        <v>0</v>
      </c>
      <c r="K155" s="151" t="str">
        <f>VLOOKUP(woodflow[[#This Row],[to]],woodstock[#All],8,FALSE)</f>
        <v>0</v>
      </c>
      <c r="L155" s="152" t="str">
        <f>VLOOKUP(woodflow[[#This Row],[From]],woodstock[#All],9,FALSE)</f>
        <v>nan</v>
      </c>
      <c r="M155" s="152" t="str">
        <f>VLOOKUP(woodflow[[#This Row],[to]],woodstock[#All],9,FALSE)</f>
        <v>nan</v>
      </c>
      <c r="N155" s="157">
        <f>(('faostat-data'!Q34+'faostat-data'!Q48)/'production-mass-balance'!B10)*'production-mass-balance'!B9</f>
        <v>4.9192950443444454</v>
      </c>
      <c r="O155" s="148" t="s">
        <v>921</v>
      </c>
      <c r="P155" s="148" t="s">
        <v>453</v>
      </c>
      <c r="Q155" s="148"/>
      <c r="R155" s="1"/>
      <c r="S155" s="1"/>
      <c r="T155" s="1"/>
      <c r="U155" s="1"/>
      <c r="V155" s="1"/>
    </row>
    <row r="156" spans="1:22" x14ac:dyDescent="0.3">
      <c r="A156" s="5" t="str">
        <f>CONCATENATE("F",IF(B156&lt;&gt;"",COUNTA($B$2:B156),""))</f>
        <v>F</v>
      </c>
      <c r="B156" s="148"/>
      <c r="C156" s="148"/>
      <c r="D156" s="149"/>
      <c r="E156" s="149"/>
      <c r="F156" s="148"/>
      <c r="G156" s="5"/>
      <c r="H156" s="151"/>
      <c r="I156" s="151"/>
      <c r="J156" s="151"/>
      <c r="K156" s="151"/>
      <c r="L156" s="152"/>
      <c r="M156" s="152"/>
      <c r="N156" s="157"/>
      <c r="O156" s="148"/>
      <c r="P156" s="148"/>
      <c r="Q156" s="148"/>
      <c r="R156" s="1"/>
      <c r="S156" s="1"/>
      <c r="T156" s="1"/>
      <c r="U156" s="1"/>
      <c r="V156" s="1"/>
    </row>
    <row r="157" spans="1:22" x14ac:dyDescent="0.3">
      <c r="A157" s="5" t="str">
        <f>CONCATENATE("F",IF(B157&lt;&gt;"",COUNTA($B$2:B157),""))</f>
        <v>F</v>
      </c>
      <c r="B157" s="148"/>
      <c r="C157" s="148"/>
      <c r="D157" s="149"/>
      <c r="E157" s="149"/>
      <c r="F157" s="148"/>
      <c r="G157" s="5"/>
      <c r="H157" s="151"/>
      <c r="I157" s="151"/>
      <c r="J157" s="151"/>
      <c r="K157" s="151"/>
      <c r="L157" s="152"/>
      <c r="M157" s="152"/>
      <c r="N157" s="157"/>
      <c r="O157" s="148"/>
      <c r="P157" s="148"/>
      <c r="Q157" s="148"/>
      <c r="R157" s="1"/>
      <c r="S157" s="1"/>
      <c r="T157" s="1"/>
      <c r="U157" s="1"/>
      <c r="V157" s="1"/>
    </row>
    <row r="158" spans="1:22" x14ac:dyDescent="0.3">
      <c r="A158" s="5" t="str">
        <f>CONCATENATE("F",IF(B158&lt;&gt;"",COUNTA($B$2:B158),""))</f>
        <v>F85</v>
      </c>
      <c r="B158" s="148" t="s">
        <v>47</v>
      </c>
      <c r="C158" s="148" t="s">
        <v>408</v>
      </c>
      <c r="D15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58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47.392131725000006</v>
      </c>
      <c r="F158" s="148">
        <f>VLOOKUP(woodflow[[#This Row],[From]],woodstock[#All],4,FALSE)</f>
        <v>2021</v>
      </c>
      <c r="G158" s="5" t="str">
        <f>VLOOKUP(woodflow[[#This Row],[From]],woodstock[#All],5,FALSE)</f>
        <v>Global</v>
      </c>
      <c r="H158" s="151" t="str">
        <f>VLOOKUP(woodflow[[#This Row],[From]],woodstock[#All],7,FALSE)</f>
        <v>17</v>
      </c>
      <c r="I158" s="151" t="str">
        <f>VLOOKUP(woodflow[[#This Row],[to]],woodstock[#All],7,FALSE)</f>
        <v>43</v>
      </c>
      <c r="J158" s="151" t="str">
        <f>VLOOKUP(woodflow[[#This Row],[From]],woodstock[#All],8,FALSE)</f>
        <v>0</v>
      </c>
      <c r="K158" s="151" t="str">
        <f>VLOOKUP(woodflow[[#This Row],[to]],woodstock[#All],8,FALSE)</f>
        <v>0</v>
      </c>
      <c r="L158" s="152" t="str">
        <f>VLOOKUP(woodflow[[#This Row],[From]],woodstock[#All],9,FALSE)</f>
        <v>nan</v>
      </c>
      <c r="M158" s="152" t="str">
        <f>VLOOKUP(woodflow[[#This Row],[to]],woodstock[#All],9,FALSE)</f>
        <v>nan</v>
      </c>
      <c r="N158" s="157">
        <f>('faostat-data'!Q34+'faostat-data'!Q48)+('faostat-data'!Q36+'faostat-data'!Q49)-('faostat-data'!Q38+'faostat-data'!Q50)</f>
        <v>47.392131725000006</v>
      </c>
      <c r="O158" s="148" t="s">
        <v>920</v>
      </c>
      <c r="P158" s="148"/>
      <c r="Q158" s="148" t="s">
        <v>227</v>
      </c>
      <c r="R158" s="1"/>
      <c r="S158" s="1"/>
      <c r="T158" s="1"/>
      <c r="U158" s="1"/>
      <c r="V158" s="1"/>
    </row>
    <row r="159" spans="1:22" x14ac:dyDescent="0.3">
      <c r="A159" s="5" t="str">
        <f>CONCATENATE("F",IF(B159&lt;&gt;"",COUNTA($B$2:B159),""))</f>
        <v>F</v>
      </c>
      <c r="B159" s="148"/>
      <c r="C159" s="148"/>
      <c r="D159" s="149"/>
      <c r="E159" s="149"/>
      <c r="F159" s="148"/>
      <c r="G159" s="5"/>
      <c r="H159" s="151"/>
      <c r="I159" s="151"/>
      <c r="J159" s="151"/>
      <c r="K159" s="151"/>
      <c r="L159" s="152"/>
      <c r="M159" s="152"/>
      <c r="N159" s="157"/>
      <c r="O159" s="148"/>
      <c r="P159" s="148"/>
      <c r="Q159" s="148"/>
      <c r="R159" s="1"/>
      <c r="S159" s="1"/>
      <c r="T159" s="1"/>
      <c r="U159" s="1"/>
      <c r="V159" s="1"/>
    </row>
    <row r="160" spans="1:22" x14ac:dyDescent="0.3">
      <c r="A160" s="5" t="str">
        <f>CONCATENATE("F",IF(B160&lt;&gt;"",COUNTA($B$2:B160),""))</f>
        <v>F</v>
      </c>
      <c r="B160" s="148"/>
      <c r="C160" s="148"/>
      <c r="D160" s="149"/>
      <c r="E160" s="149"/>
      <c r="F160" s="148"/>
      <c r="G160" s="5"/>
      <c r="H160" s="151"/>
      <c r="I160" s="151"/>
      <c r="J160" s="151"/>
      <c r="K160" s="151"/>
      <c r="L160" s="152"/>
      <c r="M160" s="152"/>
      <c r="N160" s="157"/>
      <c r="O160" s="148"/>
      <c r="P160" s="148"/>
      <c r="Q160" s="148"/>
      <c r="R160" s="1"/>
      <c r="S160" s="1"/>
      <c r="T160" s="1"/>
      <c r="U160" s="1"/>
      <c r="V160" s="1"/>
    </row>
    <row r="161" spans="1:22" x14ac:dyDescent="0.3">
      <c r="A161" s="5" t="str">
        <f>CONCATENATE("F",IF(B161&lt;&gt;"",COUNTA($B$2:B161),""))</f>
        <v>F86</v>
      </c>
      <c r="B161" s="5" t="s">
        <v>267</v>
      </c>
      <c r="C161" s="148" t="s">
        <v>51</v>
      </c>
      <c r="D16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165.5537495309519</v>
      </c>
      <c r="E16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61" s="148">
        <f>VLOOKUP(woodflow[[#This Row],[From]],woodstock[#All],4,FALSE)</f>
        <v>2021</v>
      </c>
      <c r="G161" s="5" t="str">
        <f>VLOOKUP(woodflow[[#This Row],[From]],woodstock[#All],5,FALSE)</f>
        <v>Global</v>
      </c>
      <c r="H161" s="151" t="str">
        <f>VLOOKUP(woodflow[[#This Row],[From]],woodstock[#All],7,FALSE)</f>
        <v>18</v>
      </c>
      <c r="I161" s="151" t="str">
        <f>VLOOKUP(woodflow[[#This Row],[to]],woodstock[#All],7,FALSE)</f>
        <v>15</v>
      </c>
      <c r="J161" s="151" t="str">
        <f>VLOOKUP(woodflow[[#This Row],[From]],woodstock[#All],8,FALSE)</f>
        <v>0</v>
      </c>
      <c r="K161" s="151" t="str">
        <f>VLOOKUP(woodflow[[#This Row],[to]],woodstock[#All],8,FALSE)</f>
        <v>1</v>
      </c>
      <c r="L161" s="152" t="str">
        <f>VLOOKUP(woodflow[[#This Row],[From]],woodstock[#All],9,FALSE)</f>
        <v>nan</v>
      </c>
      <c r="M161" s="152" t="str">
        <f>VLOOKUP(woodflow[[#This Row],[to]],woodstock[#All],9,FALSE)</f>
        <v>37-38-39-40-41-42</v>
      </c>
      <c r="N161" s="157">
        <f>'faostat-data'!Q51+'faostat-data'!Q52-'faostat-data'!Q53</f>
        <v>165.5537495309519</v>
      </c>
      <c r="O161" s="148" t="s">
        <v>921</v>
      </c>
      <c r="P161" s="148"/>
      <c r="Q161" s="148" t="s">
        <v>227</v>
      </c>
      <c r="R161" s="1"/>
      <c r="S161" s="1"/>
      <c r="T161" s="1"/>
      <c r="U161" s="1"/>
      <c r="V161" s="1"/>
    </row>
    <row r="162" spans="1:22" x14ac:dyDescent="0.3">
      <c r="A162" s="5" t="str">
        <f>CONCATENATE("F",IF(B162&lt;&gt;"",COUNTA($B$2:B162),""))</f>
        <v>F87</v>
      </c>
      <c r="B162" s="5" t="s">
        <v>267</v>
      </c>
      <c r="C162" s="148" t="s">
        <v>36</v>
      </c>
      <c r="D16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33.706743404501808</v>
      </c>
      <c r="F162" s="148">
        <f>VLOOKUP(woodflow[[#This Row],[From]],woodstock[#All],4,FALSE)</f>
        <v>2021</v>
      </c>
      <c r="G162" s="5" t="str">
        <f>VLOOKUP(woodflow[[#This Row],[From]],woodstock[#All],5,FALSE)</f>
        <v>Global</v>
      </c>
      <c r="H162" s="151" t="str">
        <f>VLOOKUP(woodflow[[#This Row],[From]],woodstock[#All],7,FALSE)</f>
        <v>18</v>
      </c>
      <c r="I162" s="151" t="str">
        <f>VLOOKUP(woodflow[[#This Row],[to]],woodstock[#All],7,FALSE)</f>
        <v>37</v>
      </c>
      <c r="J162" s="151" t="str">
        <f>VLOOKUP(woodflow[[#This Row],[From]],woodstock[#All],8,FALSE)</f>
        <v>0</v>
      </c>
      <c r="K162" s="151" t="str">
        <f>VLOOKUP(woodflow[[#This Row],[to]],woodstock[#All],8,FALSE)</f>
        <v>0</v>
      </c>
      <c r="L162" s="152" t="str">
        <f>VLOOKUP(woodflow[[#This Row],[From]],woodstock[#All],9,FALSE)</f>
        <v>nan</v>
      </c>
      <c r="M162" s="152" t="str">
        <f>VLOOKUP(woodflow[[#This Row],[to]],woodstock[#All],9,FALSE)</f>
        <v>nan</v>
      </c>
      <c r="N162" s="157">
        <f>$N$161*woodratio!I51</f>
        <v>33.706743404501808</v>
      </c>
      <c r="O162" s="148" t="s">
        <v>920</v>
      </c>
      <c r="P162" s="148" t="s">
        <v>233</v>
      </c>
      <c r="Q162" s="148"/>
      <c r="R162" s="1"/>
      <c r="S162" s="1"/>
      <c r="T162" s="1"/>
      <c r="U162" s="1"/>
      <c r="V162" s="1"/>
    </row>
    <row r="163" spans="1:22" x14ac:dyDescent="0.3">
      <c r="A163" s="5" t="str">
        <f>CONCATENATE("F",IF(B163&lt;&gt;"",COUNTA($B$2:B163),""))</f>
        <v>F88</v>
      </c>
      <c r="B163" s="5" t="s">
        <v>267</v>
      </c>
      <c r="C163" s="148" t="s">
        <v>37</v>
      </c>
      <c r="D16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31.455212410880861</v>
      </c>
      <c r="F163" s="148">
        <f>VLOOKUP(woodflow[[#This Row],[From]],woodstock[#All],4,FALSE)</f>
        <v>2021</v>
      </c>
      <c r="G163" s="5" t="str">
        <f>VLOOKUP(woodflow[[#This Row],[From]],woodstock[#All],5,FALSE)</f>
        <v>Global</v>
      </c>
      <c r="H163" s="151" t="str">
        <f>VLOOKUP(woodflow[[#This Row],[From]],woodstock[#All],7,FALSE)</f>
        <v>18</v>
      </c>
      <c r="I163" s="151" t="str">
        <f>VLOOKUP(woodflow[[#This Row],[to]],woodstock[#All],7,FALSE)</f>
        <v>38</v>
      </c>
      <c r="J163" s="151" t="str">
        <f>VLOOKUP(woodflow[[#This Row],[From]],woodstock[#All],8,FALSE)</f>
        <v>0</v>
      </c>
      <c r="K163" s="151" t="str">
        <f>VLOOKUP(woodflow[[#This Row],[to]],woodstock[#All],8,FALSE)</f>
        <v>0</v>
      </c>
      <c r="L163" s="152" t="str">
        <f>VLOOKUP(woodflow[[#This Row],[From]],woodstock[#All],9,FALSE)</f>
        <v>nan</v>
      </c>
      <c r="M163" s="152" t="str">
        <f>VLOOKUP(woodflow[[#This Row],[to]],woodstock[#All],9,FALSE)</f>
        <v>nan</v>
      </c>
      <c r="N163" s="157">
        <f>$N$161*woodratio!I52</f>
        <v>31.455212410880861</v>
      </c>
      <c r="O163" s="148" t="s">
        <v>920</v>
      </c>
      <c r="P163" s="148" t="s">
        <v>233</v>
      </c>
      <c r="Q163" s="148"/>
      <c r="R163" s="1"/>
      <c r="S163" s="1"/>
      <c r="T163" s="1"/>
      <c r="U163" s="1"/>
      <c r="V163" s="1"/>
    </row>
    <row r="164" spans="1:22" x14ac:dyDescent="0.3">
      <c r="A164" s="5" t="str">
        <f>CONCATENATE("F",IF(B164&lt;&gt;"",COUNTA($B$2:B164),""))</f>
        <v>F89</v>
      </c>
      <c r="B164" s="5" t="s">
        <v>267</v>
      </c>
      <c r="C164" s="148" t="s">
        <v>39</v>
      </c>
      <c r="D16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4.3706189876171306</v>
      </c>
      <c r="F164" s="148">
        <f>VLOOKUP(woodflow[[#This Row],[From]],woodstock[#All],4,FALSE)</f>
        <v>2021</v>
      </c>
      <c r="G164" s="5" t="str">
        <f>VLOOKUP(woodflow[[#This Row],[From]],woodstock[#All],5,FALSE)</f>
        <v>Global</v>
      </c>
      <c r="H164" s="151" t="str">
        <f>VLOOKUP(woodflow[[#This Row],[From]],woodstock[#All],7,FALSE)</f>
        <v>18</v>
      </c>
      <c r="I164" s="151" t="str">
        <f>VLOOKUP(woodflow[[#This Row],[to]],woodstock[#All],7,FALSE)</f>
        <v>39</v>
      </c>
      <c r="J164" s="151" t="str">
        <f>VLOOKUP(woodflow[[#This Row],[From]],woodstock[#All],8,FALSE)</f>
        <v>0</v>
      </c>
      <c r="K164" s="151" t="str">
        <f>VLOOKUP(woodflow[[#This Row],[to]],woodstock[#All],8,FALSE)</f>
        <v>0</v>
      </c>
      <c r="L164" s="152" t="str">
        <f>VLOOKUP(woodflow[[#This Row],[From]],woodstock[#All],9,FALSE)</f>
        <v>nan</v>
      </c>
      <c r="M164" s="152" t="str">
        <f>VLOOKUP(woodflow[[#This Row],[to]],woodstock[#All],9,FALSE)</f>
        <v>nan</v>
      </c>
      <c r="N164" s="157">
        <f>$N$161*woodratio!I53</f>
        <v>4.3706189876171306</v>
      </c>
      <c r="O164" s="148" t="s">
        <v>920</v>
      </c>
      <c r="P164" s="148" t="s">
        <v>233</v>
      </c>
      <c r="Q164" s="148"/>
      <c r="R164" s="1"/>
      <c r="S164" s="1"/>
      <c r="T164" s="1"/>
      <c r="U164" s="1"/>
      <c r="V164" s="1"/>
    </row>
    <row r="165" spans="1:22" x14ac:dyDescent="0.3">
      <c r="A165" s="5" t="str">
        <f>CONCATENATE("F",IF(B165&lt;&gt;"",COUNTA($B$2:B165),""))</f>
        <v>F90</v>
      </c>
      <c r="B165" s="5" t="s">
        <v>267</v>
      </c>
      <c r="C165" s="148" t="s">
        <v>40</v>
      </c>
      <c r="D16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77.810262279547388</v>
      </c>
      <c r="F165" s="148">
        <f>VLOOKUP(woodflow[[#This Row],[From]],woodstock[#All],4,FALSE)</f>
        <v>2021</v>
      </c>
      <c r="G165" s="5" t="str">
        <f>VLOOKUP(woodflow[[#This Row],[From]],woodstock[#All],5,FALSE)</f>
        <v>Global</v>
      </c>
      <c r="H165" s="151" t="str">
        <f>VLOOKUP(woodflow[[#This Row],[From]],woodstock[#All],7,FALSE)</f>
        <v>18</v>
      </c>
      <c r="I165" s="151" t="str">
        <f>VLOOKUP(woodflow[[#This Row],[to]],woodstock[#All],7,FALSE)</f>
        <v>40</v>
      </c>
      <c r="J165" s="151" t="str">
        <f>VLOOKUP(woodflow[[#This Row],[From]],woodstock[#All],8,FALSE)</f>
        <v>0</v>
      </c>
      <c r="K165" s="151" t="str">
        <f>VLOOKUP(woodflow[[#This Row],[to]],woodstock[#All],8,FALSE)</f>
        <v>0</v>
      </c>
      <c r="L165" s="152" t="str">
        <f>VLOOKUP(woodflow[[#This Row],[From]],woodstock[#All],9,FALSE)</f>
        <v>nan</v>
      </c>
      <c r="M165" s="152" t="str">
        <f>VLOOKUP(woodflow[[#This Row],[to]],woodstock[#All],9,FALSE)</f>
        <v>nan</v>
      </c>
      <c r="N165" s="157">
        <f>$N$161*woodratio!I54</f>
        <v>77.810262279547388</v>
      </c>
      <c r="O165" s="148" t="s">
        <v>920</v>
      </c>
      <c r="P165" s="148" t="s">
        <v>233</v>
      </c>
      <c r="Q165" s="148"/>
      <c r="R165" s="1"/>
      <c r="S165" s="1"/>
      <c r="T165" s="1"/>
      <c r="U165" s="1"/>
      <c r="V165" s="1"/>
    </row>
    <row r="166" spans="1:22" x14ac:dyDescent="0.3">
      <c r="A166" s="5" t="str">
        <f>CONCATENATE("F",IF(B166&lt;&gt;"",COUNTA($B$2:B166),""))</f>
        <v>F91</v>
      </c>
      <c r="B166" s="5" t="s">
        <v>267</v>
      </c>
      <c r="C166" s="148" t="s">
        <v>41</v>
      </c>
      <c r="D16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4.9666124859285565</v>
      </c>
      <c r="F166" s="148">
        <f>VLOOKUP(woodflow[[#This Row],[From]],woodstock[#All],4,FALSE)</f>
        <v>2021</v>
      </c>
      <c r="G166" s="5" t="str">
        <f>VLOOKUP(woodflow[[#This Row],[From]],woodstock[#All],5,FALSE)</f>
        <v>Global</v>
      </c>
      <c r="H166" s="151" t="str">
        <f>VLOOKUP(woodflow[[#This Row],[From]],woodstock[#All],7,FALSE)</f>
        <v>18</v>
      </c>
      <c r="I166" s="151" t="str">
        <f>VLOOKUP(woodflow[[#This Row],[to]],woodstock[#All],7,FALSE)</f>
        <v>41</v>
      </c>
      <c r="J166" s="151" t="str">
        <f>VLOOKUP(woodflow[[#This Row],[From]],woodstock[#All],8,FALSE)</f>
        <v>0</v>
      </c>
      <c r="K166" s="151" t="str">
        <f>VLOOKUP(woodflow[[#This Row],[to]],woodstock[#All],8,FALSE)</f>
        <v>0</v>
      </c>
      <c r="L166" s="152" t="str">
        <f>VLOOKUP(woodflow[[#This Row],[From]],woodstock[#All],9,FALSE)</f>
        <v>nan</v>
      </c>
      <c r="M166" s="152" t="str">
        <f>VLOOKUP(woodflow[[#This Row],[to]],woodstock[#All],9,FALSE)</f>
        <v>nan</v>
      </c>
      <c r="N166" s="157">
        <f>$N$161*woodratio!I55</f>
        <v>4.9666124859285565</v>
      </c>
      <c r="O166" s="148" t="s">
        <v>920</v>
      </c>
      <c r="P166" s="148" t="s">
        <v>233</v>
      </c>
      <c r="Q166" s="148"/>
      <c r="R166" s="1"/>
      <c r="S166" s="1"/>
      <c r="T166" s="1"/>
      <c r="U166" s="1"/>
      <c r="V166" s="1"/>
    </row>
    <row r="167" spans="1:22" x14ac:dyDescent="0.3">
      <c r="A167" s="5" t="str">
        <f>CONCATENATE("F",IF(B167&lt;&gt;"",COUNTA($B$2:B167),""))</f>
        <v>F92</v>
      </c>
      <c r="B167" s="5" t="s">
        <v>267</v>
      </c>
      <c r="C167" s="148" t="s">
        <v>38</v>
      </c>
      <c r="D16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6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13.244299962476152</v>
      </c>
      <c r="F167" s="148">
        <f>VLOOKUP(woodflow[[#This Row],[From]],woodstock[#All],4,FALSE)</f>
        <v>2021</v>
      </c>
      <c r="G167" s="5" t="str">
        <f>VLOOKUP(woodflow[[#This Row],[From]],woodstock[#All],5,FALSE)</f>
        <v>Global</v>
      </c>
      <c r="H167" s="151" t="str">
        <f>VLOOKUP(woodflow[[#This Row],[From]],woodstock[#All],7,FALSE)</f>
        <v>18</v>
      </c>
      <c r="I167" s="151" t="str">
        <f>VLOOKUP(woodflow[[#This Row],[to]],woodstock[#All],7,FALSE)</f>
        <v>42</v>
      </c>
      <c r="J167" s="151" t="str">
        <f>VLOOKUP(woodflow[[#This Row],[From]],woodstock[#All],8,FALSE)</f>
        <v>0</v>
      </c>
      <c r="K167" s="151" t="str">
        <f>VLOOKUP(woodflow[[#This Row],[to]],woodstock[#All],8,FALSE)</f>
        <v>0</v>
      </c>
      <c r="L167" s="152" t="str">
        <f>VLOOKUP(woodflow[[#This Row],[From]],woodstock[#All],9,FALSE)</f>
        <v>nan</v>
      </c>
      <c r="M167" s="152" t="str">
        <f>VLOOKUP(woodflow[[#This Row],[to]],woodstock[#All],9,FALSE)</f>
        <v>nan</v>
      </c>
      <c r="N167" s="157">
        <f>$N$161*woodratio!I56</f>
        <v>13.244299962476152</v>
      </c>
      <c r="O167" s="148" t="s">
        <v>920</v>
      </c>
      <c r="P167" s="148" t="s">
        <v>233</v>
      </c>
      <c r="Q167" s="148"/>
      <c r="R167" s="1"/>
      <c r="S167" s="1"/>
      <c r="T167" s="1"/>
      <c r="U167" s="1"/>
      <c r="V167" s="1"/>
    </row>
    <row r="168" spans="1:22" x14ac:dyDescent="0.3">
      <c r="A168" s="5" t="str">
        <f>CONCATENATE("F",IF(B168&lt;&gt;"",COUNTA($B$2:B168),""))</f>
        <v>F</v>
      </c>
      <c r="B168" s="148"/>
      <c r="C168" s="148"/>
      <c r="D168" s="149"/>
      <c r="E168" s="149"/>
      <c r="F168" s="148"/>
      <c r="G168" s="5"/>
      <c r="H168" s="151"/>
      <c r="I168" s="151"/>
      <c r="J168" s="151"/>
      <c r="K168" s="151"/>
      <c r="L168" s="152"/>
      <c r="M168" s="152"/>
      <c r="N168" s="157"/>
      <c r="O168" s="148"/>
      <c r="P168" s="148"/>
      <c r="Q168" s="148"/>
      <c r="R168" s="1"/>
      <c r="S168" s="1"/>
      <c r="T168" s="1"/>
      <c r="U168" s="1"/>
      <c r="V168" s="1"/>
    </row>
    <row r="169" spans="1:22" x14ac:dyDescent="0.3">
      <c r="A169" s="5" t="str">
        <f>CONCATENATE("F",IF(B169&lt;&gt;"",COUNTA($B$2:B169),""))</f>
        <v>F</v>
      </c>
      <c r="B169" s="148"/>
      <c r="C169" s="148"/>
      <c r="D169" s="149"/>
      <c r="E169" s="149"/>
      <c r="F169" s="148"/>
      <c r="G169" s="5"/>
      <c r="H169" s="151"/>
      <c r="I169" s="151"/>
      <c r="J169" s="151"/>
      <c r="K169" s="151"/>
      <c r="L169" s="152"/>
      <c r="M169" s="152"/>
      <c r="N169" s="157"/>
      <c r="O169" s="148"/>
      <c r="P169" s="148"/>
      <c r="Q169" s="148"/>
      <c r="R169" s="1"/>
      <c r="S169" s="1"/>
      <c r="T169" s="1"/>
      <c r="U169" s="1"/>
      <c r="V169" s="1"/>
    </row>
    <row r="170" spans="1:22" x14ac:dyDescent="0.3">
      <c r="A170" s="5" t="str">
        <f>CONCATENATE("F",IF(B170&lt;&gt;"",COUNTA($B$2:B170),""))</f>
        <v>F93</v>
      </c>
      <c r="B170" s="5" t="s">
        <v>268</v>
      </c>
      <c r="C170" s="148" t="s">
        <v>51</v>
      </c>
      <c r="D17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89.698464297749993</v>
      </c>
      <c r="E17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0" s="148">
        <f>VLOOKUP(woodflow[[#This Row],[From]],woodstock[#All],4,FALSE)</f>
        <v>2021</v>
      </c>
      <c r="G170" s="5" t="str">
        <f>VLOOKUP(woodflow[[#This Row],[From]],woodstock[#All],5,FALSE)</f>
        <v>Global</v>
      </c>
      <c r="H170" s="151" t="str">
        <f>VLOOKUP(woodflow[[#This Row],[From]],woodstock[#All],7,FALSE)</f>
        <v>19</v>
      </c>
      <c r="I170" s="151" t="str">
        <f>VLOOKUP(woodflow[[#This Row],[to]],woodstock[#All],7,FALSE)</f>
        <v>15</v>
      </c>
      <c r="J170" s="151" t="str">
        <f>VLOOKUP(woodflow[[#This Row],[From]],woodstock[#All],8,FALSE)</f>
        <v>0</v>
      </c>
      <c r="K170" s="151" t="str">
        <f>VLOOKUP(woodflow[[#This Row],[to]],woodstock[#All],8,FALSE)</f>
        <v>1</v>
      </c>
      <c r="L170" s="152" t="str">
        <f>VLOOKUP(woodflow[[#This Row],[From]],woodstock[#All],9,FALSE)</f>
        <v>nan</v>
      </c>
      <c r="M170" s="152" t="str">
        <f>VLOOKUP(woodflow[[#This Row],[to]],woodstock[#All],9,FALSE)</f>
        <v>37-38-39-40-41-42</v>
      </c>
      <c r="N170" s="157">
        <f>'faostat-data'!Q54+'faostat-data'!Q55-'faostat-data'!Q56</f>
        <v>89.698464297749993</v>
      </c>
      <c r="O170" s="148" t="s">
        <v>921</v>
      </c>
      <c r="P170" s="148"/>
      <c r="Q170" s="148" t="s">
        <v>227</v>
      </c>
      <c r="R170" s="1"/>
      <c r="S170" s="1"/>
      <c r="T170" s="1"/>
      <c r="U170" s="1"/>
      <c r="V170" s="1"/>
    </row>
    <row r="171" spans="1:22" x14ac:dyDescent="0.3">
      <c r="A171" s="5" t="str">
        <f>CONCATENATE("F",IF(B171&lt;&gt;"",COUNTA($B$2:B171),""))</f>
        <v>F94</v>
      </c>
      <c r="B171" s="5" t="s">
        <v>268</v>
      </c>
      <c r="C171" s="148" t="s">
        <v>36</v>
      </c>
      <c r="D17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18.262607331021901</v>
      </c>
      <c r="F171" s="148">
        <f>VLOOKUP(woodflow[[#This Row],[From]],woodstock[#All],4,FALSE)</f>
        <v>2021</v>
      </c>
      <c r="G171" s="5" t="str">
        <f>VLOOKUP(woodflow[[#This Row],[From]],woodstock[#All],5,FALSE)</f>
        <v>Global</v>
      </c>
      <c r="H171" s="151" t="str">
        <f>VLOOKUP(woodflow[[#This Row],[From]],woodstock[#All],7,FALSE)</f>
        <v>19</v>
      </c>
      <c r="I171" s="151" t="str">
        <f>VLOOKUP(woodflow[[#This Row],[to]],woodstock[#All],7,FALSE)</f>
        <v>37</v>
      </c>
      <c r="J171" s="151" t="str">
        <f>VLOOKUP(woodflow[[#This Row],[From]],woodstock[#All],8,FALSE)</f>
        <v>0</v>
      </c>
      <c r="K171" s="151" t="str">
        <f>VLOOKUP(woodflow[[#This Row],[to]],woodstock[#All],8,FALSE)</f>
        <v>0</v>
      </c>
      <c r="L171" s="152" t="str">
        <f>VLOOKUP(woodflow[[#This Row],[From]],woodstock[#All],9,FALSE)</f>
        <v>nan</v>
      </c>
      <c r="M171" s="152" t="str">
        <f>VLOOKUP(woodflow[[#This Row],[to]],woodstock[#All],9,FALSE)</f>
        <v>nan</v>
      </c>
      <c r="N171" s="157">
        <f>$N$170*woodratio!I59</f>
        <v>18.262607331021901</v>
      </c>
      <c r="O171" s="148" t="s">
        <v>920</v>
      </c>
      <c r="P171" s="148" t="s">
        <v>233</v>
      </c>
      <c r="Q171" s="148"/>
      <c r="R171" s="1"/>
      <c r="S171" s="1"/>
      <c r="T171" s="1"/>
      <c r="U171" s="1"/>
      <c r="V171" s="1"/>
    </row>
    <row r="172" spans="1:22" x14ac:dyDescent="0.3">
      <c r="A172" s="5" t="str">
        <f>CONCATENATE("F",IF(B172&lt;&gt;"",COUNTA($B$2:B172),""))</f>
        <v>F95</v>
      </c>
      <c r="B172" s="5" t="s">
        <v>268</v>
      </c>
      <c r="C172" s="148" t="s">
        <v>37</v>
      </c>
      <c r="D17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17.0427082165725</v>
      </c>
      <c r="F172" s="148">
        <f>VLOOKUP(woodflow[[#This Row],[From]],woodstock[#All],4,FALSE)</f>
        <v>2021</v>
      </c>
      <c r="G172" s="5" t="str">
        <f>VLOOKUP(woodflow[[#This Row],[From]],woodstock[#All],5,FALSE)</f>
        <v>Global</v>
      </c>
      <c r="H172" s="151" t="str">
        <f>VLOOKUP(woodflow[[#This Row],[From]],woodstock[#All],7,FALSE)</f>
        <v>19</v>
      </c>
      <c r="I172" s="151" t="str">
        <f>VLOOKUP(woodflow[[#This Row],[to]],woodstock[#All],7,FALSE)</f>
        <v>38</v>
      </c>
      <c r="J172" s="151" t="str">
        <f>VLOOKUP(woodflow[[#This Row],[From]],woodstock[#All],8,FALSE)</f>
        <v>0</v>
      </c>
      <c r="K172" s="151" t="str">
        <f>VLOOKUP(woodflow[[#This Row],[to]],woodstock[#All],8,FALSE)</f>
        <v>0</v>
      </c>
      <c r="L172" s="152" t="str">
        <f>VLOOKUP(woodflow[[#This Row],[From]],woodstock[#All],9,FALSE)</f>
        <v>nan</v>
      </c>
      <c r="M172" s="152" t="str">
        <f>VLOOKUP(woodflow[[#This Row],[to]],woodstock[#All],9,FALSE)</f>
        <v>nan</v>
      </c>
      <c r="N172" s="157">
        <f>$N$170*woodratio!I60</f>
        <v>17.0427082165725</v>
      </c>
      <c r="O172" s="148" t="s">
        <v>920</v>
      </c>
      <c r="P172" s="148" t="s">
        <v>233</v>
      </c>
      <c r="Q172" s="148"/>
      <c r="R172" s="1"/>
      <c r="S172" s="1"/>
      <c r="T172" s="1"/>
      <c r="U172" s="1"/>
      <c r="V172" s="1"/>
    </row>
    <row r="173" spans="1:22" x14ac:dyDescent="0.3">
      <c r="A173" s="5" t="str">
        <f>CONCATENATE("F",IF(B173&lt;&gt;"",COUNTA($B$2:B173),""))</f>
        <v>F96</v>
      </c>
      <c r="B173" s="5" t="s">
        <v>268</v>
      </c>
      <c r="C173" s="148" t="s">
        <v>39</v>
      </c>
      <c r="D17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2.3680394574605996</v>
      </c>
      <c r="F173" s="148">
        <f>VLOOKUP(woodflow[[#This Row],[From]],woodstock[#All],4,FALSE)</f>
        <v>2021</v>
      </c>
      <c r="G173" s="5" t="str">
        <f>VLOOKUP(woodflow[[#This Row],[From]],woodstock[#All],5,FALSE)</f>
        <v>Global</v>
      </c>
      <c r="H173" s="151" t="str">
        <f>VLOOKUP(woodflow[[#This Row],[From]],woodstock[#All],7,FALSE)</f>
        <v>19</v>
      </c>
      <c r="I173" s="151" t="str">
        <f>VLOOKUP(woodflow[[#This Row],[to]],woodstock[#All],7,FALSE)</f>
        <v>39</v>
      </c>
      <c r="J173" s="151" t="str">
        <f>VLOOKUP(woodflow[[#This Row],[From]],woodstock[#All],8,FALSE)</f>
        <v>0</v>
      </c>
      <c r="K173" s="151" t="str">
        <f>VLOOKUP(woodflow[[#This Row],[to]],woodstock[#All],8,FALSE)</f>
        <v>0</v>
      </c>
      <c r="L173" s="152" t="str">
        <f>VLOOKUP(woodflow[[#This Row],[From]],woodstock[#All],9,FALSE)</f>
        <v>nan</v>
      </c>
      <c r="M173" s="152" t="str">
        <f>VLOOKUP(woodflow[[#This Row],[to]],woodstock[#All],9,FALSE)</f>
        <v>nan</v>
      </c>
      <c r="N173" s="157">
        <f>$N$170*woodratio!I61</f>
        <v>2.3680394574605996</v>
      </c>
      <c r="O173" s="148" t="s">
        <v>920</v>
      </c>
      <c r="P173" s="148" t="s">
        <v>233</v>
      </c>
      <c r="Q173" s="153"/>
      <c r="R173" s="1"/>
      <c r="S173" s="1"/>
      <c r="T173" s="1"/>
      <c r="U173" s="1"/>
      <c r="V173" s="1"/>
    </row>
    <row r="174" spans="1:22" x14ac:dyDescent="0.3">
      <c r="A174" s="5" t="str">
        <f>CONCATENATE("F",IF(B174&lt;&gt;"",COUNTA($B$2:B174),""))</f>
        <v>F97</v>
      </c>
      <c r="B174" s="5" t="s">
        <v>268</v>
      </c>
      <c r="C174" s="148" t="s">
        <v>40</v>
      </c>
      <c r="D17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42.158278219942495</v>
      </c>
      <c r="F174" s="148">
        <f>VLOOKUP(woodflow[[#This Row],[From]],woodstock[#All],4,FALSE)</f>
        <v>2021</v>
      </c>
      <c r="G174" s="5" t="str">
        <f>VLOOKUP(woodflow[[#This Row],[From]],woodstock[#All],5,FALSE)</f>
        <v>Global</v>
      </c>
      <c r="H174" s="151" t="str">
        <f>VLOOKUP(woodflow[[#This Row],[From]],woodstock[#All],7,FALSE)</f>
        <v>19</v>
      </c>
      <c r="I174" s="151" t="str">
        <f>VLOOKUP(woodflow[[#This Row],[to]],woodstock[#All],7,FALSE)</f>
        <v>40</v>
      </c>
      <c r="J174" s="151" t="str">
        <f>VLOOKUP(woodflow[[#This Row],[From]],woodstock[#All],8,FALSE)</f>
        <v>0</v>
      </c>
      <c r="K174" s="151" t="str">
        <f>VLOOKUP(woodflow[[#This Row],[to]],woodstock[#All],8,FALSE)</f>
        <v>0</v>
      </c>
      <c r="L174" s="152" t="str">
        <f>VLOOKUP(woodflow[[#This Row],[From]],woodstock[#All],9,FALSE)</f>
        <v>nan</v>
      </c>
      <c r="M174" s="152" t="str">
        <f>VLOOKUP(woodflow[[#This Row],[to]],woodstock[#All],9,FALSE)</f>
        <v>nan</v>
      </c>
      <c r="N174" s="157">
        <f>$N$170*woodratio!I62</f>
        <v>42.158278219942495</v>
      </c>
      <c r="O174" s="148" t="s">
        <v>920</v>
      </c>
      <c r="P174" s="148" t="s">
        <v>233</v>
      </c>
      <c r="Q174" s="148"/>
      <c r="R174" s="1"/>
      <c r="S174" s="1"/>
      <c r="T174" s="1"/>
      <c r="U174" s="1"/>
      <c r="V174" s="1"/>
    </row>
    <row r="175" spans="1:22" x14ac:dyDescent="0.3">
      <c r="A175" s="5" t="str">
        <f>CONCATENATE("F",IF(B175&lt;&gt;"",COUNTA($B$2:B175),""))</f>
        <v>F98</v>
      </c>
      <c r="B175" s="5" t="s">
        <v>268</v>
      </c>
      <c r="C175" s="148" t="s">
        <v>41</v>
      </c>
      <c r="D17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2.6909539289324997</v>
      </c>
      <c r="F175" s="148">
        <f>VLOOKUP(woodflow[[#This Row],[From]],woodstock[#All],4,FALSE)</f>
        <v>2021</v>
      </c>
      <c r="G175" s="5" t="str">
        <f>VLOOKUP(woodflow[[#This Row],[From]],woodstock[#All],5,FALSE)</f>
        <v>Global</v>
      </c>
      <c r="H175" s="151" t="str">
        <f>VLOOKUP(woodflow[[#This Row],[From]],woodstock[#All],7,FALSE)</f>
        <v>19</v>
      </c>
      <c r="I175" s="151" t="str">
        <f>VLOOKUP(woodflow[[#This Row],[to]],woodstock[#All],7,FALSE)</f>
        <v>41</v>
      </c>
      <c r="J175" s="151" t="str">
        <f>VLOOKUP(woodflow[[#This Row],[From]],woodstock[#All],8,FALSE)</f>
        <v>0</v>
      </c>
      <c r="K175" s="151" t="str">
        <f>VLOOKUP(woodflow[[#This Row],[to]],woodstock[#All],8,FALSE)</f>
        <v>0</v>
      </c>
      <c r="L175" s="152" t="str">
        <f>VLOOKUP(woodflow[[#This Row],[From]],woodstock[#All],9,FALSE)</f>
        <v>nan</v>
      </c>
      <c r="M175" s="152" t="str">
        <f>VLOOKUP(woodflow[[#This Row],[to]],woodstock[#All],9,FALSE)</f>
        <v>nan</v>
      </c>
      <c r="N175" s="157">
        <f>$N$170*woodratio!I63</f>
        <v>2.6909539289324997</v>
      </c>
      <c r="O175" s="148" t="s">
        <v>920</v>
      </c>
      <c r="P175" s="148" t="s">
        <v>233</v>
      </c>
      <c r="Q175" s="148"/>
      <c r="R175" s="1"/>
      <c r="S175" s="1"/>
      <c r="T175" s="1"/>
      <c r="U175" s="1"/>
      <c r="V175" s="1"/>
    </row>
    <row r="176" spans="1:22" x14ac:dyDescent="0.3">
      <c r="A176" s="5" t="str">
        <f>CONCATENATE("F",IF(B176&lt;&gt;"",COUNTA($B$2:B176),""))</f>
        <v>F99</v>
      </c>
      <c r="B176" s="5" t="s">
        <v>268</v>
      </c>
      <c r="C176" s="148" t="s">
        <v>38</v>
      </c>
      <c r="D17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7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7.1758771438199993</v>
      </c>
      <c r="F176" s="148">
        <f>VLOOKUP(woodflow[[#This Row],[From]],woodstock[#All],4,FALSE)</f>
        <v>2021</v>
      </c>
      <c r="G176" s="5" t="str">
        <f>VLOOKUP(woodflow[[#This Row],[From]],woodstock[#All],5,FALSE)</f>
        <v>Global</v>
      </c>
      <c r="H176" s="151" t="str">
        <f>VLOOKUP(woodflow[[#This Row],[From]],woodstock[#All],7,FALSE)</f>
        <v>19</v>
      </c>
      <c r="I176" s="151" t="str">
        <f>VLOOKUP(woodflow[[#This Row],[to]],woodstock[#All],7,FALSE)</f>
        <v>42</v>
      </c>
      <c r="J176" s="151" t="str">
        <f>VLOOKUP(woodflow[[#This Row],[From]],woodstock[#All],8,FALSE)</f>
        <v>0</v>
      </c>
      <c r="K176" s="151" t="str">
        <f>VLOOKUP(woodflow[[#This Row],[to]],woodstock[#All],8,FALSE)</f>
        <v>0</v>
      </c>
      <c r="L176" s="152" t="str">
        <f>VLOOKUP(woodflow[[#This Row],[From]],woodstock[#All],9,FALSE)</f>
        <v>nan</v>
      </c>
      <c r="M176" s="152" t="str">
        <f>VLOOKUP(woodflow[[#This Row],[to]],woodstock[#All],9,FALSE)</f>
        <v>nan</v>
      </c>
      <c r="N176" s="157">
        <f>$N$170*woodratio!I64</f>
        <v>7.1758771438199993</v>
      </c>
      <c r="O176" s="148" t="s">
        <v>920</v>
      </c>
      <c r="P176" s="148" t="s">
        <v>233</v>
      </c>
      <c r="Q176" s="148"/>
      <c r="R176" s="1"/>
      <c r="S176" s="1"/>
      <c r="T176" s="1"/>
      <c r="U176" s="1"/>
      <c r="V176" s="1"/>
    </row>
    <row r="177" spans="1:22" x14ac:dyDescent="0.3">
      <c r="A177" s="5" t="str">
        <f>CONCATENATE("F",IF(B177&lt;&gt;"",COUNTA($B$2:B177),""))</f>
        <v>F</v>
      </c>
      <c r="B177" s="148"/>
      <c r="C177" s="148"/>
      <c r="D177" s="149"/>
      <c r="E177" s="149"/>
      <c r="F177" s="148"/>
      <c r="G177" s="5"/>
      <c r="H177" s="151"/>
      <c r="I177" s="151"/>
      <c r="J177" s="151"/>
      <c r="K177" s="151"/>
      <c r="L177" s="152"/>
      <c r="M177" s="152"/>
      <c r="N177" s="157"/>
      <c r="O177" s="148"/>
      <c r="P177" s="148"/>
      <c r="Q177" s="148"/>
      <c r="R177" s="1"/>
      <c r="S177" s="1"/>
      <c r="T177" s="1"/>
      <c r="U177" s="1"/>
      <c r="V177" s="1"/>
    </row>
    <row r="178" spans="1:22" x14ac:dyDescent="0.3">
      <c r="A178" s="5" t="str">
        <f>CONCATENATE("F",IF(B178&lt;&gt;"",COUNTA($B$2:B178),""))</f>
        <v>F</v>
      </c>
      <c r="B178" s="148"/>
      <c r="C178" s="148"/>
      <c r="D178" s="149"/>
      <c r="E178" s="149"/>
      <c r="F178" s="148"/>
      <c r="G178" s="5"/>
      <c r="H178" s="151"/>
      <c r="I178" s="151"/>
      <c r="J178" s="151"/>
      <c r="K178" s="151"/>
      <c r="L178" s="152"/>
      <c r="M178" s="152"/>
      <c r="N178" s="157"/>
      <c r="O178" s="148"/>
      <c r="P178" s="148"/>
      <c r="Q178" s="148"/>
      <c r="R178" s="1"/>
      <c r="S178" s="1"/>
      <c r="T178" s="1"/>
      <c r="U178" s="1"/>
      <c r="V178" s="1"/>
    </row>
    <row r="179" spans="1:22" x14ac:dyDescent="0.3">
      <c r="A179" s="5" t="str">
        <f>CONCATENATE("F",IF(B179&lt;&gt;"",COUNTA($B$2:B179),""))</f>
        <v>F100</v>
      </c>
      <c r="B179" s="5" t="s">
        <v>267</v>
      </c>
      <c r="C179" s="148" t="s">
        <v>58</v>
      </c>
      <c r="D17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168.43503306158482</v>
      </c>
      <c r="E17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79" s="148">
        <f>VLOOKUP(woodflow[[#This Row],[From]],woodstock[#All],4,FALSE)</f>
        <v>2021</v>
      </c>
      <c r="G179" s="5" t="str">
        <f>VLOOKUP(woodflow[[#This Row],[From]],woodstock[#All],5,FALSE)</f>
        <v>Global</v>
      </c>
      <c r="H179" s="151" t="str">
        <f>VLOOKUP(woodflow[[#This Row],[From]],woodstock[#All],7,FALSE)</f>
        <v>18</v>
      </c>
      <c r="I179" s="151" t="str">
        <f>VLOOKUP(woodflow[[#This Row],[to]],woodstock[#All],7,FALSE)</f>
        <v>18</v>
      </c>
      <c r="J179" s="151" t="str">
        <f>VLOOKUP(woodflow[[#This Row],[From]],woodstock[#All],8,FALSE)</f>
        <v>0</v>
      </c>
      <c r="K179" s="151" t="str">
        <f>VLOOKUP(woodflow[[#This Row],[to]],woodstock[#All],8,FALSE)</f>
        <v>1</v>
      </c>
      <c r="L179" s="152" t="str">
        <f>VLOOKUP(woodflow[[#This Row],[From]],woodstock[#All],9,FALSE)</f>
        <v>nan</v>
      </c>
      <c r="M179" s="152" t="str">
        <f>VLOOKUP(woodflow[[#This Row],[to]],woodstock[#All],9,FALSE)</f>
        <v>50-51-52-53-54-55</v>
      </c>
      <c r="N179" s="157">
        <f>(('faostat-data'!Q51/'production-mass-balance'!B26)*SUM('production-mass-balance'!B21:B25))</f>
        <v>168.43503306158482</v>
      </c>
      <c r="O179" s="148" t="s">
        <v>921</v>
      </c>
      <c r="P179" s="148" t="s">
        <v>453</v>
      </c>
      <c r="Q179" s="148" t="s">
        <v>227</v>
      </c>
      <c r="R179" s="1"/>
      <c r="S179" s="1"/>
      <c r="T179" s="1"/>
      <c r="U179" s="1"/>
      <c r="V179" s="1"/>
    </row>
    <row r="180" spans="1:22" x14ac:dyDescent="0.3">
      <c r="A180" s="5" t="str">
        <f>CONCATENATE("F",IF(B180&lt;&gt;"",COUNTA($B$2:B180),""))</f>
        <v>F101</v>
      </c>
      <c r="B180" s="5" t="s">
        <v>267</v>
      </c>
      <c r="C180" s="148" t="s">
        <v>29</v>
      </c>
      <c r="D18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96.258630334499856</v>
      </c>
      <c r="F180" s="148">
        <f>VLOOKUP(woodflow[[#This Row],[From]],woodstock[#All],4,FALSE)</f>
        <v>2021</v>
      </c>
      <c r="G180" s="5" t="str">
        <f>VLOOKUP(woodflow[[#This Row],[From]],woodstock[#All],5,FALSE)</f>
        <v>Global</v>
      </c>
      <c r="H180" s="151" t="str">
        <f>VLOOKUP(woodflow[[#This Row],[From]],woodstock[#All],7,FALSE)</f>
        <v>18</v>
      </c>
      <c r="I180" s="151" t="str">
        <f>VLOOKUP(woodflow[[#This Row],[to]],woodstock[#All],7,FALSE)</f>
        <v>50</v>
      </c>
      <c r="J180" s="151" t="str">
        <f>VLOOKUP(woodflow[[#This Row],[From]],woodstock[#All],8,FALSE)</f>
        <v>0</v>
      </c>
      <c r="K180" s="151" t="str">
        <f>VLOOKUP(woodflow[[#This Row],[to]],woodstock[#All],8,FALSE)</f>
        <v>0</v>
      </c>
      <c r="L180" s="152" t="str">
        <f>VLOOKUP(woodflow[[#This Row],[From]],woodstock[#All],9,FALSE)</f>
        <v>nan</v>
      </c>
      <c r="M180" s="152" t="str">
        <f>VLOOKUP(woodflow[[#This Row],[to]],woodstock[#All],9,FALSE)</f>
        <v>nan</v>
      </c>
      <c r="N180" s="157">
        <f>$N$179*woodratio!I67</f>
        <v>96.258630334499856</v>
      </c>
      <c r="O180" s="148" t="s">
        <v>920</v>
      </c>
      <c r="P180" s="148" t="s">
        <v>233</v>
      </c>
      <c r="Q180" s="148"/>
      <c r="R180" s="1"/>
      <c r="S180" s="1"/>
      <c r="T180" s="1"/>
      <c r="U180" s="1"/>
      <c r="V180" s="1"/>
    </row>
    <row r="181" spans="1:22" x14ac:dyDescent="0.3">
      <c r="A181" s="5" t="str">
        <f>CONCATENATE("F",IF(B181&lt;&gt;"",COUNTA($B$2:B181),""))</f>
        <v>F102</v>
      </c>
      <c r="B181" s="5" t="s">
        <v>267</v>
      </c>
      <c r="C181" s="148" t="s">
        <v>73</v>
      </c>
      <c r="D18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34.604161854148167</v>
      </c>
      <c r="F181" s="148">
        <f>VLOOKUP(woodflow[[#This Row],[From]],woodstock[#All],4,FALSE)</f>
        <v>2021</v>
      </c>
      <c r="G181" s="5" t="str">
        <f>VLOOKUP(woodflow[[#This Row],[From]],woodstock[#All],5,FALSE)</f>
        <v>Global</v>
      </c>
      <c r="H181" s="151" t="str">
        <f>VLOOKUP(woodflow[[#This Row],[From]],woodstock[#All],7,FALSE)</f>
        <v>18</v>
      </c>
      <c r="I181" s="151" t="str">
        <f>VLOOKUP(woodflow[[#This Row],[to]],woodstock[#All],7,FALSE)</f>
        <v>51</v>
      </c>
      <c r="J181" s="151" t="str">
        <f>VLOOKUP(woodflow[[#This Row],[From]],woodstock[#All],8,FALSE)</f>
        <v>0</v>
      </c>
      <c r="K181" s="151" t="str">
        <f>VLOOKUP(woodflow[[#This Row],[to]],woodstock[#All],8,FALSE)</f>
        <v>0</v>
      </c>
      <c r="L181" s="152" t="str">
        <f>VLOOKUP(woodflow[[#This Row],[From]],woodstock[#All],9,FALSE)</f>
        <v>nan</v>
      </c>
      <c r="M181" s="152" t="str">
        <f>VLOOKUP(woodflow[[#This Row],[to]],woodstock[#All],9,FALSE)</f>
        <v>nan</v>
      </c>
      <c r="N181" s="157">
        <f>$N$179*woodratio!I68</f>
        <v>34.604161854148167</v>
      </c>
      <c r="O181" s="148" t="s">
        <v>920</v>
      </c>
      <c r="P181" s="148" t="s">
        <v>233</v>
      </c>
      <c r="Q181" s="148"/>
      <c r="R181" s="1"/>
      <c r="S181" s="1"/>
      <c r="T181" s="1"/>
      <c r="U181" s="1"/>
      <c r="V181" s="1"/>
    </row>
    <row r="182" spans="1:22" x14ac:dyDescent="0.3">
      <c r="A182" s="5" t="str">
        <f>CONCATENATE("F",IF(B182&lt;&gt;"",COUNTA($B$2:B182),""))</f>
        <v>F103</v>
      </c>
      <c r="B182" s="5" t="s">
        <v>267</v>
      </c>
      <c r="C182" s="148" t="s">
        <v>30</v>
      </c>
      <c r="D18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23.983082473171997</v>
      </c>
      <c r="F182" s="148">
        <f>VLOOKUP(woodflow[[#This Row],[From]],woodstock[#All],4,FALSE)</f>
        <v>2021</v>
      </c>
      <c r="G182" s="5" t="str">
        <f>VLOOKUP(woodflow[[#This Row],[From]],woodstock[#All],5,FALSE)</f>
        <v>Global</v>
      </c>
      <c r="H182" s="151" t="str">
        <f>VLOOKUP(woodflow[[#This Row],[From]],woodstock[#All],7,FALSE)</f>
        <v>18</v>
      </c>
      <c r="I182" s="151" t="str">
        <f>VLOOKUP(woodflow[[#This Row],[to]],woodstock[#All],7,FALSE)</f>
        <v>52</v>
      </c>
      <c r="J182" s="151" t="str">
        <f>VLOOKUP(woodflow[[#This Row],[From]],woodstock[#All],8,FALSE)</f>
        <v>0</v>
      </c>
      <c r="K182" s="151" t="str">
        <f>VLOOKUP(woodflow[[#This Row],[to]],woodstock[#All],8,FALSE)</f>
        <v>0</v>
      </c>
      <c r="L182" s="152" t="str">
        <f>VLOOKUP(woodflow[[#This Row],[From]],woodstock[#All],9,FALSE)</f>
        <v>nan</v>
      </c>
      <c r="M182" s="152" t="str">
        <f>VLOOKUP(woodflow[[#This Row],[to]],woodstock[#All],9,FALSE)</f>
        <v>nan</v>
      </c>
      <c r="N182" s="157">
        <f>$N$179*woodratio!I69</f>
        <v>23.983082473171997</v>
      </c>
      <c r="O182" s="148" t="s">
        <v>920</v>
      </c>
      <c r="P182" s="148" t="s">
        <v>233</v>
      </c>
      <c r="Q182" s="148"/>
      <c r="R182" s="1"/>
      <c r="S182" s="1"/>
      <c r="T182" s="1"/>
      <c r="U182" s="1"/>
      <c r="V182" s="1"/>
    </row>
    <row r="183" spans="1:22" x14ac:dyDescent="0.3">
      <c r="A183" s="5" t="str">
        <f>CONCATENATE("F",IF(B183&lt;&gt;"",COUNTA($B$2:B183),""))</f>
        <v>F104</v>
      </c>
      <c r="B183" s="5" t="s">
        <v>267</v>
      </c>
      <c r="C183" s="148" t="s">
        <v>80</v>
      </c>
      <c r="D18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3" s="148">
        <f>VLOOKUP(woodflow[[#This Row],[From]],woodstock[#All],4,FALSE)</f>
        <v>2021</v>
      </c>
      <c r="G183" s="5" t="str">
        <f>VLOOKUP(woodflow[[#This Row],[From]],woodstock[#All],5,FALSE)</f>
        <v>Global</v>
      </c>
      <c r="H183" s="151" t="str">
        <f>VLOOKUP(woodflow[[#This Row],[From]],woodstock[#All],7,FALSE)</f>
        <v>18</v>
      </c>
      <c r="I183" s="151" t="str">
        <f>VLOOKUP(woodflow[[#This Row],[to]],woodstock[#All],7,FALSE)</f>
        <v>53</v>
      </c>
      <c r="J183" s="151" t="str">
        <f>VLOOKUP(woodflow[[#This Row],[From]],woodstock[#All],8,FALSE)</f>
        <v>0</v>
      </c>
      <c r="K183" s="151" t="str">
        <f>VLOOKUP(woodflow[[#This Row],[to]],woodstock[#All],8,FALSE)</f>
        <v>0</v>
      </c>
      <c r="L183" s="152" t="str">
        <f>VLOOKUP(woodflow[[#This Row],[From]],woodstock[#All],9,FALSE)</f>
        <v>nan</v>
      </c>
      <c r="M183" s="152" t="str">
        <f>VLOOKUP(woodflow[[#This Row],[to]],woodstock[#All],9,FALSE)</f>
        <v>nan</v>
      </c>
      <c r="N183" s="157">
        <v>0</v>
      </c>
      <c r="O183" s="148" t="s">
        <v>209</v>
      </c>
      <c r="P183" s="148"/>
      <c r="Q183" s="148"/>
      <c r="R183" s="1"/>
      <c r="S183" s="1"/>
      <c r="T183" s="1"/>
      <c r="U183" s="1"/>
      <c r="V183" s="1"/>
    </row>
    <row r="184" spans="1:22" x14ac:dyDescent="0.3">
      <c r="A184" s="5" t="str">
        <f>CONCATENATE("F",IF(B184&lt;&gt;"",COUNTA($B$2:B184),""))</f>
        <v>F105</v>
      </c>
      <c r="B184" s="5" t="s">
        <v>267</v>
      </c>
      <c r="C184" s="148" t="s">
        <v>235</v>
      </c>
      <c r="D18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8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4" s="148">
        <f>VLOOKUP(woodflow[[#This Row],[From]],woodstock[#All],4,FALSE)</f>
        <v>2021</v>
      </c>
      <c r="G184" s="5" t="str">
        <f>VLOOKUP(woodflow[[#This Row],[From]],woodstock[#All],5,FALSE)</f>
        <v>Global</v>
      </c>
      <c r="H184" s="151" t="str">
        <f>VLOOKUP(woodflow[[#This Row],[From]],woodstock[#All],7,FALSE)</f>
        <v>18</v>
      </c>
      <c r="I184" s="151" t="str">
        <f>VLOOKUP(woodflow[[#This Row],[to]],woodstock[#All],7,FALSE)</f>
        <v>54</v>
      </c>
      <c r="J184" s="151" t="str">
        <f>VLOOKUP(woodflow[[#This Row],[From]],woodstock[#All],8,FALSE)</f>
        <v>0</v>
      </c>
      <c r="K184" s="151" t="str">
        <f>VLOOKUP(woodflow[[#This Row],[to]],woodstock[#All],8,FALSE)</f>
        <v>0</v>
      </c>
      <c r="L184" s="152" t="str">
        <f>VLOOKUP(woodflow[[#This Row],[From]],woodstock[#All],9,FALSE)</f>
        <v>nan</v>
      </c>
      <c r="M184" s="152" t="str">
        <f>VLOOKUP(woodflow[[#This Row],[to]],woodstock[#All],9,FALSE)</f>
        <v>nan</v>
      </c>
      <c r="N184" s="157">
        <v>0</v>
      </c>
      <c r="O184" s="148" t="s">
        <v>209</v>
      </c>
      <c r="P184" s="148"/>
      <c r="Q184" s="148"/>
      <c r="R184" s="1"/>
      <c r="S184" s="1"/>
      <c r="T184" s="1"/>
      <c r="U184" s="1"/>
      <c r="V184" s="1"/>
    </row>
    <row r="185" spans="1:22" x14ac:dyDescent="0.3">
      <c r="A185" s="5" t="str">
        <f>CONCATENATE("F",IF(B185&lt;&gt;"",COUNTA($B$2:B185),""))</f>
        <v>F106</v>
      </c>
      <c r="B185" s="5" t="s">
        <v>267</v>
      </c>
      <c r="C185" s="148" t="s">
        <v>74</v>
      </c>
      <c r="D18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13.589158399764823</v>
      </c>
      <c r="F185" s="148">
        <f>VLOOKUP(woodflow[[#This Row],[From]],woodstock[#All],4,FALSE)</f>
        <v>2021</v>
      </c>
      <c r="G185" s="5" t="str">
        <f>VLOOKUP(woodflow[[#This Row],[From]],woodstock[#All],5,FALSE)</f>
        <v>Global</v>
      </c>
      <c r="H185" s="151" t="str">
        <f>VLOOKUP(woodflow[[#This Row],[From]],woodstock[#All],7,FALSE)</f>
        <v>18</v>
      </c>
      <c r="I185" s="151" t="str">
        <f>VLOOKUP(woodflow[[#This Row],[to]],woodstock[#All],7,FALSE)</f>
        <v>55</v>
      </c>
      <c r="J185" s="151" t="str">
        <f>VLOOKUP(woodflow[[#This Row],[From]],woodstock[#All],8,FALSE)</f>
        <v>0</v>
      </c>
      <c r="K185" s="151" t="str">
        <f>VLOOKUP(woodflow[[#This Row],[to]],woodstock[#All],8,FALSE)</f>
        <v>0</v>
      </c>
      <c r="L185" s="152" t="str">
        <f>VLOOKUP(woodflow[[#This Row],[From]],woodstock[#All],9,FALSE)</f>
        <v>nan</v>
      </c>
      <c r="M185" s="152" t="str">
        <f>VLOOKUP(woodflow[[#This Row],[to]],woodstock[#All],9,FALSE)</f>
        <v>nan</v>
      </c>
      <c r="N185" s="157">
        <f>$N$179*woodratio!I70</f>
        <v>13.589158399764823</v>
      </c>
      <c r="O185" s="148" t="s">
        <v>920</v>
      </c>
      <c r="P185" s="148" t="s">
        <v>233</v>
      </c>
      <c r="Q185" s="148"/>
      <c r="R185" s="1"/>
      <c r="S185" s="1"/>
      <c r="T185" s="1"/>
      <c r="U185" s="1"/>
      <c r="V185" s="1"/>
    </row>
    <row r="186" spans="1:22" x14ac:dyDescent="0.3">
      <c r="A186" s="5" t="str">
        <f>CONCATENATE("F",IF(B186&lt;&gt;"",COUNTA($B$2:B186),""))</f>
        <v>F</v>
      </c>
      <c r="B186" s="148"/>
      <c r="C186" s="148"/>
      <c r="D186" s="149"/>
      <c r="E186" s="149"/>
      <c r="F186" s="148"/>
      <c r="G186" s="5"/>
      <c r="H186" s="151"/>
      <c r="I186" s="151"/>
      <c r="J186" s="151"/>
      <c r="K186" s="151"/>
      <c r="L186" s="152"/>
      <c r="M186" s="152"/>
      <c r="N186" s="157"/>
      <c r="O186" s="148"/>
      <c r="P186" s="148"/>
      <c r="Q186" s="148"/>
      <c r="R186" s="1"/>
      <c r="S186" s="1"/>
      <c r="T186" s="1"/>
      <c r="U186" s="1"/>
      <c r="V186" s="1"/>
    </row>
    <row r="187" spans="1:22" x14ac:dyDescent="0.3">
      <c r="A187" s="5" t="str">
        <f>CONCATENATE("F",IF(B187&lt;&gt;"",COUNTA($B$2:B187),""))</f>
        <v>F</v>
      </c>
      <c r="B187" s="148"/>
      <c r="C187" s="148"/>
      <c r="D187" s="149"/>
      <c r="E187" s="149"/>
      <c r="F187" s="148"/>
      <c r="G187" s="5"/>
      <c r="H187" s="151"/>
      <c r="I187" s="151"/>
      <c r="J187" s="151"/>
      <c r="K187" s="151"/>
      <c r="L187" s="152"/>
      <c r="M187" s="152"/>
      <c r="N187" s="157"/>
      <c r="O187" s="148"/>
      <c r="P187" s="148"/>
      <c r="Q187" s="148"/>
      <c r="R187" s="1"/>
      <c r="S187" s="1"/>
      <c r="T187" s="1"/>
      <c r="U187" s="1"/>
      <c r="V187" s="1"/>
    </row>
    <row r="188" spans="1:22" x14ac:dyDescent="0.3">
      <c r="A188" s="5" t="str">
        <f>CONCATENATE("F",IF(B188&lt;&gt;"",COUNTA($B$2:B188),""))</f>
        <v>F107</v>
      </c>
      <c r="B188" s="5" t="s">
        <v>268</v>
      </c>
      <c r="C188" s="148" t="s">
        <v>58</v>
      </c>
      <c r="D18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95.12725718509661</v>
      </c>
      <c r="E18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88" s="148">
        <f>VLOOKUP(woodflow[[#This Row],[From]],woodstock[#All],4,FALSE)</f>
        <v>2021</v>
      </c>
      <c r="G188" s="5" t="str">
        <f>VLOOKUP(woodflow[[#This Row],[From]],woodstock[#All],5,FALSE)</f>
        <v>Global</v>
      </c>
      <c r="H188" s="151" t="str">
        <f>VLOOKUP(woodflow[[#This Row],[From]],woodstock[#All],7,FALSE)</f>
        <v>19</v>
      </c>
      <c r="I188" s="151" t="str">
        <f>VLOOKUP(woodflow[[#This Row],[to]],woodstock[#All],7,FALSE)</f>
        <v>18</v>
      </c>
      <c r="J188" s="151" t="str">
        <f>VLOOKUP(woodflow[[#This Row],[From]],woodstock[#All],8,FALSE)</f>
        <v>0</v>
      </c>
      <c r="K188" s="151" t="str">
        <f>VLOOKUP(woodflow[[#This Row],[to]],woodstock[#All],8,FALSE)</f>
        <v>1</v>
      </c>
      <c r="L188" s="152" t="str">
        <f>VLOOKUP(woodflow[[#This Row],[From]],woodstock[#All],9,FALSE)</f>
        <v>nan</v>
      </c>
      <c r="M188" s="152" t="str">
        <f>VLOOKUP(woodflow[[#This Row],[to]],woodstock[#All],9,FALSE)</f>
        <v>50-51-52-53-54-55</v>
      </c>
      <c r="N188" s="157">
        <f>('faostat-data'!Q54/'production-mass-balance'!B34)*SUM('production-mass-balance'!B29:B33)</f>
        <v>95.12725718509661</v>
      </c>
      <c r="O188" s="148" t="s">
        <v>921</v>
      </c>
      <c r="P188" s="148" t="s">
        <v>453</v>
      </c>
      <c r="Q188" s="148" t="s">
        <v>227</v>
      </c>
      <c r="R188" s="1"/>
      <c r="S188" s="1"/>
      <c r="T188" s="1"/>
      <c r="U188" s="1"/>
      <c r="V188" s="1"/>
    </row>
    <row r="189" spans="1:22" x14ac:dyDescent="0.3">
      <c r="A189" s="5" t="str">
        <f>CONCATENATE("F",IF(B189&lt;&gt;"",COUNTA($B$2:B189),""))</f>
        <v>F108</v>
      </c>
      <c r="B189" s="5" t="s">
        <v>268</v>
      </c>
      <c r="C189" s="148" t="s">
        <v>29</v>
      </c>
      <c r="D189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89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54.331743569920398</v>
      </c>
      <c r="F189" s="148">
        <f>VLOOKUP(woodflow[[#This Row],[From]],woodstock[#All],4,FALSE)</f>
        <v>2021</v>
      </c>
      <c r="G189" s="5" t="str">
        <f>VLOOKUP(woodflow[[#This Row],[From]],woodstock[#All],5,FALSE)</f>
        <v>Global</v>
      </c>
      <c r="H189" s="151" t="str">
        <f>VLOOKUP(woodflow[[#This Row],[From]],woodstock[#All],7,FALSE)</f>
        <v>19</v>
      </c>
      <c r="I189" s="151" t="str">
        <f>VLOOKUP(woodflow[[#This Row],[to]],woodstock[#All],7,FALSE)</f>
        <v>50</v>
      </c>
      <c r="J189" s="151" t="str">
        <f>VLOOKUP(woodflow[[#This Row],[From]],woodstock[#All],8,FALSE)</f>
        <v>0</v>
      </c>
      <c r="K189" s="151" t="str">
        <f>VLOOKUP(woodflow[[#This Row],[to]],woodstock[#All],8,FALSE)</f>
        <v>0</v>
      </c>
      <c r="L189" s="152" t="str">
        <f>VLOOKUP(woodflow[[#This Row],[From]],woodstock[#All],9,FALSE)</f>
        <v>nan</v>
      </c>
      <c r="M189" s="152" t="str">
        <f>VLOOKUP(woodflow[[#This Row],[to]],woodstock[#All],9,FALSE)</f>
        <v>nan</v>
      </c>
      <c r="N189" s="157">
        <f>$N$188*woodratio!I73</f>
        <v>54.331743569920398</v>
      </c>
      <c r="O189" s="148" t="s">
        <v>920</v>
      </c>
      <c r="P189" s="148" t="s">
        <v>233</v>
      </c>
      <c r="Q189" s="148"/>
      <c r="R189" s="1"/>
      <c r="S189" s="1"/>
      <c r="T189" s="1"/>
      <c r="U189" s="1"/>
      <c r="V189" s="1"/>
    </row>
    <row r="190" spans="1:22" x14ac:dyDescent="0.3">
      <c r="A190" s="5" t="str">
        <f>CONCATENATE("F",IF(B190&lt;&gt;"",COUNTA($B$2:B190),""))</f>
        <v>F109</v>
      </c>
      <c r="B190" s="5" t="s">
        <v>268</v>
      </c>
      <c r="C190" s="148" t="s">
        <v>73</v>
      </c>
      <c r="D19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19.782936827209529</v>
      </c>
      <c r="F190" s="148">
        <f>VLOOKUP(woodflow[[#This Row],[From]],woodstock[#All],4,FALSE)</f>
        <v>2021</v>
      </c>
      <c r="G190" s="5" t="str">
        <f>VLOOKUP(woodflow[[#This Row],[From]],woodstock[#All],5,FALSE)</f>
        <v>Global</v>
      </c>
      <c r="H190" s="151" t="str">
        <f>VLOOKUP(woodflow[[#This Row],[From]],woodstock[#All],7,FALSE)</f>
        <v>19</v>
      </c>
      <c r="I190" s="151" t="str">
        <f>VLOOKUP(woodflow[[#This Row],[to]],woodstock[#All],7,FALSE)</f>
        <v>51</v>
      </c>
      <c r="J190" s="151" t="str">
        <f>VLOOKUP(woodflow[[#This Row],[From]],woodstock[#All],8,FALSE)</f>
        <v>0</v>
      </c>
      <c r="K190" s="151" t="str">
        <f>VLOOKUP(woodflow[[#This Row],[to]],woodstock[#All],8,FALSE)</f>
        <v>0</v>
      </c>
      <c r="L190" s="152" t="str">
        <f>VLOOKUP(woodflow[[#This Row],[From]],woodstock[#All],9,FALSE)</f>
        <v>nan</v>
      </c>
      <c r="M190" s="152" t="str">
        <f>VLOOKUP(woodflow[[#This Row],[to]],woodstock[#All],9,FALSE)</f>
        <v>nan</v>
      </c>
      <c r="N190" s="157">
        <f>$N$188*woodratio!I74</f>
        <v>19.782936827209529</v>
      </c>
      <c r="O190" s="148" t="s">
        <v>920</v>
      </c>
      <c r="P190" s="148" t="s">
        <v>233</v>
      </c>
      <c r="Q190" s="148"/>
      <c r="R190" s="1"/>
      <c r="S190" s="1"/>
      <c r="T190" s="1"/>
      <c r="U190" s="1"/>
      <c r="V190" s="1"/>
    </row>
    <row r="191" spans="1:22" x14ac:dyDescent="0.3">
      <c r="A191" s="5" t="str">
        <f>CONCATENATE("F",IF(B191&lt;&gt;"",COUNTA($B$2:B191),""))</f>
        <v>F110</v>
      </c>
      <c r="B191" s="5" t="s">
        <v>268</v>
      </c>
      <c r="C191" s="148" t="s">
        <v>30</v>
      </c>
      <c r="D19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13.315438249083336</v>
      </c>
      <c r="F191" s="148">
        <f>VLOOKUP(woodflow[[#This Row],[From]],woodstock[#All],4,FALSE)</f>
        <v>2021</v>
      </c>
      <c r="G191" s="5" t="str">
        <f>VLOOKUP(woodflow[[#This Row],[From]],woodstock[#All],5,FALSE)</f>
        <v>Global</v>
      </c>
      <c r="H191" s="151" t="str">
        <f>VLOOKUP(woodflow[[#This Row],[From]],woodstock[#All],7,FALSE)</f>
        <v>19</v>
      </c>
      <c r="I191" s="151" t="str">
        <f>VLOOKUP(woodflow[[#This Row],[to]],woodstock[#All],7,FALSE)</f>
        <v>52</v>
      </c>
      <c r="J191" s="151" t="str">
        <f>VLOOKUP(woodflow[[#This Row],[From]],woodstock[#All],8,FALSE)</f>
        <v>0</v>
      </c>
      <c r="K191" s="151" t="str">
        <f>VLOOKUP(woodflow[[#This Row],[to]],woodstock[#All],8,FALSE)</f>
        <v>0</v>
      </c>
      <c r="L191" s="152" t="str">
        <f>VLOOKUP(woodflow[[#This Row],[From]],woodstock[#All],9,FALSE)</f>
        <v>nan</v>
      </c>
      <c r="M191" s="152" t="str">
        <f>VLOOKUP(woodflow[[#This Row],[to]],woodstock[#All],9,FALSE)</f>
        <v>nan</v>
      </c>
      <c r="N191" s="157">
        <f>$N$188*woodratio!I75</f>
        <v>13.315438249083336</v>
      </c>
      <c r="O191" s="148" t="s">
        <v>920</v>
      </c>
      <c r="P191" s="148" t="s">
        <v>233</v>
      </c>
      <c r="Q191" s="155"/>
      <c r="R191" s="1"/>
      <c r="S191" s="1"/>
      <c r="T191" s="1"/>
      <c r="U191" s="1"/>
      <c r="V191" s="1"/>
    </row>
    <row r="192" spans="1:22" x14ac:dyDescent="0.3">
      <c r="A192" s="5" t="str">
        <f>CONCATENATE("F",IF(B192&lt;&gt;"",COUNTA($B$2:B192),""))</f>
        <v>F111</v>
      </c>
      <c r="B192" s="5" t="s">
        <v>268</v>
      </c>
      <c r="C192" s="148" t="s">
        <v>80</v>
      </c>
      <c r="D19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2" s="148">
        <f>VLOOKUP(woodflow[[#This Row],[From]],woodstock[#All],4,FALSE)</f>
        <v>2021</v>
      </c>
      <c r="G192" s="5" t="str">
        <f>VLOOKUP(woodflow[[#This Row],[From]],woodstock[#All],5,FALSE)</f>
        <v>Global</v>
      </c>
      <c r="H192" s="151" t="str">
        <f>VLOOKUP(woodflow[[#This Row],[From]],woodstock[#All],7,FALSE)</f>
        <v>19</v>
      </c>
      <c r="I192" s="151" t="str">
        <f>VLOOKUP(woodflow[[#This Row],[to]],woodstock[#All],7,FALSE)</f>
        <v>53</v>
      </c>
      <c r="J192" s="151" t="str">
        <f>VLOOKUP(woodflow[[#This Row],[From]],woodstock[#All],8,FALSE)</f>
        <v>0</v>
      </c>
      <c r="K192" s="151" t="str">
        <f>VLOOKUP(woodflow[[#This Row],[to]],woodstock[#All],8,FALSE)</f>
        <v>0</v>
      </c>
      <c r="L192" s="152" t="str">
        <f>VLOOKUP(woodflow[[#This Row],[From]],woodstock[#All],9,FALSE)</f>
        <v>nan</v>
      </c>
      <c r="M192" s="152" t="str">
        <f>VLOOKUP(woodflow[[#This Row],[to]],woodstock[#All],9,FALSE)</f>
        <v>nan</v>
      </c>
      <c r="N192" s="157">
        <v>0</v>
      </c>
      <c r="O192" s="148" t="s">
        <v>209</v>
      </c>
      <c r="P192" s="148"/>
      <c r="Q192" s="148"/>
      <c r="R192" s="1"/>
      <c r="S192" s="1"/>
      <c r="T192" s="1"/>
      <c r="U192" s="1"/>
      <c r="V192" s="1"/>
    </row>
    <row r="193" spans="1:22" x14ac:dyDescent="0.3">
      <c r="A193" s="5" t="str">
        <f>CONCATENATE("F",IF(B193&lt;&gt;"",COUNTA($B$2:B193),""))</f>
        <v>F112</v>
      </c>
      <c r="B193" s="5" t="s">
        <v>268</v>
      </c>
      <c r="C193" s="148" t="s">
        <v>235</v>
      </c>
      <c r="D19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19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193" s="148">
        <f>VLOOKUP(woodflow[[#This Row],[From]],woodstock[#All],4,FALSE)</f>
        <v>2021</v>
      </c>
      <c r="G193" s="5" t="str">
        <f>VLOOKUP(woodflow[[#This Row],[From]],woodstock[#All],5,FALSE)</f>
        <v>Global</v>
      </c>
      <c r="H193" s="151" t="str">
        <f>VLOOKUP(woodflow[[#This Row],[From]],woodstock[#All],7,FALSE)</f>
        <v>19</v>
      </c>
      <c r="I193" s="151" t="str">
        <f>VLOOKUP(woodflow[[#This Row],[to]],woodstock[#All],7,FALSE)</f>
        <v>54</v>
      </c>
      <c r="J193" s="151" t="str">
        <f>VLOOKUP(woodflow[[#This Row],[From]],woodstock[#All],8,FALSE)</f>
        <v>0</v>
      </c>
      <c r="K193" s="151" t="str">
        <f>VLOOKUP(woodflow[[#This Row],[to]],woodstock[#All],8,FALSE)</f>
        <v>0</v>
      </c>
      <c r="L193" s="152" t="str">
        <f>VLOOKUP(woodflow[[#This Row],[From]],woodstock[#All],9,FALSE)</f>
        <v>nan</v>
      </c>
      <c r="M193" s="152" t="str">
        <f>VLOOKUP(woodflow[[#This Row],[to]],woodstock[#All],9,FALSE)</f>
        <v>nan</v>
      </c>
      <c r="N193" s="157">
        <v>0</v>
      </c>
      <c r="O193" s="148" t="s">
        <v>209</v>
      </c>
      <c r="P193" s="148"/>
      <c r="Q193" s="148"/>
      <c r="R193" s="1"/>
      <c r="S193" s="1"/>
      <c r="T193" s="1"/>
      <c r="U193" s="1"/>
      <c r="V193" s="1"/>
    </row>
    <row r="194" spans="1:22" x14ac:dyDescent="0.3">
      <c r="A194" s="5" t="str">
        <f>CONCATENATE("F",IF(B194&lt;&gt;"",COUNTA($B$2:B194),""))</f>
        <v>F113</v>
      </c>
      <c r="B194" s="5" t="s">
        <v>268</v>
      </c>
      <c r="C194" s="148" t="s">
        <v>74</v>
      </c>
      <c r="D19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7.6971385388833591</v>
      </c>
      <c r="F194" s="148">
        <f>VLOOKUP(woodflow[[#This Row],[From]],woodstock[#All],4,FALSE)</f>
        <v>2021</v>
      </c>
      <c r="G194" s="5" t="str">
        <f>VLOOKUP(woodflow[[#This Row],[From]],woodstock[#All],5,FALSE)</f>
        <v>Global</v>
      </c>
      <c r="H194" s="151" t="str">
        <f>VLOOKUP(woodflow[[#This Row],[From]],woodstock[#All],7,FALSE)</f>
        <v>19</v>
      </c>
      <c r="I194" s="151" t="str">
        <f>VLOOKUP(woodflow[[#This Row],[to]],woodstock[#All],7,FALSE)</f>
        <v>55</v>
      </c>
      <c r="J194" s="151" t="str">
        <f>VLOOKUP(woodflow[[#This Row],[From]],woodstock[#All],8,FALSE)</f>
        <v>0</v>
      </c>
      <c r="K194" s="151" t="str">
        <f>VLOOKUP(woodflow[[#This Row],[to]],woodstock[#All],8,FALSE)</f>
        <v>0</v>
      </c>
      <c r="L194" s="152" t="str">
        <f>VLOOKUP(woodflow[[#This Row],[From]],woodstock[#All],9,FALSE)</f>
        <v>nan</v>
      </c>
      <c r="M194" s="152" t="str">
        <f>VLOOKUP(woodflow[[#This Row],[to]],woodstock[#All],9,FALSE)</f>
        <v>nan</v>
      </c>
      <c r="N194" s="157">
        <f>$N$188*woodratio!I76</f>
        <v>7.6971385388833591</v>
      </c>
      <c r="O194" s="148" t="s">
        <v>920</v>
      </c>
      <c r="P194" s="148" t="s">
        <v>233</v>
      </c>
      <c r="Q194" s="148"/>
      <c r="R194" s="1"/>
      <c r="S194" s="1"/>
      <c r="T194" s="1"/>
      <c r="U194" s="1"/>
      <c r="V194" s="1"/>
    </row>
    <row r="195" spans="1:22" x14ac:dyDescent="0.3">
      <c r="A195" s="5" t="str">
        <f>CONCATENATE("F",IF(B195&lt;&gt;"",COUNTA($B$2:B195),""))</f>
        <v>F</v>
      </c>
      <c r="B195" s="148"/>
      <c r="C195" s="148"/>
      <c r="D195" s="149"/>
      <c r="E195" s="149"/>
      <c r="F195" s="148"/>
      <c r="G195" s="5"/>
      <c r="H195" s="151"/>
      <c r="I195" s="151"/>
      <c r="J195" s="151"/>
      <c r="K195" s="151"/>
      <c r="L195" s="152"/>
      <c r="M195" s="152"/>
      <c r="N195" s="157"/>
      <c r="O195" s="148"/>
      <c r="P195" s="148"/>
      <c r="Q195" s="148"/>
      <c r="R195" s="1"/>
      <c r="S195" s="1"/>
      <c r="T195" s="1"/>
      <c r="U195" s="1"/>
      <c r="V195" s="1"/>
    </row>
    <row r="196" spans="1:22" x14ac:dyDescent="0.3">
      <c r="A196" s="5" t="str">
        <f>CONCATENATE("F",IF(B196&lt;&gt;"",COUNTA($B$2:B196),""))</f>
        <v>F</v>
      </c>
      <c r="B196" s="148"/>
      <c r="C196" s="148"/>
      <c r="D196" s="149"/>
      <c r="E196" s="149"/>
      <c r="F196" s="148"/>
      <c r="G196" s="5"/>
      <c r="H196" s="151"/>
      <c r="I196" s="151"/>
      <c r="J196" s="151"/>
      <c r="K196" s="151"/>
      <c r="L196" s="152"/>
      <c r="M196" s="152"/>
      <c r="N196" s="157"/>
      <c r="O196" s="148"/>
      <c r="P196" s="148"/>
      <c r="Q196" s="148"/>
      <c r="R196" s="1"/>
      <c r="S196" s="1"/>
      <c r="T196" s="1"/>
      <c r="U196" s="1"/>
      <c r="V196" s="1"/>
    </row>
    <row r="197" spans="1:22" x14ac:dyDescent="0.3">
      <c r="A197" s="5" t="str">
        <f>CONCATENATE("F",IF(B197&lt;&gt;"",COUNTA($B$2:B197),""))</f>
        <v>F114</v>
      </c>
      <c r="B197" s="148" t="s">
        <v>49</v>
      </c>
      <c r="C197" s="148" t="s">
        <v>44</v>
      </c>
      <c r="D19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19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1E-3</v>
      </c>
      <c r="F197" s="148">
        <f>VLOOKUP(woodflow[[#This Row],[From]],woodstock[#All],4,FALSE)</f>
        <v>2021</v>
      </c>
      <c r="G197" s="5" t="str">
        <f>VLOOKUP(woodflow[[#This Row],[From]],woodstock[#All],5,FALSE)</f>
        <v>Global</v>
      </c>
      <c r="H197" s="151" t="str">
        <f>VLOOKUP(woodflow[[#This Row],[From]],woodstock[#All],7,FALSE)</f>
        <v>20</v>
      </c>
      <c r="I197" s="151" t="str">
        <f>VLOOKUP(woodflow[[#This Row],[to]],woodstock[#All],7,FALSE)</f>
        <v>21</v>
      </c>
      <c r="J197" s="151" t="str">
        <f>VLOOKUP(woodflow[[#This Row],[From]],woodstock[#All],8,FALSE)</f>
        <v>0</v>
      </c>
      <c r="K197" s="151" t="str">
        <f>VLOOKUP(woodflow[[#This Row],[to]],woodstock[#All],8,FALSE)</f>
        <v>0</v>
      </c>
      <c r="L197" s="152" t="str">
        <f>VLOOKUP(woodflow[[#This Row],[From]],woodstock[#All],9,FALSE)</f>
        <v>nan</v>
      </c>
      <c r="M197" s="152" t="str">
        <f>VLOOKUP(woodflow[[#This Row],[to]],woodstock[#All],9,FALSE)</f>
        <v>nan</v>
      </c>
      <c r="N197" s="157">
        <f>1*10^-3</f>
        <v>1E-3</v>
      </c>
      <c r="O197" s="148" t="s">
        <v>920</v>
      </c>
      <c r="P197" s="156" t="s">
        <v>342</v>
      </c>
      <c r="Q197" s="148"/>
      <c r="R197" s="1"/>
      <c r="S197" s="1"/>
      <c r="T197" s="1"/>
      <c r="U197" s="1"/>
      <c r="V197" s="1"/>
    </row>
    <row r="198" spans="1:22" x14ac:dyDescent="0.3">
      <c r="A198" s="5" t="str">
        <f>CONCATENATE("F",IF(B198&lt;&gt;"",COUNTA($B$2:B198),""))</f>
        <v>F</v>
      </c>
      <c r="B198" s="148"/>
      <c r="C198" s="148"/>
      <c r="D198" s="149"/>
      <c r="E198" s="149"/>
      <c r="F198" s="148"/>
      <c r="G198" s="5"/>
      <c r="H198" s="151"/>
      <c r="I198" s="151"/>
      <c r="J198" s="151"/>
      <c r="K198" s="151"/>
      <c r="L198" s="152"/>
      <c r="M198" s="152"/>
      <c r="N198" s="157"/>
      <c r="O198" s="148"/>
      <c r="P198" s="148"/>
      <c r="Q198" s="148"/>
      <c r="R198" s="1"/>
      <c r="S198" s="1"/>
      <c r="T198" s="1"/>
      <c r="U198" s="1"/>
      <c r="V198" s="1"/>
    </row>
    <row r="199" spans="1:22" x14ac:dyDescent="0.3">
      <c r="A199" s="5" t="str">
        <f>CONCATENATE("F",IF(B199&lt;&gt;"",COUNTA($B$2:B199),""))</f>
        <v>F</v>
      </c>
      <c r="B199" s="148"/>
      <c r="C199" s="148"/>
      <c r="D199" s="149"/>
      <c r="E199" s="149"/>
      <c r="F199" s="148"/>
      <c r="G199" s="5"/>
      <c r="H199" s="151"/>
      <c r="I199" s="151"/>
      <c r="J199" s="151"/>
      <c r="K199" s="151"/>
      <c r="L199" s="152"/>
      <c r="M199" s="152"/>
      <c r="N199" s="157"/>
      <c r="O199" s="148"/>
      <c r="P199" s="148"/>
      <c r="Q199" s="148"/>
      <c r="R199" s="1"/>
      <c r="S199" s="1"/>
      <c r="T199" s="1"/>
      <c r="U199" s="1"/>
      <c r="V199" s="1"/>
    </row>
    <row r="200" spans="1:22" x14ac:dyDescent="0.3">
      <c r="A200" s="5" t="str">
        <f>CONCATENATE("F",IF(B200&lt;&gt;"",COUNTA($B$2:B200),""))</f>
        <v>F115</v>
      </c>
      <c r="B200" s="148" t="s">
        <v>49</v>
      </c>
      <c r="C200" s="148" t="s">
        <v>51</v>
      </c>
      <c r="D20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10.338887192399998</v>
      </c>
      <c r="E20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0" s="148">
        <f>VLOOKUP(woodflow[[#This Row],[From]],woodstock[#All],4,FALSE)</f>
        <v>2021</v>
      </c>
      <c r="G200" s="5" t="str">
        <f>VLOOKUP(woodflow[[#This Row],[From]],woodstock[#All],5,FALSE)</f>
        <v>Global</v>
      </c>
      <c r="H200" s="151" t="str">
        <f>VLOOKUP(woodflow[[#This Row],[From]],woodstock[#All],7,FALSE)</f>
        <v>20</v>
      </c>
      <c r="I200" s="151" t="str">
        <f>VLOOKUP(woodflow[[#This Row],[to]],woodstock[#All],7,FALSE)</f>
        <v>15</v>
      </c>
      <c r="J200" s="151" t="str">
        <f>VLOOKUP(woodflow[[#This Row],[From]],woodstock[#All],8,FALSE)</f>
        <v>0</v>
      </c>
      <c r="K200" s="151" t="str">
        <f>VLOOKUP(woodflow[[#This Row],[to]],woodstock[#All],8,FALSE)</f>
        <v>1</v>
      </c>
      <c r="L200" s="152" t="str">
        <f>VLOOKUP(woodflow[[#This Row],[From]],woodstock[#All],9,FALSE)</f>
        <v>nan</v>
      </c>
      <c r="M200" s="152" t="str">
        <f>VLOOKUP(woodflow[[#This Row],[to]],woodstock[#All],9,FALSE)</f>
        <v>37-38-39-40-41-42</v>
      </c>
      <c r="N200" s="157">
        <f>'faostat-data'!Q57+'faostat-data'!Q58-'faostat-data'!Q59</f>
        <v>10.338887192399998</v>
      </c>
      <c r="O200" s="148" t="s">
        <v>921</v>
      </c>
      <c r="P200" s="148"/>
      <c r="Q200" s="148" t="s">
        <v>227</v>
      </c>
      <c r="R200" s="1"/>
      <c r="S200" s="1"/>
      <c r="T200" s="1"/>
      <c r="U200" s="1"/>
      <c r="V200" s="1"/>
    </row>
    <row r="201" spans="1:22" x14ac:dyDescent="0.3">
      <c r="A201" s="5" t="str">
        <f>CONCATENATE("F",IF(B201&lt;&gt;"",COUNTA($B$2:B201),""))</f>
        <v>F116</v>
      </c>
      <c r="B201" s="148" t="s">
        <v>49</v>
      </c>
      <c r="C201" s="148" t="s">
        <v>36</v>
      </c>
      <c r="D20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0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1" s="148">
        <f>VLOOKUP(woodflow[[#This Row],[From]],woodstock[#All],4,FALSE)</f>
        <v>2021</v>
      </c>
      <c r="G201" s="5" t="str">
        <f>VLOOKUP(woodflow[[#This Row],[From]],woodstock[#All],5,FALSE)</f>
        <v>Global</v>
      </c>
      <c r="H201" s="151" t="str">
        <f>VLOOKUP(woodflow[[#This Row],[From]],woodstock[#All],7,FALSE)</f>
        <v>20</v>
      </c>
      <c r="I201" s="151" t="str">
        <f>VLOOKUP(woodflow[[#This Row],[to]],woodstock[#All],7,FALSE)</f>
        <v>37</v>
      </c>
      <c r="J201" s="151" t="str">
        <f>VLOOKUP(woodflow[[#This Row],[From]],woodstock[#All],8,FALSE)</f>
        <v>0</v>
      </c>
      <c r="K201" s="151" t="str">
        <f>VLOOKUP(woodflow[[#This Row],[to]],woodstock[#All],8,FALSE)</f>
        <v>0</v>
      </c>
      <c r="L201" s="152" t="str">
        <f>VLOOKUP(woodflow[[#This Row],[From]],woodstock[#All],9,FALSE)</f>
        <v>nan</v>
      </c>
      <c r="M201" s="152" t="str">
        <f>VLOOKUP(woodflow[[#This Row],[to]],woodstock[#All],9,FALSE)</f>
        <v>nan</v>
      </c>
      <c r="N201" s="157">
        <v>0</v>
      </c>
      <c r="O201" s="148" t="s">
        <v>209</v>
      </c>
      <c r="P201" s="148"/>
      <c r="Q201" s="148"/>
      <c r="R201" s="1"/>
      <c r="S201" s="1"/>
      <c r="T201" s="1"/>
      <c r="U201" s="1"/>
      <c r="V201" s="1"/>
    </row>
    <row r="202" spans="1:22" x14ac:dyDescent="0.3">
      <c r="A202" s="5" t="str">
        <f>CONCATENATE("F",IF(B202&lt;&gt;"",COUNTA($B$2:B202),""))</f>
        <v>F117</v>
      </c>
      <c r="B202" s="148" t="s">
        <v>49</v>
      </c>
      <c r="C202" s="148" t="s">
        <v>37</v>
      </c>
      <c r="D20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2.0677774384799998</v>
      </c>
      <c r="F202" s="148">
        <f>VLOOKUP(woodflow[[#This Row],[From]],woodstock[#All],4,FALSE)</f>
        <v>2021</v>
      </c>
      <c r="G202" s="5" t="str">
        <f>VLOOKUP(woodflow[[#This Row],[From]],woodstock[#All],5,FALSE)</f>
        <v>Global</v>
      </c>
      <c r="H202" s="151" t="str">
        <f>VLOOKUP(woodflow[[#This Row],[From]],woodstock[#All],7,FALSE)</f>
        <v>20</v>
      </c>
      <c r="I202" s="151" t="str">
        <f>VLOOKUP(woodflow[[#This Row],[to]],woodstock[#All],7,FALSE)</f>
        <v>38</v>
      </c>
      <c r="J202" s="151" t="str">
        <f>VLOOKUP(woodflow[[#This Row],[From]],woodstock[#All],8,FALSE)</f>
        <v>0</v>
      </c>
      <c r="K202" s="151" t="str">
        <f>VLOOKUP(woodflow[[#This Row],[to]],woodstock[#All],8,FALSE)</f>
        <v>0</v>
      </c>
      <c r="L202" s="152" t="str">
        <f>VLOOKUP(woodflow[[#This Row],[From]],woodstock[#All],9,FALSE)</f>
        <v>nan</v>
      </c>
      <c r="M202" s="152" t="str">
        <f>VLOOKUP(woodflow[[#This Row],[to]],woodstock[#All],9,FALSE)</f>
        <v>nan</v>
      </c>
      <c r="N202" s="157">
        <f>$N$200*woodratio!I79</f>
        <v>2.0677774384799998</v>
      </c>
      <c r="O202" s="148" t="s">
        <v>920</v>
      </c>
      <c r="P202" s="148" t="s">
        <v>233</v>
      </c>
      <c r="Q202" s="148"/>
      <c r="R202" s="1"/>
      <c r="S202" s="1"/>
      <c r="T202" s="1"/>
      <c r="U202" s="1"/>
      <c r="V202" s="1"/>
    </row>
    <row r="203" spans="1:22" x14ac:dyDescent="0.3">
      <c r="A203" s="5" t="str">
        <f>CONCATENATE("F",IF(B203&lt;&gt;"",COUNTA($B$2:B203),""))</f>
        <v>F118</v>
      </c>
      <c r="B203" s="148" t="s">
        <v>49</v>
      </c>
      <c r="C203" s="148" t="s">
        <v>39</v>
      </c>
      <c r="D20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0.51694435961999996</v>
      </c>
      <c r="F203" s="148">
        <f>VLOOKUP(woodflow[[#This Row],[From]],woodstock[#All],4,FALSE)</f>
        <v>2021</v>
      </c>
      <c r="G203" s="5" t="str">
        <f>VLOOKUP(woodflow[[#This Row],[From]],woodstock[#All],5,FALSE)</f>
        <v>Global</v>
      </c>
      <c r="H203" s="151" t="str">
        <f>VLOOKUP(woodflow[[#This Row],[From]],woodstock[#All],7,FALSE)</f>
        <v>20</v>
      </c>
      <c r="I203" s="151" t="str">
        <f>VLOOKUP(woodflow[[#This Row],[to]],woodstock[#All],7,FALSE)</f>
        <v>39</v>
      </c>
      <c r="J203" s="151" t="str">
        <f>VLOOKUP(woodflow[[#This Row],[From]],woodstock[#All],8,FALSE)</f>
        <v>0</v>
      </c>
      <c r="K203" s="151" t="str">
        <f>VLOOKUP(woodflow[[#This Row],[to]],woodstock[#All],8,FALSE)</f>
        <v>0</v>
      </c>
      <c r="L203" s="152" t="str">
        <f>VLOOKUP(woodflow[[#This Row],[From]],woodstock[#All],9,FALSE)</f>
        <v>nan</v>
      </c>
      <c r="M203" s="152" t="str">
        <f>VLOOKUP(woodflow[[#This Row],[to]],woodstock[#All],9,FALSE)</f>
        <v>nan</v>
      </c>
      <c r="N203" s="157">
        <f>$N$200*woodratio!I80</f>
        <v>0.51694435961999996</v>
      </c>
      <c r="O203" s="148" t="s">
        <v>920</v>
      </c>
      <c r="P203" s="148" t="s">
        <v>233</v>
      </c>
      <c r="Q203" s="148"/>
      <c r="R203" s="1"/>
      <c r="S203" s="1"/>
      <c r="T203" s="1"/>
      <c r="U203" s="1"/>
      <c r="V203" s="1"/>
    </row>
    <row r="204" spans="1:22" x14ac:dyDescent="0.3">
      <c r="A204" s="5" t="str">
        <f>CONCATENATE("F",IF(B204&lt;&gt;"",COUNTA($B$2:B204),""))</f>
        <v>F119</v>
      </c>
      <c r="B204" s="148" t="s">
        <v>49</v>
      </c>
      <c r="C204" s="148" t="s">
        <v>40</v>
      </c>
      <c r="D20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3.6186105173399992</v>
      </c>
      <c r="F204" s="148">
        <f>VLOOKUP(woodflow[[#This Row],[From]],woodstock[#All],4,FALSE)</f>
        <v>2021</v>
      </c>
      <c r="G204" s="5" t="str">
        <f>VLOOKUP(woodflow[[#This Row],[From]],woodstock[#All],5,FALSE)</f>
        <v>Global</v>
      </c>
      <c r="H204" s="151" t="str">
        <f>VLOOKUP(woodflow[[#This Row],[From]],woodstock[#All],7,FALSE)</f>
        <v>20</v>
      </c>
      <c r="I204" s="151" t="str">
        <f>VLOOKUP(woodflow[[#This Row],[to]],woodstock[#All],7,FALSE)</f>
        <v>40</v>
      </c>
      <c r="J204" s="151" t="str">
        <f>VLOOKUP(woodflow[[#This Row],[From]],woodstock[#All],8,FALSE)</f>
        <v>0</v>
      </c>
      <c r="K204" s="151" t="str">
        <f>VLOOKUP(woodflow[[#This Row],[to]],woodstock[#All],8,FALSE)</f>
        <v>0</v>
      </c>
      <c r="L204" s="152" t="str">
        <f>VLOOKUP(woodflow[[#This Row],[From]],woodstock[#All],9,FALSE)</f>
        <v>nan</v>
      </c>
      <c r="M204" s="152" t="str">
        <f>VLOOKUP(woodflow[[#This Row],[to]],woodstock[#All],9,FALSE)</f>
        <v>nan</v>
      </c>
      <c r="N204" s="157">
        <f>$N$200*woodratio!I81</f>
        <v>3.6186105173399992</v>
      </c>
      <c r="O204" s="148" t="s">
        <v>920</v>
      </c>
      <c r="P204" s="148" t="s">
        <v>233</v>
      </c>
      <c r="Q204" s="148"/>
      <c r="R204" s="1"/>
      <c r="S204" s="1"/>
      <c r="T204" s="1"/>
      <c r="U204" s="1"/>
      <c r="V204" s="1"/>
    </row>
    <row r="205" spans="1:22" x14ac:dyDescent="0.3">
      <c r="A205" s="5" t="str">
        <f>CONCATENATE("F",IF(B205&lt;&gt;"",COUNTA($B$2:B205),""))</f>
        <v>F120</v>
      </c>
      <c r="B205" s="148" t="s">
        <v>49</v>
      </c>
      <c r="C205" s="148" t="s">
        <v>41</v>
      </c>
      <c r="D20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2.0677774384799998</v>
      </c>
      <c r="F205" s="148">
        <f>VLOOKUP(woodflow[[#This Row],[From]],woodstock[#All],4,FALSE)</f>
        <v>2021</v>
      </c>
      <c r="G205" s="5" t="str">
        <f>VLOOKUP(woodflow[[#This Row],[From]],woodstock[#All],5,FALSE)</f>
        <v>Global</v>
      </c>
      <c r="H205" s="151" t="str">
        <f>VLOOKUP(woodflow[[#This Row],[From]],woodstock[#All],7,FALSE)</f>
        <v>20</v>
      </c>
      <c r="I205" s="151" t="str">
        <f>VLOOKUP(woodflow[[#This Row],[to]],woodstock[#All],7,FALSE)</f>
        <v>41</v>
      </c>
      <c r="J205" s="151" t="str">
        <f>VLOOKUP(woodflow[[#This Row],[From]],woodstock[#All],8,FALSE)</f>
        <v>0</v>
      </c>
      <c r="K205" s="151" t="str">
        <f>VLOOKUP(woodflow[[#This Row],[to]],woodstock[#All],8,FALSE)</f>
        <v>0</v>
      </c>
      <c r="L205" s="152" t="str">
        <f>VLOOKUP(woodflow[[#This Row],[From]],woodstock[#All],9,FALSE)</f>
        <v>nan</v>
      </c>
      <c r="M205" s="152" t="str">
        <f>VLOOKUP(woodflow[[#This Row],[to]],woodstock[#All],9,FALSE)</f>
        <v>nan</v>
      </c>
      <c r="N205" s="157">
        <f>$N$200*woodratio!I82</f>
        <v>2.0677774384799998</v>
      </c>
      <c r="O205" s="148" t="s">
        <v>920</v>
      </c>
      <c r="P205" s="148" t="s">
        <v>233</v>
      </c>
      <c r="Q205" s="148"/>
      <c r="R205" s="1"/>
      <c r="S205" s="1"/>
      <c r="T205" s="1"/>
      <c r="U205" s="1"/>
      <c r="V205" s="1"/>
    </row>
    <row r="206" spans="1:22" x14ac:dyDescent="0.3">
      <c r="A206" s="5" t="str">
        <f>CONCATENATE("F",IF(B206&lt;&gt;"",COUNTA($B$2:B206),""))</f>
        <v>F121</v>
      </c>
      <c r="B206" s="148" t="s">
        <v>49</v>
      </c>
      <c r="C206" s="148" t="s">
        <v>38</v>
      </c>
      <c r="D20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0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2.0677774384799998</v>
      </c>
      <c r="F206" s="148">
        <f>VLOOKUP(woodflow[[#This Row],[From]],woodstock[#All],4,FALSE)</f>
        <v>2021</v>
      </c>
      <c r="G206" s="5" t="str">
        <f>VLOOKUP(woodflow[[#This Row],[From]],woodstock[#All],5,FALSE)</f>
        <v>Global</v>
      </c>
      <c r="H206" s="151" t="str">
        <f>VLOOKUP(woodflow[[#This Row],[From]],woodstock[#All],7,FALSE)</f>
        <v>20</v>
      </c>
      <c r="I206" s="151" t="str">
        <f>VLOOKUP(woodflow[[#This Row],[to]],woodstock[#All],7,FALSE)</f>
        <v>42</v>
      </c>
      <c r="J206" s="151" t="str">
        <f>VLOOKUP(woodflow[[#This Row],[From]],woodstock[#All],8,FALSE)</f>
        <v>0</v>
      </c>
      <c r="K206" s="151" t="str">
        <f>VLOOKUP(woodflow[[#This Row],[to]],woodstock[#All],8,FALSE)</f>
        <v>0</v>
      </c>
      <c r="L206" s="152" t="str">
        <f>VLOOKUP(woodflow[[#This Row],[From]],woodstock[#All],9,FALSE)</f>
        <v>nan</v>
      </c>
      <c r="M206" s="152" t="str">
        <f>VLOOKUP(woodflow[[#This Row],[to]],woodstock[#All],9,FALSE)</f>
        <v>nan</v>
      </c>
      <c r="N206" s="157">
        <f>$N$200*woodratio!I83</f>
        <v>2.0677774384799998</v>
      </c>
      <c r="O206" s="148" t="s">
        <v>920</v>
      </c>
      <c r="P206" s="148" t="s">
        <v>233</v>
      </c>
      <c r="Q206" s="148"/>
      <c r="R206" s="1"/>
      <c r="S206" s="1"/>
      <c r="T206" s="1"/>
      <c r="U206" s="1"/>
      <c r="V206" s="1"/>
    </row>
    <row r="207" spans="1:22" x14ac:dyDescent="0.3">
      <c r="A207" s="5" t="str">
        <f>CONCATENATE("F",IF(B207&lt;&gt;"",COUNTA($B$2:B207),""))</f>
        <v>F</v>
      </c>
      <c r="B207" s="148"/>
      <c r="C207" s="148"/>
      <c r="D207" s="149"/>
      <c r="E207" s="149"/>
      <c r="F207" s="148"/>
      <c r="G207" s="5"/>
      <c r="H207" s="151"/>
      <c r="I207" s="151"/>
      <c r="J207" s="151"/>
      <c r="K207" s="151"/>
      <c r="L207" s="152"/>
      <c r="M207" s="152"/>
      <c r="N207" s="157"/>
      <c r="O207" s="148"/>
      <c r="P207" s="148"/>
      <c r="Q207" s="148"/>
      <c r="R207" s="1"/>
      <c r="S207" s="1"/>
      <c r="T207" s="1"/>
      <c r="U207" s="1"/>
      <c r="V207" s="1"/>
    </row>
    <row r="208" spans="1:22" x14ac:dyDescent="0.3">
      <c r="A208" s="5" t="str">
        <f>CONCATENATE("F",IF(B208&lt;&gt;"",COUNTA($B$2:B208),""))</f>
        <v>F</v>
      </c>
      <c r="B208" s="148"/>
      <c r="C208" s="148"/>
      <c r="D208" s="149"/>
      <c r="E208" s="149"/>
      <c r="F208" s="148"/>
      <c r="G208" s="5"/>
      <c r="H208" s="151"/>
      <c r="I208" s="151"/>
      <c r="J208" s="151"/>
      <c r="K208" s="151"/>
      <c r="L208" s="152"/>
      <c r="M208" s="152"/>
      <c r="N208" s="157"/>
      <c r="O208" s="148"/>
      <c r="P208" s="148"/>
      <c r="Q208" s="148"/>
      <c r="R208" s="1"/>
      <c r="S208" s="1"/>
      <c r="T208" s="1"/>
      <c r="U208" s="1"/>
      <c r="V208" s="1"/>
    </row>
    <row r="209" spans="1:22" x14ac:dyDescent="0.3">
      <c r="A209" s="5" t="str">
        <f>CONCATENATE("F",IF(B209&lt;&gt;"",COUNTA($B$2:B209),""))</f>
        <v>F122</v>
      </c>
      <c r="B209" s="148" t="s">
        <v>49</v>
      </c>
      <c r="C209" s="148" t="s">
        <v>29</v>
      </c>
      <c r="D20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10.533960535652824</v>
      </c>
      <c r="E20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09" s="148">
        <f>VLOOKUP(woodflow[[#This Row],[From]],woodstock[#All],4,FALSE)</f>
        <v>2021</v>
      </c>
      <c r="G209" s="5" t="str">
        <f>VLOOKUP(woodflow[[#This Row],[From]],woodstock[#All],5,FALSE)</f>
        <v>Global</v>
      </c>
      <c r="H209" s="151" t="str">
        <f>VLOOKUP(woodflow[[#This Row],[From]],woodstock[#All],7,FALSE)</f>
        <v>20</v>
      </c>
      <c r="I209" s="151" t="str">
        <f>VLOOKUP(woodflow[[#This Row],[to]],woodstock[#All],7,FALSE)</f>
        <v>50</v>
      </c>
      <c r="J209" s="151" t="str">
        <f>VLOOKUP(woodflow[[#This Row],[From]],woodstock[#All],8,FALSE)</f>
        <v>0</v>
      </c>
      <c r="K209" s="151" t="str">
        <f>VLOOKUP(woodflow[[#This Row],[to]],woodstock[#All],8,FALSE)</f>
        <v>0</v>
      </c>
      <c r="L209" s="152" t="str">
        <f>VLOOKUP(woodflow[[#This Row],[From]],woodstock[#All],9,FALSE)</f>
        <v>nan</v>
      </c>
      <c r="M209" s="152" t="str">
        <f>VLOOKUP(woodflow[[#This Row],[to]],woodstock[#All],9,FALSE)</f>
        <v>nan</v>
      </c>
      <c r="N209" s="157">
        <f>'faostat-data'!Q57/'production-mass-balance'!B42*SUM('production-mass-balance'!B37:B41)</f>
        <v>10.533960535652824</v>
      </c>
      <c r="O209" s="148" t="s">
        <v>921</v>
      </c>
      <c r="P209" s="148" t="s">
        <v>458</v>
      </c>
      <c r="Q209" s="148"/>
      <c r="R209" s="1"/>
      <c r="S209" s="1"/>
      <c r="T209" s="1"/>
      <c r="U209" s="1"/>
      <c r="V209" s="1"/>
    </row>
    <row r="210" spans="1:22" x14ac:dyDescent="0.3">
      <c r="A210" s="5" t="str">
        <f>CONCATENATE("F",IF(B210&lt;&gt;"",COUNTA($B$2:B210),""))</f>
        <v>F</v>
      </c>
      <c r="B210" s="148"/>
      <c r="C210" s="148"/>
      <c r="D210" s="149"/>
      <c r="E210" s="149"/>
      <c r="F210" s="148"/>
      <c r="G210" s="5"/>
      <c r="H210" s="151"/>
      <c r="I210" s="151"/>
      <c r="J210" s="151"/>
      <c r="K210" s="151"/>
      <c r="L210" s="152"/>
      <c r="M210" s="152"/>
      <c r="N210" s="157"/>
      <c r="O210" s="148"/>
      <c r="P210" s="148"/>
      <c r="Q210" s="148"/>
      <c r="R210" s="1"/>
      <c r="S210" s="1"/>
      <c r="T210" s="1"/>
      <c r="U210" s="1"/>
      <c r="V210" s="1"/>
    </row>
    <row r="211" spans="1:22" x14ac:dyDescent="0.3">
      <c r="A211" s="5" t="str">
        <f>CONCATENATE("F",IF(B211&lt;&gt;"",COUNTA($B$2:B211),""))</f>
        <v>F</v>
      </c>
      <c r="B211" s="148"/>
      <c r="C211" s="148"/>
      <c r="D211" s="149"/>
      <c r="E211" s="149"/>
      <c r="F211" s="148"/>
      <c r="G211" s="5"/>
      <c r="H211" s="151"/>
      <c r="I211" s="151"/>
      <c r="J211" s="151"/>
      <c r="K211" s="151"/>
      <c r="L211" s="152"/>
      <c r="M211" s="152"/>
      <c r="N211" s="157"/>
      <c r="O211" s="148"/>
      <c r="P211" s="148"/>
      <c r="Q211" s="148"/>
      <c r="R211" s="1"/>
      <c r="S211" s="1"/>
      <c r="T211" s="1"/>
      <c r="U211" s="1"/>
      <c r="V211" s="1"/>
    </row>
    <row r="212" spans="1:22" x14ac:dyDescent="0.3">
      <c r="A212" s="5" t="str">
        <f>CONCATENATE("F",IF(B212&lt;&gt;"",COUNTA($B$2:B212),""))</f>
        <v>F123</v>
      </c>
      <c r="B212" s="148" t="s">
        <v>44</v>
      </c>
      <c r="C212" s="148" t="s">
        <v>51</v>
      </c>
      <c r="D21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72.135591974909985</v>
      </c>
      <c r="E21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2" s="148">
        <f>VLOOKUP(woodflow[[#This Row],[From]],woodstock[#All],4,FALSE)</f>
        <v>2021</v>
      </c>
      <c r="G212" s="5" t="str">
        <f>VLOOKUP(woodflow[[#This Row],[From]],woodstock[#All],5,FALSE)</f>
        <v>Global</v>
      </c>
      <c r="H212" s="151" t="str">
        <f>VLOOKUP(woodflow[[#This Row],[From]],woodstock[#All],7,FALSE)</f>
        <v>21</v>
      </c>
      <c r="I212" s="151" t="str">
        <f>VLOOKUP(woodflow[[#This Row],[to]],woodstock[#All],7,FALSE)</f>
        <v>15</v>
      </c>
      <c r="J212" s="151" t="str">
        <f>VLOOKUP(woodflow[[#This Row],[From]],woodstock[#All],8,FALSE)</f>
        <v>0</v>
      </c>
      <c r="K212" s="151" t="str">
        <f>VLOOKUP(woodflow[[#This Row],[to]],woodstock[#All],8,FALSE)</f>
        <v>1</v>
      </c>
      <c r="L212" s="152" t="str">
        <f>VLOOKUP(woodflow[[#This Row],[From]],woodstock[#All],9,FALSE)</f>
        <v>nan</v>
      </c>
      <c r="M212" s="152" t="str">
        <f>VLOOKUP(woodflow[[#This Row],[to]],woodstock[#All],9,FALSE)</f>
        <v>37-38-39-40-41-42</v>
      </c>
      <c r="N212" s="157">
        <f>'faostat-data'!Q60+'faostat-data'!Q61-'faostat-data'!Q62</f>
        <v>72.135591974909985</v>
      </c>
      <c r="O212" s="148" t="s">
        <v>921</v>
      </c>
      <c r="P212" s="148"/>
      <c r="Q212" s="148" t="s">
        <v>227</v>
      </c>
      <c r="R212" s="1"/>
      <c r="S212" s="1"/>
      <c r="T212" s="1"/>
      <c r="U212" s="1"/>
      <c r="V212" s="1"/>
    </row>
    <row r="213" spans="1:22" x14ac:dyDescent="0.3">
      <c r="A213" s="5" t="str">
        <f>CONCATENATE("F",IF(B213&lt;&gt;"",COUNTA($B$2:B213),""))</f>
        <v>F124</v>
      </c>
      <c r="B213" s="148" t="s">
        <v>44</v>
      </c>
      <c r="C213" s="148" t="s">
        <v>36</v>
      </c>
      <c r="D21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1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13" s="148">
        <f>VLOOKUP(woodflow[[#This Row],[From]],woodstock[#All],4,FALSE)</f>
        <v>2021</v>
      </c>
      <c r="G213" s="5" t="str">
        <f>VLOOKUP(woodflow[[#This Row],[From]],woodstock[#All],5,FALSE)</f>
        <v>Global</v>
      </c>
      <c r="H213" s="151" t="str">
        <f>VLOOKUP(woodflow[[#This Row],[From]],woodstock[#All],7,FALSE)</f>
        <v>21</v>
      </c>
      <c r="I213" s="151" t="str">
        <f>VLOOKUP(woodflow[[#This Row],[to]],woodstock[#All],7,FALSE)</f>
        <v>37</v>
      </c>
      <c r="J213" s="151" t="str">
        <f>VLOOKUP(woodflow[[#This Row],[From]],woodstock[#All],8,FALSE)</f>
        <v>0</v>
      </c>
      <c r="K213" s="151" t="str">
        <f>VLOOKUP(woodflow[[#This Row],[to]],woodstock[#All],8,FALSE)</f>
        <v>0</v>
      </c>
      <c r="L213" s="152" t="str">
        <f>VLOOKUP(woodflow[[#This Row],[From]],woodstock[#All],9,FALSE)</f>
        <v>nan</v>
      </c>
      <c r="M213" s="152" t="str">
        <f>VLOOKUP(woodflow[[#This Row],[to]],woodstock[#All],9,FALSE)</f>
        <v>nan</v>
      </c>
      <c r="N213" s="157">
        <v>0</v>
      </c>
      <c r="O213" s="148" t="s">
        <v>209</v>
      </c>
      <c r="P213" s="148"/>
      <c r="Q213" s="148"/>
      <c r="R213" s="1"/>
      <c r="S213" s="1"/>
      <c r="T213" s="1"/>
      <c r="U213" s="1"/>
      <c r="V213" s="1"/>
    </row>
    <row r="214" spans="1:22" x14ac:dyDescent="0.3">
      <c r="A214" s="5" t="str">
        <f>CONCATENATE("F",IF(B214&lt;&gt;"",COUNTA($B$2:B214),""))</f>
        <v>F125</v>
      </c>
      <c r="B214" s="148" t="s">
        <v>44</v>
      </c>
      <c r="C214" s="148" t="s">
        <v>37</v>
      </c>
      <c r="D21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5.7708473579927988</v>
      </c>
      <c r="F214" s="148">
        <f>VLOOKUP(woodflow[[#This Row],[From]],woodstock[#All],4,FALSE)</f>
        <v>2021</v>
      </c>
      <c r="G214" s="5" t="str">
        <f>VLOOKUP(woodflow[[#This Row],[From]],woodstock[#All],5,FALSE)</f>
        <v>Global</v>
      </c>
      <c r="H214" s="151" t="str">
        <f>VLOOKUP(woodflow[[#This Row],[From]],woodstock[#All],7,FALSE)</f>
        <v>21</v>
      </c>
      <c r="I214" s="151" t="str">
        <f>VLOOKUP(woodflow[[#This Row],[to]],woodstock[#All],7,FALSE)</f>
        <v>38</v>
      </c>
      <c r="J214" s="151" t="str">
        <f>VLOOKUP(woodflow[[#This Row],[From]],woodstock[#All],8,FALSE)</f>
        <v>0</v>
      </c>
      <c r="K214" s="151" t="str">
        <f>VLOOKUP(woodflow[[#This Row],[to]],woodstock[#All],8,FALSE)</f>
        <v>0</v>
      </c>
      <c r="L214" s="152" t="str">
        <f>VLOOKUP(woodflow[[#This Row],[From]],woodstock[#All],9,FALSE)</f>
        <v>nan</v>
      </c>
      <c r="M214" s="152" t="str">
        <f>VLOOKUP(woodflow[[#This Row],[to]],woodstock[#All],9,FALSE)</f>
        <v>nan</v>
      </c>
      <c r="N214" s="157">
        <f>$N$212*woodratio!I86</f>
        <v>5.7708473579927988</v>
      </c>
      <c r="O214" s="148" t="s">
        <v>920</v>
      </c>
      <c r="P214" s="148" t="s">
        <v>233</v>
      </c>
      <c r="Q214" s="148"/>
      <c r="R214" s="1"/>
      <c r="S214" s="1"/>
      <c r="T214" s="1"/>
      <c r="U214" s="1"/>
      <c r="V214" s="1"/>
    </row>
    <row r="215" spans="1:22" x14ac:dyDescent="0.3">
      <c r="A215" s="5" t="str">
        <f>CONCATENATE("F",IF(B215&lt;&gt;"",COUNTA($B$2:B215),""))</f>
        <v>F126</v>
      </c>
      <c r="B215" s="148" t="s">
        <v>44</v>
      </c>
      <c r="C215" s="148" t="s">
        <v>39</v>
      </c>
      <c r="D21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0.14427118394981997</v>
      </c>
      <c r="F215" s="148">
        <f>VLOOKUP(woodflow[[#This Row],[From]],woodstock[#All],4,FALSE)</f>
        <v>2021</v>
      </c>
      <c r="G215" s="5" t="str">
        <f>VLOOKUP(woodflow[[#This Row],[From]],woodstock[#All],5,FALSE)</f>
        <v>Global</v>
      </c>
      <c r="H215" s="151" t="str">
        <f>VLOOKUP(woodflow[[#This Row],[From]],woodstock[#All],7,FALSE)</f>
        <v>21</v>
      </c>
      <c r="I215" s="151" t="str">
        <f>VLOOKUP(woodflow[[#This Row],[to]],woodstock[#All],7,FALSE)</f>
        <v>39</v>
      </c>
      <c r="J215" s="151" t="str">
        <f>VLOOKUP(woodflow[[#This Row],[From]],woodstock[#All],8,FALSE)</f>
        <v>0</v>
      </c>
      <c r="K215" s="151" t="str">
        <f>VLOOKUP(woodflow[[#This Row],[to]],woodstock[#All],8,FALSE)</f>
        <v>0</v>
      </c>
      <c r="L215" s="152" t="str">
        <f>VLOOKUP(woodflow[[#This Row],[From]],woodstock[#All],9,FALSE)</f>
        <v>nan</v>
      </c>
      <c r="M215" s="152" t="str">
        <f>VLOOKUP(woodflow[[#This Row],[to]],woodstock[#All],9,FALSE)</f>
        <v>nan</v>
      </c>
      <c r="N215" s="157">
        <f>$N$212*woodratio!I87</f>
        <v>0.14427118394981997</v>
      </c>
      <c r="O215" s="148" t="s">
        <v>920</v>
      </c>
      <c r="P215" s="148" t="s">
        <v>233</v>
      </c>
      <c r="Q215" s="148"/>
      <c r="R215" s="1"/>
      <c r="S215" s="1"/>
      <c r="T215" s="1"/>
      <c r="U215" s="1"/>
      <c r="V215" s="1"/>
    </row>
    <row r="216" spans="1:22" x14ac:dyDescent="0.3">
      <c r="A216" s="5" t="str">
        <f>CONCATENATE("F",IF(B216&lt;&gt;"",COUNTA($B$2:B216),""))</f>
        <v>F127</v>
      </c>
      <c r="B216" s="148" t="s">
        <v>44</v>
      </c>
      <c r="C216" s="148" t="s">
        <v>40</v>
      </c>
      <c r="D21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28.854236789963995</v>
      </c>
      <c r="F216" s="148">
        <f>VLOOKUP(woodflow[[#This Row],[From]],woodstock[#All],4,FALSE)</f>
        <v>2021</v>
      </c>
      <c r="G216" s="5" t="str">
        <f>VLOOKUP(woodflow[[#This Row],[From]],woodstock[#All],5,FALSE)</f>
        <v>Global</v>
      </c>
      <c r="H216" s="151" t="str">
        <f>VLOOKUP(woodflow[[#This Row],[From]],woodstock[#All],7,FALSE)</f>
        <v>21</v>
      </c>
      <c r="I216" s="151" t="str">
        <f>VLOOKUP(woodflow[[#This Row],[to]],woodstock[#All],7,FALSE)</f>
        <v>40</v>
      </c>
      <c r="J216" s="151" t="str">
        <f>VLOOKUP(woodflow[[#This Row],[From]],woodstock[#All],8,FALSE)</f>
        <v>0</v>
      </c>
      <c r="K216" s="151" t="str">
        <f>VLOOKUP(woodflow[[#This Row],[to]],woodstock[#All],8,FALSE)</f>
        <v>0</v>
      </c>
      <c r="L216" s="152" t="str">
        <f>VLOOKUP(woodflow[[#This Row],[From]],woodstock[#All],9,FALSE)</f>
        <v>nan</v>
      </c>
      <c r="M216" s="152" t="str">
        <f>VLOOKUP(woodflow[[#This Row],[to]],woodstock[#All],9,FALSE)</f>
        <v>nan</v>
      </c>
      <c r="N216" s="157">
        <f>$N$212*woodratio!I88</f>
        <v>28.854236789963995</v>
      </c>
      <c r="O216" s="148" t="s">
        <v>920</v>
      </c>
      <c r="P216" s="148" t="s">
        <v>233</v>
      </c>
      <c r="Q216" s="148"/>
      <c r="R216" s="1"/>
      <c r="S216" s="1"/>
      <c r="T216" s="1"/>
      <c r="U216" s="1"/>
      <c r="V216" s="1"/>
    </row>
    <row r="217" spans="1:22" x14ac:dyDescent="0.3">
      <c r="A217" s="5" t="str">
        <f>CONCATENATE("F",IF(B217&lt;&gt;"",COUNTA($B$2:B217),""))</f>
        <v>F128</v>
      </c>
      <c r="B217" s="148" t="s">
        <v>44</v>
      </c>
      <c r="C217" s="148" t="s">
        <v>41</v>
      </c>
      <c r="D21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19.332338649275876</v>
      </c>
      <c r="F217" s="148">
        <f>VLOOKUP(woodflow[[#This Row],[From]],woodstock[#All],4,FALSE)</f>
        <v>2021</v>
      </c>
      <c r="G217" s="5" t="str">
        <f>VLOOKUP(woodflow[[#This Row],[From]],woodstock[#All],5,FALSE)</f>
        <v>Global</v>
      </c>
      <c r="H217" s="151" t="str">
        <f>VLOOKUP(woodflow[[#This Row],[From]],woodstock[#All],7,FALSE)</f>
        <v>21</v>
      </c>
      <c r="I217" s="151" t="str">
        <f>VLOOKUP(woodflow[[#This Row],[to]],woodstock[#All],7,FALSE)</f>
        <v>41</v>
      </c>
      <c r="J217" s="151" t="str">
        <f>VLOOKUP(woodflow[[#This Row],[From]],woodstock[#All],8,FALSE)</f>
        <v>0</v>
      </c>
      <c r="K217" s="151" t="str">
        <f>VLOOKUP(woodflow[[#This Row],[to]],woodstock[#All],8,FALSE)</f>
        <v>0</v>
      </c>
      <c r="L217" s="152" t="str">
        <f>VLOOKUP(woodflow[[#This Row],[From]],woodstock[#All],9,FALSE)</f>
        <v>nan</v>
      </c>
      <c r="M217" s="152" t="str">
        <f>VLOOKUP(woodflow[[#This Row],[to]],woodstock[#All],9,FALSE)</f>
        <v>nan</v>
      </c>
      <c r="N217" s="157">
        <f>$N$212*woodratio!I89</f>
        <v>19.332338649275876</v>
      </c>
      <c r="O217" s="148" t="s">
        <v>920</v>
      </c>
      <c r="P217" s="148" t="s">
        <v>233</v>
      </c>
      <c r="Q217" s="148"/>
      <c r="R217" s="1"/>
      <c r="S217" s="1"/>
      <c r="T217" s="1"/>
      <c r="U217" s="1"/>
      <c r="V217" s="1"/>
    </row>
    <row r="218" spans="1:22" x14ac:dyDescent="0.3">
      <c r="A218" s="5" t="str">
        <f>CONCATENATE("F",IF(B218&lt;&gt;"",COUNTA($B$2:B218),""))</f>
        <v>F129</v>
      </c>
      <c r="B218" s="148" t="s">
        <v>44</v>
      </c>
      <c r="C218" s="148" t="s">
        <v>38</v>
      </c>
      <c r="D21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18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18.033897993727496</v>
      </c>
      <c r="F218" s="148">
        <f>VLOOKUP(woodflow[[#This Row],[From]],woodstock[#All],4,FALSE)</f>
        <v>2021</v>
      </c>
      <c r="G218" s="5" t="str">
        <f>VLOOKUP(woodflow[[#This Row],[From]],woodstock[#All],5,FALSE)</f>
        <v>Global</v>
      </c>
      <c r="H218" s="151" t="str">
        <f>VLOOKUP(woodflow[[#This Row],[From]],woodstock[#All],7,FALSE)</f>
        <v>21</v>
      </c>
      <c r="I218" s="151" t="str">
        <f>VLOOKUP(woodflow[[#This Row],[to]],woodstock[#All],7,FALSE)</f>
        <v>42</v>
      </c>
      <c r="J218" s="151" t="str">
        <f>VLOOKUP(woodflow[[#This Row],[From]],woodstock[#All],8,FALSE)</f>
        <v>0</v>
      </c>
      <c r="K218" s="151" t="str">
        <f>VLOOKUP(woodflow[[#This Row],[to]],woodstock[#All],8,FALSE)</f>
        <v>0</v>
      </c>
      <c r="L218" s="152" t="str">
        <f>VLOOKUP(woodflow[[#This Row],[From]],woodstock[#All],9,FALSE)</f>
        <v>nan</v>
      </c>
      <c r="M218" s="152" t="str">
        <f>VLOOKUP(woodflow[[#This Row],[to]],woodstock[#All],9,FALSE)</f>
        <v>nan</v>
      </c>
      <c r="N218" s="157">
        <f>$N$212*woodratio!I90</f>
        <v>18.033897993727496</v>
      </c>
      <c r="O218" s="148" t="s">
        <v>920</v>
      </c>
      <c r="P218" s="148" t="s">
        <v>233</v>
      </c>
      <c r="Q218" s="148"/>
      <c r="R218" s="1"/>
      <c r="S218" s="1"/>
      <c r="T218" s="1"/>
      <c r="U218" s="1"/>
      <c r="V218" s="1"/>
    </row>
    <row r="219" spans="1:22" x14ac:dyDescent="0.3">
      <c r="A219" s="5" t="str">
        <f>CONCATENATE("F",IF(B219&lt;&gt;"",COUNTA($B$2:B219),""))</f>
        <v>F</v>
      </c>
      <c r="B219" s="148"/>
      <c r="C219" s="148"/>
      <c r="D219" s="149"/>
      <c r="E219" s="149"/>
      <c r="F219" s="148"/>
      <c r="G219" s="5"/>
      <c r="H219" s="151"/>
      <c r="I219" s="151"/>
      <c r="J219" s="151"/>
      <c r="K219" s="151"/>
      <c r="L219" s="152"/>
      <c r="M219" s="152"/>
      <c r="N219" s="157"/>
      <c r="O219" s="148"/>
      <c r="P219" s="148"/>
      <c r="Q219" s="148"/>
      <c r="R219" s="1"/>
      <c r="S219" s="1"/>
      <c r="T219" s="1"/>
      <c r="U219" s="1"/>
      <c r="V219" s="1"/>
    </row>
    <row r="220" spans="1:22" x14ac:dyDescent="0.3">
      <c r="A220" s="5" t="str">
        <f>CONCATENATE("F",IF(B220&lt;&gt;"",COUNTA($B$2:B220),""))</f>
        <v>F</v>
      </c>
      <c r="B220" s="148"/>
      <c r="C220" s="148"/>
      <c r="D220" s="149"/>
      <c r="E220" s="149"/>
      <c r="F220" s="148"/>
      <c r="G220" s="5"/>
      <c r="H220" s="151"/>
      <c r="I220" s="151"/>
      <c r="J220" s="151"/>
      <c r="K220" s="151"/>
      <c r="L220" s="152"/>
      <c r="M220" s="152"/>
      <c r="N220" s="157"/>
      <c r="O220" s="148"/>
      <c r="P220" s="148"/>
      <c r="Q220" s="148"/>
      <c r="R220" s="1"/>
      <c r="S220" s="1"/>
      <c r="T220" s="1"/>
      <c r="U220" s="1"/>
      <c r="V220" s="1"/>
    </row>
    <row r="221" spans="1:22" x14ac:dyDescent="0.3">
      <c r="A221" s="5" t="str">
        <f>CONCATENATE("F",IF(B221&lt;&gt;"",COUNTA($B$2:B221),""))</f>
        <v>F130</v>
      </c>
      <c r="B221" s="148" t="s">
        <v>44</v>
      </c>
      <c r="C221" s="148" t="s">
        <v>58</v>
      </c>
      <c r="D22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73.496640880096933</v>
      </c>
      <c r="E22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1" s="148">
        <f>VLOOKUP(woodflow[[#This Row],[From]],woodstock[#All],4,FALSE)</f>
        <v>2021</v>
      </c>
      <c r="G221" s="5" t="str">
        <f>VLOOKUP(woodflow[[#This Row],[From]],woodstock[#All],5,FALSE)</f>
        <v>Global</v>
      </c>
      <c r="H221" s="151" t="str">
        <f>VLOOKUP(woodflow[[#This Row],[From]],woodstock[#All],7,FALSE)</f>
        <v>21</v>
      </c>
      <c r="I221" s="151" t="str">
        <f>VLOOKUP(woodflow[[#This Row],[to]],woodstock[#All],7,FALSE)</f>
        <v>18</v>
      </c>
      <c r="J221" s="151" t="str">
        <f>VLOOKUP(woodflow[[#This Row],[From]],woodstock[#All],8,FALSE)</f>
        <v>0</v>
      </c>
      <c r="K221" s="151" t="str">
        <f>VLOOKUP(woodflow[[#This Row],[to]],woodstock[#All],8,FALSE)</f>
        <v>1</v>
      </c>
      <c r="L221" s="152" t="str">
        <f>VLOOKUP(woodflow[[#This Row],[From]],woodstock[#All],9,FALSE)</f>
        <v>nan</v>
      </c>
      <c r="M221" s="152" t="str">
        <f>VLOOKUP(woodflow[[#This Row],[to]],woodstock[#All],9,FALSE)</f>
        <v>50-51-52-53-54-55</v>
      </c>
      <c r="N221" s="157">
        <f>'faostat-data'!Q60/'production-mass-balance'!B42*SUM('production-mass-balance'!B37:B41)</f>
        <v>73.496640880096933</v>
      </c>
      <c r="O221" s="148" t="s">
        <v>921</v>
      </c>
      <c r="P221" s="148" t="s">
        <v>453</v>
      </c>
      <c r="Q221" s="148" t="s">
        <v>227</v>
      </c>
      <c r="R221" s="1"/>
      <c r="S221" s="1"/>
      <c r="T221" s="1"/>
      <c r="U221" s="1"/>
      <c r="V221" s="1"/>
    </row>
    <row r="222" spans="1:22" x14ac:dyDescent="0.3">
      <c r="A222" s="5" t="str">
        <f>CONCATENATE("F",IF(B222&lt;&gt;"",COUNTA($B$2:B222),""))</f>
        <v>F131</v>
      </c>
      <c r="B222" s="148" t="s">
        <v>44</v>
      </c>
      <c r="C222" s="148" t="s">
        <v>29</v>
      </c>
      <c r="D22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54.387514251271739</v>
      </c>
      <c r="E22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2" s="148">
        <f>VLOOKUP(woodflow[[#This Row],[From]],woodstock[#All],4,FALSE)</f>
        <v>2021</v>
      </c>
      <c r="G222" s="5" t="str">
        <f>VLOOKUP(woodflow[[#This Row],[From]],woodstock[#All],5,FALSE)</f>
        <v>Global</v>
      </c>
      <c r="H222" s="151" t="str">
        <f>VLOOKUP(woodflow[[#This Row],[From]],woodstock[#All],7,FALSE)</f>
        <v>21</v>
      </c>
      <c r="I222" s="151" t="str">
        <f>VLOOKUP(woodflow[[#This Row],[to]],woodstock[#All],7,FALSE)</f>
        <v>50</v>
      </c>
      <c r="J222" s="151" t="str">
        <f>VLOOKUP(woodflow[[#This Row],[From]],woodstock[#All],8,FALSE)</f>
        <v>0</v>
      </c>
      <c r="K222" s="151" t="str">
        <f>VLOOKUP(woodflow[[#This Row],[to]],woodstock[#All],8,FALSE)</f>
        <v>0</v>
      </c>
      <c r="L222" s="152" t="str">
        <f>VLOOKUP(woodflow[[#This Row],[From]],woodstock[#All],9,FALSE)</f>
        <v>nan</v>
      </c>
      <c r="M222" s="152" t="str">
        <f>VLOOKUP(woodflow[[#This Row],[to]],woodstock[#All],9,FALSE)</f>
        <v>nan</v>
      </c>
      <c r="N222" s="157">
        <f>$N$221*woodratio!I93</f>
        <v>54.387514251271739</v>
      </c>
      <c r="O222" s="148" t="s">
        <v>921</v>
      </c>
      <c r="P222" s="148" t="s">
        <v>233</v>
      </c>
      <c r="Q222" s="148"/>
      <c r="R222" s="1"/>
      <c r="S222" s="1"/>
      <c r="T222" s="1"/>
      <c r="U222" s="1"/>
      <c r="V222" s="1"/>
    </row>
    <row r="223" spans="1:22" x14ac:dyDescent="0.3">
      <c r="A223" s="5" t="str">
        <f>CONCATENATE("F",IF(B223&lt;&gt;"",COUNTA($B$2:B223),""))</f>
        <v>F132</v>
      </c>
      <c r="B223" s="148" t="s">
        <v>44</v>
      </c>
      <c r="C223" s="148" t="s">
        <v>73</v>
      </c>
      <c r="D22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4.4097984528058163</v>
      </c>
      <c r="E22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3" s="148">
        <f>VLOOKUP(woodflow[[#This Row],[From]],woodstock[#All],4,FALSE)</f>
        <v>2021</v>
      </c>
      <c r="G223" s="5" t="str">
        <f>VLOOKUP(woodflow[[#This Row],[From]],woodstock[#All],5,FALSE)</f>
        <v>Global</v>
      </c>
      <c r="H223" s="151" t="str">
        <f>VLOOKUP(woodflow[[#This Row],[From]],woodstock[#All],7,FALSE)</f>
        <v>21</v>
      </c>
      <c r="I223" s="151" t="str">
        <f>VLOOKUP(woodflow[[#This Row],[to]],woodstock[#All],7,FALSE)</f>
        <v>51</v>
      </c>
      <c r="J223" s="151" t="str">
        <f>VLOOKUP(woodflow[[#This Row],[From]],woodstock[#All],8,FALSE)</f>
        <v>0</v>
      </c>
      <c r="K223" s="151" t="str">
        <f>VLOOKUP(woodflow[[#This Row],[to]],woodstock[#All],8,FALSE)</f>
        <v>0</v>
      </c>
      <c r="L223" s="152" t="str">
        <f>VLOOKUP(woodflow[[#This Row],[From]],woodstock[#All],9,FALSE)</f>
        <v>nan</v>
      </c>
      <c r="M223" s="152" t="str">
        <f>VLOOKUP(woodflow[[#This Row],[to]],woodstock[#All],9,FALSE)</f>
        <v>nan</v>
      </c>
      <c r="N223" s="157">
        <f>$N$221*woodratio!I94</f>
        <v>4.4097984528058163</v>
      </c>
      <c r="O223" s="148" t="s">
        <v>921</v>
      </c>
      <c r="P223" s="148" t="s">
        <v>233</v>
      </c>
      <c r="Q223" s="148"/>
      <c r="R223" s="1"/>
      <c r="S223" s="1"/>
      <c r="T223" s="1"/>
      <c r="U223" s="1"/>
      <c r="V223" s="1"/>
    </row>
    <row r="224" spans="1:22" x14ac:dyDescent="0.3">
      <c r="A224" s="5" t="str">
        <f>CONCATENATE("F",IF(B224&lt;&gt;"",COUNTA($B$2:B224),""))</f>
        <v>F133</v>
      </c>
      <c r="B224" s="148" t="s">
        <v>44</v>
      </c>
      <c r="C224" s="148" t="s">
        <v>30</v>
      </c>
      <c r="D22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10.289529723213574</v>
      </c>
      <c r="E22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4" s="148">
        <f>VLOOKUP(woodflow[[#This Row],[From]],woodstock[#All],4,FALSE)</f>
        <v>2021</v>
      </c>
      <c r="G224" s="5" t="str">
        <f>VLOOKUP(woodflow[[#This Row],[From]],woodstock[#All],5,FALSE)</f>
        <v>Global</v>
      </c>
      <c r="H224" s="151" t="str">
        <f>VLOOKUP(woodflow[[#This Row],[From]],woodstock[#All],7,FALSE)</f>
        <v>21</v>
      </c>
      <c r="I224" s="151" t="str">
        <f>VLOOKUP(woodflow[[#This Row],[to]],woodstock[#All],7,FALSE)</f>
        <v>52</v>
      </c>
      <c r="J224" s="151" t="str">
        <f>VLOOKUP(woodflow[[#This Row],[From]],woodstock[#All],8,FALSE)</f>
        <v>0</v>
      </c>
      <c r="K224" s="151" t="str">
        <f>VLOOKUP(woodflow[[#This Row],[to]],woodstock[#All],8,FALSE)</f>
        <v>0</v>
      </c>
      <c r="L224" s="152" t="str">
        <f>VLOOKUP(woodflow[[#This Row],[From]],woodstock[#All],9,FALSE)</f>
        <v>nan</v>
      </c>
      <c r="M224" s="152" t="str">
        <f>VLOOKUP(woodflow[[#This Row],[to]],woodstock[#All],9,FALSE)</f>
        <v>nan</v>
      </c>
      <c r="N224" s="157">
        <f>$N$221*woodratio!I95</f>
        <v>10.289529723213574</v>
      </c>
      <c r="O224" s="148" t="s">
        <v>921</v>
      </c>
      <c r="P224" s="148" t="s">
        <v>233</v>
      </c>
      <c r="Q224" s="148"/>
      <c r="R224" s="1"/>
      <c r="S224" s="1"/>
      <c r="T224" s="1"/>
      <c r="U224" s="1"/>
      <c r="V224" s="1"/>
    </row>
    <row r="225" spans="1:22" x14ac:dyDescent="0.3">
      <c r="A225" s="5" t="str">
        <f>CONCATENATE("F",IF(B225&lt;&gt;"",COUNTA($B$2:B225),""))</f>
        <v>F134</v>
      </c>
      <c r="B225" s="148" t="s">
        <v>44</v>
      </c>
      <c r="C225" s="148" t="s">
        <v>80</v>
      </c>
      <c r="D22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5" s="148">
        <f>VLOOKUP(woodflow[[#This Row],[From]],woodstock[#All],4,FALSE)</f>
        <v>2021</v>
      </c>
      <c r="G225" s="5" t="str">
        <f>VLOOKUP(woodflow[[#This Row],[From]],woodstock[#All],5,FALSE)</f>
        <v>Global</v>
      </c>
      <c r="H225" s="151" t="str">
        <f>VLOOKUP(woodflow[[#This Row],[From]],woodstock[#All],7,FALSE)</f>
        <v>21</v>
      </c>
      <c r="I225" s="151" t="str">
        <f>VLOOKUP(woodflow[[#This Row],[to]],woodstock[#All],7,FALSE)</f>
        <v>53</v>
      </c>
      <c r="J225" s="151" t="str">
        <f>VLOOKUP(woodflow[[#This Row],[From]],woodstock[#All],8,FALSE)</f>
        <v>0</v>
      </c>
      <c r="K225" s="151" t="str">
        <f>VLOOKUP(woodflow[[#This Row],[to]],woodstock[#All],8,FALSE)</f>
        <v>0</v>
      </c>
      <c r="L225" s="152" t="str">
        <f>VLOOKUP(woodflow[[#This Row],[From]],woodstock[#All],9,FALSE)</f>
        <v>nan</v>
      </c>
      <c r="M225" s="152" t="str">
        <f>VLOOKUP(woodflow[[#This Row],[to]],woodstock[#All],9,FALSE)</f>
        <v>nan</v>
      </c>
      <c r="N225" s="157">
        <v>0</v>
      </c>
      <c r="O225" s="148" t="s">
        <v>209</v>
      </c>
      <c r="P225" s="148"/>
      <c r="Q225" s="148"/>
      <c r="R225" s="1"/>
      <c r="S225" s="1"/>
      <c r="T225" s="1"/>
      <c r="U225" s="1"/>
      <c r="V225" s="1"/>
    </row>
    <row r="226" spans="1:22" x14ac:dyDescent="0.3">
      <c r="A226" s="5" t="str">
        <f>CONCATENATE("F",IF(B226&lt;&gt;"",COUNTA($B$2:B226),""))</f>
        <v>F135</v>
      </c>
      <c r="B226" s="148" t="s">
        <v>44</v>
      </c>
      <c r="C226" s="148" t="s">
        <v>235</v>
      </c>
      <c r="D22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2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6" s="148">
        <f>VLOOKUP(woodflow[[#This Row],[From]],woodstock[#All],4,FALSE)</f>
        <v>2021</v>
      </c>
      <c r="G226" s="5" t="str">
        <f>VLOOKUP(woodflow[[#This Row],[From]],woodstock[#All],5,FALSE)</f>
        <v>Global</v>
      </c>
      <c r="H226" s="151" t="str">
        <f>VLOOKUP(woodflow[[#This Row],[From]],woodstock[#All],7,FALSE)</f>
        <v>21</v>
      </c>
      <c r="I226" s="151" t="str">
        <f>VLOOKUP(woodflow[[#This Row],[to]],woodstock[#All],7,FALSE)</f>
        <v>54</v>
      </c>
      <c r="J226" s="151" t="str">
        <f>VLOOKUP(woodflow[[#This Row],[From]],woodstock[#All],8,FALSE)</f>
        <v>0</v>
      </c>
      <c r="K226" s="151" t="str">
        <f>VLOOKUP(woodflow[[#This Row],[to]],woodstock[#All],8,FALSE)</f>
        <v>0</v>
      </c>
      <c r="L226" s="152" t="str">
        <f>VLOOKUP(woodflow[[#This Row],[From]],woodstock[#All],9,FALSE)</f>
        <v>nan</v>
      </c>
      <c r="M226" s="152" t="str">
        <f>VLOOKUP(woodflow[[#This Row],[to]],woodstock[#All],9,FALSE)</f>
        <v>nan</v>
      </c>
      <c r="N226" s="157">
        <v>0</v>
      </c>
      <c r="O226" s="148" t="s">
        <v>209</v>
      </c>
      <c r="P226" s="148"/>
      <c r="Q226" s="148"/>
      <c r="R226" s="1"/>
      <c r="S226" s="1"/>
      <c r="T226" s="1"/>
      <c r="U226" s="1"/>
      <c r="V226" s="1"/>
    </row>
    <row r="227" spans="1:22" x14ac:dyDescent="0.3">
      <c r="A227" s="5" t="str">
        <f>CONCATENATE("F",IF(B227&lt;&gt;"",COUNTA($B$2:B227),""))</f>
        <v>F136</v>
      </c>
      <c r="B227" s="148" t="s">
        <v>44</v>
      </c>
      <c r="C227" s="148" t="s">
        <v>74</v>
      </c>
      <c r="D22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4.4097984528058038</v>
      </c>
      <c r="E22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27" s="148">
        <f>VLOOKUP(woodflow[[#This Row],[From]],woodstock[#All],4,FALSE)</f>
        <v>2021</v>
      </c>
      <c r="G227" s="5" t="str">
        <f>VLOOKUP(woodflow[[#This Row],[From]],woodstock[#All],5,FALSE)</f>
        <v>Global</v>
      </c>
      <c r="H227" s="151" t="str">
        <f>VLOOKUP(woodflow[[#This Row],[From]],woodstock[#All],7,FALSE)</f>
        <v>21</v>
      </c>
      <c r="I227" s="151" t="str">
        <f>VLOOKUP(woodflow[[#This Row],[to]],woodstock[#All],7,FALSE)</f>
        <v>55</v>
      </c>
      <c r="J227" s="151" t="str">
        <f>VLOOKUP(woodflow[[#This Row],[From]],woodstock[#All],8,FALSE)</f>
        <v>0</v>
      </c>
      <c r="K227" s="151" t="str">
        <f>VLOOKUP(woodflow[[#This Row],[to]],woodstock[#All],8,FALSE)</f>
        <v>0</v>
      </c>
      <c r="L227" s="152" t="str">
        <f>VLOOKUP(woodflow[[#This Row],[From]],woodstock[#All],9,FALSE)</f>
        <v>nan</v>
      </c>
      <c r="M227" s="152" t="str">
        <f>VLOOKUP(woodflow[[#This Row],[to]],woodstock[#All],9,FALSE)</f>
        <v>nan</v>
      </c>
      <c r="N227" s="157">
        <f>$N$221*woodratio!I96</f>
        <v>4.4097984528058038</v>
      </c>
      <c r="O227" s="148" t="s">
        <v>921</v>
      </c>
      <c r="P227" s="148" t="s">
        <v>233</v>
      </c>
      <c r="Q227" s="148"/>
      <c r="R227" s="1"/>
      <c r="S227" s="1"/>
      <c r="T227" s="1"/>
      <c r="U227" s="1"/>
      <c r="V227" s="1"/>
    </row>
    <row r="228" spans="1:22" x14ac:dyDescent="0.3">
      <c r="A228" s="5" t="str">
        <f>CONCATENATE("F",IF(B228&lt;&gt;"",COUNTA($B$2:B228),""))</f>
        <v>F</v>
      </c>
      <c r="B228" s="148"/>
      <c r="C228" s="148"/>
      <c r="D228" s="149"/>
      <c r="E228" s="149"/>
      <c r="F228" s="148"/>
      <c r="G228" s="5"/>
      <c r="H228" s="151"/>
      <c r="I228" s="151"/>
      <c r="J228" s="151"/>
      <c r="K228" s="151"/>
      <c r="L228" s="152"/>
      <c r="M228" s="152"/>
      <c r="N228" s="157"/>
      <c r="O228" s="148"/>
      <c r="P228" s="148"/>
      <c r="Q228" s="148"/>
      <c r="R228" s="1"/>
      <c r="S228" s="1"/>
      <c r="T228" s="1"/>
      <c r="U228" s="1"/>
      <c r="V228" s="1"/>
    </row>
    <row r="229" spans="1:22" x14ac:dyDescent="0.3">
      <c r="A229" s="5" t="str">
        <f>CONCATENATE("F",IF(B229&lt;&gt;"",COUNTA($B$2:B229),""))</f>
        <v>F</v>
      </c>
      <c r="B229" s="148"/>
      <c r="C229" s="148"/>
      <c r="D229" s="149"/>
      <c r="E229" s="149"/>
      <c r="F229" s="148"/>
      <c r="G229" s="5"/>
      <c r="H229" s="151"/>
      <c r="I229" s="151"/>
      <c r="J229" s="151"/>
      <c r="K229" s="151"/>
      <c r="L229" s="152"/>
      <c r="M229" s="152"/>
      <c r="N229" s="157"/>
      <c r="O229" s="148"/>
      <c r="P229" s="148"/>
      <c r="Q229" s="148"/>
      <c r="R229" s="1"/>
      <c r="S229" s="1"/>
      <c r="T229" s="1"/>
      <c r="U229" s="1"/>
      <c r="V229" s="1"/>
    </row>
    <row r="230" spans="1:22" x14ac:dyDescent="0.3">
      <c r="A230" s="5" t="str">
        <f>CONCATENATE("F",IF(B230&lt;&gt;"",COUNTA($B$2:B230),""))</f>
        <v>F137</v>
      </c>
      <c r="B230" s="148" t="s">
        <v>45</v>
      </c>
      <c r="C230" s="148" t="s">
        <v>51</v>
      </c>
      <c r="D23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57.220760936583339</v>
      </c>
      <c r="E23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0" s="148">
        <f>VLOOKUP(woodflow[[#This Row],[From]],woodstock[#All],4,FALSE)</f>
        <v>2021</v>
      </c>
      <c r="G230" s="5" t="str">
        <f>VLOOKUP(woodflow[[#This Row],[From]],woodstock[#All],5,FALSE)</f>
        <v>Global</v>
      </c>
      <c r="H230" s="151" t="str">
        <f>VLOOKUP(woodflow[[#This Row],[From]],woodstock[#All],7,FALSE)</f>
        <v>22</v>
      </c>
      <c r="I230" s="151" t="str">
        <f>VLOOKUP(woodflow[[#This Row],[to]],woodstock[#All],7,FALSE)</f>
        <v>15</v>
      </c>
      <c r="J230" s="151" t="str">
        <f>VLOOKUP(woodflow[[#This Row],[From]],woodstock[#All],8,FALSE)</f>
        <v>0</v>
      </c>
      <c r="K230" s="151" t="str">
        <f>VLOOKUP(woodflow[[#This Row],[to]],woodstock[#All],8,FALSE)</f>
        <v>1</v>
      </c>
      <c r="L230" s="152" t="str">
        <f>VLOOKUP(woodflow[[#This Row],[From]],woodstock[#All],9,FALSE)</f>
        <v>nan</v>
      </c>
      <c r="M230" s="152" t="str">
        <f>VLOOKUP(woodflow[[#This Row],[to]],woodstock[#All],9,FALSE)</f>
        <v>37-38-39-40-41-42</v>
      </c>
      <c r="N230" s="157">
        <f>'faostat-data'!Q66+'faostat-data'!Q67-'faostat-data'!Q68</f>
        <v>57.220760936583339</v>
      </c>
      <c r="O230" s="148" t="s">
        <v>921</v>
      </c>
      <c r="P230" s="148"/>
      <c r="Q230" s="148" t="s">
        <v>227</v>
      </c>
      <c r="R230" s="1"/>
      <c r="S230" s="1"/>
      <c r="T230" s="1"/>
      <c r="U230" s="1"/>
      <c r="V230" s="1"/>
    </row>
    <row r="231" spans="1:22" x14ac:dyDescent="0.3">
      <c r="A231" s="5" t="str">
        <f>CONCATENATE("F",IF(B231&lt;&gt;"",COUNTA($B$2:B231),""))</f>
        <v>F138</v>
      </c>
      <c r="B231" s="148" t="s">
        <v>45</v>
      </c>
      <c r="C231" s="148" t="s">
        <v>36</v>
      </c>
      <c r="D23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1" s="148">
        <f>VLOOKUP(woodflow[[#This Row],[From]],woodstock[#All],4,FALSE)</f>
        <v>2021</v>
      </c>
      <c r="G231" s="5" t="str">
        <f>VLOOKUP(woodflow[[#This Row],[From]],woodstock[#All],5,FALSE)</f>
        <v>Global</v>
      </c>
      <c r="H231" s="151" t="str">
        <f>VLOOKUP(woodflow[[#This Row],[From]],woodstock[#All],7,FALSE)</f>
        <v>22</v>
      </c>
      <c r="I231" s="151" t="str">
        <f>VLOOKUP(woodflow[[#This Row],[to]],woodstock[#All],7,FALSE)</f>
        <v>37</v>
      </c>
      <c r="J231" s="151" t="str">
        <f>VLOOKUP(woodflow[[#This Row],[From]],woodstock[#All],8,FALSE)</f>
        <v>0</v>
      </c>
      <c r="K231" s="151" t="str">
        <f>VLOOKUP(woodflow[[#This Row],[to]],woodstock[#All],8,FALSE)</f>
        <v>0</v>
      </c>
      <c r="L231" s="152" t="str">
        <f>VLOOKUP(woodflow[[#This Row],[From]],woodstock[#All],9,FALSE)</f>
        <v>nan</v>
      </c>
      <c r="M231" s="152" t="str">
        <f>VLOOKUP(woodflow[[#This Row],[to]],woodstock[#All],9,FALSE)</f>
        <v>nan</v>
      </c>
      <c r="N231" s="157">
        <v>0</v>
      </c>
      <c r="O231" s="148" t="s">
        <v>209</v>
      </c>
      <c r="P231" s="148"/>
      <c r="Q231" s="148"/>
      <c r="R231" s="1"/>
      <c r="S231" s="1"/>
      <c r="T231" s="1"/>
      <c r="U231" s="1"/>
      <c r="V231" s="1"/>
    </row>
    <row r="232" spans="1:22" x14ac:dyDescent="0.3">
      <c r="A232" s="5" t="str">
        <f>CONCATENATE("F",IF(B232&lt;&gt;"",COUNTA($B$2:B232),""))</f>
        <v>F139</v>
      </c>
      <c r="B232" s="148" t="s">
        <v>45</v>
      </c>
      <c r="C232" s="148" t="s">
        <v>37</v>
      </c>
      <c r="D23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1.1444152187316667</v>
      </c>
      <c r="F232" s="148">
        <f>VLOOKUP(woodflow[[#This Row],[From]],woodstock[#All],4,FALSE)</f>
        <v>2021</v>
      </c>
      <c r="G232" s="5" t="str">
        <f>VLOOKUP(woodflow[[#This Row],[From]],woodstock[#All],5,FALSE)</f>
        <v>Global</v>
      </c>
      <c r="H232" s="151" t="str">
        <f>VLOOKUP(woodflow[[#This Row],[From]],woodstock[#All],7,FALSE)</f>
        <v>22</v>
      </c>
      <c r="I232" s="151" t="str">
        <f>VLOOKUP(woodflow[[#This Row],[to]],woodstock[#All],7,FALSE)</f>
        <v>38</v>
      </c>
      <c r="J232" s="151" t="str">
        <f>VLOOKUP(woodflow[[#This Row],[From]],woodstock[#All],8,FALSE)</f>
        <v>0</v>
      </c>
      <c r="K232" s="151" t="str">
        <f>VLOOKUP(woodflow[[#This Row],[to]],woodstock[#All],8,FALSE)</f>
        <v>0</v>
      </c>
      <c r="L232" s="152" t="str">
        <f>VLOOKUP(woodflow[[#This Row],[From]],woodstock[#All],9,FALSE)</f>
        <v>nan</v>
      </c>
      <c r="M232" s="152" t="str">
        <f>VLOOKUP(woodflow[[#This Row],[to]],woodstock[#All],9,FALSE)</f>
        <v>nan</v>
      </c>
      <c r="N232" s="157">
        <f>$N$230*woodratio!I99</f>
        <v>1.1444152187316667</v>
      </c>
      <c r="O232" s="148" t="s">
        <v>920</v>
      </c>
      <c r="P232" s="148" t="s">
        <v>233</v>
      </c>
      <c r="Q232" s="148"/>
      <c r="R232" s="1"/>
      <c r="S232" s="1"/>
      <c r="T232" s="1"/>
      <c r="U232" s="1"/>
      <c r="V232" s="1"/>
    </row>
    <row r="233" spans="1:22" x14ac:dyDescent="0.3">
      <c r="A233" s="5" t="str">
        <f>CONCATENATE("F",IF(B233&lt;&gt;"",COUNTA($B$2:B233),""))</f>
        <v>F140</v>
      </c>
      <c r="B233" s="148" t="s">
        <v>45</v>
      </c>
      <c r="C233" s="148" t="s">
        <v>39</v>
      </c>
      <c r="D23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3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3" s="148">
        <f>VLOOKUP(woodflow[[#This Row],[From]],woodstock[#All],4,FALSE)</f>
        <v>2021</v>
      </c>
      <c r="G233" s="5" t="str">
        <f>VLOOKUP(woodflow[[#This Row],[From]],woodstock[#All],5,FALSE)</f>
        <v>Global</v>
      </c>
      <c r="H233" s="151" t="str">
        <f>VLOOKUP(woodflow[[#This Row],[From]],woodstock[#All],7,FALSE)</f>
        <v>22</v>
      </c>
      <c r="I233" s="151" t="str">
        <f>VLOOKUP(woodflow[[#This Row],[to]],woodstock[#All],7,FALSE)</f>
        <v>39</v>
      </c>
      <c r="J233" s="151" t="str">
        <f>VLOOKUP(woodflow[[#This Row],[From]],woodstock[#All],8,FALSE)</f>
        <v>0</v>
      </c>
      <c r="K233" s="151" t="str">
        <f>VLOOKUP(woodflow[[#This Row],[to]],woodstock[#All],8,FALSE)</f>
        <v>0</v>
      </c>
      <c r="L233" s="152" t="str">
        <f>VLOOKUP(woodflow[[#This Row],[From]],woodstock[#All],9,FALSE)</f>
        <v>nan</v>
      </c>
      <c r="M233" s="152" t="str">
        <f>VLOOKUP(woodflow[[#This Row],[to]],woodstock[#All],9,FALSE)</f>
        <v>nan</v>
      </c>
      <c r="N233" s="157">
        <v>0</v>
      </c>
      <c r="O233" s="148" t="s">
        <v>209</v>
      </c>
      <c r="P233" s="148"/>
      <c r="Q233" s="148"/>
      <c r="R233" s="1"/>
      <c r="S233" s="1"/>
      <c r="T233" s="1"/>
      <c r="U233" s="1"/>
      <c r="V233" s="1"/>
    </row>
    <row r="234" spans="1:22" x14ac:dyDescent="0.3">
      <c r="A234" s="5" t="str">
        <f>CONCATENATE("F",IF(B234&lt;&gt;"",COUNTA($B$2:B234),""))</f>
        <v>F141</v>
      </c>
      <c r="B234" s="148" t="s">
        <v>45</v>
      </c>
      <c r="C234" s="148" t="s">
        <v>40</v>
      </c>
      <c r="D23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15.449605452877503</v>
      </c>
      <c r="F234" s="148">
        <f>VLOOKUP(woodflow[[#This Row],[From]],woodstock[#All],4,FALSE)</f>
        <v>2021</v>
      </c>
      <c r="G234" s="5" t="str">
        <f>VLOOKUP(woodflow[[#This Row],[From]],woodstock[#All],5,FALSE)</f>
        <v>Global</v>
      </c>
      <c r="H234" s="151" t="str">
        <f>VLOOKUP(woodflow[[#This Row],[From]],woodstock[#All],7,FALSE)</f>
        <v>22</v>
      </c>
      <c r="I234" s="151" t="str">
        <f>VLOOKUP(woodflow[[#This Row],[to]],woodstock[#All],7,FALSE)</f>
        <v>40</v>
      </c>
      <c r="J234" s="151" t="str">
        <f>VLOOKUP(woodflow[[#This Row],[From]],woodstock[#All],8,FALSE)</f>
        <v>0</v>
      </c>
      <c r="K234" s="151" t="str">
        <f>VLOOKUP(woodflow[[#This Row],[to]],woodstock[#All],8,FALSE)</f>
        <v>0</v>
      </c>
      <c r="L234" s="152" t="str">
        <f>VLOOKUP(woodflow[[#This Row],[From]],woodstock[#All],9,FALSE)</f>
        <v>nan</v>
      </c>
      <c r="M234" s="152" t="str">
        <f>VLOOKUP(woodflow[[#This Row],[to]],woodstock[#All],9,FALSE)</f>
        <v>nan</v>
      </c>
      <c r="N234" s="157">
        <f>$N$230*woodratio!I100</f>
        <v>15.449605452877503</v>
      </c>
      <c r="O234" s="148" t="s">
        <v>920</v>
      </c>
      <c r="P234" s="148" t="s">
        <v>233</v>
      </c>
      <c r="Q234" s="148"/>
      <c r="R234" s="1"/>
      <c r="S234" s="1"/>
      <c r="T234" s="1"/>
      <c r="U234" s="1"/>
      <c r="V234" s="1"/>
    </row>
    <row r="235" spans="1:22" x14ac:dyDescent="0.3">
      <c r="A235" s="5" t="str">
        <f>CONCATENATE("F",IF(B235&lt;&gt;"",COUNTA($B$2:B235),""))</f>
        <v>F142</v>
      </c>
      <c r="B235" s="148" t="s">
        <v>45</v>
      </c>
      <c r="C235" s="148" t="s">
        <v>41</v>
      </c>
      <c r="D23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37.765702218145009</v>
      </c>
      <c r="F235" s="148">
        <f>VLOOKUP(woodflow[[#This Row],[From]],woodstock[#All],4,FALSE)</f>
        <v>2021</v>
      </c>
      <c r="G235" s="5" t="str">
        <f>VLOOKUP(woodflow[[#This Row],[From]],woodstock[#All],5,FALSE)</f>
        <v>Global</v>
      </c>
      <c r="H235" s="151" t="str">
        <f>VLOOKUP(woodflow[[#This Row],[From]],woodstock[#All],7,FALSE)</f>
        <v>22</v>
      </c>
      <c r="I235" s="151" t="str">
        <f>VLOOKUP(woodflow[[#This Row],[to]],woodstock[#All],7,FALSE)</f>
        <v>41</v>
      </c>
      <c r="J235" s="151" t="str">
        <f>VLOOKUP(woodflow[[#This Row],[From]],woodstock[#All],8,FALSE)</f>
        <v>0</v>
      </c>
      <c r="K235" s="151" t="str">
        <f>VLOOKUP(woodflow[[#This Row],[to]],woodstock[#All],8,FALSE)</f>
        <v>0</v>
      </c>
      <c r="L235" s="152" t="str">
        <f>VLOOKUP(woodflow[[#This Row],[From]],woodstock[#All],9,FALSE)</f>
        <v>nan</v>
      </c>
      <c r="M235" s="152" t="str">
        <f>VLOOKUP(woodflow[[#This Row],[to]],woodstock[#All],9,FALSE)</f>
        <v>nan</v>
      </c>
      <c r="N235" s="157">
        <f>$N$230*woodratio!I101</f>
        <v>37.765702218145009</v>
      </c>
      <c r="O235" s="148" t="s">
        <v>920</v>
      </c>
      <c r="P235" s="148" t="s">
        <v>233</v>
      </c>
      <c r="Q235" s="148"/>
      <c r="R235" s="1"/>
      <c r="S235" s="1"/>
      <c r="T235" s="1"/>
      <c r="U235" s="1"/>
      <c r="V235" s="1"/>
    </row>
    <row r="236" spans="1:22" x14ac:dyDescent="0.3">
      <c r="A236" s="5" t="str">
        <f>CONCATENATE("F",IF(B236&lt;&gt;"",COUNTA($B$2:B236),""))</f>
        <v>F143</v>
      </c>
      <c r="B236" s="148" t="s">
        <v>45</v>
      </c>
      <c r="C236" s="148" t="s">
        <v>38</v>
      </c>
      <c r="D23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3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2.861038046829167</v>
      </c>
      <c r="F236" s="148">
        <f>VLOOKUP(woodflow[[#This Row],[From]],woodstock[#All],4,FALSE)</f>
        <v>2021</v>
      </c>
      <c r="G236" s="5" t="str">
        <f>VLOOKUP(woodflow[[#This Row],[From]],woodstock[#All],5,FALSE)</f>
        <v>Global</v>
      </c>
      <c r="H236" s="151" t="str">
        <f>VLOOKUP(woodflow[[#This Row],[From]],woodstock[#All],7,FALSE)</f>
        <v>22</v>
      </c>
      <c r="I236" s="151" t="str">
        <f>VLOOKUP(woodflow[[#This Row],[to]],woodstock[#All],7,FALSE)</f>
        <v>42</v>
      </c>
      <c r="J236" s="151" t="str">
        <f>VLOOKUP(woodflow[[#This Row],[From]],woodstock[#All],8,FALSE)</f>
        <v>0</v>
      </c>
      <c r="K236" s="151" t="str">
        <f>VLOOKUP(woodflow[[#This Row],[to]],woodstock[#All],8,FALSE)</f>
        <v>0</v>
      </c>
      <c r="L236" s="152" t="str">
        <f>VLOOKUP(woodflow[[#This Row],[From]],woodstock[#All],9,FALSE)</f>
        <v>nan</v>
      </c>
      <c r="M236" s="152" t="str">
        <f>VLOOKUP(woodflow[[#This Row],[to]],woodstock[#All],9,FALSE)</f>
        <v>nan</v>
      </c>
      <c r="N236" s="157">
        <f>$N$230*woodratio!I102</f>
        <v>2.861038046829167</v>
      </c>
      <c r="O236" s="148" t="s">
        <v>920</v>
      </c>
      <c r="P236" s="148" t="s">
        <v>233</v>
      </c>
      <c r="Q236" s="148"/>
      <c r="R236" s="1"/>
      <c r="S236" s="1"/>
      <c r="T236" s="1"/>
      <c r="U236" s="1"/>
      <c r="V236" s="1"/>
    </row>
    <row r="237" spans="1:22" x14ac:dyDescent="0.3">
      <c r="A237" s="5" t="str">
        <f>CONCATENATE("F",IF(B237&lt;&gt;"",COUNTA($B$2:B237),""))</f>
        <v>F</v>
      </c>
      <c r="B237" s="148"/>
      <c r="C237" s="148"/>
      <c r="D237" s="149"/>
      <c r="E237" s="149"/>
      <c r="F237" s="148"/>
      <c r="G237" s="5"/>
      <c r="H237" s="151"/>
      <c r="I237" s="151"/>
      <c r="J237" s="151"/>
      <c r="K237" s="151"/>
      <c r="L237" s="152"/>
      <c r="M237" s="152"/>
      <c r="N237" s="157"/>
      <c r="O237" s="148"/>
      <c r="P237" s="148"/>
      <c r="Q237" s="148"/>
      <c r="R237" s="1"/>
      <c r="S237" s="1"/>
      <c r="T237" s="1"/>
      <c r="U237" s="1"/>
      <c r="V237" s="1"/>
    </row>
    <row r="238" spans="1:22" x14ac:dyDescent="0.3">
      <c r="A238" s="5" t="str">
        <f>CONCATENATE("F",IF(B238&lt;&gt;"",COUNTA($B$2:B238),""))</f>
        <v>F</v>
      </c>
      <c r="B238" s="148"/>
      <c r="C238" s="148"/>
      <c r="D238" s="149"/>
      <c r="E238" s="149"/>
      <c r="F238" s="148"/>
      <c r="G238" s="5"/>
      <c r="H238" s="151"/>
      <c r="I238" s="151"/>
      <c r="J238" s="151"/>
      <c r="K238" s="151"/>
      <c r="L238" s="152"/>
      <c r="M238" s="152"/>
      <c r="N238" s="157"/>
      <c r="O238" s="148"/>
      <c r="P238" s="148"/>
      <c r="Q238" s="148"/>
      <c r="R238" s="1"/>
      <c r="S238" s="1"/>
      <c r="T238" s="1"/>
      <c r="U238" s="1"/>
      <c r="V238" s="1"/>
    </row>
    <row r="239" spans="1:22" x14ac:dyDescent="0.3">
      <c r="A239" s="5" t="str">
        <f>CONCATENATE("F",IF(B239&lt;&gt;"",COUNTA($B$2:B239),""))</f>
        <v>F144</v>
      </c>
      <c r="B239" s="148" t="s">
        <v>46</v>
      </c>
      <c r="C239" s="148" t="s">
        <v>51</v>
      </c>
      <c r="D23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17.958480559422856</v>
      </c>
      <c r="E23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39" s="148">
        <f>VLOOKUP(woodflow[[#This Row],[From]],woodstock[#All],4,FALSE)</f>
        <v>2021</v>
      </c>
      <c r="G239" s="5" t="str">
        <f>VLOOKUP(woodflow[[#This Row],[From]],woodstock[#All],5,FALSE)</f>
        <v>Global</v>
      </c>
      <c r="H239" s="151" t="str">
        <f>VLOOKUP(woodflow[[#This Row],[From]],woodstock[#All],7,FALSE)</f>
        <v>23</v>
      </c>
      <c r="I239" s="151" t="str">
        <f>VLOOKUP(woodflow[[#This Row],[to]],woodstock[#All],7,FALSE)</f>
        <v>15</v>
      </c>
      <c r="J239" s="151" t="str">
        <f>VLOOKUP(woodflow[[#This Row],[From]],woodstock[#All],8,FALSE)</f>
        <v>0</v>
      </c>
      <c r="K239" s="151" t="str">
        <f>VLOOKUP(woodflow[[#This Row],[to]],woodstock[#All],8,FALSE)</f>
        <v>1</v>
      </c>
      <c r="L239" s="152" t="str">
        <f>VLOOKUP(woodflow[[#This Row],[From]],woodstock[#All],9,FALSE)</f>
        <v>nan</v>
      </c>
      <c r="M239" s="152" t="str">
        <f>VLOOKUP(woodflow[[#This Row],[to]],woodstock[#All],9,FALSE)</f>
        <v>37-38-39-40-41-42</v>
      </c>
      <c r="N239" s="157">
        <f>'faostat-data'!Q69+'faostat-data'!Q70-'faostat-data'!Q71</f>
        <v>17.958480559422856</v>
      </c>
      <c r="O239" s="148" t="s">
        <v>921</v>
      </c>
      <c r="P239" s="148"/>
      <c r="Q239" s="148" t="s">
        <v>227</v>
      </c>
      <c r="R239" s="1"/>
      <c r="S239" s="1"/>
      <c r="T239" s="1"/>
      <c r="U239" s="1"/>
      <c r="V239" s="1"/>
    </row>
    <row r="240" spans="1:22" x14ac:dyDescent="0.3">
      <c r="A240" s="5" t="str">
        <f>CONCATENATE("F",IF(B240&lt;&gt;"",COUNTA($B$2:B240),""))</f>
        <v>F145</v>
      </c>
      <c r="B240" s="148" t="s">
        <v>46</v>
      </c>
      <c r="C240" s="148" t="s">
        <v>36</v>
      </c>
      <c r="D24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4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0" s="148">
        <f>VLOOKUP(woodflow[[#This Row],[From]],woodstock[#All],4,FALSE)</f>
        <v>2021</v>
      </c>
      <c r="G240" s="5" t="str">
        <f>VLOOKUP(woodflow[[#This Row],[From]],woodstock[#All],5,FALSE)</f>
        <v>Global</v>
      </c>
      <c r="H240" s="151" t="str">
        <f>VLOOKUP(woodflow[[#This Row],[From]],woodstock[#All],7,FALSE)</f>
        <v>23</v>
      </c>
      <c r="I240" s="151" t="str">
        <f>VLOOKUP(woodflow[[#This Row],[to]],woodstock[#All],7,FALSE)</f>
        <v>37</v>
      </c>
      <c r="J240" s="151" t="str">
        <f>VLOOKUP(woodflow[[#This Row],[From]],woodstock[#All],8,FALSE)</f>
        <v>0</v>
      </c>
      <c r="K240" s="151" t="str">
        <f>VLOOKUP(woodflow[[#This Row],[to]],woodstock[#All],8,FALSE)</f>
        <v>0</v>
      </c>
      <c r="L240" s="152" t="str">
        <f>VLOOKUP(woodflow[[#This Row],[From]],woodstock[#All],9,FALSE)</f>
        <v>nan</v>
      </c>
      <c r="M240" s="152" t="str">
        <f>VLOOKUP(woodflow[[#This Row],[to]],woodstock[#All],9,FALSE)</f>
        <v>nan</v>
      </c>
      <c r="N240" s="157">
        <v>0</v>
      </c>
      <c r="O240" s="148" t="s">
        <v>209</v>
      </c>
      <c r="P240" s="148"/>
      <c r="Q240" s="148"/>
      <c r="R240" s="1"/>
      <c r="S240" s="1"/>
      <c r="T240" s="1"/>
      <c r="U240" s="1"/>
      <c r="V240" s="1"/>
    </row>
    <row r="241" spans="1:22" x14ac:dyDescent="0.3">
      <c r="A241" s="5" t="str">
        <f>CONCATENATE("F",IF(B241&lt;&gt;"",COUNTA($B$2:B241),""))</f>
        <v>F146</v>
      </c>
      <c r="B241" s="148" t="s">
        <v>46</v>
      </c>
      <c r="C241" s="148" t="s">
        <v>37</v>
      </c>
      <c r="D24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1.0775088335653713</v>
      </c>
      <c r="F241" s="148">
        <f>VLOOKUP(woodflow[[#This Row],[From]],woodstock[#All],4,FALSE)</f>
        <v>2021</v>
      </c>
      <c r="G241" s="5" t="str">
        <f>VLOOKUP(woodflow[[#This Row],[From]],woodstock[#All],5,FALSE)</f>
        <v>Global</v>
      </c>
      <c r="H241" s="151" t="str">
        <f>VLOOKUP(woodflow[[#This Row],[From]],woodstock[#All],7,FALSE)</f>
        <v>23</v>
      </c>
      <c r="I241" s="151" t="str">
        <f>VLOOKUP(woodflow[[#This Row],[to]],woodstock[#All],7,FALSE)</f>
        <v>38</v>
      </c>
      <c r="J241" s="151" t="str">
        <f>VLOOKUP(woodflow[[#This Row],[From]],woodstock[#All],8,FALSE)</f>
        <v>0</v>
      </c>
      <c r="K241" s="151" t="str">
        <f>VLOOKUP(woodflow[[#This Row],[to]],woodstock[#All],8,FALSE)</f>
        <v>0</v>
      </c>
      <c r="L241" s="152" t="str">
        <f>VLOOKUP(woodflow[[#This Row],[From]],woodstock[#All],9,FALSE)</f>
        <v>nan</v>
      </c>
      <c r="M241" s="152" t="str">
        <f>VLOOKUP(woodflow[[#This Row],[to]],woodstock[#All],9,FALSE)</f>
        <v>nan</v>
      </c>
      <c r="N241" s="157">
        <f>$N$239*woodratio!I105</f>
        <v>1.0775088335653713</v>
      </c>
      <c r="O241" s="148" t="s">
        <v>920</v>
      </c>
      <c r="P241" s="148" t="s">
        <v>233</v>
      </c>
      <c r="Q241" s="148"/>
      <c r="R241" s="1"/>
      <c r="S241" s="1"/>
      <c r="T241" s="1"/>
      <c r="U241" s="1"/>
      <c r="V241" s="1"/>
    </row>
    <row r="242" spans="1:22" x14ac:dyDescent="0.3">
      <c r="A242" s="5" t="str">
        <f>CONCATENATE("F",IF(B242&lt;&gt;"",COUNTA($B$2:B242),""))</f>
        <v>F147</v>
      </c>
      <c r="B242" s="148" t="s">
        <v>46</v>
      </c>
      <c r="C242" s="148" t="s">
        <v>39</v>
      </c>
      <c r="D24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1.7958480559422858E-2</v>
      </c>
      <c r="E24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2" s="148">
        <f>VLOOKUP(woodflow[[#This Row],[From]],woodstock[#All],4,FALSE)</f>
        <v>2021</v>
      </c>
      <c r="G242" s="5" t="str">
        <f>VLOOKUP(woodflow[[#This Row],[From]],woodstock[#All],5,FALSE)</f>
        <v>Global</v>
      </c>
      <c r="H242" s="151" t="str">
        <f>VLOOKUP(woodflow[[#This Row],[From]],woodstock[#All],7,FALSE)</f>
        <v>23</v>
      </c>
      <c r="I242" s="151" t="str">
        <f>VLOOKUP(woodflow[[#This Row],[to]],woodstock[#All],7,FALSE)</f>
        <v>39</v>
      </c>
      <c r="J242" s="151" t="str">
        <f>VLOOKUP(woodflow[[#This Row],[From]],woodstock[#All],8,FALSE)</f>
        <v>0</v>
      </c>
      <c r="K242" s="151" t="str">
        <f>VLOOKUP(woodflow[[#This Row],[to]],woodstock[#All],8,FALSE)</f>
        <v>0</v>
      </c>
      <c r="L242" s="152" t="str">
        <f>VLOOKUP(woodflow[[#This Row],[From]],woodstock[#All],9,FALSE)</f>
        <v>nan</v>
      </c>
      <c r="M242" s="152" t="str">
        <f>VLOOKUP(woodflow[[#This Row],[to]],woodstock[#All],9,FALSE)</f>
        <v>nan</v>
      </c>
      <c r="N242" s="157">
        <f>$N$239*woodratio!I106</f>
        <v>1.7958480559422858E-2</v>
      </c>
      <c r="O242" s="148" t="s">
        <v>921</v>
      </c>
      <c r="P242" s="148" t="s">
        <v>233</v>
      </c>
      <c r="Q242" s="148"/>
      <c r="R242" s="1"/>
      <c r="S242" s="1"/>
      <c r="T242" s="1"/>
      <c r="U242" s="1"/>
      <c r="V242" s="1"/>
    </row>
    <row r="243" spans="1:22" x14ac:dyDescent="0.3">
      <c r="A243" s="5" t="str">
        <f>CONCATENATE("F",IF(B243&lt;&gt;"",COUNTA($B$2:B243),""))</f>
        <v>F148</v>
      </c>
      <c r="B243" s="148" t="s">
        <v>46</v>
      </c>
      <c r="C243" s="148" t="s">
        <v>40</v>
      </c>
      <c r="D24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15.246749994950004</v>
      </c>
      <c r="F243" s="148">
        <f>VLOOKUP(woodflow[[#This Row],[From]],woodstock[#All],4,FALSE)</f>
        <v>2021</v>
      </c>
      <c r="G243" s="5" t="str">
        <f>VLOOKUP(woodflow[[#This Row],[From]],woodstock[#All],5,FALSE)</f>
        <v>Global</v>
      </c>
      <c r="H243" s="151" t="str">
        <f>VLOOKUP(woodflow[[#This Row],[From]],woodstock[#All],7,FALSE)</f>
        <v>23</v>
      </c>
      <c r="I243" s="151" t="str">
        <f>VLOOKUP(woodflow[[#This Row],[to]],woodstock[#All],7,FALSE)</f>
        <v>40</v>
      </c>
      <c r="J243" s="151" t="str">
        <f>VLOOKUP(woodflow[[#This Row],[From]],woodstock[#All],8,FALSE)</f>
        <v>0</v>
      </c>
      <c r="K243" s="151" t="str">
        <f>VLOOKUP(woodflow[[#This Row],[to]],woodstock[#All],8,FALSE)</f>
        <v>0</v>
      </c>
      <c r="L243" s="152" t="str">
        <f>VLOOKUP(woodflow[[#This Row],[From]],woodstock[#All],9,FALSE)</f>
        <v>nan</v>
      </c>
      <c r="M243" s="152" t="str">
        <f>VLOOKUP(woodflow[[#This Row],[to]],woodstock[#All],9,FALSE)</f>
        <v>nan</v>
      </c>
      <c r="N243" s="157">
        <f>$N$239*woodratio!I107</f>
        <v>15.246749994950004</v>
      </c>
      <c r="O243" s="148" t="s">
        <v>920</v>
      </c>
      <c r="P243" s="148" t="s">
        <v>233</v>
      </c>
      <c r="Q243" s="148"/>
      <c r="R243" s="1"/>
      <c r="S243" s="1"/>
      <c r="T243" s="1"/>
      <c r="U243" s="1"/>
      <c r="V243" s="1"/>
    </row>
    <row r="244" spans="1:22" x14ac:dyDescent="0.3">
      <c r="A244" s="5" t="str">
        <f>CONCATENATE("F",IF(B244&lt;&gt;"",COUNTA($B$2:B244),""))</f>
        <v>F149</v>
      </c>
      <c r="B244" s="148" t="s">
        <v>46</v>
      </c>
      <c r="C244" s="148" t="s">
        <v>41</v>
      </c>
      <c r="D24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0.53875441678268565</v>
      </c>
      <c r="F244" s="148">
        <f>VLOOKUP(woodflow[[#This Row],[From]],woodstock[#All],4,FALSE)</f>
        <v>2021</v>
      </c>
      <c r="G244" s="5" t="str">
        <f>VLOOKUP(woodflow[[#This Row],[From]],woodstock[#All],5,FALSE)</f>
        <v>Global</v>
      </c>
      <c r="H244" s="151" t="str">
        <f>VLOOKUP(woodflow[[#This Row],[From]],woodstock[#All],7,FALSE)</f>
        <v>23</v>
      </c>
      <c r="I244" s="151" t="str">
        <f>VLOOKUP(woodflow[[#This Row],[to]],woodstock[#All],7,FALSE)</f>
        <v>41</v>
      </c>
      <c r="J244" s="151" t="str">
        <f>VLOOKUP(woodflow[[#This Row],[From]],woodstock[#All],8,FALSE)</f>
        <v>0</v>
      </c>
      <c r="K244" s="151" t="str">
        <f>VLOOKUP(woodflow[[#This Row],[to]],woodstock[#All],8,FALSE)</f>
        <v>0</v>
      </c>
      <c r="L244" s="152" t="str">
        <f>VLOOKUP(woodflow[[#This Row],[From]],woodstock[#All],9,FALSE)</f>
        <v>nan</v>
      </c>
      <c r="M244" s="152" t="str">
        <f>VLOOKUP(woodflow[[#This Row],[to]],woodstock[#All],9,FALSE)</f>
        <v>nan</v>
      </c>
      <c r="N244" s="157">
        <f>$N$239*woodratio!I108</f>
        <v>0.53875441678268565</v>
      </c>
      <c r="O244" s="148" t="s">
        <v>920</v>
      </c>
      <c r="P244" s="148" t="s">
        <v>233</v>
      </c>
      <c r="Q244" s="148"/>
      <c r="R244" s="1"/>
      <c r="S244" s="1"/>
      <c r="T244" s="1"/>
      <c r="U244" s="1"/>
      <c r="V244" s="1"/>
    </row>
    <row r="245" spans="1:22" x14ac:dyDescent="0.3">
      <c r="A245" s="5" t="str">
        <f>CONCATENATE("F",IF(B245&lt;&gt;"",COUNTA($B$2:B245),""))</f>
        <v>F150</v>
      </c>
      <c r="B245" s="148" t="s">
        <v>46</v>
      </c>
      <c r="C245" s="148" t="s">
        <v>38</v>
      </c>
      <c r="D24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4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1.0775088335653713</v>
      </c>
      <c r="F245" s="148">
        <f>VLOOKUP(woodflow[[#This Row],[From]],woodstock[#All],4,FALSE)</f>
        <v>2021</v>
      </c>
      <c r="G245" s="5" t="str">
        <f>VLOOKUP(woodflow[[#This Row],[From]],woodstock[#All],5,FALSE)</f>
        <v>Global</v>
      </c>
      <c r="H245" s="151" t="str">
        <f>VLOOKUP(woodflow[[#This Row],[From]],woodstock[#All],7,FALSE)</f>
        <v>23</v>
      </c>
      <c r="I245" s="151" t="str">
        <f>VLOOKUP(woodflow[[#This Row],[to]],woodstock[#All],7,FALSE)</f>
        <v>42</v>
      </c>
      <c r="J245" s="151" t="str">
        <f>VLOOKUP(woodflow[[#This Row],[From]],woodstock[#All],8,FALSE)</f>
        <v>0</v>
      </c>
      <c r="K245" s="151" t="str">
        <f>VLOOKUP(woodflow[[#This Row],[to]],woodstock[#All],8,FALSE)</f>
        <v>0</v>
      </c>
      <c r="L245" s="152" t="str">
        <f>VLOOKUP(woodflow[[#This Row],[From]],woodstock[#All],9,FALSE)</f>
        <v>nan</v>
      </c>
      <c r="M245" s="152" t="str">
        <f>VLOOKUP(woodflow[[#This Row],[to]],woodstock[#All],9,FALSE)</f>
        <v>nan</v>
      </c>
      <c r="N245" s="157">
        <f>$N$239*woodratio!I109</f>
        <v>1.0775088335653713</v>
      </c>
      <c r="O245" s="148" t="s">
        <v>920</v>
      </c>
      <c r="P245" s="148" t="s">
        <v>233</v>
      </c>
      <c r="Q245" s="148"/>
      <c r="R245" s="1"/>
      <c r="S245" s="1"/>
      <c r="T245" s="1"/>
      <c r="U245" s="1"/>
      <c r="V245" s="1"/>
    </row>
    <row r="246" spans="1:22" x14ac:dyDescent="0.3">
      <c r="A246" s="5" t="str">
        <f>CONCATENATE("F",IF(B246&lt;&gt;"",COUNTA($B$2:B246),""))</f>
        <v>F</v>
      </c>
      <c r="B246" s="148"/>
      <c r="C246" s="148"/>
      <c r="D246" s="149"/>
      <c r="E246" s="149"/>
      <c r="F246" s="148"/>
      <c r="G246" s="5"/>
      <c r="H246" s="151"/>
      <c r="I246" s="151"/>
      <c r="J246" s="151"/>
      <c r="K246" s="151"/>
      <c r="L246" s="152"/>
      <c r="M246" s="152"/>
      <c r="N246" s="157"/>
      <c r="O246" s="148"/>
      <c r="P246" s="148"/>
      <c r="Q246" s="148"/>
      <c r="R246" s="1"/>
      <c r="S246" s="1"/>
      <c r="T246" s="1"/>
      <c r="U246" s="1"/>
      <c r="V246" s="1"/>
    </row>
    <row r="247" spans="1:22" x14ac:dyDescent="0.3">
      <c r="A247" s="5" t="str">
        <f>CONCATENATE("F",IF(B247&lt;&gt;"",COUNTA($B$2:B247),""))</f>
        <v>F</v>
      </c>
      <c r="B247" s="148"/>
      <c r="C247" s="148"/>
      <c r="D247" s="149"/>
      <c r="E247" s="149"/>
      <c r="F247" s="148"/>
      <c r="G247" s="5"/>
      <c r="H247" s="151"/>
      <c r="I247" s="151"/>
      <c r="J247" s="151"/>
      <c r="K247" s="151"/>
      <c r="L247" s="152"/>
      <c r="M247" s="152"/>
      <c r="N247" s="157"/>
      <c r="O247" s="148"/>
      <c r="P247" s="148"/>
      <c r="Q247" s="148"/>
      <c r="R247" s="1"/>
      <c r="S247" s="1"/>
      <c r="T247" s="1"/>
      <c r="U247" s="1"/>
      <c r="V247" s="1"/>
    </row>
    <row r="248" spans="1:22" x14ac:dyDescent="0.3">
      <c r="A248" s="5" t="str">
        <f>CONCATENATE("F",IF(B248&lt;&gt;"",COUNTA($B$2:B248),""))</f>
        <v>F151</v>
      </c>
      <c r="B248" s="148" t="s">
        <v>46</v>
      </c>
      <c r="C248" s="148" t="s">
        <v>73</v>
      </c>
      <c r="D24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0.18195015764359532</v>
      </c>
      <c r="E24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48" s="148">
        <f>VLOOKUP(woodflow[[#This Row],[From]],woodstock[#All],4,FALSE)</f>
        <v>2021</v>
      </c>
      <c r="G248" s="5" t="str">
        <f>VLOOKUP(woodflow[[#This Row],[From]],woodstock[#All],5,FALSE)</f>
        <v>Global</v>
      </c>
      <c r="H248" s="151" t="str">
        <f>VLOOKUP(woodflow[[#This Row],[From]],woodstock[#All],7,FALSE)</f>
        <v>23</v>
      </c>
      <c r="I248" s="151" t="str">
        <f>VLOOKUP(woodflow[[#This Row],[to]],woodstock[#All],7,FALSE)</f>
        <v>51</v>
      </c>
      <c r="J248" s="151" t="str">
        <f>VLOOKUP(woodflow[[#This Row],[From]],woodstock[#All],8,FALSE)</f>
        <v>0</v>
      </c>
      <c r="K248" s="151" t="str">
        <f>VLOOKUP(woodflow[[#This Row],[to]],woodstock[#All],8,FALSE)</f>
        <v>0</v>
      </c>
      <c r="L248" s="152" t="str">
        <f>VLOOKUP(woodflow[[#This Row],[From]],woodstock[#All],9,FALSE)</f>
        <v>nan</v>
      </c>
      <c r="M248" s="152" t="str">
        <f>VLOOKUP(woodflow[[#This Row],[to]],woodstock[#All],9,FALSE)</f>
        <v>nan</v>
      </c>
      <c r="N248" s="157">
        <f>'faostat-data'!Q69/'production-mass-balance'!B55*SUM('production-mass-balance'!B52)</f>
        <v>0.18195015764359532</v>
      </c>
      <c r="O248" s="148" t="s">
        <v>921</v>
      </c>
      <c r="P248" s="148" t="s">
        <v>453</v>
      </c>
      <c r="Q248" s="148" t="s">
        <v>227</v>
      </c>
      <c r="R248" s="1"/>
      <c r="S248" s="1"/>
      <c r="T248" s="1"/>
      <c r="U248" s="1"/>
      <c r="V248" s="1"/>
    </row>
    <row r="249" spans="1:22" x14ac:dyDescent="0.3">
      <c r="A249" s="5" t="str">
        <f>CONCATENATE("F",IF(B249&lt;&gt;"",COUNTA($B$2:B249),""))</f>
        <v>F</v>
      </c>
      <c r="B249" s="148"/>
      <c r="C249" s="148"/>
      <c r="D249" s="149"/>
      <c r="E249" s="149"/>
      <c r="F249" s="148"/>
      <c r="G249" s="5"/>
      <c r="H249" s="151"/>
      <c r="I249" s="151"/>
      <c r="J249" s="151"/>
      <c r="K249" s="151"/>
      <c r="L249" s="152"/>
      <c r="M249" s="152"/>
      <c r="N249" s="157"/>
      <c r="O249" s="148"/>
      <c r="P249" s="148"/>
      <c r="Q249" s="148"/>
      <c r="R249" s="1"/>
      <c r="S249" s="1"/>
      <c r="T249" s="1"/>
      <c r="U249" s="1"/>
      <c r="V249" s="1"/>
    </row>
    <row r="250" spans="1:22" x14ac:dyDescent="0.3">
      <c r="A250" s="5" t="str">
        <f>CONCATENATE("F",IF(B250&lt;&gt;"",COUNTA($B$2:B250),""))</f>
        <v>F</v>
      </c>
      <c r="B250" s="148"/>
      <c r="C250" s="148"/>
      <c r="D250" s="149"/>
      <c r="E250" s="149"/>
      <c r="F250" s="148"/>
      <c r="G250" s="5"/>
      <c r="H250" s="151"/>
      <c r="I250" s="151"/>
      <c r="J250" s="151"/>
      <c r="K250" s="151"/>
      <c r="L250" s="152"/>
      <c r="M250" s="152"/>
      <c r="N250" s="157"/>
      <c r="O250" s="148"/>
      <c r="P250" s="148"/>
      <c r="Q250" s="148"/>
      <c r="R250" s="1"/>
      <c r="S250" s="1"/>
      <c r="T250" s="1"/>
      <c r="U250" s="1"/>
      <c r="V250" s="1"/>
    </row>
    <row r="251" spans="1:22" x14ac:dyDescent="0.3">
      <c r="A251" s="5" t="str">
        <f>CONCATENATE("F",IF(B251&lt;&gt;"",COUNTA($B$2:B251),""))</f>
        <v>F152</v>
      </c>
      <c r="B251" s="148" t="s">
        <v>176</v>
      </c>
      <c r="C251" s="148" t="s">
        <v>51</v>
      </c>
      <c r="D25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5.7396538866657147</v>
      </c>
      <c r="E25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1" s="148">
        <f>VLOOKUP(woodflow[[#This Row],[From]],woodstock[#All],4,FALSE)</f>
        <v>2021</v>
      </c>
      <c r="G251" s="5" t="str">
        <f>VLOOKUP(woodflow[[#This Row],[From]],woodstock[#All],5,FALSE)</f>
        <v>Global</v>
      </c>
      <c r="H251" s="151" t="str">
        <f>VLOOKUP(woodflow[[#This Row],[From]],woodstock[#All],7,FALSE)</f>
        <v>24</v>
      </c>
      <c r="I251" s="151" t="str">
        <f>VLOOKUP(woodflow[[#This Row],[to]],woodstock[#All],7,FALSE)</f>
        <v>15</v>
      </c>
      <c r="J251" s="151" t="str">
        <f>VLOOKUP(woodflow[[#This Row],[From]],woodstock[#All],8,FALSE)</f>
        <v>0</v>
      </c>
      <c r="K251" s="151" t="str">
        <f>VLOOKUP(woodflow[[#This Row],[to]],woodstock[#All],8,FALSE)</f>
        <v>1</v>
      </c>
      <c r="L251" s="152" t="str">
        <f>VLOOKUP(woodflow[[#This Row],[From]],woodstock[#All],9,FALSE)</f>
        <v>nan</v>
      </c>
      <c r="M251" s="152" t="str">
        <f>VLOOKUP(woodflow[[#This Row],[to]],woodstock[#All],9,FALSE)</f>
        <v>37-38-39-40-41-42</v>
      </c>
      <c r="N251" s="157">
        <f>'faostat-data'!Q72+'faostat-data'!Q73-'faostat-data'!Q74</f>
        <v>5.7396538866657147</v>
      </c>
      <c r="O251" s="148" t="s">
        <v>921</v>
      </c>
      <c r="P251" s="148"/>
      <c r="Q251" s="148" t="s">
        <v>227</v>
      </c>
      <c r="R251" s="1"/>
      <c r="S251" s="1"/>
      <c r="T251" s="1"/>
      <c r="U251" s="1"/>
      <c r="V251" s="1"/>
    </row>
    <row r="252" spans="1:22" x14ac:dyDescent="0.3">
      <c r="A252" s="5" t="str">
        <f>CONCATENATE("F",IF(B252&lt;&gt;"",COUNTA($B$2:B252),""))</f>
        <v>F153</v>
      </c>
      <c r="B252" s="148" t="s">
        <v>176</v>
      </c>
      <c r="C252" s="148" t="s">
        <v>36</v>
      </c>
      <c r="D25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2" s="148">
        <f>VLOOKUP(woodflow[[#This Row],[From]],woodstock[#All],4,FALSE)</f>
        <v>2021</v>
      </c>
      <c r="G252" s="5" t="str">
        <f>VLOOKUP(woodflow[[#This Row],[From]],woodstock[#All],5,FALSE)</f>
        <v>Global</v>
      </c>
      <c r="H252" s="151" t="str">
        <f>VLOOKUP(woodflow[[#This Row],[From]],woodstock[#All],7,FALSE)</f>
        <v>24</v>
      </c>
      <c r="I252" s="151" t="str">
        <f>VLOOKUP(woodflow[[#This Row],[to]],woodstock[#All],7,FALSE)</f>
        <v>37</v>
      </c>
      <c r="J252" s="151" t="str">
        <f>VLOOKUP(woodflow[[#This Row],[From]],woodstock[#All],8,FALSE)</f>
        <v>0</v>
      </c>
      <c r="K252" s="151" t="str">
        <f>VLOOKUP(woodflow[[#This Row],[to]],woodstock[#All],8,FALSE)</f>
        <v>0</v>
      </c>
      <c r="L252" s="152" t="str">
        <f>VLOOKUP(woodflow[[#This Row],[From]],woodstock[#All],9,FALSE)</f>
        <v>nan</v>
      </c>
      <c r="M252" s="152" t="str">
        <f>VLOOKUP(woodflow[[#This Row],[to]],woodstock[#All],9,FALSE)</f>
        <v>nan</v>
      </c>
      <c r="N252" s="157">
        <v>0</v>
      </c>
      <c r="O252" s="148" t="s">
        <v>209</v>
      </c>
      <c r="P252" s="148"/>
      <c r="Q252" s="148"/>
      <c r="R252" s="1"/>
      <c r="S252" s="1"/>
      <c r="T252" s="1"/>
      <c r="U252" s="1"/>
      <c r="V252" s="1"/>
    </row>
    <row r="253" spans="1:22" x14ac:dyDescent="0.3">
      <c r="A253" s="5" t="str">
        <f>CONCATENATE("F",IF(B253&lt;&gt;"",COUNTA($B$2:B253),""))</f>
        <v>F154</v>
      </c>
      <c r="B253" s="148" t="s">
        <v>176</v>
      </c>
      <c r="C253" s="148" t="s">
        <v>37</v>
      </c>
      <c r="D25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1.4349134716664287</v>
      </c>
      <c r="F253" s="148">
        <f>VLOOKUP(woodflow[[#This Row],[From]],woodstock[#All],4,FALSE)</f>
        <v>2021</v>
      </c>
      <c r="G253" s="5" t="str">
        <f>VLOOKUP(woodflow[[#This Row],[From]],woodstock[#All],5,FALSE)</f>
        <v>Global</v>
      </c>
      <c r="H253" s="151" t="str">
        <f>VLOOKUP(woodflow[[#This Row],[From]],woodstock[#All],7,FALSE)</f>
        <v>24</v>
      </c>
      <c r="I253" s="151" t="str">
        <f>VLOOKUP(woodflow[[#This Row],[to]],woodstock[#All],7,FALSE)</f>
        <v>38</v>
      </c>
      <c r="J253" s="151" t="str">
        <f>VLOOKUP(woodflow[[#This Row],[From]],woodstock[#All],8,FALSE)</f>
        <v>0</v>
      </c>
      <c r="K253" s="151" t="str">
        <f>VLOOKUP(woodflow[[#This Row],[to]],woodstock[#All],8,FALSE)</f>
        <v>0</v>
      </c>
      <c r="L253" s="152" t="str">
        <f>VLOOKUP(woodflow[[#This Row],[From]],woodstock[#All],9,FALSE)</f>
        <v>nan</v>
      </c>
      <c r="M253" s="152" t="str">
        <f>VLOOKUP(woodflow[[#This Row],[to]],woodstock[#All],9,FALSE)</f>
        <v>nan</v>
      </c>
      <c r="N253" s="157">
        <f>$N$251*woodratio!I112</f>
        <v>1.4349134716664287</v>
      </c>
      <c r="O253" s="148" t="s">
        <v>920</v>
      </c>
      <c r="P253" s="148" t="s">
        <v>233</v>
      </c>
      <c r="Q253" s="148"/>
      <c r="R253" s="1"/>
      <c r="S253" s="1"/>
      <c r="T253" s="1"/>
      <c r="U253" s="1"/>
      <c r="V253" s="1"/>
    </row>
    <row r="254" spans="1:22" x14ac:dyDescent="0.3">
      <c r="A254" s="5" t="str">
        <f>CONCATENATE("F",IF(B254&lt;&gt;"",COUNTA($B$2:B254),""))</f>
        <v>F155</v>
      </c>
      <c r="B254" s="148" t="s">
        <v>176</v>
      </c>
      <c r="C254" s="148" t="s">
        <v>39</v>
      </c>
      <c r="D25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5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54" s="148">
        <f>VLOOKUP(woodflow[[#This Row],[From]],woodstock[#All],4,FALSE)</f>
        <v>2021</v>
      </c>
      <c r="G254" s="5" t="str">
        <f>VLOOKUP(woodflow[[#This Row],[From]],woodstock[#All],5,FALSE)</f>
        <v>Global</v>
      </c>
      <c r="H254" s="151" t="str">
        <f>VLOOKUP(woodflow[[#This Row],[From]],woodstock[#All],7,FALSE)</f>
        <v>24</v>
      </c>
      <c r="I254" s="151" t="str">
        <f>VLOOKUP(woodflow[[#This Row],[to]],woodstock[#All],7,FALSE)</f>
        <v>39</v>
      </c>
      <c r="J254" s="151" t="str">
        <f>VLOOKUP(woodflow[[#This Row],[From]],woodstock[#All],8,FALSE)</f>
        <v>0</v>
      </c>
      <c r="K254" s="151" t="str">
        <f>VLOOKUP(woodflow[[#This Row],[to]],woodstock[#All],8,FALSE)</f>
        <v>0</v>
      </c>
      <c r="L254" s="152" t="str">
        <f>VLOOKUP(woodflow[[#This Row],[From]],woodstock[#All],9,FALSE)</f>
        <v>nan</v>
      </c>
      <c r="M254" s="152" t="str">
        <f>VLOOKUP(woodflow[[#This Row],[to]],woodstock[#All],9,FALSE)</f>
        <v>nan</v>
      </c>
      <c r="N254" s="157">
        <v>0</v>
      </c>
      <c r="O254" s="148" t="s">
        <v>209</v>
      </c>
      <c r="P254" s="148"/>
      <c r="Q254" s="148"/>
      <c r="R254" s="1"/>
      <c r="S254" s="1"/>
      <c r="T254" s="1"/>
      <c r="U254" s="1"/>
      <c r="V254" s="1"/>
    </row>
    <row r="255" spans="1:22" x14ac:dyDescent="0.3">
      <c r="A255" s="5" t="str">
        <f>CONCATENATE("F",IF(B255&lt;&gt;"",COUNTA($B$2:B255),""))</f>
        <v>F156</v>
      </c>
      <c r="B255" s="148" t="s">
        <v>176</v>
      </c>
      <c r="C255" s="148" t="s">
        <v>40</v>
      </c>
      <c r="D25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0.57396538866657154</v>
      </c>
      <c r="F255" s="148">
        <f>VLOOKUP(woodflow[[#This Row],[From]],woodstock[#All],4,FALSE)</f>
        <v>2021</v>
      </c>
      <c r="G255" s="5" t="str">
        <f>VLOOKUP(woodflow[[#This Row],[From]],woodstock[#All],5,FALSE)</f>
        <v>Global</v>
      </c>
      <c r="H255" s="151" t="str">
        <f>VLOOKUP(woodflow[[#This Row],[From]],woodstock[#All],7,FALSE)</f>
        <v>24</v>
      </c>
      <c r="I255" s="151" t="str">
        <f>VLOOKUP(woodflow[[#This Row],[to]],woodstock[#All],7,FALSE)</f>
        <v>40</v>
      </c>
      <c r="J255" s="151" t="str">
        <f>VLOOKUP(woodflow[[#This Row],[From]],woodstock[#All],8,FALSE)</f>
        <v>0</v>
      </c>
      <c r="K255" s="151" t="str">
        <f>VLOOKUP(woodflow[[#This Row],[to]],woodstock[#All],8,FALSE)</f>
        <v>0</v>
      </c>
      <c r="L255" s="152" t="str">
        <f>VLOOKUP(woodflow[[#This Row],[From]],woodstock[#All],9,FALSE)</f>
        <v>nan</v>
      </c>
      <c r="M255" s="152" t="str">
        <f>VLOOKUP(woodflow[[#This Row],[to]],woodstock[#All],9,FALSE)</f>
        <v>nan</v>
      </c>
      <c r="N255" s="157">
        <f>$N$251*woodratio!I113</f>
        <v>0.57396538866657154</v>
      </c>
      <c r="O255" s="148" t="s">
        <v>920</v>
      </c>
      <c r="P255" s="148" t="s">
        <v>233</v>
      </c>
      <c r="Q255" s="148"/>
      <c r="R255" s="1"/>
      <c r="S255" s="1"/>
      <c r="T255" s="1"/>
      <c r="U255" s="1"/>
      <c r="V255" s="1"/>
    </row>
    <row r="256" spans="1:22" x14ac:dyDescent="0.3">
      <c r="A256" s="5" t="str">
        <f>CONCATENATE("F",IF(B256&lt;&gt;"",COUNTA($B$2:B256),""))</f>
        <v>F157</v>
      </c>
      <c r="B256" s="148" t="s">
        <v>176</v>
      </c>
      <c r="C256" s="148" t="s">
        <v>41</v>
      </c>
      <c r="D25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0.86094808299985714</v>
      </c>
      <c r="F256" s="148">
        <f>VLOOKUP(woodflow[[#This Row],[From]],woodstock[#All],4,FALSE)</f>
        <v>2021</v>
      </c>
      <c r="G256" s="5" t="str">
        <f>VLOOKUP(woodflow[[#This Row],[From]],woodstock[#All],5,FALSE)</f>
        <v>Global</v>
      </c>
      <c r="H256" s="151" t="str">
        <f>VLOOKUP(woodflow[[#This Row],[From]],woodstock[#All],7,FALSE)</f>
        <v>24</v>
      </c>
      <c r="I256" s="151" t="str">
        <f>VLOOKUP(woodflow[[#This Row],[to]],woodstock[#All],7,FALSE)</f>
        <v>41</v>
      </c>
      <c r="J256" s="151" t="str">
        <f>VLOOKUP(woodflow[[#This Row],[From]],woodstock[#All],8,FALSE)</f>
        <v>0</v>
      </c>
      <c r="K256" s="151" t="str">
        <f>VLOOKUP(woodflow[[#This Row],[to]],woodstock[#All],8,FALSE)</f>
        <v>0</v>
      </c>
      <c r="L256" s="152" t="str">
        <f>VLOOKUP(woodflow[[#This Row],[From]],woodstock[#All],9,FALSE)</f>
        <v>nan</v>
      </c>
      <c r="M256" s="152" t="str">
        <f>VLOOKUP(woodflow[[#This Row],[to]],woodstock[#All],9,FALSE)</f>
        <v>nan</v>
      </c>
      <c r="N256" s="157">
        <f>$N$251*woodratio!I114</f>
        <v>0.86094808299985714</v>
      </c>
      <c r="O256" s="148" t="s">
        <v>920</v>
      </c>
      <c r="P256" s="148" t="s">
        <v>233</v>
      </c>
      <c r="Q256" s="148"/>
      <c r="R256" s="1"/>
      <c r="S256" s="1"/>
      <c r="T256" s="1"/>
      <c r="U256" s="1"/>
      <c r="V256" s="1"/>
    </row>
    <row r="257" spans="1:22" x14ac:dyDescent="0.3">
      <c r="A257" s="5" t="str">
        <f>CONCATENATE("F",IF(B257&lt;&gt;"",COUNTA($B$2:B257),""))</f>
        <v>F158</v>
      </c>
      <c r="B257" s="148" t="s">
        <v>176</v>
      </c>
      <c r="C257" s="148" t="s">
        <v>38</v>
      </c>
      <c r="D25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5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2.8698269433328574</v>
      </c>
      <c r="F257" s="148">
        <f>VLOOKUP(woodflow[[#This Row],[From]],woodstock[#All],4,FALSE)</f>
        <v>2021</v>
      </c>
      <c r="G257" s="5" t="str">
        <f>VLOOKUP(woodflow[[#This Row],[From]],woodstock[#All],5,FALSE)</f>
        <v>Global</v>
      </c>
      <c r="H257" s="151" t="str">
        <f>VLOOKUP(woodflow[[#This Row],[From]],woodstock[#All],7,FALSE)</f>
        <v>24</v>
      </c>
      <c r="I257" s="151" t="str">
        <f>VLOOKUP(woodflow[[#This Row],[to]],woodstock[#All],7,FALSE)</f>
        <v>42</v>
      </c>
      <c r="J257" s="151" t="str">
        <f>VLOOKUP(woodflow[[#This Row],[From]],woodstock[#All],8,FALSE)</f>
        <v>0</v>
      </c>
      <c r="K257" s="151" t="str">
        <f>VLOOKUP(woodflow[[#This Row],[to]],woodstock[#All],8,FALSE)</f>
        <v>0</v>
      </c>
      <c r="L257" s="152" t="str">
        <f>VLOOKUP(woodflow[[#This Row],[From]],woodstock[#All],9,FALSE)</f>
        <v>nan</v>
      </c>
      <c r="M257" s="152" t="str">
        <f>VLOOKUP(woodflow[[#This Row],[to]],woodstock[#All],9,FALSE)</f>
        <v>nan</v>
      </c>
      <c r="N257" s="157">
        <f>$N$251*woodratio!I115</f>
        <v>2.8698269433328574</v>
      </c>
      <c r="O257" s="148" t="s">
        <v>920</v>
      </c>
      <c r="P257" s="148" t="s">
        <v>233</v>
      </c>
      <c r="Q257" s="148"/>
      <c r="R257" s="1"/>
      <c r="S257" s="1"/>
      <c r="T257" s="1"/>
      <c r="U257" s="1"/>
      <c r="V257" s="1"/>
    </row>
    <row r="258" spans="1:22" x14ac:dyDescent="0.3">
      <c r="A258" s="5" t="str">
        <f>CONCATENATE("F",IF(B258&lt;&gt;"",COUNTA($B$2:B258),""))</f>
        <v>F</v>
      </c>
      <c r="B258" s="148"/>
      <c r="C258" s="148"/>
      <c r="D258" s="149"/>
      <c r="E258" s="149"/>
      <c r="F258" s="148"/>
      <c r="G258" s="5"/>
      <c r="H258" s="151"/>
      <c r="I258" s="151"/>
      <c r="J258" s="151"/>
      <c r="K258" s="151"/>
      <c r="L258" s="152"/>
      <c r="M258" s="152"/>
      <c r="N258" s="157"/>
      <c r="O258" s="148"/>
      <c r="P258" s="148"/>
      <c r="Q258" s="148"/>
      <c r="R258" s="1"/>
      <c r="S258" s="1"/>
      <c r="T258" s="1"/>
      <c r="U258" s="1"/>
      <c r="V258" s="1"/>
    </row>
    <row r="259" spans="1:22" x14ac:dyDescent="0.3">
      <c r="A259" s="5" t="str">
        <f>CONCATENATE("F",IF(B259&lt;&gt;"",COUNTA($B$2:B259),""))</f>
        <v>F</v>
      </c>
      <c r="B259" s="148"/>
      <c r="C259" s="148"/>
      <c r="D259" s="149"/>
      <c r="E259" s="149"/>
      <c r="F259" s="148"/>
      <c r="G259" s="5"/>
      <c r="H259" s="151"/>
      <c r="I259" s="151"/>
      <c r="J259" s="151"/>
      <c r="K259" s="151"/>
      <c r="L259" s="152"/>
      <c r="M259" s="152"/>
      <c r="N259" s="157"/>
      <c r="O259" s="148"/>
      <c r="P259" s="148"/>
      <c r="Q259" s="155"/>
      <c r="R259" s="1"/>
      <c r="S259" s="1"/>
      <c r="T259" s="1"/>
      <c r="U259" s="1"/>
      <c r="V259" s="1"/>
    </row>
    <row r="260" spans="1:22" x14ac:dyDescent="0.3">
      <c r="A260" s="5" t="str">
        <f>CONCATENATE("F",IF(B260&lt;&gt;"",COUNTA($B$2:B260),""))</f>
        <v>F159</v>
      </c>
      <c r="B260" s="148" t="s">
        <v>205</v>
      </c>
      <c r="C260" s="148" t="s">
        <v>51</v>
      </c>
      <c r="D26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67.159444157504069</v>
      </c>
      <c r="E26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0" s="148">
        <f>VLOOKUP(woodflow[[#This Row],[From]],woodstock[#All],4,FALSE)</f>
        <v>2021</v>
      </c>
      <c r="G260" s="5" t="str">
        <f>VLOOKUP(woodflow[[#This Row],[From]],woodstock[#All],5,FALSE)</f>
        <v>Global</v>
      </c>
      <c r="H260" s="151" t="str">
        <f>VLOOKUP(woodflow[[#This Row],[From]],woodstock[#All],7,FALSE)</f>
        <v>25</v>
      </c>
      <c r="I260" s="151" t="str">
        <f>VLOOKUP(woodflow[[#This Row],[to]],woodstock[#All],7,FALSE)</f>
        <v>15</v>
      </c>
      <c r="J260" s="151" t="str">
        <f>VLOOKUP(woodflow[[#This Row],[From]],woodstock[#All],8,FALSE)</f>
        <v>0</v>
      </c>
      <c r="K260" s="151" t="str">
        <f>VLOOKUP(woodflow[[#This Row],[to]],woodstock[#All],8,FALSE)</f>
        <v>1</v>
      </c>
      <c r="L260" s="152" t="str">
        <f>VLOOKUP(woodflow[[#This Row],[From]],woodstock[#All],9,FALSE)</f>
        <v>nan</v>
      </c>
      <c r="M260" s="152" t="str">
        <f>VLOOKUP(woodflow[[#This Row],[to]],woodstock[#All],9,FALSE)</f>
        <v>37-38-39-40-41-42</v>
      </c>
      <c r="N260" s="157">
        <f>'faostat-data'!Q75+'faostat-data'!Q76-'faostat-data'!Q77</f>
        <v>67.159444157504069</v>
      </c>
      <c r="O260" s="148" t="s">
        <v>921</v>
      </c>
      <c r="P260" s="148"/>
      <c r="Q260" s="148" t="s">
        <v>227</v>
      </c>
      <c r="R260" s="1"/>
      <c r="S260" s="1"/>
      <c r="T260" s="1"/>
      <c r="U260" s="1"/>
      <c r="V260" s="1"/>
    </row>
    <row r="261" spans="1:22" x14ac:dyDescent="0.3">
      <c r="A261" s="5" t="str">
        <f>CONCATENATE("F",IF(B261&lt;&gt;"",COUNTA($B$2:B261),""))</f>
        <v>F160</v>
      </c>
      <c r="B261" s="148" t="s">
        <v>205</v>
      </c>
      <c r="C261" s="148" t="s">
        <v>36</v>
      </c>
      <c r="D26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1" s="148">
        <f>VLOOKUP(woodflow[[#This Row],[From]],woodstock[#All],4,FALSE)</f>
        <v>2021</v>
      </c>
      <c r="G261" s="5" t="str">
        <f>VLOOKUP(woodflow[[#This Row],[From]],woodstock[#All],5,FALSE)</f>
        <v>Global</v>
      </c>
      <c r="H261" s="151" t="str">
        <f>VLOOKUP(woodflow[[#This Row],[From]],woodstock[#All],7,FALSE)</f>
        <v>25</v>
      </c>
      <c r="I261" s="151" t="str">
        <f>VLOOKUP(woodflow[[#This Row],[to]],woodstock[#All],7,FALSE)</f>
        <v>37</v>
      </c>
      <c r="J261" s="151" t="str">
        <f>VLOOKUP(woodflow[[#This Row],[From]],woodstock[#All],8,FALSE)</f>
        <v>0</v>
      </c>
      <c r="K261" s="151" t="str">
        <f>VLOOKUP(woodflow[[#This Row],[to]],woodstock[#All],8,FALSE)</f>
        <v>0</v>
      </c>
      <c r="L261" s="152" t="str">
        <f>VLOOKUP(woodflow[[#This Row],[From]],woodstock[#All],9,FALSE)</f>
        <v>nan</v>
      </c>
      <c r="M261" s="152" t="str">
        <f>VLOOKUP(woodflow[[#This Row],[to]],woodstock[#All],9,FALSE)</f>
        <v>nan</v>
      </c>
      <c r="N261" s="157">
        <v>0</v>
      </c>
      <c r="O261" s="148" t="s">
        <v>209</v>
      </c>
      <c r="P261" s="148"/>
      <c r="Q261" s="148"/>
      <c r="R261" s="1"/>
      <c r="S261" s="1"/>
      <c r="T261" s="1"/>
      <c r="U261" s="1"/>
      <c r="V261" s="1"/>
    </row>
    <row r="262" spans="1:22" x14ac:dyDescent="0.3">
      <c r="A262" s="5" t="str">
        <f>CONCATENATE("F",IF(B262&lt;&gt;"",COUNTA($B$2:B262),""))</f>
        <v>F161</v>
      </c>
      <c r="B262" s="148" t="s">
        <v>205</v>
      </c>
      <c r="C262" s="148" t="s">
        <v>37</v>
      </c>
      <c r="D26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4.0295666494502438</v>
      </c>
      <c r="F262" s="148">
        <f>VLOOKUP(woodflow[[#This Row],[From]],woodstock[#All],4,FALSE)</f>
        <v>2021</v>
      </c>
      <c r="G262" s="5" t="str">
        <f>VLOOKUP(woodflow[[#This Row],[From]],woodstock[#All],5,FALSE)</f>
        <v>Global</v>
      </c>
      <c r="H262" s="151" t="str">
        <f>VLOOKUP(woodflow[[#This Row],[From]],woodstock[#All],7,FALSE)</f>
        <v>25</v>
      </c>
      <c r="I262" s="151" t="str">
        <f>VLOOKUP(woodflow[[#This Row],[to]],woodstock[#All],7,FALSE)</f>
        <v>38</v>
      </c>
      <c r="J262" s="151" t="str">
        <f>VLOOKUP(woodflow[[#This Row],[From]],woodstock[#All],8,FALSE)</f>
        <v>0</v>
      </c>
      <c r="K262" s="151" t="str">
        <f>VLOOKUP(woodflow[[#This Row],[to]],woodstock[#All],8,FALSE)</f>
        <v>0</v>
      </c>
      <c r="L262" s="152" t="str">
        <f>VLOOKUP(woodflow[[#This Row],[From]],woodstock[#All],9,FALSE)</f>
        <v>nan</v>
      </c>
      <c r="M262" s="152" t="str">
        <f>VLOOKUP(woodflow[[#This Row],[to]],woodstock[#All],9,FALSE)</f>
        <v>nan</v>
      </c>
      <c r="N262" s="157">
        <f>$N$260*woodratio!I118</f>
        <v>4.0295666494502438</v>
      </c>
      <c r="O262" s="148" t="s">
        <v>920</v>
      </c>
      <c r="P262" s="148" t="s">
        <v>233</v>
      </c>
      <c r="Q262" s="148"/>
      <c r="R262" s="1"/>
      <c r="S262" s="1"/>
      <c r="T262" s="1"/>
      <c r="U262" s="1"/>
      <c r="V262" s="1"/>
    </row>
    <row r="263" spans="1:22" x14ac:dyDescent="0.3">
      <c r="A263" s="5" t="str">
        <f>CONCATENATE("F",IF(B263&lt;&gt;"",COUNTA($B$2:B263),""))</f>
        <v>F162</v>
      </c>
      <c r="B263" s="148" t="s">
        <v>205</v>
      </c>
      <c r="C263" s="148" t="s">
        <v>39</v>
      </c>
      <c r="D26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6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3" s="148">
        <f>VLOOKUP(woodflow[[#This Row],[From]],woodstock[#All],4,FALSE)</f>
        <v>2021</v>
      </c>
      <c r="G263" s="5" t="str">
        <f>VLOOKUP(woodflow[[#This Row],[From]],woodstock[#All],5,FALSE)</f>
        <v>Global</v>
      </c>
      <c r="H263" s="151" t="str">
        <f>VLOOKUP(woodflow[[#This Row],[From]],woodstock[#All],7,FALSE)</f>
        <v>25</v>
      </c>
      <c r="I263" s="151" t="str">
        <f>VLOOKUP(woodflow[[#This Row],[to]],woodstock[#All],7,FALSE)</f>
        <v>39</v>
      </c>
      <c r="J263" s="151" t="str">
        <f>VLOOKUP(woodflow[[#This Row],[From]],woodstock[#All],8,FALSE)</f>
        <v>0</v>
      </c>
      <c r="K263" s="151" t="str">
        <f>VLOOKUP(woodflow[[#This Row],[to]],woodstock[#All],8,FALSE)</f>
        <v>0</v>
      </c>
      <c r="L263" s="152" t="str">
        <f>VLOOKUP(woodflow[[#This Row],[From]],woodstock[#All],9,FALSE)</f>
        <v>nan</v>
      </c>
      <c r="M263" s="152" t="str">
        <f>VLOOKUP(woodflow[[#This Row],[to]],woodstock[#All],9,FALSE)</f>
        <v>nan</v>
      </c>
      <c r="N263" s="157">
        <v>0</v>
      </c>
      <c r="O263" s="148" t="s">
        <v>209</v>
      </c>
      <c r="P263" s="148"/>
      <c r="Q263" s="148"/>
      <c r="R263" s="1"/>
      <c r="S263" s="1"/>
      <c r="T263" s="1"/>
      <c r="U263" s="1"/>
      <c r="V263" s="1"/>
    </row>
    <row r="264" spans="1:22" x14ac:dyDescent="0.3">
      <c r="A264" s="5" t="str">
        <f>CONCATENATE("F",IF(B264&lt;&gt;"",COUNTA($B$2:B264),""))</f>
        <v>F163</v>
      </c>
      <c r="B264" s="148" t="s">
        <v>205</v>
      </c>
      <c r="C264" s="148" t="s">
        <v>40</v>
      </c>
      <c r="D26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20.147833247251221</v>
      </c>
      <c r="F264" s="148">
        <f>VLOOKUP(woodflow[[#This Row],[From]],woodstock[#All],4,FALSE)</f>
        <v>2021</v>
      </c>
      <c r="G264" s="5" t="str">
        <f>VLOOKUP(woodflow[[#This Row],[From]],woodstock[#All],5,FALSE)</f>
        <v>Global</v>
      </c>
      <c r="H264" s="151" t="str">
        <f>VLOOKUP(woodflow[[#This Row],[From]],woodstock[#All],7,FALSE)</f>
        <v>25</v>
      </c>
      <c r="I264" s="151" t="str">
        <f>VLOOKUP(woodflow[[#This Row],[to]],woodstock[#All],7,FALSE)</f>
        <v>40</v>
      </c>
      <c r="J264" s="151" t="str">
        <f>VLOOKUP(woodflow[[#This Row],[From]],woodstock[#All],8,FALSE)</f>
        <v>0</v>
      </c>
      <c r="K264" s="151" t="str">
        <f>VLOOKUP(woodflow[[#This Row],[to]],woodstock[#All],8,FALSE)</f>
        <v>0</v>
      </c>
      <c r="L264" s="152" t="str">
        <f>VLOOKUP(woodflow[[#This Row],[From]],woodstock[#All],9,FALSE)</f>
        <v>nan</v>
      </c>
      <c r="M264" s="152" t="str">
        <f>VLOOKUP(woodflow[[#This Row],[to]],woodstock[#All],9,FALSE)</f>
        <v>nan</v>
      </c>
      <c r="N264" s="157">
        <f>$N$260*woodratio!I119</f>
        <v>20.147833247251221</v>
      </c>
      <c r="O264" s="148" t="s">
        <v>920</v>
      </c>
      <c r="P264" s="148" t="s">
        <v>233</v>
      </c>
      <c r="Q264" s="148"/>
      <c r="R264" s="1"/>
      <c r="S264" s="1"/>
      <c r="T264" s="1"/>
      <c r="U264" s="1"/>
      <c r="V264" s="1"/>
    </row>
    <row r="265" spans="1:22" x14ac:dyDescent="0.3">
      <c r="A265" s="5" t="str">
        <f>CONCATENATE("F",IF(B265&lt;&gt;"",COUNTA($B$2:B265),""))</f>
        <v>F164</v>
      </c>
      <c r="B265" s="148" t="s">
        <v>205</v>
      </c>
      <c r="C265" s="148" t="s">
        <v>41</v>
      </c>
      <c r="D26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38.280883169777319</v>
      </c>
      <c r="F265" s="148">
        <f>VLOOKUP(woodflow[[#This Row],[From]],woodstock[#All],4,FALSE)</f>
        <v>2021</v>
      </c>
      <c r="G265" s="5" t="str">
        <f>VLOOKUP(woodflow[[#This Row],[From]],woodstock[#All],5,FALSE)</f>
        <v>Global</v>
      </c>
      <c r="H265" s="151" t="str">
        <f>VLOOKUP(woodflow[[#This Row],[From]],woodstock[#All],7,FALSE)</f>
        <v>25</v>
      </c>
      <c r="I265" s="151" t="str">
        <f>VLOOKUP(woodflow[[#This Row],[to]],woodstock[#All],7,FALSE)</f>
        <v>41</v>
      </c>
      <c r="J265" s="151" t="str">
        <f>VLOOKUP(woodflow[[#This Row],[From]],woodstock[#All],8,FALSE)</f>
        <v>0</v>
      </c>
      <c r="K265" s="151" t="str">
        <f>VLOOKUP(woodflow[[#This Row],[to]],woodstock[#All],8,FALSE)</f>
        <v>0</v>
      </c>
      <c r="L265" s="152" t="str">
        <f>VLOOKUP(woodflow[[#This Row],[From]],woodstock[#All],9,FALSE)</f>
        <v>nan</v>
      </c>
      <c r="M265" s="152" t="str">
        <f>VLOOKUP(woodflow[[#This Row],[to]],woodstock[#All],9,FALSE)</f>
        <v>nan</v>
      </c>
      <c r="N265" s="157">
        <f>$N$260*woodratio!I120</f>
        <v>38.280883169777319</v>
      </c>
      <c r="O265" s="148" t="s">
        <v>920</v>
      </c>
      <c r="P265" s="148" t="s">
        <v>233</v>
      </c>
      <c r="Q265" s="148"/>
      <c r="R265" s="1"/>
      <c r="S265" s="1"/>
      <c r="T265" s="1"/>
      <c r="U265" s="1"/>
      <c r="V265" s="1"/>
    </row>
    <row r="266" spans="1:22" x14ac:dyDescent="0.3">
      <c r="A266" s="5" t="str">
        <f>CONCATENATE("F",IF(B266&lt;&gt;"",COUNTA($B$2:B266),""))</f>
        <v>F165</v>
      </c>
      <c r="B266" s="148" t="s">
        <v>205</v>
      </c>
      <c r="C266" s="148" t="s">
        <v>38</v>
      </c>
      <c r="D26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26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4.701161091025285</v>
      </c>
      <c r="F266" s="148">
        <f>VLOOKUP(woodflow[[#This Row],[From]],woodstock[#All],4,FALSE)</f>
        <v>2021</v>
      </c>
      <c r="G266" s="5" t="str">
        <f>VLOOKUP(woodflow[[#This Row],[From]],woodstock[#All],5,FALSE)</f>
        <v>Global</v>
      </c>
      <c r="H266" s="151" t="str">
        <f>VLOOKUP(woodflow[[#This Row],[From]],woodstock[#All],7,FALSE)</f>
        <v>25</v>
      </c>
      <c r="I266" s="151" t="str">
        <f>VLOOKUP(woodflow[[#This Row],[to]],woodstock[#All],7,FALSE)</f>
        <v>42</v>
      </c>
      <c r="J266" s="151" t="str">
        <f>VLOOKUP(woodflow[[#This Row],[From]],woodstock[#All],8,FALSE)</f>
        <v>0</v>
      </c>
      <c r="K266" s="151" t="str">
        <f>VLOOKUP(woodflow[[#This Row],[to]],woodstock[#All],8,FALSE)</f>
        <v>0</v>
      </c>
      <c r="L266" s="152" t="str">
        <f>VLOOKUP(woodflow[[#This Row],[From]],woodstock[#All],9,FALSE)</f>
        <v>nan</v>
      </c>
      <c r="M266" s="152" t="str">
        <f>VLOOKUP(woodflow[[#This Row],[to]],woodstock[#All],9,FALSE)</f>
        <v>nan</v>
      </c>
      <c r="N266" s="157">
        <f>$N$260*woodratio!I121</f>
        <v>4.701161091025285</v>
      </c>
      <c r="O266" s="148" t="s">
        <v>920</v>
      </c>
      <c r="P266" s="148" t="s">
        <v>233</v>
      </c>
      <c r="Q266" s="148"/>
      <c r="R266" s="1"/>
      <c r="S266" s="1"/>
      <c r="T266" s="1"/>
      <c r="U266" s="1"/>
      <c r="V266" s="1"/>
    </row>
    <row r="267" spans="1:22" x14ac:dyDescent="0.3">
      <c r="A267" s="5" t="str">
        <f>CONCATENATE("F",IF(B267&lt;&gt;"",COUNTA($B$2:B267),""))</f>
        <v>F</v>
      </c>
      <c r="B267" s="148"/>
      <c r="C267" s="148"/>
      <c r="D267" s="149"/>
      <c r="E267" s="149"/>
      <c r="F267" s="148"/>
      <c r="G267" s="5"/>
      <c r="H267" s="151"/>
      <c r="I267" s="151"/>
      <c r="J267" s="151"/>
      <c r="K267" s="151"/>
      <c r="L267" s="152"/>
      <c r="M267" s="152"/>
      <c r="N267" s="157"/>
      <c r="O267" s="148"/>
      <c r="P267" s="148"/>
      <c r="Q267" s="148"/>
      <c r="R267" s="1"/>
      <c r="S267" s="1"/>
      <c r="T267" s="1"/>
      <c r="U267" s="1"/>
      <c r="V267" s="1"/>
    </row>
    <row r="268" spans="1:22" x14ac:dyDescent="0.3">
      <c r="A268" s="5" t="str">
        <f>CONCATENATE("F",IF(B268&lt;&gt;"",COUNTA($B$2:B268),""))</f>
        <v>F</v>
      </c>
      <c r="B268" s="148"/>
      <c r="C268" s="148"/>
      <c r="D268" s="149"/>
      <c r="E268" s="149"/>
      <c r="F268" s="148"/>
      <c r="G268" s="5"/>
      <c r="H268" s="151"/>
      <c r="I268" s="151"/>
      <c r="J268" s="151"/>
      <c r="K268" s="151"/>
      <c r="L268" s="152"/>
      <c r="M268" s="152"/>
      <c r="N268" s="157"/>
      <c r="O268" s="148"/>
      <c r="P268" s="148"/>
      <c r="Q268" s="148"/>
      <c r="R268" s="1"/>
      <c r="S268" s="1"/>
      <c r="T268" s="1"/>
      <c r="U268" s="1"/>
      <c r="V268" s="1"/>
    </row>
    <row r="269" spans="1:22" x14ac:dyDescent="0.3">
      <c r="A269" s="5" t="str">
        <f>CONCATENATE("F",IF(B269&lt;&gt;"",COUNTA($B$2:B269),""))</f>
        <v>F166</v>
      </c>
      <c r="B269" s="148" t="s">
        <v>75</v>
      </c>
      <c r="C269" s="148" t="s">
        <v>40</v>
      </c>
      <c r="D26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2.0173807370249999</v>
      </c>
      <c r="E26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69" s="148">
        <f>VLOOKUP(woodflow[[#This Row],[From]],woodstock[#All],4,FALSE)</f>
        <v>2021</v>
      </c>
      <c r="G269" s="5" t="str">
        <f>VLOOKUP(woodflow[[#This Row],[From]],woodstock[#All],5,FALSE)</f>
        <v>Global</v>
      </c>
      <c r="H269" s="151" t="str">
        <f>VLOOKUP(woodflow[[#This Row],[From]],woodstock[#All],7,FALSE)</f>
        <v>26</v>
      </c>
      <c r="I269" s="151" t="str">
        <f>VLOOKUP(woodflow[[#This Row],[to]],woodstock[#All],7,FALSE)</f>
        <v>40</v>
      </c>
      <c r="J269" s="151" t="str">
        <f>VLOOKUP(woodflow[[#This Row],[From]],woodstock[#All],8,FALSE)</f>
        <v>0</v>
      </c>
      <c r="K269" s="151" t="str">
        <f>VLOOKUP(woodflow[[#This Row],[to]],woodstock[#All],8,FALSE)</f>
        <v>0</v>
      </c>
      <c r="L269" s="152" t="str">
        <f>VLOOKUP(woodflow[[#This Row],[From]],woodstock[#All],9,FALSE)</f>
        <v>nan</v>
      </c>
      <c r="M269" s="152" t="str">
        <f>VLOOKUP(woodflow[[#This Row],[to]],woodstock[#All],9,FALSE)</f>
        <v>nan</v>
      </c>
      <c r="N269" s="157">
        <f>('faostat-data'!Q78+'faostat-data'!Q79-'faostat-data'!Q80)</f>
        <v>2.0173807370249999</v>
      </c>
      <c r="O269" s="148" t="s">
        <v>921</v>
      </c>
      <c r="P269" s="148"/>
      <c r="Q269" s="148" t="s">
        <v>227</v>
      </c>
      <c r="R269" s="1"/>
      <c r="S269" s="1"/>
      <c r="T269" s="1"/>
      <c r="U269" s="1"/>
      <c r="V269" s="1"/>
    </row>
    <row r="270" spans="1:22" x14ac:dyDescent="0.3">
      <c r="A270" s="5" t="str">
        <f>CONCATENATE("F",IF(B270&lt;&gt;"",COUNTA($B$2:B270),""))</f>
        <v>F</v>
      </c>
      <c r="B270" s="148"/>
      <c r="C270" s="148"/>
      <c r="D270" s="149"/>
      <c r="E270" s="149"/>
      <c r="F270" s="148"/>
      <c r="G270" s="5"/>
      <c r="H270" s="151"/>
      <c r="I270" s="151"/>
      <c r="J270" s="151"/>
      <c r="K270" s="151"/>
      <c r="L270" s="152"/>
      <c r="M270" s="152"/>
      <c r="N270" s="157"/>
      <c r="O270" s="148"/>
      <c r="P270" s="148"/>
      <c r="Q270" s="148"/>
      <c r="R270" s="1"/>
      <c r="S270" s="1"/>
      <c r="T270" s="1"/>
      <c r="U270" s="1"/>
      <c r="V270" s="1"/>
    </row>
    <row r="271" spans="1:22" x14ac:dyDescent="0.3">
      <c r="A271" s="5" t="str">
        <f>CONCATENATE("F",IF(B271&lt;&gt;"",COUNTA($B$2:B271),""))</f>
        <v>F</v>
      </c>
      <c r="B271" s="148"/>
      <c r="C271" s="148"/>
      <c r="D271" s="149"/>
      <c r="E271" s="149"/>
      <c r="F271" s="148"/>
      <c r="G271" s="5"/>
      <c r="H271" s="151"/>
      <c r="I271" s="151"/>
      <c r="J271" s="151"/>
      <c r="K271" s="151"/>
      <c r="L271" s="152"/>
      <c r="M271" s="152"/>
      <c r="N271" s="157"/>
      <c r="O271" s="148"/>
      <c r="P271" s="148"/>
      <c r="Q271" s="148"/>
      <c r="R271" s="1"/>
      <c r="S271" s="1"/>
      <c r="T271" s="1"/>
      <c r="U271" s="1"/>
      <c r="V271" s="1"/>
    </row>
    <row r="272" spans="1:22" x14ac:dyDescent="0.3">
      <c r="A272" s="5" t="str">
        <f>CONCATENATE("F",IF(B272&lt;&gt;"",COUNTA($B$2:B272),""))</f>
        <v>F167</v>
      </c>
      <c r="B272" s="5" t="s">
        <v>70</v>
      </c>
      <c r="C272" s="5" t="s">
        <v>50</v>
      </c>
      <c r="D27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32.141039370000001</v>
      </c>
      <c r="E27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2" s="148">
        <f>VLOOKUP(woodflow[[#This Row],[From]],woodstock[#All],4,FALSE)</f>
        <v>2021</v>
      </c>
      <c r="G272" s="5" t="str">
        <f>VLOOKUP(woodflow[[#This Row],[From]],woodstock[#All],5,FALSE)</f>
        <v>Global</v>
      </c>
      <c r="H272" s="151" t="str">
        <f>VLOOKUP(woodflow[[#This Row],[From]],woodstock[#All],7,FALSE)</f>
        <v>27</v>
      </c>
      <c r="I272" s="151" t="str">
        <f>VLOOKUP(woodflow[[#This Row],[to]],woodstock[#All],7,FALSE)</f>
        <v>14</v>
      </c>
      <c r="J272" s="151" t="str">
        <f>VLOOKUP(woodflow[[#This Row],[From]],woodstock[#All],8,FALSE)</f>
        <v>0</v>
      </c>
      <c r="K272" s="151" t="str">
        <f>VLOOKUP(woodflow[[#This Row],[to]],woodstock[#All],8,FALSE)</f>
        <v>1</v>
      </c>
      <c r="L272" s="152" t="str">
        <f>VLOOKUP(woodflow[[#This Row],[From]],woodstock[#All],9,FALSE)</f>
        <v>nan</v>
      </c>
      <c r="M272" s="152" t="str">
        <f>VLOOKUP(woodflow[[#This Row],[to]],woodstock[#All],9,FALSE)</f>
        <v>32-33-34-35-36</v>
      </c>
      <c r="N272" s="157">
        <f>SUM(N273:N277)</f>
        <v>32.141039370000001</v>
      </c>
      <c r="O272" s="148" t="s">
        <v>921</v>
      </c>
      <c r="P272" s="148" t="s">
        <v>367</v>
      </c>
      <c r="Q272" s="4" t="s">
        <v>221</v>
      </c>
      <c r="R272" s="1"/>
      <c r="S272" s="48"/>
      <c r="T272" s="1"/>
      <c r="U272" s="1"/>
      <c r="V272" s="1"/>
    </row>
    <row r="273" spans="1:22" x14ac:dyDescent="0.3">
      <c r="A273" s="5" t="str">
        <f>CONCATENATE("F",IF(B273&lt;&gt;"",COUNTA($B$2:B273),""))</f>
        <v>F168</v>
      </c>
      <c r="B273" s="5" t="s">
        <v>70</v>
      </c>
      <c r="C273" s="5" t="s">
        <v>78</v>
      </c>
      <c r="D27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3.094612179999999</v>
      </c>
      <c r="E27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3" s="148">
        <f>VLOOKUP(woodflow[[#This Row],[From]],woodstock[#All],4,FALSE)</f>
        <v>2021</v>
      </c>
      <c r="G273" s="5" t="str">
        <f>VLOOKUP(woodflow[[#This Row],[From]],woodstock[#All],5,FALSE)</f>
        <v>Global</v>
      </c>
      <c r="H273" s="151" t="str">
        <f>VLOOKUP(woodflow[[#This Row],[From]],woodstock[#All],7,FALSE)</f>
        <v>27</v>
      </c>
      <c r="I273" s="151" t="str">
        <f>VLOOKUP(woodflow[[#This Row],[to]],woodstock[#All],7,FALSE)</f>
        <v>32</v>
      </c>
      <c r="J273" s="151" t="str">
        <f>VLOOKUP(woodflow[[#This Row],[From]],woodstock[#All],8,FALSE)</f>
        <v>0</v>
      </c>
      <c r="K273" s="151" t="str">
        <f>VLOOKUP(woodflow[[#This Row],[to]],woodstock[#All],8,FALSE)</f>
        <v>0</v>
      </c>
      <c r="L273" s="152" t="str">
        <f>VLOOKUP(woodflow[[#This Row],[From]],woodstock[#All],9,FALSE)</f>
        <v>nan</v>
      </c>
      <c r="M273" s="152" t="str">
        <f>VLOOKUP(woodflow[[#This Row],[to]],woodstock[#All],9,FALSE)</f>
        <v>nan</v>
      </c>
      <c r="N273" s="157">
        <f>('faostat-data'!Q123+(('faostat-data'!Q123)/'production-mass-balance'!$B$80*'production-mass-balance'!$B$79))*'supporting-percentages'!B12</f>
        <v>3.094612179999999</v>
      </c>
      <c r="O273" s="148" t="s">
        <v>921</v>
      </c>
      <c r="P273" s="148" t="s">
        <v>367</v>
      </c>
      <c r="Q273" s="4" t="s">
        <v>221</v>
      </c>
      <c r="R273" s="1"/>
      <c r="S273" s="48"/>
      <c r="T273" s="1"/>
      <c r="U273" s="1"/>
      <c r="V273" s="1"/>
    </row>
    <row r="274" spans="1:22" x14ac:dyDescent="0.3">
      <c r="A274" s="5" t="str">
        <f>CONCATENATE("F",IF(B274&lt;&gt;"",COUNTA($B$2:B274),""))</f>
        <v>F169</v>
      </c>
      <c r="B274" s="5" t="s">
        <v>70</v>
      </c>
      <c r="C274" s="5" t="s">
        <v>79</v>
      </c>
      <c r="D27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4" s="148">
        <f>VLOOKUP(woodflow[[#This Row],[From]],woodstock[#All],4,FALSE)</f>
        <v>2021</v>
      </c>
      <c r="G274" s="5" t="str">
        <f>VLOOKUP(woodflow[[#This Row],[From]],woodstock[#All],5,FALSE)</f>
        <v>Global</v>
      </c>
      <c r="H274" s="151" t="str">
        <f>VLOOKUP(woodflow[[#This Row],[From]],woodstock[#All],7,FALSE)</f>
        <v>27</v>
      </c>
      <c r="I274" s="151" t="str">
        <f>VLOOKUP(woodflow[[#This Row],[to]],woodstock[#All],7,FALSE)</f>
        <v>33</v>
      </c>
      <c r="J274" s="151" t="str">
        <f>VLOOKUP(woodflow[[#This Row],[From]],woodstock[#All],8,FALSE)</f>
        <v>0</v>
      </c>
      <c r="K274" s="151" t="str">
        <f>VLOOKUP(woodflow[[#This Row],[to]],woodstock[#All],8,FALSE)</f>
        <v>0</v>
      </c>
      <c r="L274" s="152" t="str">
        <f>VLOOKUP(woodflow[[#This Row],[From]],woodstock[#All],9,FALSE)</f>
        <v>nan</v>
      </c>
      <c r="M274" s="152" t="str">
        <f>VLOOKUP(woodflow[[#This Row],[to]],woodstock[#All],9,FALSE)</f>
        <v>nan</v>
      </c>
      <c r="N274" s="157">
        <v>0</v>
      </c>
      <c r="O274" s="148" t="s">
        <v>921</v>
      </c>
      <c r="P274" s="148" t="s">
        <v>367</v>
      </c>
      <c r="Q274" s="4" t="s">
        <v>221</v>
      </c>
      <c r="R274" s="1"/>
      <c r="S274" s="48"/>
      <c r="T274" s="1"/>
      <c r="U274" s="1"/>
      <c r="V274" s="1"/>
    </row>
    <row r="275" spans="1:22" x14ac:dyDescent="0.3">
      <c r="A275" s="5" t="str">
        <f>CONCATENATE("F",IF(B275&lt;&gt;"",COUNTA($B$2:B275),""))</f>
        <v>F170</v>
      </c>
      <c r="B275" s="5" t="s">
        <v>70</v>
      </c>
      <c r="C275" s="5" t="s">
        <v>67</v>
      </c>
      <c r="D27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5" s="148">
        <f>VLOOKUP(woodflow[[#This Row],[From]],woodstock[#All],4,FALSE)</f>
        <v>2021</v>
      </c>
      <c r="G275" s="5" t="str">
        <f>VLOOKUP(woodflow[[#This Row],[From]],woodstock[#All],5,FALSE)</f>
        <v>Global</v>
      </c>
      <c r="H275" s="151" t="str">
        <f>VLOOKUP(woodflow[[#This Row],[From]],woodstock[#All],7,FALSE)</f>
        <v>27</v>
      </c>
      <c r="I275" s="151" t="str">
        <f>VLOOKUP(woodflow[[#This Row],[to]],woodstock[#All],7,FALSE)</f>
        <v>34</v>
      </c>
      <c r="J275" s="151" t="str">
        <f>VLOOKUP(woodflow[[#This Row],[From]],woodstock[#All],8,FALSE)</f>
        <v>0</v>
      </c>
      <c r="K275" s="151" t="str">
        <f>VLOOKUP(woodflow[[#This Row],[to]],woodstock[#All],8,FALSE)</f>
        <v>0</v>
      </c>
      <c r="L275" s="152" t="str">
        <f>VLOOKUP(woodflow[[#This Row],[From]],woodstock[#All],9,FALSE)</f>
        <v>nan</v>
      </c>
      <c r="M275" s="152" t="str">
        <f>VLOOKUP(woodflow[[#This Row],[to]],woodstock[#All],9,FALSE)</f>
        <v>nan</v>
      </c>
      <c r="N275" s="157">
        <v>0</v>
      </c>
      <c r="O275" s="148" t="s">
        <v>921</v>
      </c>
      <c r="P275" s="148" t="s">
        <v>367</v>
      </c>
      <c r="Q275" s="4" t="s">
        <v>221</v>
      </c>
      <c r="R275" s="1"/>
      <c r="S275" s="48"/>
      <c r="T275" s="1"/>
      <c r="U275" s="1"/>
      <c r="V275" s="1"/>
    </row>
    <row r="276" spans="1:22" x14ac:dyDescent="0.3">
      <c r="A276" s="5" t="str">
        <f>CONCATENATE("F",IF(B276&lt;&gt;"",COUNTA($B$2:B276),""))</f>
        <v>F171</v>
      </c>
      <c r="B276" s="5" t="s">
        <v>70</v>
      </c>
      <c r="C276" s="5" t="s">
        <v>68</v>
      </c>
      <c r="D27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29.046427189999999</v>
      </c>
      <c r="E27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6" s="148">
        <f>VLOOKUP(woodflow[[#This Row],[From]],woodstock[#All],4,FALSE)</f>
        <v>2021</v>
      </c>
      <c r="G276" s="5" t="str">
        <f>VLOOKUP(woodflow[[#This Row],[From]],woodstock[#All],5,FALSE)</f>
        <v>Global</v>
      </c>
      <c r="H276" s="151" t="str">
        <f>VLOOKUP(woodflow[[#This Row],[From]],woodstock[#All],7,FALSE)</f>
        <v>27</v>
      </c>
      <c r="I276" s="151" t="str">
        <f>VLOOKUP(woodflow[[#This Row],[to]],woodstock[#All],7,FALSE)</f>
        <v>35</v>
      </c>
      <c r="J276" s="151" t="str">
        <f>VLOOKUP(woodflow[[#This Row],[From]],woodstock[#All],8,FALSE)</f>
        <v>0</v>
      </c>
      <c r="K276" s="151" t="str">
        <f>VLOOKUP(woodflow[[#This Row],[to]],woodstock[#All],8,FALSE)</f>
        <v>0</v>
      </c>
      <c r="L276" s="152" t="str">
        <f>VLOOKUP(woodflow[[#This Row],[From]],woodstock[#All],9,FALSE)</f>
        <v>nan</v>
      </c>
      <c r="M276" s="152" t="str">
        <f>VLOOKUP(woodflow[[#This Row],[to]],woodstock[#All],9,FALSE)</f>
        <v>nan</v>
      </c>
      <c r="N276" s="157">
        <f>('faostat-data'!Q147+'faostat-data'!Q150+'faostat-data'!Q153+'faostat-data'!Q156+(((('faostat-data'!Q147+'faostat-data'!Q150+'faostat-data'!Q153+'faostat-data'!Q156)/'production-mass-balance'!$B$80)*'production-mass-balance'!$B$79)))*'supporting-percentages'!B27</f>
        <v>29.046427189999999</v>
      </c>
      <c r="O276" s="148" t="s">
        <v>921</v>
      </c>
      <c r="P276" s="148" t="s">
        <v>367</v>
      </c>
      <c r="Q276" s="4" t="s">
        <v>221</v>
      </c>
      <c r="R276" s="1"/>
      <c r="S276" s="48"/>
      <c r="T276" s="1"/>
      <c r="U276" s="1"/>
      <c r="V276" s="1"/>
    </row>
    <row r="277" spans="1:22" x14ac:dyDescent="0.3">
      <c r="A277" s="5" t="str">
        <f>CONCATENATE("F",IF(B277&lt;&gt;"",COUNTA($B$2:B277),""))</f>
        <v>F172</v>
      </c>
      <c r="B277" s="5" t="s">
        <v>70</v>
      </c>
      <c r="C277" s="5" t="s">
        <v>69</v>
      </c>
      <c r="D27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7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77" s="148">
        <f>VLOOKUP(woodflow[[#This Row],[From]],woodstock[#All],4,FALSE)</f>
        <v>2021</v>
      </c>
      <c r="G277" s="5" t="str">
        <f>VLOOKUP(woodflow[[#This Row],[From]],woodstock[#All],5,FALSE)</f>
        <v>Global</v>
      </c>
      <c r="H277" s="151" t="str">
        <f>VLOOKUP(woodflow[[#This Row],[From]],woodstock[#All],7,FALSE)</f>
        <v>27</v>
      </c>
      <c r="I277" s="151" t="str">
        <f>VLOOKUP(woodflow[[#This Row],[to]],woodstock[#All],7,FALSE)</f>
        <v>36</v>
      </c>
      <c r="J277" s="151" t="str">
        <f>VLOOKUP(woodflow[[#This Row],[From]],woodstock[#All],8,FALSE)</f>
        <v>0</v>
      </c>
      <c r="K277" s="151" t="str">
        <f>VLOOKUP(woodflow[[#This Row],[to]],woodstock[#All],8,FALSE)</f>
        <v>0</v>
      </c>
      <c r="L277" s="152" t="str">
        <f>VLOOKUP(woodflow[[#This Row],[From]],woodstock[#All],9,FALSE)</f>
        <v>nan</v>
      </c>
      <c r="M277" s="152" t="str">
        <f>VLOOKUP(woodflow[[#This Row],[to]],woodstock[#All],9,FALSE)</f>
        <v>nan</v>
      </c>
      <c r="N277" s="157">
        <v>0</v>
      </c>
      <c r="O277" s="148" t="s">
        <v>921</v>
      </c>
      <c r="P277" s="148" t="s">
        <v>367</v>
      </c>
      <c r="Q277" s="4" t="s">
        <v>221</v>
      </c>
      <c r="R277" s="1"/>
      <c r="S277" s="13"/>
      <c r="T277" s="1"/>
      <c r="U277" s="1"/>
      <c r="V277" s="1"/>
    </row>
    <row r="278" spans="1:22" x14ac:dyDescent="0.3">
      <c r="A278" s="5" t="str">
        <f>CONCATENATE("F",IF(B278&lt;&gt;"",COUNTA($B$2:B278),""))</f>
        <v>F</v>
      </c>
      <c r="B278" s="148"/>
      <c r="C278" s="148"/>
      <c r="D278" s="149"/>
      <c r="E278" s="149"/>
      <c r="F278" s="148"/>
      <c r="G278" s="5"/>
      <c r="H278" s="151"/>
      <c r="I278" s="151"/>
      <c r="J278" s="151"/>
      <c r="K278" s="151"/>
      <c r="L278" s="152"/>
      <c r="M278" s="152"/>
      <c r="N278" s="157"/>
      <c r="O278" s="148"/>
      <c r="P278" s="148"/>
      <c r="Q278" s="148"/>
      <c r="R278" s="1"/>
      <c r="S278" s="13"/>
      <c r="T278" s="1"/>
      <c r="U278" s="1"/>
      <c r="V278" s="1"/>
    </row>
    <row r="279" spans="1:22" x14ac:dyDescent="0.3">
      <c r="A279" s="5" t="str">
        <f>CONCATENATE("F",IF(B279&lt;&gt;"",COUNTA($B$2:B279),""))</f>
        <v>F</v>
      </c>
      <c r="B279" s="148"/>
      <c r="C279" s="148"/>
      <c r="D279" s="149"/>
      <c r="E279" s="149"/>
      <c r="F279" s="148"/>
      <c r="G279" s="5"/>
      <c r="H279" s="151"/>
      <c r="I279" s="151"/>
      <c r="J279" s="151"/>
      <c r="K279" s="151"/>
      <c r="L279" s="152"/>
      <c r="M279" s="152"/>
      <c r="N279" s="157"/>
      <c r="O279" s="148"/>
      <c r="P279" s="148"/>
      <c r="Q279" s="148"/>
      <c r="R279" s="1"/>
      <c r="S279" s="1"/>
      <c r="T279" s="1"/>
      <c r="U279" s="1"/>
      <c r="V279" s="1"/>
    </row>
    <row r="280" spans="1:22" x14ac:dyDescent="0.3">
      <c r="A280" s="5" t="str">
        <f>CONCATENATE("F",IF(B280&lt;&gt;"",COUNTA($B$2:B280),""))</f>
        <v>F173</v>
      </c>
      <c r="B280" s="5" t="s">
        <v>71</v>
      </c>
      <c r="C280" s="5" t="s">
        <v>50</v>
      </c>
      <c r="D28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146.20067782999999</v>
      </c>
      <c r="E28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0" s="148">
        <f>VLOOKUP(woodflow[[#This Row],[From]],woodstock[#All],4,FALSE)</f>
        <v>2021</v>
      </c>
      <c r="G280" s="5" t="str">
        <f>VLOOKUP(woodflow[[#This Row],[From]],woodstock[#All],5,FALSE)</f>
        <v>Global</v>
      </c>
      <c r="H280" s="151" t="str">
        <f>VLOOKUP(woodflow[[#This Row],[From]],woodstock[#All],7,FALSE)</f>
        <v>28</v>
      </c>
      <c r="I280" s="151" t="str">
        <f>VLOOKUP(woodflow[[#This Row],[to]],woodstock[#All],7,FALSE)</f>
        <v>14</v>
      </c>
      <c r="J280" s="151" t="str">
        <f>VLOOKUP(woodflow[[#This Row],[From]],woodstock[#All],8,FALSE)</f>
        <v>0</v>
      </c>
      <c r="K280" s="151" t="str">
        <f>VLOOKUP(woodflow[[#This Row],[to]],woodstock[#All],8,FALSE)</f>
        <v>1</v>
      </c>
      <c r="L280" s="152" t="str">
        <f>VLOOKUP(woodflow[[#This Row],[From]],woodstock[#All],9,FALSE)</f>
        <v>nan</v>
      </c>
      <c r="M280" s="152" t="str">
        <f>VLOOKUP(woodflow[[#This Row],[to]],woodstock[#All],9,FALSE)</f>
        <v>32-33-34-35-36</v>
      </c>
      <c r="N280" s="157">
        <f>SUM(N281:N285)</f>
        <v>146.20067782999999</v>
      </c>
      <c r="O280" s="148" t="s">
        <v>921</v>
      </c>
      <c r="P280" s="148" t="s">
        <v>367</v>
      </c>
      <c r="Q280" s="4" t="s">
        <v>221</v>
      </c>
      <c r="R280" s="1"/>
      <c r="S280" s="1"/>
      <c r="T280" s="1"/>
      <c r="U280" s="1"/>
      <c r="V280" s="1"/>
    </row>
    <row r="281" spans="1:22" x14ac:dyDescent="0.3">
      <c r="A281" s="5" t="str">
        <f>CONCATENATE("F",IF(B281&lt;&gt;"",COUNTA($B$2:B281),""))</f>
        <v>F174</v>
      </c>
      <c r="B281" s="5" t="s">
        <v>71</v>
      </c>
      <c r="C281" s="5" t="s">
        <v>78</v>
      </c>
      <c r="D28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8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1" s="148">
        <f>VLOOKUP(woodflow[[#This Row],[From]],woodstock[#All],4,FALSE)</f>
        <v>2021</v>
      </c>
      <c r="G281" s="5" t="str">
        <f>VLOOKUP(woodflow[[#This Row],[From]],woodstock[#All],5,FALSE)</f>
        <v>Global</v>
      </c>
      <c r="H281" s="151" t="str">
        <f>VLOOKUP(woodflow[[#This Row],[From]],woodstock[#All],7,FALSE)</f>
        <v>28</v>
      </c>
      <c r="I281" s="151" t="str">
        <f>VLOOKUP(woodflow[[#This Row],[to]],woodstock[#All],7,FALSE)</f>
        <v>32</v>
      </c>
      <c r="J281" s="151" t="str">
        <f>VLOOKUP(woodflow[[#This Row],[From]],woodstock[#All],8,FALSE)</f>
        <v>0</v>
      </c>
      <c r="K281" s="151" t="str">
        <f>VLOOKUP(woodflow[[#This Row],[to]],woodstock[#All],8,FALSE)</f>
        <v>0</v>
      </c>
      <c r="L281" s="152" t="str">
        <f>VLOOKUP(woodflow[[#This Row],[From]],woodstock[#All],9,FALSE)</f>
        <v>nan</v>
      </c>
      <c r="M281" s="152" t="str">
        <f>VLOOKUP(woodflow[[#This Row],[to]],woodstock[#All],9,FALSE)</f>
        <v>nan</v>
      </c>
      <c r="N281" s="157">
        <v>0</v>
      </c>
      <c r="O281" s="148" t="s">
        <v>921</v>
      </c>
      <c r="P281" s="148" t="s">
        <v>367</v>
      </c>
      <c r="Q281" s="4" t="s">
        <v>221</v>
      </c>
      <c r="R281" s="1"/>
      <c r="S281" s="1"/>
      <c r="T281" s="1"/>
      <c r="U281" s="1"/>
      <c r="V281" s="1"/>
    </row>
    <row r="282" spans="1:22" x14ac:dyDescent="0.3">
      <c r="A282" s="5" t="str">
        <f>CONCATENATE("F",IF(B282&lt;&gt;"",COUNTA($B$2:B282),""))</f>
        <v>F175</v>
      </c>
      <c r="B282" s="5" t="s">
        <v>71</v>
      </c>
      <c r="C282" s="5" t="s">
        <v>79</v>
      </c>
      <c r="D28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50.856957000000008</v>
      </c>
      <c r="E28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2" s="148">
        <f>VLOOKUP(woodflow[[#This Row],[From]],woodstock[#All],4,FALSE)</f>
        <v>2021</v>
      </c>
      <c r="G282" s="5" t="str">
        <f>VLOOKUP(woodflow[[#This Row],[From]],woodstock[#All],5,FALSE)</f>
        <v>Global</v>
      </c>
      <c r="H282" s="151" t="str">
        <f>VLOOKUP(woodflow[[#This Row],[From]],woodstock[#All],7,FALSE)</f>
        <v>28</v>
      </c>
      <c r="I282" s="151" t="str">
        <f>VLOOKUP(woodflow[[#This Row],[to]],woodstock[#All],7,FALSE)</f>
        <v>33</v>
      </c>
      <c r="J282" s="151" t="str">
        <f>VLOOKUP(woodflow[[#This Row],[From]],woodstock[#All],8,FALSE)</f>
        <v>0</v>
      </c>
      <c r="K282" s="151" t="str">
        <f>VLOOKUP(woodflow[[#This Row],[to]],woodstock[#All],8,FALSE)</f>
        <v>0</v>
      </c>
      <c r="L282" s="152" t="str">
        <f>VLOOKUP(woodflow[[#This Row],[From]],woodstock[#All],9,FALSE)</f>
        <v>nan</v>
      </c>
      <c r="M282" s="152" t="str">
        <f>VLOOKUP(woodflow[[#This Row],[to]],woodstock[#All],9,FALSE)</f>
        <v>nan</v>
      </c>
      <c r="N282" s="157">
        <f>('faostat-data'!Q126+(('faostat-data'!Q126)/'production-mass-balance'!$B$80*'production-mass-balance'!$B$79))*'supporting-percentages'!B16</f>
        <v>50.856957000000008</v>
      </c>
      <c r="O282" s="148" t="s">
        <v>921</v>
      </c>
      <c r="P282" s="148" t="s">
        <v>367</v>
      </c>
      <c r="Q282" s="4" t="s">
        <v>221</v>
      </c>
      <c r="R282" s="1"/>
      <c r="S282" s="1"/>
      <c r="T282" s="1"/>
      <c r="U282" s="1"/>
      <c r="V282" s="1"/>
    </row>
    <row r="283" spans="1:22" x14ac:dyDescent="0.3">
      <c r="A283" s="5" t="str">
        <f>CONCATENATE("F",IF(B283&lt;&gt;"",COUNTA($B$2:B283),""))</f>
        <v>F176</v>
      </c>
      <c r="B283" s="5" t="s">
        <v>71</v>
      </c>
      <c r="C283" s="5" t="s">
        <v>67</v>
      </c>
      <c r="D28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24.94748916</v>
      </c>
      <c r="E28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3" s="148">
        <f>VLOOKUP(woodflow[[#This Row],[From]],woodstock[#All],4,FALSE)</f>
        <v>2021</v>
      </c>
      <c r="G283" s="5" t="str">
        <f>VLOOKUP(woodflow[[#This Row],[From]],woodstock[#All],5,FALSE)</f>
        <v>Global</v>
      </c>
      <c r="H283" s="151" t="str">
        <f>VLOOKUP(woodflow[[#This Row],[From]],woodstock[#All],7,FALSE)</f>
        <v>28</v>
      </c>
      <c r="I283" s="151" t="str">
        <f>VLOOKUP(woodflow[[#This Row],[to]],woodstock[#All],7,FALSE)</f>
        <v>34</v>
      </c>
      <c r="J283" s="151" t="str">
        <f>VLOOKUP(woodflow[[#This Row],[From]],woodstock[#All],8,FALSE)</f>
        <v>0</v>
      </c>
      <c r="K283" s="151" t="str">
        <f>VLOOKUP(woodflow[[#This Row],[to]],woodstock[#All],8,FALSE)</f>
        <v>0</v>
      </c>
      <c r="L283" s="152" t="str">
        <f>VLOOKUP(woodflow[[#This Row],[From]],woodstock[#All],9,FALSE)</f>
        <v>nan</v>
      </c>
      <c r="M283" s="152" t="str">
        <f>VLOOKUP(woodflow[[#This Row],[to]],woodstock[#All],9,FALSE)</f>
        <v>nan</v>
      </c>
      <c r="N283" s="157">
        <f>('faostat-data'!Q141+(('faostat-data'!Q141)/'production-mass-balance'!$B$80*'production-mass-balance'!$B$79))*'supporting-percentages'!B21</f>
        <v>24.94748916</v>
      </c>
      <c r="O283" s="148" t="s">
        <v>921</v>
      </c>
      <c r="P283" s="148" t="s">
        <v>367</v>
      </c>
      <c r="Q283" s="4" t="s">
        <v>221</v>
      </c>
      <c r="R283" s="1"/>
      <c r="S283" s="1"/>
      <c r="T283" s="1"/>
      <c r="U283" s="1"/>
      <c r="V283" s="1"/>
    </row>
    <row r="284" spans="1:22" x14ac:dyDescent="0.3">
      <c r="A284" s="5" t="str">
        <f>CONCATENATE("F",IF(B284&lt;&gt;"",COUNTA($B$2:B284),""))</f>
        <v>F177</v>
      </c>
      <c r="B284" s="5" t="s">
        <v>71</v>
      </c>
      <c r="C284" s="5" t="s">
        <v>68</v>
      </c>
      <c r="D28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60.733438669999998</v>
      </c>
      <c r="E28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4" s="148">
        <f>VLOOKUP(woodflow[[#This Row],[From]],woodstock[#All],4,FALSE)</f>
        <v>2021</v>
      </c>
      <c r="G284" s="5" t="str">
        <f>VLOOKUP(woodflow[[#This Row],[From]],woodstock[#All],5,FALSE)</f>
        <v>Global</v>
      </c>
      <c r="H284" s="151" t="str">
        <f>VLOOKUP(woodflow[[#This Row],[From]],woodstock[#All],7,FALSE)</f>
        <v>28</v>
      </c>
      <c r="I284" s="151" t="str">
        <f>VLOOKUP(woodflow[[#This Row],[to]],woodstock[#All],7,FALSE)</f>
        <v>35</v>
      </c>
      <c r="J284" s="151" t="str">
        <f>VLOOKUP(woodflow[[#This Row],[From]],woodstock[#All],8,FALSE)</f>
        <v>0</v>
      </c>
      <c r="K284" s="151" t="str">
        <f>VLOOKUP(woodflow[[#This Row],[to]],woodstock[#All],8,FALSE)</f>
        <v>0</v>
      </c>
      <c r="L284" s="152" t="str">
        <f>VLOOKUP(woodflow[[#This Row],[From]],woodstock[#All],9,FALSE)</f>
        <v>nan</v>
      </c>
      <c r="M284" s="152" t="str">
        <f>VLOOKUP(woodflow[[#This Row],[to]],woodstock[#All],9,FALSE)</f>
        <v>nan</v>
      </c>
      <c r="N284" s="157">
        <f>('faostat-data'!Q147+'faostat-data'!Q150+'faostat-data'!Q153+'faostat-data'!Q156+(((('faostat-data'!Q147+'faostat-data'!Q150+'faostat-data'!Q153+'faostat-data'!Q156)/'production-mass-balance'!$B$80)*'production-mass-balance'!$B$79)))*'supporting-percentages'!B26</f>
        <v>60.733438669999998</v>
      </c>
      <c r="O284" s="148" t="s">
        <v>921</v>
      </c>
      <c r="P284" s="148" t="s">
        <v>367</v>
      </c>
      <c r="Q284" s="4" t="s">
        <v>221</v>
      </c>
      <c r="R284" s="1"/>
      <c r="S284" s="1"/>
      <c r="T284" s="1"/>
      <c r="U284" s="1"/>
      <c r="V284" s="1"/>
    </row>
    <row r="285" spans="1:22" x14ac:dyDescent="0.3">
      <c r="A285" s="5" t="str">
        <f>CONCATENATE("F",IF(B285&lt;&gt;"",COUNTA($B$2:B285),""))</f>
        <v>F178</v>
      </c>
      <c r="B285" s="5" t="s">
        <v>71</v>
      </c>
      <c r="C285" s="5" t="s">
        <v>69</v>
      </c>
      <c r="D28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9.6627930000000006</v>
      </c>
      <c r="E28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5" s="148">
        <f>VLOOKUP(woodflow[[#This Row],[From]],woodstock[#All],4,FALSE)</f>
        <v>2021</v>
      </c>
      <c r="G285" s="5" t="str">
        <f>VLOOKUP(woodflow[[#This Row],[From]],woodstock[#All],5,FALSE)</f>
        <v>Global</v>
      </c>
      <c r="H285" s="151" t="str">
        <f>VLOOKUP(woodflow[[#This Row],[From]],woodstock[#All],7,FALSE)</f>
        <v>28</v>
      </c>
      <c r="I285" s="151" t="str">
        <f>VLOOKUP(woodflow[[#This Row],[to]],woodstock[#All],7,FALSE)</f>
        <v>36</v>
      </c>
      <c r="J285" s="151" t="str">
        <f>VLOOKUP(woodflow[[#This Row],[From]],woodstock[#All],8,FALSE)</f>
        <v>0</v>
      </c>
      <c r="K285" s="151" t="str">
        <f>VLOOKUP(woodflow[[#This Row],[to]],woodstock[#All],8,FALSE)</f>
        <v>0</v>
      </c>
      <c r="L285" s="152" t="str">
        <f>VLOOKUP(woodflow[[#This Row],[From]],woodstock[#All],9,FALSE)</f>
        <v>nan</v>
      </c>
      <c r="M285" s="152" t="str">
        <f>VLOOKUP(woodflow[[#This Row],[to]],woodstock[#All],9,FALSE)</f>
        <v>nan</v>
      </c>
      <c r="N285" s="157">
        <f>(+'faostat-data'!Q159+(((+'faostat-data'!Q159)/'production-mass-balance'!$B$80)*'production-mass-balance'!$B$79))*'supporting-percentages'!B31</f>
        <v>9.6627930000000006</v>
      </c>
      <c r="O285" s="148" t="s">
        <v>921</v>
      </c>
      <c r="P285" s="148" t="s">
        <v>367</v>
      </c>
      <c r="Q285" s="4" t="s">
        <v>221</v>
      </c>
      <c r="R285" s="1"/>
      <c r="S285" s="1"/>
      <c r="T285" s="1"/>
      <c r="U285" s="1"/>
      <c r="V285" s="1"/>
    </row>
    <row r="286" spans="1:22" x14ac:dyDescent="0.3">
      <c r="A286" s="5" t="str">
        <f>CONCATENATE("F",IF(B286&lt;&gt;"",COUNTA($B$2:B286),""))</f>
        <v>F</v>
      </c>
      <c r="B286" s="148"/>
      <c r="C286" s="148"/>
      <c r="D286" s="149"/>
      <c r="E286" s="149"/>
      <c r="F286" s="148"/>
      <c r="G286" s="5"/>
      <c r="H286" s="151"/>
      <c r="I286" s="151"/>
      <c r="J286" s="151"/>
      <c r="K286" s="151"/>
      <c r="L286" s="152"/>
      <c r="M286" s="152"/>
      <c r="N286" s="157"/>
      <c r="O286" s="148"/>
      <c r="P286" s="148"/>
      <c r="Q286" s="148"/>
      <c r="R286" s="1"/>
      <c r="S286" s="1"/>
      <c r="T286" s="1"/>
      <c r="U286" s="1"/>
      <c r="V286" s="1"/>
    </row>
    <row r="287" spans="1:22" x14ac:dyDescent="0.3">
      <c r="A287" s="5" t="str">
        <f>CONCATENATE("F",IF(B287&lt;&gt;"",COUNTA($B$2:B287),""))</f>
        <v>F</v>
      </c>
      <c r="B287" s="148"/>
      <c r="C287" s="148"/>
      <c r="D287" s="149"/>
      <c r="E287" s="149"/>
      <c r="F287" s="148"/>
      <c r="G287" s="5"/>
      <c r="H287" s="151"/>
      <c r="I287" s="151"/>
      <c r="J287" s="151"/>
      <c r="K287" s="151"/>
      <c r="L287" s="152"/>
      <c r="M287" s="152"/>
      <c r="N287" s="157"/>
      <c r="O287" s="148"/>
      <c r="P287" s="148"/>
      <c r="Q287" s="148"/>
      <c r="R287" s="1"/>
      <c r="S287" s="1"/>
      <c r="T287" s="1"/>
      <c r="U287" s="1"/>
      <c r="V287" s="1"/>
    </row>
    <row r="288" spans="1:22" x14ac:dyDescent="0.3">
      <c r="A288" s="5" t="str">
        <f>CONCATENATE("F",IF(B288&lt;&gt;"",COUNTA($B$2:B288),""))</f>
        <v>F179</v>
      </c>
      <c r="B288" s="5" t="s">
        <v>77</v>
      </c>
      <c r="C288" s="5" t="s">
        <v>50</v>
      </c>
      <c r="D28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182.06971822</v>
      </c>
      <c r="E28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8" s="148">
        <f>VLOOKUP(woodflow[[#This Row],[From]],woodstock[#All],4,FALSE)</f>
        <v>2021</v>
      </c>
      <c r="G288" s="5" t="str">
        <f>VLOOKUP(woodflow[[#This Row],[From]],woodstock[#All],5,FALSE)</f>
        <v>Global</v>
      </c>
      <c r="H288" s="151" t="str">
        <f>VLOOKUP(woodflow[[#This Row],[From]],woodstock[#All],7,FALSE)</f>
        <v>30</v>
      </c>
      <c r="I288" s="151" t="str">
        <f>VLOOKUP(woodflow[[#This Row],[to]],woodstock[#All],7,FALSE)</f>
        <v>14</v>
      </c>
      <c r="J288" s="151" t="str">
        <f>VLOOKUP(woodflow[[#This Row],[From]],woodstock[#All],8,FALSE)</f>
        <v>0</v>
      </c>
      <c r="K288" s="151" t="str">
        <f>VLOOKUP(woodflow[[#This Row],[to]],woodstock[#All],8,FALSE)</f>
        <v>1</v>
      </c>
      <c r="L288" s="152" t="str">
        <f>VLOOKUP(woodflow[[#This Row],[From]],woodstock[#All],9,FALSE)</f>
        <v>nan</v>
      </c>
      <c r="M288" s="152" t="str">
        <f>VLOOKUP(woodflow[[#This Row],[to]],woodstock[#All],9,FALSE)</f>
        <v>32-33-34-35-36</v>
      </c>
      <c r="N288" s="157">
        <f>SUM(N289:N293)</f>
        <v>182.06971822</v>
      </c>
      <c r="O288" s="148" t="s">
        <v>921</v>
      </c>
      <c r="P288" s="148" t="s">
        <v>367</v>
      </c>
      <c r="Q288" s="4" t="s">
        <v>221</v>
      </c>
      <c r="R288" s="1"/>
      <c r="S288" s="1"/>
      <c r="T288" s="1"/>
      <c r="U288" s="1"/>
      <c r="V288" s="1"/>
    </row>
    <row r="289" spans="1:22" x14ac:dyDescent="0.3">
      <c r="A289" s="5" t="str">
        <f>CONCATENATE("F",IF(B289&lt;&gt;"",COUNTA($B$2:B289),""))</f>
        <v>F180</v>
      </c>
      <c r="B289" s="5" t="s">
        <v>77</v>
      </c>
      <c r="C289" s="5" t="s">
        <v>78</v>
      </c>
      <c r="D28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9.5651649199999973</v>
      </c>
      <c r="E28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89" s="148">
        <f>VLOOKUP(woodflow[[#This Row],[From]],woodstock[#All],4,FALSE)</f>
        <v>2021</v>
      </c>
      <c r="G289" s="5" t="str">
        <f>VLOOKUP(woodflow[[#This Row],[From]],woodstock[#All],5,FALSE)</f>
        <v>Global</v>
      </c>
      <c r="H289" s="151" t="str">
        <f>VLOOKUP(woodflow[[#This Row],[From]],woodstock[#All],7,FALSE)</f>
        <v>30</v>
      </c>
      <c r="I289" s="151" t="str">
        <f>VLOOKUP(woodflow[[#This Row],[to]],woodstock[#All],7,FALSE)</f>
        <v>32</v>
      </c>
      <c r="J289" s="151" t="str">
        <f>VLOOKUP(woodflow[[#This Row],[From]],woodstock[#All],8,FALSE)</f>
        <v>0</v>
      </c>
      <c r="K289" s="151" t="str">
        <f>VLOOKUP(woodflow[[#This Row],[to]],woodstock[#All],8,FALSE)</f>
        <v>0</v>
      </c>
      <c r="L289" s="152" t="str">
        <f>VLOOKUP(woodflow[[#This Row],[From]],woodstock[#All],9,FALSE)</f>
        <v>nan</v>
      </c>
      <c r="M289" s="152" t="str">
        <f>VLOOKUP(woodflow[[#This Row],[to]],woodstock[#All],9,FALSE)</f>
        <v>nan</v>
      </c>
      <c r="N289" s="157">
        <f>('faostat-data'!Q123+(('faostat-data'!Q123)/'production-mass-balance'!$B$80*'production-mass-balance'!$B$79))*'supporting-percentages'!B10</f>
        <v>9.5651649199999973</v>
      </c>
      <c r="O289" s="148" t="s">
        <v>921</v>
      </c>
      <c r="P289" s="148" t="s">
        <v>367</v>
      </c>
      <c r="Q289" s="4" t="s">
        <v>221</v>
      </c>
      <c r="R289" s="1"/>
      <c r="S289" s="1"/>
      <c r="T289" s="1"/>
      <c r="U289" s="1"/>
      <c r="V289" s="1"/>
    </row>
    <row r="290" spans="1:22" x14ac:dyDescent="0.3">
      <c r="A290" s="5" t="str">
        <f>CONCATENATE("F",IF(B290&lt;&gt;"",COUNTA($B$2:B290),""))</f>
        <v>F181</v>
      </c>
      <c r="B290" s="5" t="s">
        <v>77</v>
      </c>
      <c r="C290" s="5" t="s">
        <v>79</v>
      </c>
      <c r="D29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6.5621880000000008</v>
      </c>
      <c r="E29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0" s="148">
        <f>VLOOKUP(woodflow[[#This Row],[From]],woodstock[#All],4,FALSE)</f>
        <v>2021</v>
      </c>
      <c r="G290" s="5" t="str">
        <f>VLOOKUP(woodflow[[#This Row],[From]],woodstock[#All],5,FALSE)</f>
        <v>Global</v>
      </c>
      <c r="H290" s="151" t="str">
        <f>VLOOKUP(woodflow[[#This Row],[From]],woodstock[#All],7,FALSE)</f>
        <v>30</v>
      </c>
      <c r="I290" s="151" t="str">
        <f>VLOOKUP(woodflow[[#This Row],[to]],woodstock[#All],7,FALSE)</f>
        <v>33</v>
      </c>
      <c r="J290" s="151" t="str">
        <f>VLOOKUP(woodflow[[#This Row],[From]],woodstock[#All],8,FALSE)</f>
        <v>0</v>
      </c>
      <c r="K290" s="151" t="str">
        <f>VLOOKUP(woodflow[[#This Row],[to]],woodstock[#All],8,FALSE)</f>
        <v>0</v>
      </c>
      <c r="L290" s="152" t="str">
        <f>VLOOKUP(woodflow[[#This Row],[From]],woodstock[#All],9,FALSE)</f>
        <v>nan</v>
      </c>
      <c r="M290" s="152" t="str">
        <f>VLOOKUP(woodflow[[#This Row],[to]],woodstock[#All],9,FALSE)</f>
        <v>nan</v>
      </c>
      <c r="N290" s="157">
        <f>('faostat-data'!Q126+(('faostat-data'!Q126)/'production-mass-balance'!$B$80*'production-mass-balance'!$B$79))*'supporting-percentages'!B15</f>
        <v>6.5621880000000008</v>
      </c>
      <c r="O290" s="148" t="s">
        <v>921</v>
      </c>
      <c r="P290" s="148" t="s">
        <v>367</v>
      </c>
      <c r="Q290" s="4" t="s">
        <v>221</v>
      </c>
      <c r="R290" s="1"/>
      <c r="S290" s="1"/>
      <c r="T290" s="1"/>
      <c r="U290" s="1"/>
      <c r="V290" s="1"/>
    </row>
    <row r="291" spans="1:22" x14ac:dyDescent="0.3">
      <c r="A291" s="5" t="str">
        <f>CONCATENATE("F",IF(B291&lt;&gt;"",COUNTA($B$2:B291),""))</f>
        <v>F182</v>
      </c>
      <c r="B291" s="5" t="s">
        <v>77</v>
      </c>
      <c r="C291" s="5" t="s">
        <v>67</v>
      </c>
      <c r="D29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12.851736839999999</v>
      </c>
      <c r="E29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1" s="148">
        <f>VLOOKUP(woodflow[[#This Row],[From]],woodstock[#All],4,FALSE)</f>
        <v>2021</v>
      </c>
      <c r="G291" s="5" t="str">
        <f>VLOOKUP(woodflow[[#This Row],[From]],woodstock[#All],5,FALSE)</f>
        <v>Global</v>
      </c>
      <c r="H291" s="151" t="str">
        <f>VLOOKUP(woodflow[[#This Row],[From]],woodstock[#All],7,FALSE)</f>
        <v>30</v>
      </c>
      <c r="I291" s="151" t="str">
        <f>VLOOKUP(woodflow[[#This Row],[to]],woodstock[#All],7,FALSE)</f>
        <v>34</v>
      </c>
      <c r="J291" s="151" t="str">
        <f>VLOOKUP(woodflow[[#This Row],[From]],woodstock[#All],8,FALSE)</f>
        <v>0</v>
      </c>
      <c r="K291" s="151" t="str">
        <f>VLOOKUP(woodflow[[#This Row],[to]],woodstock[#All],8,FALSE)</f>
        <v>0</v>
      </c>
      <c r="L291" s="152" t="str">
        <f>VLOOKUP(woodflow[[#This Row],[From]],woodstock[#All],9,FALSE)</f>
        <v>nan</v>
      </c>
      <c r="M291" s="152" t="str">
        <f>VLOOKUP(woodflow[[#This Row],[to]],woodstock[#All],9,FALSE)</f>
        <v>nan</v>
      </c>
      <c r="N291" s="157">
        <f>('faostat-data'!Q141+(('faostat-data'!Q141)/'production-mass-balance'!$B$80*'production-mass-balance'!$B$79))*'supporting-percentages'!B20</f>
        <v>12.851736839999999</v>
      </c>
      <c r="O291" s="148" t="s">
        <v>921</v>
      </c>
      <c r="P291" s="148" t="s">
        <v>367</v>
      </c>
      <c r="Q291" s="4" t="s">
        <v>221</v>
      </c>
      <c r="R291" s="1"/>
      <c r="S291" s="1"/>
      <c r="T291" s="1"/>
      <c r="U291" s="1"/>
      <c r="V291" s="1"/>
    </row>
    <row r="292" spans="1:22" x14ac:dyDescent="0.3">
      <c r="A292" s="5" t="str">
        <f>CONCATENATE("F",IF(B292&lt;&gt;"",COUNTA($B$2:B292),""))</f>
        <v>F183</v>
      </c>
      <c r="B292" s="5" t="s">
        <v>77</v>
      </c>
      <c r="C292" s="5" t="s">
        <v>68</v>
      </c>
      <c r="D29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147.87272024000001</v>
      </c>
      <c r="E29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2" s="148">
        <f>VLOOKUP(woodflow[[#This Row],[From]],woodstock[#All],4,FALSE)</f>
        <v>2021</v>
      </c>
      <c r="G292" s="5" t="str">
        <f>VLOOKUP(woodflow[[#This Row],[From]],woodstock[#All],5,FALSE)</f>
        <v>Global</v>
      </c>
      <c r="H292" s="151" t="str">
        <f>VLOOKUP(woodflow[[#This Row],[From]],woodstock[#All],7,FALSE)</f>
        <v>30</v>
      </c>
      <c r="I292" s="151" t="str">
        <f>VLOOKUP(woodflow[[#This Row],[to]],woodstock[#All],7,FALSE)</f>
        <v>35</v>
      </c>
      <c r="J292" s="151" t="str">
        <f>VLOOKUP(woodflow[[#This Row],[From]],woodstock[#All],8,FALSE)</f>
        <v>0</v>
      </c>
      <c r="K292" s="151" t="str">
        <f>VLOOKUP(woodflow[[#This Row],[to]],woodstock[#All],8,FALSE)</f>
        <v>0</v>
      </c>
      <c r="L292" s="152" t="str">
        <f>VLOOKUP(woodflow[[#This Row],[From]],woodstock[#All],9,FALSE)</f>
        <v>nan</v>
      </c>
      <c r="M292" s="152" t="str">
        <f>VLOOKUP(woodflow[[#This Row],[to]],woodstock[#All],9,FALSE)</f>
        <v>nan</v>
      </c>
      <c r="N292" s="157">
        <f>('faostat-data'!Q147+'faostat-data'!Q150+'faostat-data'!Q153+'faostat-data'!Q156+(((('faostat-data'!Q147+'faostat-data'!Q150+'faostat-data'!Q153+'faostat-data'!Q156)/'production-mass-balance'!$B$80)*'production-mass-balance'!$B$79)))*'supporting-percentages'!B25</f>
        <v>147.87272024000001</v>
      </c>
      <c r="O292" s="148" t="s">
        <v>921</v>
      </c>
      <c r="P292" s="148" t="s">
        <v>367</v>
      </c>
      <c r="Q292" s="4" t="s">
        <v>221</v>
      </c>
      <c r="R292" s="1"/>
      <c r="S292" s="1"/>
      <c r="T292" s="1"/>
      <c r="U292" s="1"/>
      <c r="V292" s="1"/>
    </row>
    <row r="293" spans="1:22" x14ac:dyDescent="0.3">
      <c r="A293" s="5" t="str">
        <f>CONCATENATE("F",IF(B293&lt;&gt;"",COUNTA($B$2:B293),""))</f>
        <v>F184</v>
      </c>
      <c r="B293" s="5" t="s">
        <v>77</v>
      </c>
      <c r="C293" s="5" t="s">
        <v>69</v>
      </c>
      <c r="D29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5.2179082200000009</v>
      </c>
      <c r="E29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3" s="148">
        <f>VLOOKUP(woodflow[[#This Row],[From]],woodstock[#All],4,FALSE)</f>
        <v>2021</v>
      </c>
      <c r="G293" s="5" t="str">
        <f>VLOOKUP(woodflow[[#This Row],[From]],woodstock[#All],5,FALSE)</f>
        <v>Global</v>
      </c>
      <c r="H293" s="151" t="str">
        <f>VLOOKUP(woodflow[[#This Row],[From]],woodstock[#All],7,FALSE)</f>
        <v>30</v>
      </c>
      <c r="I293" s="151" t="str">
        <f>VLOOKUP(woodflow[[#This Row],[to]],woodstock[#All],7,FALSE)</f>
        <v>36</v>
      </c>
      <c r="J293" s="151" t="str">
        <f>VLOOKUP(woodflow[[#This Row],[From]],woodstock[#All],8,FALSE)</f>
        <v>0</v>
      </c>
      <c r="K293" s="151" t="str">
        <f>VLOOKUP(woodflow[[#This Row],[to]],woodstock[#All],8,FALSE)</f>
        <v>0</v>
      </c>
      <c r="L293" s="152" t="str">
        <f>VLOOKUP(woodflow[[#This Row],[From]],woodstock[#All],9,FALSE)</f>
        <v>nan</v>
      </c>
      <c r="M293" s="152" t="str">
        <f>VLOOKUP(woodflow[[#This Row],[to]],woodstock[#All],9,FALSE)</f>
        <v>nan</v>
      </c>
      <c r="N293" s="157">
        <f>(+'faostat-data'!Q159+(((+'faostat-data'!Q159)/'production-mass-balance'!$B$80)*'production-mass-balance'!$B$79))*'supporting-percentages'!B30</f>
        <v>5.2179082200000009</v>
      </c>
      <c r="O293" s="148" t="s">
        <v>921</v>
      </c>
      <c r="P293" s="148" t="s">
        <v>367</v>
      </c>
      <c r="Q293" s="4" t="s">
        <v>221</v>
      </c>
      <c r="R293" s="1"/>
      <c r="S293" s="1"/>
      <c r="T293" s="1"/>
      <c r="U293" s="1"/>
      <c r="V293" s="1"/>
    </row>
    <row r="294" spans="1:22" x14ac:dyDescent="0.3">
      <c r="A294" s="5" t="str">
        <f>CONCATENATE("F",IF(B294&lt;&gt;"",COUNTA($B$2:B294),""))</f>
        <v>F</v>
      </c>
      <c r="B294" s="148"/>
      <c r="C294" s="148"/>
      <c r="D294" s="149"/>
      <c r="E294" s="149"/>
      <c r="F294" s="148"/>
      <c r="G294" s="5"/>
      <c r="H294" s="151"/>
      <c r="I294" s="151"/>
      <c r="J294" s="151"/>
      <c r="K294" s="151"/>
      <c r="L294" s="152"/>
      <c r="M294" s="152"/>
      <c r="N294" s="157"/>
      <c r="O294" s="148"/>
      <c r="P294" s="148"/>
      <c r="Q294" s="148"/>
      <c r="R294" s="1"/>
      <c r="S294" s="1"/>
      <c r="T294" s="1"/>
      <c r="U294" s="1"/>
      <c r="V294" s="1"/>
    </row>
    <row r="295" spans="1:22" x14ac:dyDescent="0.3">
      <c r="A295" s="5" t="str">
        <f>CONCATENATE("F",IF(B295&lt;&gt;"",COUNTA($B$2:B295),""))</f>
        <v>F</v>
      </c>
      <c r="B295" s="148"/>
      <c r="C295" s="148"/>
      <c r="D295" s="149"/>
      <c r="E295" s="149"/>
      <c r="F295" s="148"/>
      <c r="G295" s="5"/>
      <c r="H295" s="151"/>
      <c r="I295" s="151"/>
      <c r="J295" s="151"/>
      <c r="K295" s="151"/>
      <c r="L295" s="152"/>
      <c r="M295" s="152"/>
      <c r="N295" s="157"/>
      <c r="O295" s="148"/>
      <c r="P295" s="148"/>
      <c r="Q295" s="148"/>
      <c r="R295" s="1"/>
      <c r="S295" s="1"/>
      <c r="T295" s="1"/>
      <c r="U295" s="1"/>
      <c r="V295" s="1"/>
    </row>
    <row r="296" spans="1:22" x14ac:dyDescent="0.3">
      <c r="A296" s="5" t="str">
        <f>CONCATENATE("F",IF(B296&lt;&gt;"",COUNTA($B$2:B296),""))</f>
        <v>F185</v>
      </c>
      <c r="B296" s="148" t="s">
        <v>43</v>
      </c>
      <c r="C296" s="5" t="s">
        <v>50</v>
      </c>
      <c r="D29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56.865574580000008</v>
      </c>
      <c r="E29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6" s="148">
        <f>VLOOKUP(woodflow[[#This Row],[From]],woodstock[#All],4,FALSE)</f>
        <v>2021</v>
      </c>
      <c r="G296" s="5" t="str">
        <f>VLOOKUP(woodflow[[#This Row],[From]],woodstock[#All],5,FALSE)</f>
        <v>Global</v>
      </c>
      <c r="H296" s="151" t="str">
        <f>VLOOKUP(woodflow[[#This Row],[From]],woodstock[#All],7,FALSE)</f>
        <v>31</v>
      </c>
      <c r="I296" s="151" t="str">
        <f>VLOOKUP(woodflow[[#This Row],[to]],woodstock[#All],7,FALSE)</f>
        <v>14</v>
      </c>
      <c r="J296" s="151" t="str">
        <f>VLOOKUP(woodflow[[#This Row],[From]],woodstock[#All],8,FALSE)</f>
        <v>0</v>
      </c>
      <c r="K296" s="151" t="str">
        <f>VLOOKUP(woodflow[[#This Row],[to]],woodstock[#All],8,FALSE)</f>
        <v>1</v>
      </c>
      <c r="L296" s="152" t="str">
        <f>VLOOKUP(woodflow[[#This Row],[From]],woodstock[#All],9,FALSE)</f>
        <v>nan</v>
      </c>
      <c r="M296" s="152" t="str">
        <f>VLOOKUP(woodflow[[#This Row],[to]],woodstock[#All],9,FALSE)</f>
        <v>32-33-34-35-36</v>
      </c>
      <c r="N296" s="157">
        <f>SUM(N297:N301)</f>
        <v>56.865574580000008</v>
      </c>
      <c r="O296" s="148" t="s">
        <v>921</v>
      </c>
      <c r="P296" s="148" t="s">
        <v>367</v>
      </c>
      <c r="Q296" s="4" t="s">
        <v>221</v>
      </c>
      <c r="R296" s="1"/>
      <c r="S296" s="1"/>
      <c r="T296" s="1"/>
      <c r="U296" s="1"/>
      <c r="V296" s="1"/>
    </row>
    <row r="297" spans="1:22" x14ac:dyDescent="0.3">
      <c r="A297" s="5" t="str">
        <f>CONCATENATE("F",IF(B297&lt;&gt;"",COUNTA($B$2:B297),""))</f>
        <v>F186</v>
      </c>
      <c r="B297" s="148" t="s">
        <v>43</v>
      </c>
      <c r="C297" s="5" t="s">
        <v>78</v>
      </c>
      <c r="D29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1.4066418999999997</v>
      </c>
      <c r="E29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7" s="148">
        <f>VLOOKUP(woodflow[[#This Row],[From]],woodstock[#All],4,FALSE)</f>
        <v>2021</v>
      </c>
      <c r="G297" s="5" t="str">
        <f>VLOOKUP(woodflow[[#This Row],[From]],woodstock[#All],5,FALSE)</f>
        <v>Global</v>
      </c>
      <c r="H297" s="151" t="str">
        <f>VLOOKUP(woodflow[[#This Row],[From]],woodstock[#All],7,FALSE)</f>
        <v>31</v>
      </c>
      <c r="I297" s="151" t="str">
        <f>VLOOKUP(woodflow[[#This Row],[to]],woodstock[#All],7,FALSE)</f>
        <v>32</v>
      </c>
      <c r="J297" s="151" t="str">
        <f>VLOOKUP(woodflow[[#This Row],[From]],woodstock[#All],8,FALSE)</f>
        <v>0</v>
      </c>
      <c r="K297" s="151" t="str">
        <f>VLOOKUP(woodflow[[#This Row],[to]],woodstock[#All],8,FALSE)</f>
        <v>0</v>
      </c>
      <c r="L297" s="152" t="str">
        <f>VLOOKUP(woodflow[[#This Row],[From]],woodstock[#All],9,FALSE)</f>
        <v>nan</v>
      </c>
      <c r="M297" s="152" t="str">
        <f>VLOOKUP(woodflow[[#This Row],[to]],woodstock[#All],9,FALSE)</f>
        <v>nan</v>
      </c>
      <c r="N297" s="157">
        <f>('faostat-data'!Q123+(('faostat-data'!Q123)/'production-mass-balance'!$B$80*'production-mass-balance'!$B$79))*'supporting-percentages'!B13</f>
        <v>1.4066418999999997</v>
      </c>
      <c r="O297" s="148" t="s">
        <v>921</v>
      </c>
      <c r="P297" s="148" t="s">
        <v>367</v>
      </c>
      <c r="Q297" s="4" t="s">
        <v>221</v>
      </c>
      <c r="R297" s="1"/>
      <c r="S297" s="1"/>
      <c r="T297" s="1"/>
      <c r="U297" s="1"/>
      <c r="V297" s="1"/>
    </row>
    <row r="298" spans="1:22" x14ac:dyDescent="0.3">
      <c r="A298" s="5" t="str">
        <f>CONCATENATE("F",IF(B298&lt;&gt;"",COUNTA($B$2:B298),""))</f>
        <v>F187</v>
      </c>
      <c r="B298" s="148" t="s">
        <v>43</v>
      </c>
      <c r="C298" s="5" t="s">
        <v>79</v>
      </c>
      <c r="D29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24.608205000000002</v>
      </c>
      <c r="E29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8" s="148">
        <f>VLOOKUP(woodflow[[#This Row],[From]],woodstock[#All],4,FALSE)</f>
        <v>2021</v>
      </c>
      <c r="G298" s="5" t="str">
        <f>VLOOKUP(woodflow[[#This Row],[From]],woodstock[#All],5,FALSE)</f>
        <v>Global</v>
      </c>
      <c r="H298" s="151" t="str">
        <f>VLOOKUP(woodflow[[#This Row],[From]],woodstock[#All],7,FALSE)</f>
        <v>31</v>
      </c>
      <c r="I298" s="151" t="str">
        <f>VLOOKUP(woodflow[[#This Row],[to]],woodstock[#All],7,FALSE)</f>
        <v>33</v>
      </c>
      <c r="J298" s="151" t="str">
        <f>VLOOKUP(woodflow[[#This Row],[From]],woodstock[#All],8,FALSE)</f>
        <v>0</v>
      </c>
      <c r="K298" s="151" t="str">
        <f>VLOOKUP(woodflow[[#This Row],[to]],woodstock[#All],8,FALSE)</f>
        <v>0</v>
      </c>
      <c r="L298" s="152" t="str">
        <f>VLOOKUP(woodflow[[#This Row],[From]],woodstock[#All],9,FALSE)</f>
        <v>nan</v>
      </c>
      <c r="M298" s="152" t="str">
        <f>VLOOKUP(woodflow[[#This Row],[to]],woodstock[#All],9,FALSE)</f>
        <v>nan</v>
      </c>
      <c r="N298" s="157">
        <f>('faostat-data'!Q126+(('faostat-data'!Q126)/'production-mass-balance'!$B$80*'production-mass-balance'!$B$79))*'supporting-percentages'!B18</f>
        <v>24.608205000000002</v>
      </c>
      <c r="O298" s="148" t="s">
        <v>921</v>
      </c>
      <c r="P298" s="148" t="s">
        <v>367</v>
      </c>
      <c r="Q298" s="4" t="s">
        <v>221</v>
      </c>
      <c r="R298" s="1"/>
      <c r="S298" s="1"/>
      <c r="T298" s="1"/>
      <c r="U298" s="1"/>
      <c r="V298" s="1"/>
    </row>
    <row r="299" spans="1:22" x14ac:dyDescent="0.3">
      <c r="A299" s="5" t="str">
        <f>CONCATENATE("F",IF(B299&lt;&gt;"",COUNTA($B$2:B299),""))</f>
        <v>F188</v>
      </c>
      <c r="B299" s="148" t="s">
        <v>43</v>
      </c>
      <c r="C299" s="5" t="s">
        <v>67</v>
      </c>
      <c r="D29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29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299" s="148">
        <f>VLOOKUP(woodflow[[#This Row],[From]],woodstock[#All],4,FALSE)</f>
        <v>2021</v>
      </c>
      <c r="G299" s="5" t="str">
        <f>VLOOKUP(woodflow[[#This Row],[From]],woodstock[#All],5,FALSE)</f>
        <v>Global</v>
      </c>
      <c r="H299" s="151" t="str">
        <f>VLOOKUP(woodflow[[#This Row],[From]],woodstock[#All],7,FALSE)</f>
        <v>31</v>
      </c>
      <c r="I299" s="151" t="str">
        <f>VLOOKUP(woodflow[[#This Row],[to]],woodstock[#All],7,FALSE)</f>
        <v>34</v>
      </c>
      <c r="J299" s="151" t="str">
        <f>VLOOKUP(woodflow[[#This Row],[From]],woodstock[#All],8,FALSE)</f>
        <v>0</v>
      </c>
      <c r="K299" s="151" t="str">
        <f>VLOOKUP(woodflow[[#This Row],[to]],woodstock[#All],8,FALSE)</f>
        <v>0</v>
      </c>
      <c r="L299" s="152" t="str">
        <f>VLOOKUP(woodflow[[#This Row],[From]],woodstock[#All],9,FALSE)</f>
        <v>nan</v>
      </c>
      <c r="M299" s="152" t="str">
        <f>VLOOKUP(woodflow[[#This Row],[to]],woodstock[#All],9,FALSE)</f>
        <v>nan</v>
      </c>
      <c r="N299" s="157">
        <v>0</v>
      </c>
      <c r="O299" s="148" t="s">
        <v>921</v>
      </c>
      <c r="P299" s="148" t="s">
        <v>367</v>
      </c>
      <c r="Q299" s="4" t="s">
        <v>221</v>
      </c>
      <c r="R299" s="1"/>
      <c r="S299" s="1"/>
      <c r="T299" s="1"/>
      <c r="U299" s="1"/>
      <c r="V299" s="1"/>
    </row>
    <row r="300" spans="1:22" x14ac:dyDescent="0.3">
      <c r="A300" s="5" t="str">
        <f>CONCATENATE("F",IF(B300&lt;&gt;"",COUNTA($B$2:B300),""))</f>
        <v>F189</v>
      </c>
      <c r="B300" s="148" t="s">
        <v>43</v>
      </c>
      <c r="C300" s="5" t="s">
        <v>68</v>
      </c>
      <c r="D30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26.4058429</v>
      </c>
      <c r="E30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0" s="148">
        <f>VLOOKUP(woodflow[[#This Row],[From]],woodstock[#All],4,FALSE)</f>
        <v>2021</v>
      </c>
      <c r="G300" s="5" t="str">
        <f>VLOOKUP(woodflow[[#This Row],[From]],woodstock[#All],5,FALSE)</f>
        <v>Global</v>
      </c>
      <c r="H300" s="151" t="str">
        <f>VLOOKUP(woodflow[[#This Row],[From]],woodstock[#All],7,FALSE)</f>
        <v>31</v>
      </c>
      <c r="I300" s="151" t="str">
        <f>VLOOKUP(woodflow[[#This Row],[to]],woodstock[#All],7,FALSE)</f>
        <v>35</v>
      </c>
      <c r="J300" s="151" t="str">
        <f>VLOOKUP(woodflow[[#This Row],[From]],woodstock[#All],8,FALSE)</f>
        <v>0</v>
      </c>
      <c r="K300" s="151" t="str">
        <f>VLOOKUP(woodflow[[#This Row],[to]],woodstock[#All],8,FALSE)</f>
        <v>0</v>
      </c>
      <c r="L300" s="152" t="str">
        <f>VLOOKUP(woodflow[[#This Row],[From]],woodstock[#All],9,FALSE)</f>
        <v>nan</v>
      </c>
      <c r="M300" s="152" t="str">
        <f>VLOOKUP(woodflow[[#This Row],[to]],woodstock[#All],9,FALSE)</f>
        <v>nan</v>
      </c>
      <c r="N300" s="157">
        <f>('faostat-data'!Q147+'faostat-data'!Q150+'faostat-data'!Q153+'faostat-data'!Q156+(((('faostat-data'!Q147+'faostat-data'!Q150+'faostat-data'!Q153+'faostat-data'!Q156)/'production-mass-balance'!$B$80)*'production-mass-balance'!$B$79)))*'supporting-percentages'!B28</f>
        <v>26.4058429</v>
      </c>
      <c r="O300" s="148" t="s">
        <v>921</v>
      </c>
      <c r="P300" s="148" t="s">
        <v>367</v>
      </c>
      <c r="Q300" s="4" t="s">
        <v>221</v>
      </c>
      <c r="R300" s="1"/>
      <c r="S300" s="1"/>
      <c r="T300" s="1"/>
      <c r="U300" s="1"/>
      <c r="V300" s="1"/>
    </row>
    <row r="301" spans="1:22" x14ac:dyDescent="0.3">
      <c r="A301" s="5" t="str">
        <f>CONCATENATE("F",IF(B301&lt;&gt;"",COUNTA($B$2:B301),""))</f>
        <v>F190</v>
      </c>
      <c r="B301" s="148" t="s">
        <v>43</v>
      </c>
      <c r="C301" s="5" t="s">
        <v>69</v>
      </c>
      <c r="D30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4.4448847800000006</v>
      </c>
      <c r="E30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1" s="148">
        <f>VLOOKUP(woodflow[[#This Row],[From]],woodstock[#All],4,FALSE)</f>
        <v>2021</v>
      </c>
      <c r="G301" s="5" t="str">
        <f>VLOOKUP(woodflow[[#This Row],[From]],woodstock[#All],5,FALSE)</f>
        <v>Global</v>
      </c>
      <c r="H301" s="151" t="str">
        <f>VLOOKUP(woodflow[[#This Row],[From]],woodstock[#All],7,FALSE)</f>
        <v>31</v>
      </c>
      <c r="I301" s="151" t="str">
        <f>VLOOKUP(woodflow[[#This Row],[to]],woodstock[#All],7,FALSE)</f>
        <v>36</v>
      </c>
      <c r="J301" s="151" t="str">
        <f>VLOOKUP(woodflow[[#This Row],[From]],woodstock[#All],8,FALSE)</f>
        <v>0</v>
      </c>
      <c r="K301" s="151" t="str">
        <f>VLOOKUP(woodflow[[#This Row],[to]],woodstock[#All],8,FALSE)</f>
        <v>0</v>
      </c>
      <c r="L301" s="152" t="str">
        <f>VLOOKUP(woodflow[[#This Row],[From]],woodstock[#All],9,FALSE)</f>
        <v>nan</v>
      </c>
      <c r="M301" s="152" t="str">
        <f>VLOOKUP(woodflow[[#This Row],[to]],woodstock[#All],9,FALSE)</f>
        <v>nan</v>
      </c>
      <c r="N301" s="157">
        <f>(+'faostat-data'!Q159+(((+'faostat-data'!Q159)/'production-mass-balance'!$B$80)*'production-mass-balance'!$B$79))*'supporting-percentages'!B33</f>
        <v>4.4448847800000006</v>
      </c>
      <c r="O301" s="148" t="s">
        <v>921</v>
      </c>
      <c r="P301" s="148" t="s">
        <v>367</v>
      </c>
      <c r="Q301" s="4" t="s">
        <v>221</v>
      </c>
      <c r="R301" s="1"/>
      <c r="S301" s="1"/>
      <c r="T301" s="1"/>
      <c r="U301" s="1"/>
      <c r="V301" s="1"/>
    </row>
    <row r="302" spans="1:22" x14ac:dyDescent="0.3">
      <c r="A302" s="5" t="str">
        <f>CONCATENATE("F",IF(B302&lt;&gt;"",COUNTA($B$2:B302),""))</f>
        <v>F</v>
      </c>
      <c r="B302" s="148"/>
      <c r="C302" s="148"/>
      <c r="D302" s="149"/>
      <c r="E302" s="149"/>
      <c r="F302" s="148"/>
      <c r="G302" s="5"/>
      <c r="H302" s="151"/>
      <c r="I302" s="151"/>
      <c r="J302" s="151"/>
      <c r="K302" s="151"/>
      <c r="L302" s="152"/>
      <c r="M302" s="152"/>
      <c r="N302" s="157"/>
      <c r="O302" s="148"/>
      <c r="P302" s="148"/>
      <c r="Q302" s="148"/>
      <c r="R302" s="1"/>
      <c r="S302" s="1"/>
      <c r="T302" s="1"/>
      <c r="U302" s="1"/>
      <c r="V302" s="1"/>
    </row>
    <row r="303" spans="1:22" x14ac:dyDescent="0.3">
      <c r="A303" s="5" t="str">
        <f>CONCATENATE("F",IF(B303&lt;&gt;"",COUNTA($B$2:B303),""))</f>
        <v>F</v>
      </c>
      <c r="B303" s="148"/>
      <c r="C303" s="148"/>
      <c r="D303" s="149"/>
      <c r="E303" s="149"/>
      <c r="F303" s="148"/>
      <c r="G303" s="5"/>
      <c r="H303" s="151"/>
      <c r="I303" s="151"/>
      <c r="J303" s="151"/>
      <c r="K303" s="151"/>
      <c r="L303" s="152"/>
      <c r="M303" s="152"/>
      <c r="N303" s="157"/>
      <c r="O303" s="148"/>
      <c r="P303" s="148"/>
      <c r="Q303" s="148"/>
      <c r="R303" s="1"/>
      <c r="S303" s="1"/>
      <c r="T303" s="1"/>
      <c r="U303" s="1"/>
      <c r="V303" s="1"/>
    </row>
    <row r="304" spans="1:22" x14ac:dyDescent="0.3">
      <c r="A304" s="5" t="str">
        <f>CONCATENATE("F",IF(B304&lt;&gt;"",COUNTA($B$2:B304),""))</f>
        <v>F191</v>
      </c>
      <c r="B304" s="148" t="s">
        <v>42</v>
      </c>
      <c r="C304" s="148" t="s">
        <v>80</v>
      </c>
      <c r="D30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218.87840747606941</v>
      </c>
      <c r="E30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4" s="148">
        <f>VLOOKUP(woodflow[[#This Row],[From]],woodstock[#All],4,FALSE)</f>
        <v>2021</v>
      </c>
      <c r="G304" s="5" t="str">
        <f>VLOOKUP(woodflow[[#This Row],[From]],woodstock[#All],5,FALSE)</f>
        <v>Global</v>
      </c>
      <c r="H304" s="151" t="str">
        <f>VLOOKUP(woodflow[[#This Row],[From]],woodstock[#All],7,FALSE)</f>
        <v>13</v>
      </c>
      <c r="I304" s="151" t="str">
        <f>VLOOKUP(woodflow[[#This Row],[to]],woodstock[#All],7,FALSE)</f>
        <v>53</v>
      </c>
      <c r="J304" s="151" t="str">
        <f>VLOOKUP(woodflow[[#This Row],[From]],woodstock[#All],8,FALSE)</f>
        <v>1</v>
      </c>
      <c r="K304" s="151" t="str">
        <f>VLOOKUP(woodflow[[#This Row],[to]],woodstock[#All],8,FALSE)</f>
        <v>0</v>
      </c>
      <c r="L304" s="152" t="str">
        <f>VLOOKUP(woodflow[[#This Row],[From]],woodstock[#All],9,FALSE)</f>
        <v>27-28-29-30</v>
      </c>
      <c r="M304" s="152" t="str">
        <f>VLOOKUP(woodflow[[#This Row],[to]],woodstock[#All],9,FALSE)</f>
        <v>nan</v>
      </c>
      <c r="N304" s="157">
        <f>SUM(N305:N308)</f>
        <v>218.87840747606941</v>
      </c>
      <c r="O304" s="148" t="s">
        <v>921</v>
      </c>
      <c r="P304" s="148" t="s">
        <v>232</v>
      </c>
      <c r="Q304" s="4"/>
      <c r="R304" s="1"/>
      <c r="S304" s="1"/>
      <c r="T304" s="1"/>
      <c r="U304" s="1"/>
      <c r="V304" s="1"/>
    </row>
    <row r="305" spans="1:22" x14ac:dyDescent="0.3">
      <c r="A305" s="5" t="str">
        <f>CONCATENATE("F",IF(B305&lt;&gt;"",COUNTA($B$2:B305),""))</f>
        <v>F192</v>
      </c>
      <c r="B305" s="148" t="s">
        <v>70</v>
      </c>
      <c r="C305" s="148" t="s">
        <v>80</v>
      </c>
      <c r="D30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2.4192180170967728</v>
      </c>
      <c r="E30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5" s="148">
        <f>VLOOKUP(woodflow[[#This Row],[From]],woodstock[#All],4,FALSE)</f>
        <v>2021</v>
      </c>
      <c r="G305" s="5" t="str">
        <f>VLOOKUP(woodflow[[#This Row],[From]],woodstock[#All],5,FALSE)</f>
        <v>Global</v>
      </c>
      <c r="H305" s="151" t="str">
        <f>VLOOKUP(woodflow[[#This Row],[From]],woodstock[#All],7,FALSE)</f>
        <v>27</v>
      </c>
      <c r="I305" s="151" t="str">
        <f>VLOOKUP(woodflow[[#This Row],[to]],woodstock[#All],7,FALSE)</f>
        <v>53</v>
      </c>
      <c r="J305" s="151" t="str">
        <f>VLOOKUP(woodflow[[#This Row],[From]],woodstock[#All],8,FALSE)</f>
        <v>0</v>
      </c>
      <c r="K305" s="151" t="str">
        <f>VLOOKUP(woodflow[[#This Row],[to]],woodstock[#All],8,FALSE)</f>
        <v>0</v>
      </c>
      <c r="L305" s="152" t="str">
        <f>VLOOKUP(woodflow[[#This Row],[From]],woodstock[#All],9,FALSE)</f>
        <v>nan</v>
      </c>
      <c r="M305" s="152" t="str">
        <f>VLOOKUP(woodflow[[#This Row],[to]],woodstock[#All],9,FALSE)</f>
        <v>nan</v>
      </c>
      <c r="N305" s="157">
        <f>(N272-'faostat-data'!Q85+'faostat-data'!Q86)/'production-mass-balance'!B64*'production-mass-balance'!B63</f>
        <v>2.4192180170967728</v>
      </c>
      <c r="O305" s="148" t="s">
        <v>921</v>
      </c>
      <c r="P305" s="148" t="s">
        <v>453</v>
      </c>
      <c r="Q305" s="4"/>
      <c r="R305" s="1"/>
      <c r="S305" s="1"/>
      <c r="T305" s="1"/>
      <c r="U305" s="1"/>
      <c r="V305" s="1"/>
    </row>
    <row r="306" spans="1:22" x14ac:dyDescent="0.3">
      <c r="A306" s="5" t="str">
        <f>CONCATENATE("F",IF(B306&lt;&gt;"",COUNTA($B$2:B306),""))</f>
        <v>F193</v>
      </c>
      <c r="B306" s="148" t="s">
        <v>71</v>
      </c>
      <c r="C306" s="148" t="s">
        <v>80</v>
      </c>
      <c r="D30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158.38406764916667</v>
      </c>
      <c r="E30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6" s="148">
        <f>VLOOKUP(woodflow[[#This Row],[From]],woodstock[#All],4,FALSE)</f>
        <v>2021</v>
      </c>
      <c r="G306" s="5" t="str">
        <f>VLOOKUP(woodflow[[#This Row],[From]],woodstock[#All],5,FALSE)</f>
        <v>Global</v>
      </c>
      <c r="H306" s="151" t="str">
        <f>VLOOKUP(woodflow[[#This Row],[From]],woodstock[#All],7,FALSE)</f>
        <v>28</v>
      </c>
      <c r="I306" s="151" t="str">
        <f>VLOOKUP(woodflow[[#This Row],[to]],woodstock[#All],7,FALSE)</f>
        <v>53</v>
      </c>
      <c r="J306" s="151" t="str">
        <f>VLOOKUP(woodflow[[#This Row],[From]],woodstock[#All],8,FALSE)</f>
        <v>0</v>
      </c>
      <c r="K306" s="151" t="str">
        <f>VLOOKUP(woodflow[[#This Row],[to]],woodstock[#All],8,FALSE)</f>
        <v>0</v>
      </c>
      <c r="L306" s="152" t="str">
        <f>VLOOKUP(woodflow[[#This Row],[From]],woodstock[#All],9,FALSE)</f>
        <v>nan</v>
      </c>
      <c r="M306" s="152" t="str">
        <f>VLOOKUP(woodflow[[#This Row],[to]],woodstock[#All],9,FALSE)</f>
        <v>nan</v>
      </c>
      <c r="N306" s="157">
        <f>(N280-'faostat-data'!Q94+'faostat-data'!Q95)/'production-mass-balance'!B68*'production-mass-balance'!B67</f>
        <v>158.38406764916667</v>
      </c>
      <c r="O306" s="148" t="s">
        <v>921</v>
      </c>
      <c r="P306" s="148" t="s">
        <v>453</v>
      </c>
      <c r="Q306" s="4"/>
      <c r="R306" s="1"/>
      <c r="S306" s="1"/>
      <c r="T306" s="1"/>
      <c r="U306" s="1"/>
      <c r="V306" s="1"/>
    </row>
    <row r="307" spans="1:22" x14ac:dyDescent="0.3">
      <c r="A307" s="5" t="str">
        <f>CONCATENATE("F",IF(B307&lt;&gt;"",COUNTA($B$2:B307),""))</f>
        <v>F194</v>
      </c>
      <c r="B307" s="148" t="s">
        <v>72</v>
      </c>
      <c r="C307" s="148" t="s">
        <v>80</v>
      </c>
      <c r="D30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15.367410128571429</v>
      </c>
      <c r="E30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7" s="148">
        <f>VLOOKUP(woodflow[[#This Row],[From]],woodstock[#All],4,FALSE)</f>
        <v>2021</v>
      </c>
      <c r="G307" s="5" t="str">
        <f>VLOOKUP(woodflow[[#This Row],[From]],woodstock[#All],5,FALSE)</f>
        <v>Global</v>
      </c>
      <c r="H307" s="151" t="str">
        <f>VLOOKUP(woodflow[[#This Row],[From]],woodstock[#All],7,FALSE)</f>
        <v>29</v>
      </c>
      <c r="I307" s="151" t="str">
        <f>VLOOKUP(woodflow[[#This Row],[to]],woodstock[#All],7,FALSE)</f>
        <v>53</v>
      </c>
      <c r="J307" s="151" t="str">
        <f>VLOOKUP(woodflow[[#This Row],[From]],woodstock[#All],8,FALSE)</f>
        <v>0</v>
      </c>
      <c r="K307" s="151" t="str">
        <f>VLOOKUP(woodflow[[#This Row],[to]],woodstock[#All],8,FALSE)</f>
        <v>0</v>
      </c>
      <c r="L307" s="152" t="str">
        <f>VLOOKUP(woodflow[[#This Row],[From]],woodstock[#All],9,FALSE)</f>
        <v>nan</v>
      </c>
      <c r="M307" s="152" t="str">
        <f>VLOOKUP(woodflow[[#This Row],[to]],woodstock[#All],9,FALSE)</f>
        <v>nan</v>
      </c>
      <c r="N307" s="157">
        <f>'faostat-data'!Q111/'production-mass-balance'!B72*'production-mass-balance'!B71</f>
        <v>15.367410128571429</v>
      </c>
      <c r="O307" s="148" t="s">
        <v>921</v>
      </c>
      <c r="P307" s="148" t="s">
        <v>453</v>
      </c>
      <c r="Q307" s="4"/>
      <c r="R307" s="1"/>
      <c r="S307" s="1"/>
      <c r="T307" s="1"/>
      <c r="U307" s="1"/>
      <c r="V307" s="1"/>
    </row>
    <row r="308" spans="1:22" x14ac:dyDescent="0.3">
      <c r="A308" s="5" t="str">
        <f>CONCATENATE("F",IF(B308&lt;&gt;"",COUNTA($B$2:B308),""))</f>
        <v>F195</v>
      </c>
      <c r="B308" s="148" t="s">
        <v>77</v>
      </c>
      <c r="C308" s="148" t="s">
        <v>80</v>
      </c>
      <c r="D30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42.707711681234549</v>
      </c>
      <c r="E30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08" s="148">
        <f>VLOOKUP(woodflow[[#This Row],[From]],woodstock[#All],4,FALSE)</f>
        <v>2021</v>
      </c>
      <c r="G308" s="5" t="str">
        <f>VLOOKUP(woodflow[[#This Row],[From]],woodstock[#All],5,FALSE)</f>
        <v>Global</v>
      </c>
      <c r="H308" s="151" t="str">
        <f>VLOOKUP(woodflow[[#This Row],[From]],woodstock[#All],7,FALSE)</f>
        <v>30</v>
      </c>
      <c r="I308" s="151" t="str">
        <f>VLOOKUP(woodflow[[#This Row],[to]],woodstock[#All],7,FALSE)</f>
        <v>53</v>
      </c>
      <c r="J308" s="151" t="str">
        <f>VLOOKUP(woodflow[[#This Row],[From]],woodstock[#All],8,FALSE)</f>
        <v>0</v>
      </c>
      <c r="K308" s="151" t="str">
        <f>VLOOKUP(woodflow[[#This Row],[to]],woodstock[#All],8,FALSE)</f>
        <v>0</v>
      </c>
      <c r="L308" s="152" t="str">
        <f>VLOOKUP(woodflow[[#This Row],[From]],woodstock[#All],9,FALSE)</f>
        <v>nan</v>
      </c>
      <c r="M308" s="152" t="str">
        <f>VLOOKUP(woodflow[[#This Row],[to]],woodstock[#All],9,FALSE)</f>
        <v>nan</v>
      </c>
      <c r="N308" s="157">
        <f>(N288-'faostat-data'!Q118+'faostat-data'!Q119)/'production-mass-balance'!B76*'production-mass-balance'!B75</f>
        <v>42.707711681234549</v>
      </c>
      <c r="O308" s="148" t="s">
        <v>921</v>
      </c>
      <c r="P308" s="148" t="s">
        <v>453</v>
      </c>
      <c r="Q308" s="4"/>
      <c r="R308" s="1"/>
      <c r="S308" s="1"/>
      <c r="T308" s="1"/>
      <c r="U308" s="1"/>
      <c r="V308" s="1"/>
    </row>
    <row r="309" spans="1:22" x14ac:dyDescent="0.3">
      <c r="A309" s="5" t="str">
        <f>CONCATENATE("F",IF(B309&lt;&gt;"",COUNTA($B$2:B309),""))</f>
        <v>F</v>
      </c>
      <c r="B309" s="148"/>
      <c r="C309" s="148"/>
      <c r="D309" s="149"/>
      <c r="E309" s="149"/>
      <c r="F309" s="148"/>
      <c r="G309" s="5"/>
      <c r="H309" s="151"/>
      <c r="I309" s="151"/>
      <c r="J309" s="151"/>
      <c r="K309" s="151"/>
      <c r="L309" s="152"/>
      <c r="M309" s="152"/>
      <c r="N309" s="157"/>
      <c r="O309" s="148"/>
      <c r="P309" s="148"/>
      <c r="Q309" s="4"/>
      <c r="R309" s="1"/>
      <c r="S309" s="1"/>
      <c r="T309" s="1"/>
      <c r="U309" s="1"/>
      <c r="V309" s="1"/>
    </row>
    <row r="310" spans="1:22" x14ac:dyDescent="0.3">
      <c r="A310" s="5" t="str">
        <f>CONCATENATE("F",IF(B310&lt;&gt;"",COUNTA($B$2:B310),""))</f>
        <v>F</v>
      </c>
      <c r="B310" s="148"/>
      <c r="C310" s="148"/>
      <c r="D310" s="149"/>
      <c r="E310" s="149"/>
      <c r="F310" s="148"/>
      <c r="G310" s="5"/>
      <c r="H310" s="151"/>
      <c r="I310" s="151"/>
      <c r="J310" s="151"/>
      <c r="K310" s="151"/>
      <c r="L310" s="152"/>
      <c r="M310" s="152"/>
      <c r="N310" s="157"/>
      <c r="O310" s="148"/>
      <c r="P310" s="148"/>
      <c r="Q310" s="148"/>
      <c r="R310" s="1"/>
      <c r="S310" s="1"/>
      <c r="T310" s="1"/>
      <c r="U310" s="1"/>
      <c r="V310" s="1"/>
    </row>
    <row r="311" spans="1:22" x14ac:dyDescent="0.3">
      <c r="A311" s="5" t="str">
        <f>CONCATENATE("F",IF(B311&lt;&gt;"",COUNTA($B$2:B311),""))</f>
        <v>F196</v>
      </c>
      <c r="B311" s="148" t="s">
        <v>72</v>
      </c>
      <c r="C311" s="148" t="s">
        <v>35</v>
      </c>
      <c r="D31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8.2747592999999995</v>
      </c>
      <c r="E31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1" s="148">
        <f>VLOOKUP(woodflow[[#This Row],[From]],woodstock[#All],4,FALSE)</f>
        <v>2021</v>
      </c>
      <c r="G311" s="5" t="str">
        <f>VLOOKUP(woodflow[[#This Row],[From]],woodstock[#All],5,FALSE)</f>
        <v>Global</v>
      </c>
      <c r="H311" s="151" t="str">
        <f>VLOOKUP(woodflow[[#This Row],[From]],woodstock[#All],7,FALSE)</f>
        <v>29</v>
      </c>
      <c r="I311" s="151" t="str">
        <f>VLOOKUP(woodflow[[#This Row],[to]],woodstock[#All],7,FALSE)</f>
        <v>48</v>
      </c>
      <c r="J311" s="151" t="str">
        <f>VLOOKUP(woodflow[[#This Row],[From]],woodstock[#All],8,FALSE)</f>
        <v>0</v>
      </c>
      <c r="K311" s="151" t="str">
        <f>VLOOKUP(woodflow[[#This Row],[to]],woodstock[#All],8,FALSE)</f>
        <v>0</v>
      </c>
      <c r="L311" s="152" t="str">
        <f>VLOOKUP(woodflow[[#This Row],[From]],woodstock[#All],9,FALSE)</f>
        <v>nan</v>
      </c>
      <c r="M311" s="152" t="str">
        <f>VLOOKUP(woodflow[[#This Row],[to]],woodstock[#All],9,FALSE)</f>
        <v>nan</v>
      </c>
      <c r="N311" s="157">
        <f>'faostat-data'!Q111+'faostat-data'!Q112-'faostat-data'!Q113</f>
        <v>8.2747592999999995</v>
      </c>
      <c r="O311" s="148" t="s">
        <v>921</v>
      </c>
      <c r="P311" s="148" t="s">
        <v>454</v>
      </c>
      <c r="Q311" s="148"/>
      <c r="R311" s="1"/>
      <c r="S311" s="1"/>
      <c r="T311" s="1"/>
      <c r="U311" s="1"/>
      <c r="V311" s="1"/>
    </row>
    <row r="312" spans="1:22" x14ac:dyDescent="0.3">
      <c r="A312" s="5" t="str">
        <f>CONCATENATE("F",IF(B312&lt;&gt;"",COUNTA($B$2:B312),""))</f>
        <v>F</v>
      </c>
      <c r="B312" s="148"/>
      <c r="C312" s="148"/>
      <c r="D312" s="149"/>
      <c r="E312" s="149"/>
      <c r="F312" s="148"/>
      <c r="G312" s="5"/>
      <c r="H312" s="151"/>
      <c r="I312" s="151"/>
      <c r="J312" s="151"/>
      <c r="K312" s="151"/>
      <c r="L312" s="152"/>
      <c r="M312" s="152"/>
      <c r="N312" s="157"/>
      <c r="O312" s="148"/>
      <c r="P312" s="148"/>
      <c r="Q312" s="148"/>
      <c r="R312" s="1"/>
      <c r="S312" s="1"/>
      <c r="T312" s="1"/>
      <c r="U312" s="1"/>
      <c r="V312" s="1"/>
    </row>
    <row r="313" spans="1:22" x14ac:dyDescent="0.3">
      <c r="A313" s="5" t="str">
        <f>CONCATENATE("F",IF(B313&lt;&gt;"",COUNTA($B$2:B313),""))</f>
        <v>F</v>
      </c>
      <c r="B313" s="148"/>
      <c r="C313" s="148"/>
      <c r="D313" s="149"/>
      <c r="E313" s="149"/>
      <c r="F313" s="148"/>
      <c r="G313" s="5"/>
      <c r="H313" s="151"/>
      <c r="I313" s="151"/>
      <c r="J313" s="151"/>
      <c r="K313" s="151"/>
      <c r="L313" s="152"/>
      <c r="M313" s="152"/>
      <c r="N313" s="157"/>
      <c r="O313" s="148"/>
      <c r="P313" s="148"/>
      <c r="Q313" s="148"/>
      <c r="R313" s="1"/>
      <c r="S313" s="1"/>
      <c r="T313" s="1"/>
      <c r="U313" s="1"/>
      <c r="V313" s="1"/>
    </row>
    <row r="314" spans="1:22" x14ac:dyDescent="0.3">
      <c r="A314" s="5" t="str">
        <f>CONCATENATE("F",IF(B314&lt;&gt;"",COUNTA($B$2:B314),""))</f>
        <v>F197</v>
      </c>
      <c r="B314" s="148" t="s">
        <v>50</v>
      </c>
      <c r="C314" s="148" t="s">
        <v>31</v>
      </c>
      <c r="D31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145.55765194999998</v>
      </c>
      <c r="E31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4" s="148">
        <f>VLOOKUP(woodflow[[#This Row],[From]],woodstock[#All],4,FALSE)</f>
        <v>2021</v>
      </c>
      <c r="G314" s="5" t="str">
        <f>VLOOKUP(woodflow[[#This Row],[From]],woodstock[#All],5,FALSE)</f>
        <v>Global</v>
      </c>
      <c r="H314" s="151" t="str">
        <f>VLOOKUP(woodflow[[#This Row],[From]],woodstock[#All],7,FALSE)</f>
        <v>14</v>
      </c>
      <c r="I314" s="151" t="str">
        <f>VLOOKUP(woodflow[[#This Row],[to]],woodstock[#All],7,FALSE)</f>
        <v>44</v>
      </c>
      <c r="J314" s="151" t="str">
        <f>VLOOKUP(woodflow[[#This Row],[From]],woodstock[#All],8,FALSE)</f>
        <v>1</v>
      </c>
      <c r="K314" s="151" t="str">
        <f>VLOOKUP(woodflow[[#This Row],[to]],woodstock[#All],8,FALSE)</f>
        <v>0</v>
      </c>
      <c r="L314" s="152" t="str">
        <f>VLOOKUP(woodflow[[#This Row],[From]],woodstock[#All],9,FALSE)</f>
        <v>32-33-34-35-36</v>
      </c>
      <c r="M314" s="152" t="str">
        <f>VLOOKUP(woodflow[[#This Row],[to]],woodstock[#All],9,FALSE)</f>
        <v>nan</v>
      </c>
      <c r="N314" s="157">
        <f>SUM(N315:N319)</f>
        <v>145.55765194999998</v>
      </c>
      <c r="O314" s="148" t="s">
        <v>921</v>
      </c>
      <c r="P314" s="148" t="s">
        <v>232</v>
      </c>
      <c r="Q314" s="148"/>
      <c r="R314" s="1"/>
      <c r="S314" s="1"/>
      <c r="T314" s="1"/>
      <c r="U314" s="1"/>
      <c r="V314" s="1"/>
    </row>
    <row r="315" spans="1:22" x14ac:dyDescent="0.3">
      <c r="A315" s="5" t="str">
        <f>CONCATENATE("F",IF(B315&lt;&gt;"",COUNTA($B$2:B315),""))</f>
        <v>F198</v>
      </c>
      <c r="B315" s="148" t="s">
        <v>78</v>
      </c>
      <c r="C315" s="148" t="s">
        <v>31</v>
      </c>
      <c r="D31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13.363098049999996</v>
      </c>
      <c r="E31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5" s="148">
        <f>VLOOKUP(woodflow[[#This Row],[From]],woodstock[#All],4,FALSE)</f>
        <v>2021</v>
      </c>
      <c r="G315" s="5" t="str">
        <f>VLOOKUP(woodflow[[#This Row],[From]],woodstock[#All],5,FALSE)</f>
        <v>Global</v>
      </c>
      <c r="H315" s="151" t="str">
        <f>VLOOKUP(woodflow[[#This Row],[From]],woodstock[#All],7,FALSE)</f>
        <v>32</v>
      </c>
      <c r="I315" s="151" t="str">
        <f>VLOOKUP(woodflow[[#This Row],[to]],woodstock[#All],7,FALSE)</f>
        <v>44</v>
      </c>
      <c r="J315" s="151" t="str">
        <f>VLOOKUP(woodflow[[#This Row],[From]],woodstock[#All],8,FALSE)</f>
        <v>0</v>
      </c>
      <c r="K315" s="151" t="str">
        <f>VLOOKUP(woodflow[[#This Row],[to]],woodstock[#All],8,FALSE)</f>
        <v>0</v>
      </c>
      <c r="L315" s="152" t="str">
        <f>VLOOKUP(woodflow[[#This Row],[From]],woodstock[#All],9,FALSE)</f>
        <v>nan</v>
      </c>
      <c r="M315" s="152" t="str">
        <f>VLOOKUP(woodflow[[#This Row],[to]],woodstock[#All],9,FALSE)</f>
        <v>nan</v>
      </c>
      <c r="N315" s="157">
        <f>'faostat-data'!Q123+'faostat-data'!Q124-'faostat-data'!Q125</f>
        <v>13.363098049999996</v>
      </c>
      <c r="O315" s="148" t="s">
        <v>921</v>
      </c>
      <c r="P315" s="148"/>
      <c r="Q315" s="148" t="s">
        <v>227</v>
      </c>
      <c r="R315" s="1"/>
      <c r="S315" s="1"/>
      <c r="T315" s="1"/>
      <c r="U315" s="1"/>
      <c r="V315" s="1"/>
    </row>
    <row r="316" spans="1:22" x14ac:dyDescent="0.3">
      <c r="A316" s="5" t="str">
        <f>CONCATENATE("F",IF(B316&lt;&gt;"",COUNTA($B$2:B316),""))</f>
        <v>F199</v>
      </c>
      <c r="B316" s="148" t="s">
        <v>79</v>
      </c>
      <c r="C316" s="148" t="s">
        <v>31</v>
      </c>
      <c r="D31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77.925982500000003</v>
      </c>
      <c r="E31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6" s="148">
        <f>VLOOKUP(woodflow[[#This Row],[From]],woodstock[#All],4,FALSE)</f>
        <v>2021</v>
      </c>
      <c r="G316" s="5" t="str">
        <f>VLOOKUP(woodflow[[#This Row],[From]],woodstock[#All],5,FALSE)</f>
        <v>Global</v>
      </c>
      <c r="H316" s="151" t="str">
        <f>VLOOKUP(woodflow[[#This Row],[From]],woodstock[#All],7,FALSE)</f>
        <v>33</v>
      </c>
      <c r="I316" s="151" t="str">
        <f>VLOOKUP(woodflow[[#This Row],[to]],woodstock[#All],7,FALSE)</f>
        <v>44</v>
      </c>
      <c r="J316" s="151" t="str">
        <f>VLOOKUP(woodflow[[#This Row],[From]],woodstock[#All],8,FALSE)</f>
        <v>0</v>
      </c>
      <c r="K316" s="151" t="str">
        <f>VLOOKUP(woodflow[[#This Row],[to]],woodstock[#All],8,FALSE)</f>
        <v>0</v>
      </c>
      <c r="L316" s="152" t="str">
        <f>VLOOKUP(woodflow[[#This Row],[From]],woodstock[#All],9,FALSE)</f>
        <v>nan</v>
      </c>
      <c r="M316" s="152" t="str">
        <f>VLOOKUP(woodflow[[#This Row],[to]],woodstock[#All],9,FALSE)</f>
        <v>nan</v>
      </c>
      <c r="N316" s="157">
        <f>'faostat-data'!Q126+'faostat-data'!Q127-'faostat-data'!Q128</f>
        <v>77.925982500000003</v>
      </c>
      <c r="O316" s="148" t="s">
        <v>921</v>
      </c>
      <c r="P316" s="148"/>
      <c r="Q316" s="148" t="s">
        <v>227</v>
      </c>
      <c r="R316" s="1"/>
      <c r="S316" s="1"/>
      <c r="T316" s="1"/>
      <c r="U316" s="1"/>
      <c r="V316" s="1"/>
    </row>
    <row r="317" spans="1:22" x14ac:dyDescent="0.3">
      <c r="A317" s="5" t="str">
        <f>CONCATENATE("F",IF(B317&lt;&gt;"",COUNTA($B$2:B317),""))</f>
        <v>F200</v>
      </c>
      <c r="B317" s="148" t="s">
        <v>67</v>
      </c>
      <c r="C317" s="148" t="s">
        <v>31</v>
      </c>
      <c r="D31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35.909264699999994</v>
      </c>
      <c r="E31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7" s="148">
        <f>VLOOKUP(woodflow[[#This Row],[From]],woodstock[#All],4,FALSE)</f>
        <v>2021</v>
      </c>
      <c r="G317" s="5" t="str">
        <f>VLOOKUP(woodflow[[#This Row],[From]],woodstock[#All],5,FALSE)</f>
        <v>Global</v>
      </c>
      <c r="H317" s="151" t="str">
        <f>VLOOKUP(woodflow[[#This Row],[From]],woodstock[#All],7,FALSE)</f>
        <v>34</v>
      </c>
      <c r="I317" s="151" t="str">
        <f>VLOOKUP(woodflow[[#This Row],[to]],woodstock[#All],7,FALSE)</f>
        <v>44</v>
      </c>
      <c r="J317" s="151" t="str">
        <f>VLOOKUP(woodflow[[#This Row],[From]],woodstock[#All],8,FALSE)</f>
        <v>0</v>
      </c>
      <c r="K317" s="151" t="str">
        <f>VLOOKUP(woodflow[[#This Row],[to]],woodstock[#All],8,FALSE)</f>
        <v>0</v>
      </c>
      <c r="L317" s="152" t="str">
        <f>VLOOKUP(woodflow[[#This Row],[From]],woodstock[#All],9,FALSE)</f>
        <v>nan</v>
      </c>
      <c r="M317" s="152" t="str">
        <f>VLOOKUP(woodflow[[#This Row],[to]],woodstock[#All],9,FALSE)</f>
        <v>nan</v>
      </c>
      <c r="N317" s="157">
        <f>'faostat-data'!Q141+'faostat-data'!Q142-'faostat-data'!Q143</f>
        <v>35.909264699999994</v>
      </c>
      <c r="O317" s="148" t="s">
        <v>921</v>
      </c>
      <c r="P317" s="148"/>
      <c r="Q317" s="148" t="s">
        <v>227</v>
      </c>
      <c r="R317" s="1"/>
      <c r="S317" s="1"/>
      <c r="T317" s="1"/>
      <c r="U317" s="1"/>
      <c r="V317" s="1"/>
    </row>
    <row r="318" spans="1:22" x14ac:dyDescent="0.3">
      <c r="A318" s="5" t="str">
        <f>CONCATENATE("F",IF(B318&lt;&gt;"",COUNTA($B$2:B318),""))</f>
        <v>F201</v>
      </c>
      <c r="B318" s="148" t="s">
        <v>68</v>
      </c>
      <c r="C318" s="148" t="s">
        <v>31</v>
      </c>
      <c r="D31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1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8" s="148">
        <f>VLOOKUP(woodflow[[#This Row],[From]],woodstock[#All],4,FALSE)</f>
        <v>2021</v>
      </c>
      <c r="G318" s="5" t="str">
        <f>VLOOKUP(woodflow[[#This Row],[From]],woodstock[#All],5,FALSE)</f>
        <v>Global</v>
      </c>
      <c r="H318" s="151" t="str">
        <f>VLOOKUP(woodflow[[#This Row],[From]],woodstock[#All],7,FALSE)</f>
        <v>35</v>
      </c>
      <c r="I318" s="151" t="str">
        <f>VLOOKUP(woodflow[[#This Row],[to]],woodstock[#All],7,FALSE)</f>
        <v>44</v>
      </c>
      <c r="J318" s="151" t="str">
        <f>VLOOKUP(woodflow[[#This Row],[From]],woodstock[#All],8,FALSE)</f>
        <v>0</v>
      </c>
      <c r="K318" s="151" t="str">
        <f>VLOOKUP(woodflow[[#This Row],[to]],woodstock[#All],8,FALSE)</f>
        <v>0</v>
      </c>
      <c r="L318" s="152" t="str">
        <f>VLOOKUP(woodflow[[#This Row],[From]],woodstock[#All],9,FALSE)</f>
        <v>nan</v>
      </c>
      <c r="M318" s="152" t="str">
        <f>VLOOKUP(woodflow[[#This Row],[to]],woodstock[#All],9,FALSE)</f>
        <v>nan</v>
      </c>
      <c r="N318" s="157">
        <v>0</v>
      </c>
      <c r="O318" s="148" t="s">
        <v>209</v>
      </c>
      <c r="P318" s="148"/>
      <c r="Q318" s="148"/>
      <c r="R318" s="1"/>
      <c r="S318" s="1"/>
      <c r="T318" s="1"/>
      <c r="U318" s="1"/>
      <c r="V318" s="1"/>
    </row>
    <row r="319" spans="1:22" x14ac:dyDescent="0.3">
      <c r="A319" s="5" t="str">
        <f>CONCATENATE("F",IF(B319&lt;&gt;"",COUNTA($B$2:B319),""))</f>
        <v>F202</v>
      </c>
      <c r="B319" s="148" t="s">
        <v>69</v>
      </c>
      <c r="C319" s="148" t="s">
        <v>31</v>
      </c>
      <c r="D31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18.359306700000001</v>
      </c>
      <c r="E31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19" s="148">
        <f>VLOOKUP(woodflow[[#This Row],[From]],woodstock[#All],4,FALSE)</f>
        <v>2021</v>
      </c>
      <c r="G319" s="5" t="str">
        <f>VLOOKUP(woodflow[[#This Row],[From]],woodstock[#All],5,FALSE)</f>
        <v>Global</v>
      </c>
      <c r="H319" s="151" t="str">
        <f>VLOOKUP(woodflow[[#This Row],[From]],woodstock[#All],7,FALSE)</f>
        <v>36</v>
      </c>
      <c r="I319" s="151" t="str">
        <f>VLOOKUP(woodflow[[#This Row],[to]],woodstock[#All],7,FALSE)</f>
        <v>44</v>
      </c>
      <c r="J319" s="151" t="str">
        <f>VLOOKUP(woodflow[[#This Row],[From]],woodstock[#All],8,FALSE)</f>
        <v>0</v>
      </c>
      <c r="K319" s="151" t="str">
        <f>VLOOKUP(woodflow[[#This Row],[to]],woodstock[#All],8,FALSE)</f>
        <v>0</v>
      </c>
      <c r="L319" s="152" t="str">
        <f>VLOOKUP(woodflow[[#This Row],[From]],woodstock[#All],9,FALSE)</f>
        <v>nan</v>
      </c>
      <c r="M319" s="152" t="str">
        <f>VLOOKUP(woodflow[[#This Row],[to]],woodstock[#All],9,FALSE)</f>
        <v>nan</v>
      </c>
      <c r="N319" s="157">
        <f>+'faostat-data'!Q159+'faostat-data'!Q160-'faostat-data'!Q161</f>
        <v>18.359306700000001</v>
      </c>
      <c r="O319" s="148" t="s">
        <v>921</v>
      </c>
      <c r="P319" s="148"/>
      <c r="Q319" s="148" t="s">
        <v>227</v>
      </c>
      <c r="R319" s="1"/>
      <c r="S319" s="1"/>
      <c r="T319" s="1"/>
      <c r="U319" s="1"/>
      <c r="V319" s="1"/>
    </row>
    <row r="320" spans="1:22" x14ac:dyDescent="0.3">
      <c r="A320" s="5" t="str">
        <f>CONCATENATE("F",IF(B320&lt;&gt;"",COUNTA($B$2:B320),""))</f>
        <v>F</v>
      </c>
      <c r="B320" s="148"/>
      <c r="C320" s="148"/>
      <c r="D320" s="149"/>
      <c r="E320" s="149"/>
      <c r="F320" s="148"/>
      <c r="G320" s="5"/>
      <c r="H320" s="151"/>
      <c r="I320" s="151"/>
      <c r="J320" s="151"/>
      <c r="K320" s="151"/>
      <c r="L320" s="152"/>
      <c r="M320" s="152"/>
      <c r="N320" s="157"/>
      <c r="O320" s="148"/>
      <c r="P320" s="148"/>
      <c r="Q320" s="148"/>
      <c r="R320" s="1"/>
      <c r="S320" s="1"/>
      <c r="T320" s="1"/>
      <c r="U320" s="1"/>
      <c r="V320" s="1"/>
    </row>
    <row r="321" spans="1:22" x14ac:dyDescent="0.3">
      <c r="A321" s="5" t="str">
        <f>CONCATENATE("F",IF(B321&lt;&gt;"",COUNTA($B$2:B321),""))</f>
        <v>F</v>
      </c>
      <c r="B321" s="148"/>
      <c r="C321" s="148"/>
      <c r="D321" s="149"/>
      <c r="E321" s="149"/>
      <c r="F321" s="148"/>
      <c r="G321" s="5"/>
      <c r="H321" s="151"/>
      <c r="I321" s="151"/>
      <c r="J321" s="151"/>
      <c r="K321" s="151"/>
      <c r="L321" s="152"/>
      <c r="M321" s="152"/>
      <c r="N321" s="157"/>
      <c r="O321" s="148"/>
      <c r="P321" s="148"/>
      <c r="Q321" s="148"/>
      <c r="R321" s="1"/>
      <c r="S321" s="1"/>
      <c r="T321" s="1"/>
      <c r="U321" s="1"/>
      <c r="V321" s="1"/>
    </row>
    <row r="322" spans="1:22" x14ac:dyDescent="0.3">
      <c r="A322" s="5" t="str">
        <f>CONCATENATE("F",IF(B322&lt;&gt;"",COUNTA($B$2:B322),""))</f>
        <v>F203</v>
      </c>
      <c r="B322" s="148" t="s">
        <v>68</v>
      </c>
      <c r="C322" s="148" t="s">
        <v>32</v>
      </c>
      <c r="D32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250.85550754999997</v>
      </c>
      <c r="E32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2" s="148">
        <f>VLOOKUP(woodflow[[#This Row],[From]],woodstock[#All],4,FALSE)</f>
        <v>2021</v>
      </c>
      <c r="G322" s="5" t="str">
        <f>VLOOKUP(woodflow[[#This Row],[From]],woodstock[#All],5,FALSE)</f>
        <v>Global</v>
      </c>
      <c r="H322" s="151" t="str">
        <f>VLOOKUP(woodflow[[#This Row],[From]],woodstock[#All],7,FALSE)</f>
        <v>35</v>
      </c>
      <c r="I322" s="151" t="str">
        <f>VLOOKUP(woodflow[[#This Row],[to]],woodstock[#All],7,FALSE)</f>
        <v>45</v>
      </c>
      <c r="J322" s="151" t="str">
        <f>VLOOKUP(woodflow[[#This Row],[From]],woodstock[#All],8,FALSE)</f>
        <v>0</v>
      </c>
      <c r="K322" s="151" t="str">
        <f>VLOOKUP(woodflow[[#This Row],[to]],woodstock[#All],8,FALSE)</f>
        <v>0</v>
      </c>
      <c r="L322" s="152" t="str">
        <f>VLOOKUP(woodflow[[#This Row],[From]],woodstock[#All],9,FALSE)</f>
        <v>nan</v>
      </c>
      <c r="M322" s="152" t="str">
        <f>VLOOKUP(woodflow[[#This Row],[to]],woodstock[#All],9,FALSE)</f>
        <v>nan</v>
      </c>
      <c r="N322" s="157">
        <f>'faostat-data'!Q147+'faostat-data'!Q148-'faostat-data'!Q149+'faostat-data'!Q150+'faostat-data'!Q151-'faostat-data'!Q152+'faostat-data'!Q153+'faostat-data'!Q154-'faostat-data'!Q155+'faostat-data'!Q156+'faostat-data'!Q157-'faostat-data'!Q158</f>
        <v>250.85550754999997</v>
      </c>
      <c r="O322" s="148" t="s">
        <v>921</v>
      </c>
      <c r="P322" s="148"/>
      <c r="Q322" s="148" t="s">
        <v>227</v>
      </c>
      <c r="R322" s="1"/>
      <c r="S322" s="1"/>
      <c r="T322" s="1"/>
      <c r="U322" s="1"/>
      <c r="V322" s="13"/>
    </row>
    <row r="323" spans="1:22" x14ac:dyDescent="0.3">
      <c r="A323" s="5" t="str">
        <f>CONCATENATE("F",IF(B323&lt;&gt;"",COUNTA($B$2:B323),""))</f>
        <v>F</v>
      </c>
      <c r="B323" s="148"/>
      <c r="C323" s="148"/>
      <c r="D323" s="149"/>
      <c r="E323" s="149"/>
      <c r="F323" s="148"/>
      <c r="G323" s="5"/>
      <c r="H323" s="151"/>
      <c r="I323" s="151"/>
      <c r="J323" s="151"/>
      <c r="K323" s="151"/>
      <c r="L323" s="152"/>
      <c r="M323" s="152"/>
      <c r="N323" s="157"/>
      <c r="O323" s="148"/>
      <c r="P323" s="148"/>
      <c r="Q323" s="148"/>
      <c r="R323" s="1"/>
      <c r="S323" s="1"/>
      <c r="T323" s="1"/>
      <c r="U323" s="1"/>
      <c r="V323" s="1"/>
    </row>
    <row r="324" spans="1:22" x14ac:dyDescent="0.3">
      <c r="A324" s="5" t="str">
        <f>CONCATENATE("F",IF(B324&lt;&gt;"",COUNTA($B$2:B324),""))</f>
        <v>F</v>
      </c>
      <c r="B324" s="148"/>
      <c r="C324" s="148"/>
      <c r="D324" s="149"/>
      <c r="E324" s="149"/>
      <c r="F324" s="148"/>
      <c r="G324" s="5"/>
      <c r="H324" s="151"/>
      <c r="I324" s="151"/>
      <c r="J324" s="151"/>
      <c r="K324" s="151"/>
      <c r="L324" s="152"/>
      <c r="M324" s="152"/>
      <c r="N324" s="157"/>
      <c r="O324" s="148"/>
      <c r="P324" s="148"/>
      <c r="Q324" s="148"/>
      <c r="R324" s="1"/>
      <c r="S324" s="1"/>
      <c r="T324" s="1"/>
      <c r="U324" s="1"/>
      <c r="V324" s="1"/>
    </row>
    <row r="325" spans="1:22" x14ac:dyDescent="0.3">
      <c r="A325" s="5" t="str">
        <f>CONCATENATE("F",IF(B325&lt;&gt;"",COUNTA($B$2:B325),""))</f>
        <v>F204</v>
      </c>
      <c r="B325" s="148" t="s">
        <v>50</v>
      </c>
      <c r="C325" s="148" t="s">
        <v>235</v>
      </c>
      <c r="D32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20.863850500000016</v>
      </c>
      <c r="E32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5" s="148">
        <f>VLOOKUP(woodflow[[#This Row],[From]],woodstock[#All],4,FALSE)</f>
        <v>2021</v>
      </c>
      <c r="G325" s="5" t="str">
        <f>VLOOKUP(woodflow[[#This Row],[From]],woodstock[#All],5,FALSE)</f>
        <v>Global</v>
      </c>
      <c r="H325" s="151" t="str">
        <f>VLOOKUP(woodflow[[#This Row],[From]],woodstock[#All],7,FALSE)</f>
        <v>14</v>
      </c>
      <c r="I325" s="151" t="str">
        <f>VLOOKUP(woodflow[[#This Row],[to]],woodstock[#All],7,FALSE)</f>
        <v>54</v>
      </c>
      <c r="J325" s="151" t="str">
        <f>VLOOKUP(woodflow[[#This Row],[From]],woodstock[#All],8,FALSE)</f>
        <v>1</v>
      </c>
      <c r="K325" s="151" t="str">
        <f>VLOOKUP(woodflow[[#This Row],[to]],woodstock[#All],8,FALSE)</f>
        <v>0</v>
      </c>
      <c r="L325" s="152" t="str">
        <f>VLOOKUP(woodflow[[#This Row],[From]],woodstock[#All],9,FALSE)</f>
        <v>32-33-34-35-36</v>
      </c>
      <c r="M325" s="152" t="str">
        <f>VLOOKUP(woodflow[[#This Row],[to]],woodstock[#All],9,FALSE)</f>
        <v>nan</v>
      </c>
      <c r="N325" s="157">
        <f>SUM(N326:N330)</f>
        <v>20.863850500000016</v>
      </c>
      <c r="O325" s="148" t="s">
        <v>921</v>
      </c>
      <c r="P325" s="148" t="s">
        <v>232</v>
      </c>
      <c r="Q325" s="148"/>
      <c r="R325" s="1"/>
      <c r="S325" s="1"/>
      <c r="T325" s="1"/>
      <c r="U325" s="1"/>
      <c r="V325" s="1"/>
    </row>
    <row r="326" spans="1:22" x14ac:dyDescent="0.3">
      <c r="A326" s="5" t="str">
        <f>CONCATENATE("F",IF(B326&lt;&gt;"",COUNTA($B$2:B326),""))</f>
        <v>F205</v>
      </c>
      <c r="B326" s="148" t="s">
        <v>78</v>
      </c>
      <c r="C326" s="148" t="s">
        <v>235</v>
      </c>
      <c r="D32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0.70332095000000039</v>
      </c>
      <c r="E32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6" s="148">
        <f>VLOOKUP(woodflow[[#This Row],[From]],woodstock[#All],4,FALSE)</f>
        <v>2021</v>
      </c>
      <c r="G326" s="5" t="str">
        <f>VLOOKUP(woodflow[[#This Row],[From]],woodstock[#All],5,FALSE)</f>
        <v>Global</v>
      </c>
      <c r="H326" s="151" t="str">
        <f>VLOOKUP(woodflow[[#This Row],[From]],woodstock[#All],7,FALSE)</f>
        <v>32</v>
      </c>
      <c r="I326" s="151" t="str">
        <f>VLOOKUP(woodflow[[#This Row],[to]],woodstock[#All],7,FALSE)</f>
        <v>54</v>
      </c>
      <c r="J326" s="151" t="str">
        <f>VLOOKUP(woodflow[[#This Row],[From]],woodstock[#All],8,FALSE)</f>
        <v>0</v>
      </c>
      <c r="K326" s="151" t="str">
        <f>VLOOKUP(woodflow[[#This Row],[to]],woodstock[#All],8,FALSE)</f>
        <v>0</v>
      </c>
      <c r="L326" s="152" t="str">
        <f>VLOOKUP(woodflow[[#This Row],[From]],woodstock[#All],9,FALSE)</f>
        <v>nan</v>
      </c>
      <c r="M326" s="152" t="str">
        <f>VLOOKUP(woodflow[[#This Row],[to]],woodstock[#All],9,FALSE)</f>
        <v>nan</v>
      </c>
      <c r="N326" s="157">
        <f>('faostat-data'!Q123)/'production-mass-balance'!$B$80*'production-mass-balance'!$B$79</f>
        <v>0.70332095000000039</v>
      </c>
      <c r="O326" s="148" t="s">
        <v>921</v>
      </c>
      <c r="P326" s="148" t="s">
        <v>453</v>
      </c>
      <c r="Q326" s="148" t="s">
        <v>227</v>
      </c>
      <c r="R326" s="1"/>
      <c r="S326" s="1"/>
      <c r="T326" s="1"/>
      <c r="U326" s="1"/>
      <c r="V326" s="1"/>
    </row>
    <row r="327" spans="1:22" x14ac:dyDescent="0.3">
      <c r="A327" s="5" t="str">
        <f>CONCATENATE("F",IF(B327&lt;&gt;"",COUNTA($B$2:B327),""))</f>
        <v>F206</v>
      </c>
      <c r="B327" s="148" t="s">
        <v>79</v>
      </c>
      <c r="C327" s="148" t="s">
        <v>235</v>
      </c>
      <c r="D32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4.1013675000000047</v>
      </c>
      <c r="E32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7" s="148">
        <f>VLOOKUP(woodflow[[#This Row],[From]],woodstock[#All],4,FALSE)</f>
        <v>2021</v>
      </c>
      <c r="G327" s="5" t="str">
        <f>VLOOKUP(woodflow[[#This Row],[From]],woodstock[#All],5,FALSE)</f>
        <v>Global</v>
      </c>
      <c r="H327" s="151" t="str">
        <f>VLOOKUP(woodflow[[#This Row],[From]],woodstock[#All],7,FALSE)</f>
        <v>33</v>
      </c>
      <c r="I327" s="151" t="str">
        <f>VLOOKUP(woodflow[[#This Row],[to]],woodstock[#All],7,FALSE)</f>
        <v>54</v>
      </c>
      <c r="J327" s="151" t="str">
        <f>VLOOKUP(woodflow[[#This Row],[From]],woodstock[#All],8,FALSE)</f>
        <v>0</v>
      </c>
      <c r="K327" s="151" t="str">
        <f>VLOOKUP(woodflow[[#This Row],[to]],woodstock[#All],8,FALSE)</f>
        <v>0</v>
      </c>
      <c r="L327" s="152" t="str">
        <f>VLOOKUP(woodflow[[#This Row],[From]],woodstock[#All],9,FALSE)</f>
        <v>nan</v>
      </c>
      <c r="M327" s="152" t="str">
        <f>VLOOKUP(woodflow[[#This Row],[to]],woodstock[#All],9,FALSE)</f>
        <v>nan</v>
      </c>
      <c r="N327" s="157">
        <f>('faostat-data'!Q126)/'production-mass-balance'!$B$80*'production-mass-balance'!$B$79</f>
        <v>4.1013675000000047</v>
      </c>
      <c r="O327" s="148" t="s">
        <v>921</v>
      </c>
      <c r="P327" s="148" t="s">
        <v>453</v>
      </c>
      <c r="Q327" s="148" t="s">
        <v>227</v>
      </c>
      <c r="R327" s="1"/>
      <c r="S327" s="1"/>
      <c r="T327" s="1"/>
      <c r="U327" s="1"/>
      <c r="V327" s="1"/>
    </row>
    <row r="328" spans="1:22" x14ac:dyDescent="0.3">
      <c r="A328" s="5" t="str">
        <f>CONCATENATE("F",IF(B328&lt;&gt;"",COUNTA($B$2:B328),""))</f>
        <v>F207</v>
      </c>
      <c r="B328" s="148" t="s">
        <v>67</v>
      </c>
      <c r="C328" s="148" t="s">
        <v>235</v>
      </c>
      <c r="D32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1.8899613000000015</v>
      </c>
      <c r="E32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8" s="148">
        <f>VLOOKUP(woodflow[[#This Row],[From]],woodstock[#All],4,FALSE)</f>
        <v>2021</v>
      </c>
      <c r="G328" s="5" t="str">
        <f>VLOOKUP(woodflow[[#This Row],[From]],woodstock[#All],5,FALSE)</f>
        <v>Global</v>
      </c>
      <c r="H328" s="151" t="str">
        <f>VLOOKUP(woodflow[[#This Row],[From]],woodstock[#All],7,FALSE)</f>
        <v>34</v>
      </c>
      <c r="I328" s="151" t="str">
        <f>VLOOKUP(woodflow[[#This Row],[to]],woodstock[#All],7,FALSE)</f>
        <v>54</v>
      </c>
      <c r="J328" s="151" t="str">
        <f>VLOOKUP(woodflow[[#This Row],[From]],woodstock[#All],8,FALSE)</f>
        <v>0</v>
      </c>
      <c r="K328" s="151" t="str">
        <f>VLOOKUP(woodflow[[#This Row],[to]],woodstock[#All],8,FALSE)</f>
        <v>0</v>
      </c>
      <c r="L328" s="152" t="str">
        <f>VLOOKUP(woodflow[[#This Row],[From]],woodstock[#All],9,FALSE)</f>
        <v>nan</v>
      </c>
      <c r="M328" s="152" t="str">
        <f>VLOOKUP(woodflow[[#This Row],[to]],woodstock[#All],9,FALSE)</f>
        <v>nan</v>
      </c>
      <c r="N328" s="157">
        <f>('faostat-data'!Q141)/'production-mass-balance'!$B$80*'production-mass-balance'!$B$79</f>
        <v>1.8899613000000015</v>
      </c>
      <c r="O328" s="148" t="s">
        <v>921</v>
      </c>
      <c r="P328" s="148" t="s">
        <v>453</v>
      </c>
      <c r="Q328" s="148" t="s">
        <v>227</v>
      </c>
      <c r="R328" s="1"/>
      <c r="S328" s="1"/>
      <c r="T328" s="1"/>
      <c r="U328" s="1"/>
      <c r="V328" s="1"/>
    </row>
    <row r="329" spans="1:22" x14ac:dyDescent="0.3">
      <c r="A329" s="5" t="str">
        <f>CONCATENATE("F",IF(B329&lt;&gt;"",COUNTA($B$2:B329),""))</f>
        <v>F208</v>
      </c>
      <c r="B329" s="148" t="s">
        <v>68</v>
      </c>
      <c r="C329" s="148" t="s">
        <v>235</v>
      </c>
      <c r="D32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13.20292145000001</v>
      </c>
      <c r="E32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29" s="148">
        <f>VLOOKUP(woodflow[[#This Row],[From]],woodstock[#All],4,FALSE)</f>
        <v>2021</v>
      </c>
      <c r="G329" s="5" t="str">
        <f>VLOOKUP(woodflow[[#This Row],[From]],woodstock[#All],5,FALSE)</f>
        <v>Global</v>
      </c>
      <c r="H329" s="151" t="str">
        <f>VLOOKUP(woodflow[[#This Row],[From]],woodstock[#All],7,FALSE)</f>
        <v>35</v>
      </c>
      <c r="I329" s="151" t="str">
        <f>VLOOKUP(woodflow[[#This Row],[to]],woodstock[#All],7,FALSE)</f>
        <v>54</v>
      </c>
      <c r="J329" s="151" t="str">
        <f>VLOOKUP(woodflow[[#This Row],[From]],woodstock[#All],8,FALSE)</f>
        <v>0</v>
      </c>
      <c r="K329" s="151" t="str">
        <f>VLOOKUP(woodflow[[#This Row],[to]],woodstock[#All],8,FALSE)</f>
        <v>0</v>
      </c>
      <c r="L329" s="152" t="str">
        <f>VLOOKUP(woodflow[[#This Row],[From]],woodstock[#All],9,FALSE)</f>
        <v>nan</v>
      </c>
      <c r="M329" s="152" t="str">
        <f>VLOOKUP(woodflow[[#This Row],[to]],woodstock[#All],9,FALSE)</f>
        <v>nan</v>
      </c>
      <c r="N329" s="157">
        <f>(('faostat-data'!Q147+'faostat-data'!Q150+'faostat-data'!Q153+'faostat-data'!Q156)/'production-mass-balance'!$B$80*'production-mass-balance'!$B$79)</f>
        <v>13.20292145000001</v>
      </c>
      <c r="O329" s="148" t="s">
        <v>921</v>
      </c>
      <c r="P329" s="148" t="s">
        <v>453</v>
      </c>
      <c r="Q329" s="148" t="s">
        <v>227</v>
      </c>
      <c r="R329" s="1"/>
      <c r="S329" s="1"/>
      <c r="T329" s="1"/>
      <c r="U329" s="1"/>
      <c r="V329" s="1"/>
    </row>
    <row r="330" spans="1:22" x14ac:dyDescent="0.3">
      <c r="A330" s="5" t="str">
        <f>CONCATENATE("F",IF(B330&lt;&gt;"",COUNTA($B$2:B330),""))</f>
        <v>F209</v>
      </c>
      <c r="B330" s="148" t="s">
        <v>69</v>
      </c>
      <c r="C330" s="148" t="s">
        <v>235</v>
      </c>
      <c r="D33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0.96627930000000095</v>
      </c>
      <c r="E33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0" s="148">
        <f>VLOOKUP(woodflow[[#This Row],[From]],woodstock[#All],4,FALSE)</f>
        <v>2021</v>
      </c>
      <c r="G330" s="5" t="str">
        <f>VLOOKUP(woodflow[[#This Row],[From]],woodstock[#All],5,FALSE)</f>
        <v>Global</v>
      </c>
      <c r="H330" s="151" t="str">
        <f>VLOOKUP(woodflow[[#This Row],[From]],woodstock[#All],7,FALSE)</f>
        <v>36</v>
      </c>
      <c r="I330" s="151" t="str">
        <f>VLOOKUP(woodflow[[#This Row],[to]],woodstock[#All],7,FALSE)</f>
        <v>54</v>
      </c>
      <c r="J330" s="151" t="str">
        <f>VLOOKUP(woodflow[[#This Row],[From]],woodstock[#All],8,FALSE)</f>
        <v>0</v>
      </c>
      <c r="K330" s="151" t="str">
        <f>VLOOKUP(woodflow[[#This Row],[to]],woodstock[#All],8,FALSE)</f>
        <v>0</v>
      </c>
      <c r="L330" s="152" t="str">
        <f>VLOOKUP(woodflow[[#This Row],[From]],woodstock[#All],9,FALSE)</f>
        <v>nan</v>
      </c>
      <c r="M330" s="152" t="str">
        <f>VLOOKUP(woodflow[[#This Row],[to]],woodstock[#All],9,FALSE)</f>
        <v>nan</v>
      </c>
      <c r="N330" s="157">
        <f>((+'faostat-data'!Q159)/'production-mass-balance'!$B$80)*'production-mass-balance'!$B$79</f>
        <v>0.96627930000000095</v>
      </c>
      <c r="O330" s="148" t="s">
        <v>921</v>
      </c>
      <c r="P330" s="148" t="s">
        <v>453</v>
      </c>
      <c r="Q330" s="148" t="s">
        <v>227</v>
      </c>
      <c r="R330" s="1"/>
      <c r="S330" s="1"/>
      <c r="T330" s="1"/>
      <c r="U330" s="1"/>
      <c r="V330" s="1"/>
    </row>
    <row r="331" spans="1:22" x14ac:dyDescent="0.3">
      <c r="A331" s="5" t="str">
        <f>CONCATENATE("F",IF(B331&lt;&gt;"",COUNTA($B$2:B331),""))</f>
        <v>F</v>
      </c>
      <c r="B331" s="148"/>
      <c r="C331" s="148"/>
      <c r="D331" s="149"/>
      <c r="E331" s="149"/>
      <c r="F331" s="148"/>
      <c r="G331" s="5"/>
      <c r="H331" s="151"/>
      <c r="I331" s="151"/>
      <c r="J331" s="151"/>
      <c r="K331" s="151"/>
      <c r="L331" s="152"/>
      <c r="M331" s="152"/>
      <c r="N331" s="157"/>
      <c r="O331" s="148"/>
      <c r="P331" s="148"/>
      <c r="Q331" s="148"/>
      <c r="R331" s="1"/>
      <c r="S331" s="1"/>
      <c r="T331" s="1"/>
      <c r="U331" s="1"/>
      <c r="V331" s="1"/>
    </row>
    <row r="332" spans="1:22" x14ac:dyDescent="0.3">
      <c r="A332" s="5" t="str">
        <f>CONCATENATE("F",IF(B332&lt;&gt;"",COUNTA($B$2:B332),""))</f>
        <v>F</v>
      </c>
      <c r="B332" s="148"/>
      <c r="C332" s="148"/>
      <c r="D332" s="149"/>
      <c r="E332" s="149"/>
      <c r="F332" s="148"/>
      <c r="G332" s="5"/>
      <c r="H332" s="151"/>
      <c r="I332" s="151"/>
      <c r="J332" s="151"/>
      <c r="K332" s="151"/>
      <c r="L332" s="152"/>
      <c r="M332" s="152"/>
      <c r="N332" s="157"/>
      <c r="O332" s="148"/>
      <c r="P332" s="148"/>
      <c r="Q332" s="148"/>
      <c r="R332" s="1"/>
      <c r="S332" s="1"/>
      <c r="T332" s="1"/>
      <c r="U332" s="1"/>
      <c r="V332" s="1"/>
    </row>
    <row r="333" spans="1:22" x14ac:dyDescent="0.3">
      <c r="A333" s="5" t="str">
        <f>CONCATENATE("F",IF(B333&lt;&gt;"",COUNTA($B$2:B333),""))</f>
        <v>F210</v>
      </c>
      <c r="B333" s="148" t="s">
        <v>36</v>
      </c>
      <c r="C333" s="148" t="s">
        <v>59</v>
      </c>
      <c r="D33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47.272897579355323</v>
      </c>
      <c r="E33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3" s="148">
        <f>VLOOKUP(woodflow[[#This Row],[From]],woodstock[#All],4,FALSE)</f>
        <v>2021</v>
      </c>
      <c r="G333" s="5" t="str">
        <f>VLOOKUP(woodflow[[#This Row],[From]],woodstock[#All],5,FALSE)</f>
        <v>Global</v>
      </c>
      <c r="H333" s="151" t="str">
        <f>VLOOKUP(woodflow[[#This Row],[From]],woodstock[#All],7,FALSE)</f>
        <v>37</v>
      </c>
      <c r="I333" s="151" t="str">
        <f>VLOOKUP(woodflow[[#This Row],[to]],woodstock[#All],7,FALSE)</f>
        <v>17</v>
      </c>
      <c r="J333" s="151" t="str">
        <f>VLOOKUP(woodflow[[#This Row],[From]],woodstock[#All],8,FALSE)</f>
        <v>0</v>
      </c>
      <c r="K333" s="151" t="str">
        <f>VLOOKUP(woodflow[[#This Row],[to]],woodstock[#All],8,FALSE)</f>
        <v>1</v>
      </c>
      <c r="L333" s="152" t="str">
        <f>VLOOKUP(woodflow[[#This Row],[From]],woodstock[#All],9,FALSE)</f>
        <v>nan</v>
      </c>
      <c r="M333" s="152" t="str">
        <f>VLOOKUP(woodflow[[#This Row],[to]],woodstock[#All],9,FALSE)</f>
        <v>43-44-45-46-47-48-49</v>
      </c>
      <c r="N333" s="157">
        <f>((N86+N162+N171+N201+N213+N231+N240+N252+N261)*'production-mass-balance'!B86)+(N553-N634)</f>
        <v>47.272897579355323</v>
      </c>
      <c r="O333" s="148" t="s">
        <v>921</v>
      </c>
      <c r="P333" s="148" t="s">
        <v>232</v>
      </c>
      <c r="Q333" s="148"/>
      <c r="R333" s="1"/>
      <c r="S333" s="1"/>
      <c r="T333" s="1"/>
      <c r="U333" s="1"/>
      <c r="V333" s="1"/>
    </row>
    <row r="334" spans="1:22" x14ac:dyDescent="0.3">
      <c r="A334" s="5" t="str">
        <f>CONCATENATE("F",IF(B334&lt;&gt;"",COUNTA($B$2:B334),""))</f>
        <v>F211</v>
      </c>
      <c r="B334" s="148" t="s">
        <v>36</v>
      </c>
      <c r="C334" s="148" t="s">
        <v>408</v>
      </c>
      <c r="D33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4" s="148">
        <f>VLOOKUP(woodflow[[#This Row],[From]],woodstock[#All],4,FALSE)</f>
        <v>2021</v>
      </c>
      <c r="G334" s="5" t="str">
        <f>VLOOKUP(woodflow[[#This Row],[From]],woodstock[#All],5,FALSE)</f>
        <v>Global</v>
      </c>
      <c r="H334" s="151" t="str">
        <f>VLOOKUP(woodflow[[#This Row],[From]],woodstock[#All],7,FALSE)</f>
        <v>37</v>
      </c>
      <c r="I334" s="151" t="str">
        <f>VLOOKUP(woodflow[[#This Row],[to]],woodstock[#All],7,FALSE)</f>
        <v>43</v>
      </c>
      <c r="J334" s="151" t="str">
        <f>VLOOKUP(woodflow[[#This Row],[From]],woodstock[#All],8,FALSE)</f>
        <v>0</v>
      </c>
      <c r="K334" s="151" t="str">
        <f>VLOOKUP(woodflow[[#This Row],[to]],woodstock[#All],8,FALSE)</f>
        <v>0</v>
      </c>
      <c r="L334" s="152" t="str">
        <f>VLOOKUP(woodflow[[#This Row],[From]],woodstock[#All],9,FALSE)</f>
        <v>nan</v>
      </c>
      <c r="M334" s="152" t="str">
        <f>VLOOKUP(woodflow[[#This Row],[to]],woodstock[#All],9,FALSE)</f>
        <v>nan</v>
      </c>
      <c r="N334" s="157">
        <v>0</v>
      </c>
      <c r="O334" s="148" t="s">
        <v>209</v>
      </c>
      <c r="P334" s="148"/>
      <c r="Q334" s="148"/>
      <c r="R334" s="1"/>
      <c r="S334" s="1"/>
      <c r="T334" s="1"/>
      <c r="U334" s="1"/>
      <c r="V334" s="1"/>
    </row>
    <row r="335" spans="1:22" x14ac:dyDescent="0.3">
      <c r="A335" s="5" t="str">
        <f>CONCATENATE("F",IF(B335&lt;&gt;"",COUNTA($B$2:B335),""))</f>
        <v>F212</v>
      </c>
      <c r="B335" s="148" t="s">
        <v>36</v>
      </c>
      <c r="C335" s="148" t="s">
        <v>31</v>
      </c>
      <c r="D33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5" s="148">
        <f>VLOOKUP(woodflow[[#This Row],[From]],woodstock[#All],4,FALSE)</f>
        <v>2021</v>
      </c>
      <c r="G335" s="5" t="str">
        <f>VLOOKUP(woodflow[[#This Row],[From]],woodstock[#All],5,FALSE)</f>
        <v>Global</v>
      </c>
      <c r="H335" s="151" t="str">
        <f>VLOOKUP(woodflow[[#This Row],[From]],woodstock[#All],7,FALSE)</f>
        <v>37</v>
      </c>
      <c r="I335" s="151" t="str">
        <f>VLOOKUP(woodflow[[#This Row],[to]],woodstock[#All],7,FALSE)</f>
        <v>44</v>
      </c>
      <c r="J335" s="151" t="str">
        <f>VLOOKUP(woodflow[[#This Row],[From]],woodstock[#All],8,FALSE)</f>
        <v>0</v>
      </c>
      <c r="K335" s="151" t="str">
        <f>VLOOKUP(woodflow[[#This Row],[to]],woodstock[#All],8,FALSE)</f>
        <v>0</v>
      </c>
      <c r="L335" s="152" t="str">
        <f>VLOOKUP(woodflow[[#This Row],[From]],woodstock[#All],9,FALSE)</f>
        <v>nan</v>
      </c>
      <c r="M335" s="152" t="str">
        <f>VLOOKUP(woodflow[[#This Row],[to]],woodstock[#All],9,FALSE)</f>
        <v>nan</v>
      </c>
      <c r="N335" s="157">
        <v>0</v>
      </c>
      <c r="O335" s="148" t="s">
        <v>209</v>
      </c>
      <c r="P335" s="148"/>
      <c r="Q335" s="148"/>
      <c r="R335" s="1"/>
      <c r="S335" s="1"/>
      <c r="T335" s="1"/>
      <c r="U335" s="1"/>
      <c r="V335" s="1"/>
    </row>
    <row r="336" spans="1:22" x14ac:dyDescent="0.3">
      <c r="A336" s="5" t="str">
        <f>CONCATENATE("F",IF(B336&lt;&gt;"",COUNTA($B$2:B336),""))</f>
        <v>F213</v>
      </c>
      <c r="B336" s="148" t="s">
        <v>36</v>
      </c>
      <c r="C336" s="148" t="s">
        <v>32</v>
      </c>
      <c r="D33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9.4545795158710657</v>
      </c>
      <c r="F336" s="148">
        <f>VLOOKUP(woodflow[[#This Row],[From]],woodstock[#All],4,FALSE)</f>
        <v>2021</v>
      </c>
      <c r="G336" s="5" t="str">
        <f>VLOOKUP(woodflow[[#This Row],[From]],woodstock[#All],5,FALSE)</f>
        <v>Global</v>
      </c>
      <c r="H336" s="151" t="str">
        <f>VLOOKUP(woodflow[[#This Row],[From]],woodstock[#All],7,FALSE)</f>
        <v>37</v>
      </c>
      <c r="I336" s="151" t="str">
        <f>VLOOKUP(woodflow[[#This Row],[to]],woodstock[#All],7,FALSE)</f>
        <v>45</v>
      </c>
      <c r="J336" s="151" t="str">
        <f>VLOOKUP(woodflow[[#This Row],[From]],woodstock[#All],8,FALSE)</f>
        <v>0</v>
      </c>
      <c r="K336" s="151" t="str">
        <f>VLOOKUP(woodflow[[#This Row],[to]],woodstock[#All],8,FALSE)</f>
        <v>0</v>
      </c>
      <c r="L336" s="152" t="str">
        <f>VLOOKUP(woodflow[[#This Row],[From]],woodstock[#All],9,FALSE)</f>
        <v>nan</v>
      </c>
      <c r="M336" s="152" t="str">
        <f>VLOOKUP(woodflow[[#This Row],[to]],woodstock[#All],9,FALSE)</f>
        <v>nan</v>
      </c>
      <c r="N336" s="157">
        <f>$N$333*woodratio!I130</f>
        <v>9.4545795158710657</v>
      </c>
      <c r="O336" s="148" t="s">
        <v>920</v>
      </c>
      <c r="P336" s="148" t="s">
        <v>233</v>
      </c>
      <c r="Q336" s="148"/>
      <c r="R336" s="1"/>
      <c r="S336" s="1"/>
      <c r="T336" s="1"/>
      <c r="U336" s="1"/>
      <c r="V336" s="1"/>
    </row>
    <row r="337" spans="1:22" x14ac:dyDescent="0.3">
      <c r="A337" s="5" t="str">
        <f>CONCATENATE("F",IF(B337&lt;&gt;"",COUNTA($B$2:B337),""))</f>
        <v>F214</v>
      </c>
      <c r="B337" s="148" t="s">
        <v>36</v>
      </c>
      <c r="C337" s="148" t="s">
        <v>33</v>
      </c>
      <c r="D33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18.909159031742131</v>
      </c>
      <c r="F337" s="148">
        <f>VLOOKUP(woodflow[[#This Row],[From]],woodstock[#All],4,FALSE)</f>
        <v>2021</v>
      </c>
      <c r="G337" s="5" t="str">
        <f>VLOOKUP(woodflow[[#This Row],[From]],woodstock[#All],5,FALSE)</f>
        <v>Global</v>
      </c>
      <c r="H337" s="151" t="str">
        <f>VLOOKUP(woodflow[[#This Row],[From]],woodstock[#All],7,FALSE)</f>
        <v>37</v>
      </c>
      <c r="I337" s="151" t="str">
        <f>VLOOKUP(woodflow[[#This Row],[to]],woodstock[#All],7,FALSE)</f>
        <v>46</v>
      </c>
      <c r="J337" s="151" t="str">
        <f>VLOOKUP(woodflow[[#This Row],[From]],woodstock[#All],8,FALSE)</f>
        <v>0</v>
      </c>
      <c r="K337" s="151" t="str">
        <f>VLOOKUP(woodflow[[#This Row],[to]],woodstock[#All],8,FALSE)</f>
        <v>0</v>
      </c>
      <c r="L337" s="152" t="str">
        <f>VLOOKUP(woodflow[[#This Row],[From]],woodstock[#All],9,FALSE)</f>
        <v>nan</v>
      </c>
      <c r="M337" s="152" t="str">
        <f>VLOOKUP(woodflow[[#This Row],[to]],woodstock[#All],9,FALSE)</f>
        <v>nan</v>
      </c>
      <c r="N337" s="157">
        <f>$N$333*woodratio!I131</f>
        <v>18.909159031742131</v>
      </c>
      <c r="O337" s="148" t="s">
        <v>920</v>
      </c>
      <c r="P337" s="148" t="s">
        <v>233</v>
      </c>
      <c r="Q337" s="148"/>
      <c r="R337" s="1"/>
      <c r="S337" s="1"/>
      <c r="T337" s="1"/>
      <c r="U337" s="1"/>
      <c r="V337" s="1"/>
    </row>
    <row r="338" spans="1:22" x14ac:dyDescent="0.3">
      <c r="A338" s="5" t="str">
        <f>CONCATENATE("F",IF(B338&lt;&gt;"",COUNTA($B$2:B338),""))</f>
        <v>F215</v>
      </c>
      <c r="B338" s="148" t="s">
        <v>36</v>
      </c>
      <c r="C338" s="148" t="s">
        <v>34</v>
      </c>
      <c r="D33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38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9.4545795158710657</v>
      </c>
      <c r="F338" s="148">
        <f>VLOOKUP(woodflow[[#This Row],[From]],woodstock[#All],4,FALSE)</f>
        <v>2021</v>
      </c>
      <c r="G338" s="5" t="str">
        <f>VLOOKUP(woodflow[[#This Row],[From]],woodstock[#All],5,FALSE)</f>
        <v>Global</v>
      </c>
      <c r="H338" s="151" t="str">
        <f>VLOOKUP(woodflow[[#This Row],[From]],woodstock[#All],7,FALSE)</f>
        <v>37</v>
      </c>
      <c r="I338" s="151" t="str">
        <f>VLOOKUP(woodflow[[#This Row],[to]],woodstock[#All],7,FALSE)</f>
        <v>47</v>
      </c>
      <c r="J338" s="151" t="str">
        <f>VLOOKUP(woodflow[[#This Row],[From]],woodstock[#All],8,FALSE)</f>
        <v>0</v>
      </c>
      <c r="K338" s="151" t="str">
        <f>VLOOKUP(woodflow[[#This Row],[to]],woodstock[#All],8,FALSE)</f>
        <v>0</v>
      </c>
      <c r="L338" s="152" t="str">
        <f>VLOOKUP(woodflow[[#This Row],[From]],woodstock[#All],9,FALSE)</f>
        <v>nan</v>
      </c>
      <c r="M338" s="152" t="str">
        <f>VLOOKUP(woodflow[[#This Row],[to]],woodstock[#All],9,FALSE)</f>
        <v>nan</v>
      </c>
      <c r="N338" s="157">
        <f>$N$333*woodratio!I132</f>
        <v>9.4545795158710657</v>
      </c>
      <c r="O338" s="148" t="s">
        <v>920</v>
      </c>
      <c r="P338" s="148" t="s">
        <v>233</v>
      </c>
      <c r="Q338" s="148"/>
      <c r="R338" s="1"/>
      <c r="S338" s="1"/>
      <c r="T338" s="1"/>
      <c r="U338" s="1"/>
      <c r="V338" s="1"/>
    </row>
    <row r="339" spans="1:22" x14ac:dyDescent="0.3">
      <c r="A339" s="5" t="str">
        <f>CONCATENATE("F",IF(B339&lt;&gt;"",COUNTA($B$2:B339),""))</f>
        <v>F216</v>
      </c>
      <c r="B339" s="148" t="s">
        <v>36</v>
      </c>
      <c r="C339" s="148" t="s">
        <v>35</v>
      </c>
      <c r="D33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3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39" s="148">
        <f>VLOOKUP(woodflow[[#This Row],[From]],woodstock[#All],4,FALSE)</f>
        <v>2021</v>
      </c>
      <c r="G339" s="5" t="str">
        <f>VLOOKUP(woodflow[[#This Row],[From]],woodstock[#All],5,FALSE)</f>
        <v>Global</v>
      </c>
      <c r="H339" s="151" t="str">
        <f>VLOOKUP(woodflow[[#This Row],[From]],woodstock[#All],7,FALSE)</f>
        <v>37</v>
      </c>
      <c r="I339" s="151" t="str">
        <f>VLOOKUP(woodflow[[#This Row],[to]],woodstock[#All],7,FALSE)</f>
        <v>48</v>
      </c>
      <c r="J339" s="151" t="str">
        <f>VLOOKUP(woodflow[[#This Row],[From]],woodstock[#All],8,FALSE)</f>
        <v>0</v>
      </c>
      <c r="K339" s="151" t="str">
        <f>VLOOKUP(woodflow[[#This Row],[to]],woodstock[#All],8,FALSE)</f>
        <v>0</v>
      </c>
      <c r="L339" s="152" t="str">
        <f>VLOOKUP(woodflow[[#This Row],[From]],woodstock[#All],9,FALSE)</f>
        <v>nan</v>
      </c>
      <c r="M339" s="152" t="str">
        <f>VLOOKUP(woodflow[[#This Row],[to]],woodstock[#All],9,FALSE)</f>
        <v>nan</v>
      </c>
      <c r="N339" s="157">
        <v>0</v>
      </c>
      <c r="O339" s="148" t="s">
        <v>209</v>
      </c>
      <c r="P339" s="148"/>
      <c r="Q339" s="148"/>
      <c r="R339" s="1"/>
      <c r="S339" s="1"/>
      <c r="T339" s="1"/>
      <c r="U339" s="1"/>
      <c r="V339" s="1"/>
    </row>
    <row r="340" spans="1:22" x14ac:dyDescent="0.3">
      <c r="A340" s="5" t="str">
        <f>CONCATENATE("F",IF(B340&lt;&gt;"",COUNTA($B$2:B340),""))</f>
        <v>F217</v>
      </c>
      <c r="B340" s="148" t="s">
        <v>36</v>
      </c>
      <c r="C340" s="148" t="s">
        <v>57</v>
      </c>
      <c r="D34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4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9.4545795158710657</v>
      </c>
      <c r="F340" s="148">
        <f>VLOOKUP(woodflow[[#This Row],[From]],woodstock[#All],4,FALSE)</f>
        <v>2021</v>
      </c>
      <c r="G340" s="5" t="str">
        <f>VLOOKUP(woodflow[[#This Row],[From]],woodstock[#All],5,FALSE)</f>
        <v>Global</v>
      </c>
      <c r="H340" s="151" t="str">
        <f>VLOOKUP(woodflow[[#This Row],[From]],woodstock[#All],7,FALSE)</f>
        <v>37</v>
      </c>
      <c r="I340" s="151" t="str">
        <f>VLOOKUP(woodflow[[#This Row],[to]],woodstock[#All],7,FALSE)</f>
        <v>49</v>
      </c>
      <c r="J340" s="151" t="str">
        <f>VLOOKUP(woodflow[[#This Row],[From]],woodstock[#All],8,FALSE)</f>
        <v>0</v>
      </c>
      <c r="K340" s="151" t="str">
        <f>VLOOKUP(woodflow[[#This Row],[to]],woodstock[#All],8,FALSE)</f>
        <v>0</v>
      </c>
      <c r="L340" s="152" t="str">
        <f>VLOOKUP(woodflow[[#This Row],[From]],woodstock[#All],9,FALSE)</f>
        <v>nan</v>
      </c>
      <c r="M340" s="152" t="str">
        <f>VLOOKUP(woodflow[[#This Row],[to]],woodstock[#All],9,FALSE)</f>
        <v>nan</v>
      </c>
      <c r="N340" s="157">
        <f>$N$333*woodratio!I133</f>
        <v>9.4545795158710657</v>
      </c>
      <c r="O340" s="148" t="s">
        <v>920</v>
      </c>
      <c r="P340" s="148" t="s">
        <v>233</v>
      </c>
      <c r="Q340" s="148"/>
      <c r="R340" s="1"/>
      <c r="S340" s="1"/>
      <c r="T340" s="1"/>
      <c r="U340" s="1"/>
      <c r="V340" s="1"/>
    </row>
    <row r="341" spans="1:22" x14ac:dyDescent="0.3">
      <c r="A341" s="5" t="str">
        <f>CONCATENATE("F",IF(B341&lt;&gt;"",COUNTA($B$2:B341),""))</f>
        <v>F</v>
      </c>
      <c r="B341" s="148"/>
      <c r="C341" s="148"/>
      <c r="D341" s="149"/>
      <c r="E341" s="149"/>
      <c r="F341" s="148"/>
      <c r="G341" s="5"/>
      <c r="H341" s="151"/>
      <c r="I341" s="151"/>
      <c r="J341" s="151"/>
      <c r="K341" s="151"/>
      <c r="L341" s="152"/>
      <c r="M341" s="152"/>
      <c r="N341" s="157"/>
      <c r="O341" s="148"/>
      <c r="P341" s="148"/>
      <c r="Q341" s="148"/>
      <c r="R341" s="1"/>
      <c r="S341" s="1"/>
      <c r="T341" s="1"/>
      <c r="U341" s="1"/>
      <c r="V341" s="1"/>
    </row>
    <row r="342" spans="1:22" x14ac:dyDescent="0.3">
      <c r="A342" s="5" t="str">
        <f>CONCATENATE("F",IF(B342&lt;&gt;"",COUNTA($B$2:B342),""))</f>
        <v>F</v>
      </c>
      <c r="B342" s="148"/>
      <c r="C342" s="148"/>
      <c r="D342" s="149"/>
      <c r="E342" s="149"/>
      <c r="F342" s="148"/>
      <c r="G342" s="5"/>
      <c r="H342" s="151"/>
      <c r="I342" s="151"/>
      <c r="J342" s="151"/>
      <c r="K342" s="151"/>
      <c r="L342" s="152"/>
      <c r="M342" s="152"/>
      <c r="N342" s="157"/>
      <c r="O342" s="148"/>
      <c r="P342" s="148"/>
      <c r="Q342" s="148"/>
      <c r="R342" s="1"/>
      <c r="S342" s="1"/>
      <c r="T342" s="1"/>
      <c r="U342" s="1"/>
      <c r="V342" s="1"/>
    </row>
    <row r="343" spans="1:22" x14ac:dyDescent="0.3">
      <c r="A343" s="5" t="str">
        <f>CONCATENATE("F",IF(B343&lt;&gt;"",COUNTA($B$2:B343),""))</f>
        <v>F218</v>
      </c>
      <c r="B343" s="148" t="s">
        <v>36</v>
      </c>
      <c r="C343" s="148" t="s">
        <v>73</v>
      </c>
      <c r="D34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4.6964531561683831</v>
      </c>
      <c r="E34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3" s="148">
        <f>VLOOKUP(woodflow[[#This Row],[From]],woodstock[#All],4,FALSE)</f>
        <v>2021</v>
      </c>
      <c r="G343" s="5" t="str">
        <f>VLOOKUP(woodflow[[#This Row],[From]],woodstock[#All],5,FALSE)</f>
        <v>Global</v>
      </c>
      <c r="H343" s="151" t="str">
        <f>VLOOKUP(woodflow[[#This Row],[From]],woodstock[#All],7,FALSE)</f>
        <v>37</v>
      </c>
      <c r="I343" s="151" t="str">
        <f>VLOOKUP(woodflow[[#This Row],[to]],woodstock[#All],7,FALSE)</f>
        <v>51</v>
      </c>
      <c r="J343" s="151" t="str">
        <f>VLOOKUP(woodflow[[#This Row],[From]],woodstock[#All],8,FALSE)</f>
        <v>0</v>
      </c>
      <c r="K343" s="151" t="str">
        <f>VLOOKUP(woodflow[[#This Row],[to]],woodstock[#All],8,FALSE)</f>
        <v>0</v>
      </c>
      <c r="L343" s="152" t="str">
        <f>VLOOKUP(woodflow[[#This Row],[From]],woodstock[#All],9,FALSE)</f>
        <v>nan</v>
      </c>
      <c r="M343" s="152" t="str">
        <f>VLOOKUP(woodflow[[#This Row],[to]],woodstock[#All],9,FALSE)</f>
        <v>nan</v>
      </c>
      <c r="N343" s="157">
        <f>(N86+N171+N162+N201+N213+N231+N240+N252+N261)*(SUM('production-mass-balance'!B83:B85))</f>
        <v>4.6964531561683831</v>
      </c>
      <c r="O343" s="148" t="s">
        <v>921</v>
      </c>
      <c r="P343" s="148" t="s">
        <v>453</v>
      </c>
      <c r="Q343" s="148"/>
      <c r="R343" s="1"/>
      <c r="S343" s="1"/>
      <c r="T343" s="1"/>
      <c r="U343" s="1"/>
      <c r="V343" s="1"/>
    </row>
    <row r="344" spans="1:22" x14ac:dyDescent="0.3">
      <c r="A344" s="5" t="str">
        <f>CONCATENATE("F",IF(B344&lt;&gt;"",COUNTA($B$2:B344),""))</f>
        <v>F</v>
      </c>
      <c r="B344" s="148"/>
      <c r="C344" s="148"/>
      <c r="D344" s="149"/>
      <c r="E344" s="149"/>
      <c r="F344" s="148"/>
      <c r="G344" s="5"/>
      <c r="H344" s="151"/>
      <c r="I344" s="151"/>
      <c r="J344" s="151"/>
      <c r="K344" s="151"/>
      <c r="L344" s="152"/>
      <c r="M344" s="152"/>
      <c r="N344" s="157"/>
      <c r="O344" s="148"/>
      <c r="P344" s="148"/>
      <c r="Q344" s="148"/>
      <c r="R344" s="1"/>
      <c r="S344" s="1"/>
      <c r="T344" s="1"/>
      <c r="U344" s="1"/>
      <c r="V344" s="1"/>
    </row>
    <row r="345" spans="1:22" x14ac:dyDescent="0.3">
      <c r="A345" s="5" t="str">
        <f>CONCATENATE("F",IF(B345&lt;&gt;"",COUNTA($B$2:B345),""))</f>
        <v>F</v>
      </c>
      <c r="B345" s="148"/>
      <c r="C345" s="148"/>
      <c r="D345" s="149"/>
      <c r="E345" s="149"/>
      <c r="F345" s="148"/>
      <c r="G345" s="5"/>
      <c r="H345" s="151"/>
      <c r="I345" s="151"/>
      <c r="J345" s="151"/>
      <c r="K345" s="151"/>
      <c r="L345" s="152"/>
      <c r="M345" s="152"/>
      <c r="N345" s="157"/>
      <c r="O345" s="148"/>
      <c r="P345" s="148"/>
      <c r="Q345" s="148"/>
      <c r="R345" s="1"/>
      <c r="S345" s="1"/>
      <c r="T345" s="1"/>
      <c r="U345" s="1"/>
      <c r="V345" s="1"/>
    </row>
    <row r="346" spans="1:22" x14ac:dyDescent="0.3">
      <c r="A346" s="5" t="str">
        <f>CONCATENATE("F",IF(B346&lt;&gt;"",COUNTA($B$2:B346),""))</f>
        <v>F219</v>
      </c>
      <c r="B346" s="148" t="s">
        <v>37</v>
      </c>
      <c r="C346" s="148" t="s">
        <v>32</v>
      </c>
      <c r="D34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58.25550024074419</v>
      </c>
      <c r="E34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6" s="148">
        <f>VLOOKUP(woodflow[[#This Row],[From]],woodstock[#All],4,FALSE)</f>
        <v>2021</v>
      </c>
      <c r="G346" s="5" t="str">
        <f>VLOOKUP(woodflow[[#This Row],[From]],woodstock[#All],5,FALSE)</f>
        <v>Global</v>
      </c>
      <c r="H346" s="151" t="str">
        <f>VLOOKUP(woodflow[[#This Row],[From]],woodstock[#All],7,FALSE)</f>
        <v>38</v>
      </c>
      <c r="I346" s="151" t="str">
        <f>VLOOKUP(woodflow[[#This Row],[to]],woodstock[#All],7,FALSE)</f>
        <v>45</v>
      </c>
      <c r="J346" s="151" t="str">
        <f>VLOOKUP(woodflow[[#This Row],[From]],woodstock[#All],8,FALSE)</f>
        <v>0</v>
      </c>
      <c r="K346" s="151" t="str">
        <f>VLOOKUP(woodflow[[#This Row],[to]],woodstock[#All],8,FALSE)</f>
        <v>0</v>
      </c>
      <c r="L346" s="152" t="str">
        <f>VLOOKUP(woodflow[[#This Row],[From]],woodstock[#All],9,FALSE)</f>
        <v>nan</v>
      </c>
      <c r="M346" s="152" t="str">
        <f>VLOOKUP(woodflow[[#This Row],[to]],woodstock[#All],9,FALSE)</f>
        <v>nan</v>
      </c>
      <c r="N346" s="157">
        <f>((N87+N163+N172+N202+N214+N232+N241+N253+N262)*'production-mass-balance'!B82)+(N555-N636)</f>
        <v>58.25550024074419</v>
      </c>
      <c r="O346" s="148" t="s">
        <v>921</v>
      </c>
      <c r="P346" s="148" t="s">
        <v>453</v>
      </c>
      <c r="Q346" s="148"/>
      <c r="R346" s="1"/>
      <c r="S346" s="1"/>
      <c r="T346" s="1"/>
      <c r="U346" s="1"/>
      <c r="V346" s="1"/>
    </row>
    <row r="347" spans="1:22" x14ac:dyDescent="0.3">
      <c r="A347" s="5" t="str">
        <f>CONCATENATE("F",IF(B347&lt;&gt;"",COUNTA($B$2:B347),""))</f>
        <v>F</v>
      </c>
      <c r="B347" s="148"/>
      <c r="C347" s="148"/>
      <c r="D347" s="149"/>
      <c r="E347" s="149"/>
      <c r="F347" s="148"/>
      <c r="G347" s="5"/>
      <c r="H347" s="151"/>
      <c r="I347" s="151"/>
      <c r="J347" s="151"/>
      <c r="K347" s="151"/>
      <c r="L347" s="152"/>
      <c r="M347" s="152"/>
      <c r="N347" s="157"/>
      <c r="O347" s="148"/>
      <c r="P347" s="148"/>
      <c r="Q347" s="148"/>
      <c r="R347" s="1"/>
      <c r="S347" s="1"/>
      <c r="T347" s="1"/>
      <c r="U347" s="1"/>
      <c r="V347" s="1"/>
    </row>
    <row r="348" spans="1:22" x14ac:dyDescent="0.3">
      <c r="A348" s="5" t="str">
        <f>CONCATENATE("F",IF(B348&lt;&gt;"",COUNTA($B$2:B348),""))</f>
        <v>F</v>
      </c>
      <c r="B348" s="148"/>
      <c r="C348" s="148"/>
      <c r="D348" s="149"/>
      <c r="E348" s="149"/>
      <c r="F348" s="148"/>
      <c r="G348" s="5"/>
      <c r="H348" s="151"/>
      <c r="I348" s="151"/>
      <c r="J348" s="151"/>
      <c r="K348" s="151"/>
      <c r="L348" s="152"/>
      <c r="M348" s="152"/>
      <c r="N348" s="157"/>
      <c r="O348" s="148"/>
      <c r="P348" s="148"/>
      <c r="Q348" s="148"/>
      <c r="R348" s="1"/>
      <c r="S348" s="1"/>
      <c r="T348" s="1"/>
      <c r="U348" s="1"/>
      <c r="V348" s="1"/>
    </row>
    <row r="349" spans="1:22" x14ac:dyDescent="0.3">
      <c r="A349" s="5" t="str">
        <f>CONCATENATE("F",IF(B349&lt;&gt;"",COUNTA($B$2:B349),""))</f>
        <v>F220</v>
      </c>
      <c r="B349" s="148" t="s">
        <v>37</v>
      </c>
      <c r="C349" s="148" t="s">
        <v>73</v>
      </c>
      <c r="D34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5.7875493565956724</v>
      </c>
      <c r="E34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49" s="148">
        <f>VLOOKUP(woodflow[[#This Row],[From]],woodstock[#All],4,FALSE)</f>
        <v>2021</v>
      </c>
      <c r="G349" s="5" t="str">
        <f>VLOOKUP(woodflow[[#This Row],[From]],woodstock[#All],5,FALSE)</f>
        <v>Global</v>
      </c>
      <c r="H349" s="151" t="str">
        <f>VLOOKUP(woodflow[[#This Row],[From]],woodstock[#All],7,FALSE)</f>
        <v>38</v>
      </c>
      <c r="I349" s="151" t="str">
        <f>VLOOKUP(woodflow[[#This Row],[to]],woodstock[#All],7,FALSE)</f>
        <v>51</v>
      </c>
      <c r="J349" s="151" t="str">
        <f>VLOOKUP(woodflow[[#This Row],[From]],woodstock[#All],8,FALSE)</f>
        <v>0</v>
      </c>
      <c r="K349" s="151" t="str">
        <f>VLOOKUP(woodflow[[#This Row],[to]],woodstock[#All],8,FALSE)</f>
        <v>0</v>
      </c>
      <c r="L349" s="152" t="str">
        <f>VLOOKUP(woodflow[[#This Row],[From]],woodstock[#All],9,FALSE)</f>
        <v>nan</v>
      </c>
      <c r="M349" s="152" t="str">
        <f>VLOOKUP(woodflow[[#This Row],[to]],woodstock[#All],9,FALSE)</f>
        <v>nan</v>
      </c>
      <c r="N349" s="157">
        <f>((N87+N163+N172+N202+N214+N232+N241+N253+N262)*(SUM('production-mass-balance'!B83:B85)))</f>
        <v>5.7875493565956724</v>
      </c>
      <c r="O349" s="148" t="s">
        <v>921</v>
      </c>
      <c r="P349" s="148" t="s">
        <v>453</v>
      </c>
      <c r="Q349" s="148"/>
      <c r="R349" s="1"/>
      <c r="S349" s="1"/>
      <c r="T349" s="1"/>
      <c r="U349" s="1"/>
      <c r="V349" s="1"/>
    </row>
    <row r="350" spans="1:22" x14ac:dyDescent="0.3">
      <c r="A350" s="5" t="str">
        <f>CONCATENATE("F",IF(B350&lt;&gt;"",COUNTA($B$2:B350),""))</f>
        <v>F</v>
      </c>
      <c r="B350" s="148"/>
      <c r="C350" s="148"/>
      <c r="D350" s="149"/>
      <c r="E350" s="149"/>
      <c r="F350" s="148"/>
      <c r="G350" s="5"/>
      <c r="H350" s="151"/>
      <c r="I350" s="151"/>
      <c r="J350" s="151"/>
      <c r="K350" s="151"/>
      <c r="L350" s="152"/>
      <c r="M350" s="152"/>
      <c r="N350" s="157"/>
      <c r="O350" s="148"/>
      <c r="P350" s="148"/>
      <c r="Q350" s="148"/>
      <c r="R350" s="1"/>
      <c r="S350" s="1"/>
      <c r="T350" s="1"/>
      <c r="U350" s="1"/>
      <c r="V350" s="1"/>
    </row>
    <row r="351" spans="1:22" x14ac:dyDescent="0.3">
      <c r="A351" s="5" t="str">
        <f>CONCATENATE("F",IF(B351&lt;&gt;"",COUNTA($B$2:B351),""))</f>
        <v>F</v>
      </c>
      <c r="B351" s="148"/>
      <c r="C351" s="148"/>
      <c r="D351" s="149"/>
      <c r="E351" s="149"/>
      <c r="F351" s="148"/>
      <c r="G351" s="5"/>
      <c r="H351" s="151"/>
      <c r="I351" s="151"/>
      <c r="J351" s="151"/>
      <c r="K351" s="151"/>
      <c r="L351" s="152"/>
      <c r="M351" s="152"/>
      <c r="N351" s="157"/>
      <c r="O351" s="148"/>
      <c r="P351" s="148"/>
      <c r="Q351" s="148"/>
      <c r="R351" s="1"/>
      <c r="S351" s="1"/>
      <c r="T351" s="1"/>
      <c r="U351" s="1"/>
      <c r="V351" s="1"/>
    </row>
    <row r="352" spans="1:22" x14ac:dyDescent="0.3">
      <c r="A352" s="5" t="str">
        <f>CONCATENATE("F",IF(B352&lt;&gt;"",COUNTA($B$2:B352),""))</f>
        <v>F221</v>
      </c>
      <c r="B352" s="148" t="s">
        <v>39</v>
      </c>
      <c r="C352" s="148" t="s">
        <v>33</v>
      </c>
      <c r="D35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7.4178324692069726</v>
      </c>
      <c r="E35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2" s="148">
        <f>VLOOKUP(woodflow[[#This Row],[From]],woodstock[#All],4,FALSE)</f>
        <v>2021</v>
      </c>
      <c r="G352" s="5" t="str">
        <f>VLOOKUP(woodflow[[#This Row],[From]],woodstock[#All],5,FALSE)</f>
        <v>Global</v>
      </c>
      <c r="H352" s="151" t="str">
        <f>VLOOKUP(woodflow[[#This Row],[From]],woodstock[#All],7,FALSE)</f>
        <v>39</v>
      </c>
      <c r="I352" s="151" t="str">
        <f>VLOOKUP(woodflow[[#This Row],[to]],woodstock[#All],7,FALSE)</f>
        <v>46</v>
      </c>
      <c r="J352" s="151" t="str">
        <f>VLOOKUP(woodflow[[#This Row],[From]],woodstock[#All],8,FALSE)</f>
        <v>0</v>
      </c>
      <c r="K352" s="151" t="str">
        <f>VLOOKUP(woodflow[[#This Row],[to]],woodstock[#All],8,FALSE)</f>
        <v>0</v>
      </c>
      <c r="L352" s="152" t="str">
        <f>VLOOKUP(woodflow[[#This Row],[From]],woodstock[#All],9,FALSE)</f>
        <v>nan</v>
      </c>
      <c r="M352" s="152" t="str">
        <f>VLOOKUP(woodflow[[#This Row],[to]],woodstock[#All],9,FALSE)</f>
        <v>nan</v>
      </c>
      <c r="N352" s="157">
        <f>N164+N173+N203+N215+N242</f>
        <v>7.4178324692069726</v>
      </c>
      <c r="O352" s="148" t="s">
        <v>921</v>
      </c>
      <c r="P352" s="148" t="s">
        <v>232</v>
      </c>
      <c r="Q352" s="153"/>
      <c r="R352" s="1"/>
      <c r="S352" s="1"/>
      <c r="T352" s="1"/>
      <c r="U352" s="1"/>
      <c r="V352" s="1"/>
    </row>
    <row r="353" spans="1:22" x14ac:dyDescent="0.3">
      <c r="A353" s="5" t="str">
        <f>CONCATENATE("F",IF(B353&lt;&gt;"",COUNTA($B$2:B353),""))</f>
        <v>F</v>
      </c>
      <c r="B353" s="148"/>
      <c r="C353" s="148"/>
      <c r="D353" s="149"/>
      <c r="E353" s="149"/>
      <c r="F353" s="148"/>
      <c r="G353" s="5"/>
      <c r="H353" s="151"/>
      <c r="I353" s="151"/>
      <c r="J353" s="151"/>
      <c r="K353" s="151"/>
      <c r="L353" s="152"/>
      <c r="M353" s="152"/>
      <c r="N353" s="157"/>
      <c r="O353" s="148"/>
      <c r="P353" s="148"/>
      <c r="Q353" s="148"/>
      <c r="R353" s="1"/>
      <c r="S353" s="1"/>
      <c r="T353" s="1"/>
      <c r="U353" s="1"/>
      <c r="V353" s="1"/>
    </row>
    <row r="354" spans="1:22" x14ac:dyDescent="0.3">
      <c r="A354" s="5" t="str">
        <f>CONCATENATE("F",IF(B354&lt;&gt;"",COUNTA($B$2:B354),""))</f>
        <v>F</v>
      </c>
      <c r="B354" s="148"/>
      <c r="C354" s="148"/>
      <c r="D354" s="149"/>
      <c r="E354" s="149"/>
      <c r="F354" s="148"/>
      <c r="G354" s="5"/>
      <c r="H354" s="151"/>
      <c r="I354" s="151"/>
      <c r="J354" s="151"/>
      <c r="K354" s="151"/>
      <c r="L354" s="152"/>
      <c r="M354" s="152"/>
      <c r="N354" s="157"/>
      <c r="O354" s="148"/>
      <c r="P354" s="148"/>
      <c r="Q354" s="148"/>
      <c r="R354" s="1"/>
      <c r="S354" s="1"/>
      <c r="T354" s="1"/>
      <c r="U354" s="1"/>
      <c r="V354" s="1"/>
    </row>
    <row r="355" spans="1:22" x14ac:dyDescent="0.3">
      <c r="A355" s="5" t="str">
        <f>CONCATENATE("F",IF(B355&lt;&gt;"",COUNTA($B$2:B355),""))</f>
        <v>F222</v>
      </c>
      <c r="B355" s="148" t="s">
        <v>39</v>
      </c>
      <c r="C355" s="148" t="s">
        <v>73</v>
      </c>
      <c r="D35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0.67034708378841035</v>
      </c>
      <c r="E35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5" s="148">
        <f>VLOOKUP(woodflow[[#This Row],[From]],woodstock[#All],4,FALSE)</f>
        <v>2021</v>
      </c>
      <c r="G355" s="5" t="str">
        <f>VLOOKUP(woodflow[[#This Row],[From]],woodstock[#All],5,FALSE)</f>
        <v>Global</v>
      </c>
      <c r="H355" s="151" t="str">
        <f>VLOOKUP(woodflow[[#This Row],[From]],woodstock[#All],7,FALSE)</f>
        <v>39</v>
      </c>
      <c r="I355" s="151" t="str">
        <f>VLOOKUP(woodflow[[#This Row],[to]],woodstock[#All],7,FALSE)</f>
        <v>51</v>
      </c>
      <c r="J355" s="151" t="str">
        <f>VLOOKUP(woodflow[[#This Row],[From]],woodstock[#All],8,FALSE)</f>
        <v>0</v>
      </c>
      <c r="K355" s="151" t="str">
        <f>VLOOKUP(woodflow[[#This Row],[to]],woodstock[#All],8,FALSE)</f>
        <v>0</v>
      </c>
      <c r="L355" s="152" t="str">
        <f>VLOOKUP(woodflow[[#This Row],[From]],woodstock[#All],9,FALSE)</f>
        <v>nan</v>
      </c>
      <c r="M355" s="152" t="str">
        <f>VLOOKUP(woodflow[[#This Row],[to]],woodstock[#All],9,FALSE)</f>
        <v>nan</v>
      </c>
      <c r="N355" s="157">
        <f>(N88+N164+N173+N203+N215+N233+N242+N254+N263)*(SUM('production-mass-balance'!B83:B85))</f>
        <v>0.67034708378841035</v>
      </c>
      <c r="O355" s="148" t="s">
        <v>921</v>
      </c>
      <c r="P355" s="148" t="s">
        <v>453</v>
      </c>
      <c r="Q355" s="148"/>
      <c r="R355" s="1"/>
      <c r="S355" s="1"/>
      <c r="T355" s="1"/>
      <c r="U355" s="1"/>
      <c r="V355" s="1"/>
    </row>
    <row r="356" spans="1:22" x14ac:dyDescent="0.3">
      <c r="A356" s="5" t="str">
        <f>CONCATENATE("F",IF(B356&lt;&gt;"",COUNTA($B$2:B356),""))</f>
        <v>F</v>
      </c>
      <c r="B356" s="148"/>
      <c r="C356" s="148"/>
      <c r="D356" s="149"/>
      <c r="E356" s="149"/>
      <c r="F356" s="148"/>
      <c r="G356" s="5"/>
      <c r="H356" s="151"/>
      <c r="I356" s="151"/>
      <c r="J356" s="151"/>
      <c r="K356" s="151"/>
      <c r="L356" s="152"/>
      <c r="M356" s="152"/>
      <c r="N356" s="157"/>
      <c r="O356" s="148"/>
      <c r="P356" s="148"/>
      <c r="Q356" s="148"/>
      <c r="R356" s="1"/>
      <c r="S356" s="1"/>
      <c r="T356" s="1"/>
      <c r="U356" s="1"/>
      <c r="V356" s="1"/>
    </row>
    <row r="357" spans="1:22" x14ac:dyDescent="0.3">
      <c r="A357" s="5" t="str">
        <f>CONCATENATE("F",IF(B357&lt;&gt;"",COUNTA($B$2:B357),""))</f>
        <v>F</v>
      </c>
      <c r="B357" s="148"/>
      <c r="C357" s="148"/>
      <c r="D357" s="149"/>
      <c r="E357" s="149"/>
      <c r="F357" s="148"/>
      <c r="G357" s="5"/>
      <c r="H357" s="151"/>
      <c r="I357" s="151"/>
      <c r="J357" s="151"/>
      <c r="K357" s="151"/>
      <c r="L357" s="152"/>
      <c r="M357" s="152"/>
      <c r="N357" s="157"/>
      <c r="O357" s="148"/>
      <c r="P357" s="148"/>
      <c r="Q357" s="148"/>
      <c r="R357" s="1"/>
      <c r="S357" s="1"/>
      <c r="T357" s="1"/>
      <c r="U357" s="1"/>
      <c r="V357" s="1"/>
    </row>
    <row r="358" spans="1:22" x14ac:dyDescent="0.3">
      <c r="A358" s="5" t="str">
        <f>CONCATENATE("F",IF(B358&lt;&gt;"",COUNTA($B$2:B358),""))</f>
        <v>F223</v>
      </c>
      <c r="B358" s="148" t="s">
        <v>40</v>
      </c>
      <c r="C358" s="148" t="s">
        <v>33</v>
      </c>
      <c r="D35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187.30845989104307</v>
      </c>
      <c r="E35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58" s="148">
        <f>VLOOKUP(woodflow[[#This Row],[From]],woodstock[#All],4,FALSE)</f>
        <v>2021</v>
      </c>
      <c r="G358" s="5" t="str">
        <f>VLOOKUP(woodflow[[#This Row],[From]],woodstock[#All],5,FALSE)</f>
        <v>Global</v>
      </c>
      <c r="H358" s="151" t="str">
        <f>VLOOKUP(woodflow[[#This Row],[From]],woodstock[#All],7,FALSE)</f>
        <v>40</v>
      </c>
      <c r="I358" s="151" t="str">
        <f>VLOOKUP(woodflow[[#This Row],[to]],woodstock[#All],7,FALSE)</f>
        <v>46</v>
      </c>
      <c r="J358" s="151" t="str">
        <f>VLOOKUP(woodflow[[#This Row],[From]],woodstock[#All],8,FALSE)</f>
        <v>0</v>
      </c>
      <c r="K358" s="151" t="str">
        <f>VLOOKUP(woodflow[[#This Row],[to]],woodstock[#All],8,FALSE)</f>
        <v>0</v>
      </c>
      <c r="L358" s="152" t="str">
        <f>VLOOKUP(woodflow[[#This Row],[From]],woodstock[#All],9,FALSE)</f>
        <v>nan</v>
      </c>
      <c r="M358" s="152" t="str">
        <f>VLOOKUP(woodflow[[#This Row],[to]],woodstock[#All],9,FALSE)</f>
        <v>nan</v>
      </c>
      <c r="N358" s="157">
        <f>((N89+N165+N174+N204+N216+N234+N243+N255+N264+N269)*'production-mass-balance'!B82)+(N557-N638)</f>
        <v>187.30845989104307</v>
      </c>
      <c r="O358" s="148" t="s">
        <v>921</v>
      </c>
      <c r="P358" s="148" t="s">
        <v>453</v>
      </c>
      <c r="Q358" s="148"/>
      <c r="R358" s="1"/>
      <c r="S358" s="1"/>
      <c r="T358" s="1"/>
      <c r="U358" s="1"/>
      <c r="V358" s="1"/>
    </row>
    <row r="359" spans="1:22" x14ac:dyDescent="0.3">
      <c r="A359" s="5" t="str">
        <f>CONCATENATE("F",IF(B359&lt;&gt;"",COUNTA($B$2:B359),""))</f>
        <v>F</v>
      </c>
      <c r="B359" s="148"/>
      <c r="C359" s="148"/>
      <c r="D359" s="149"/>
      <c r="E359" s="149"/>
      <c r="F359" s="148"/>
      <c r="G359" s="5"/>
      <c r="H359" s="151"/>
      <c r="I359" s="151"/>
      <c r="J359" s="151"/>
      <c r="K359" s="151"/>
      <c r="L359" s="152"/>
      <c r="M359" s="152"/>
      <c r="N359" s="157"/>
      <c r="O359" s="148"/>
      <c r="P359" s="148"/>
      <c r="Q359" s="148"/>
      <c r="R359" s="1"/>
      <c r="S359" s="1"/>
      <c r="T359" s="1"/>
      <c r="U359" s="1"/>
      <c r="V359" s="1"/>
    </row>
    <row r="360" spans="1:22" x14ac:dyDescent="0.3">
      <c r="A360" s="5" t="str">
        <f>CONCATENATE("F",IF(B360&lt;&gt;"",COUNTA($B$2:B360),""))</f>
        <v>F</v>
      </c>
      <c r="B360" s="148"/>
      <c r="C360" s="148"/>
      <c r="D360" s="149"/>
      <c r="E360" s="149"/>
      <c r="F360" s="148"/>
      <c r="G360" s="5"/>
      <c r="H360" s="151"/>
      <c r="I360" s="151"/>
      <c r="J360" s="151"/>
      <c r="K360" s="151"/>
      <c r="L360" s="152"/>
      <c r="M360" s="152"/>
      <c r="N360" s="157"/>
      <c r="O360" s="148"/>
      <c r="P360" s="148"/>
      <c r="Q360" s="148"/>
      <c r="R360" s="1"/>
      <c r="S360" s="1"/>
      <c r="T360" s="1"/>
      <c r="U360" s="1"/>
      <c r="V360" s="1"/>
    </row>
    <row r="361" spans="1:22" x14ac:dyDescent="0.3">
      <c r="A361" s="5" t="str">
        <f>CONCATENATE("F",IF(B361&lt;&gt;"",COUNTA($B$2:B361),""))</f>
        <v>F224</v>
      </c>
      <c r="B361" s="148" t="s">
        <v>40</v>
      </c>
      <c r="C361" s="148" t="s">
        <v>73</v>
      </c>
      <c r="D36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18.426352701943014</v>
      </c>
      <c r="E36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1" s="148">
        <f>VLOOKUP(woodflow[[#This Row],[From]],woodstock[#All],4,FALSE)</f>
        <v>2021</v>
      </c>
      <c r="G361" s="5" t="str">
        <f>VLOOKUP(woodflow[[#This Row],[From]],woodstock[#All],5,FALSE)</f>
        <v>Global</v>
      </c>
      <c r="H361" s="151" t="str">
        <f>VLOOKUP(woodflow[[#This Row],[From]],woodstock[#All],7,FALSE)</f>
        <v>40</v>
      </c>
      <c r="I361" s="151" t="str">
        <f>VLOOKUP(woodflow[[#This Row],[to]],woodstock[#All],7,FALSE)</f>
        <v>51</v>
      </c>
      <c r="J361" s="151" t="str">
        <f>VLOOKUP(woodflow[[#This Row],[From]],woodstock[#All],8,FALSE)</f>
        <v>0</v>
      </c>
      <c r="K361" s="151" t="str">
        <f>VLOOKUP(woodflow[[#This Row],[to]],woodstock[#All],8,FALSE)</f>
        <v>0</v>
      </c>
      <c r="L361" s="152" t="str">
        <f>VLOOKUP(woodflow[[#This Row],[From]],woodstock[#All],9,FALSE)</f>
        <v>nan</v>
      </c>
      <c r="M361" s="152" t="str">
        <f>VLOOKUP(woodflow[[#This Row],[to]],woodstock[#All],9,FALSE)</f>
        <v>nan</v>
      </c>
      <c r="N361" s="157">
        <f>(N89+N165+N174+N204+N216+N234+N243+N255+N264)*(SUM('production-mass-balance'!B83:B85))</f>
        <v>18.426352701943014</v>
      </c>
      <c r="O361" s="148" t="s">
        <v>921</v>
      </c>
      <c r="P361" s="148" t="s">
        <v>453</v>
      </c>
      <c r="Q361" s="148"/>
      <c r="R361" s="1"/>
      <c r="S361" s="1"/>
      <c r="T361" s="1"/>
      <c r="U361" s="1"/>
      <c r="V361" s="1"/>
    </row>
    <row r="362" spans="1:22" x14ac:dyDescent="0.3">
      <c r="A362" s="5" t="str">
        <f>CONCATENATE("F",IF(B362&lt;&gt;"",COUNTA($B$2:B362),""))</f>
        <v>F</v>
      </c>
      <c r="B362" s="148"/>
      <c r="C362" s="148"/>
      <c r="D362" s="149"/>
      <c r="E362" s="149"/>
      <c r="F362" s="148"/>
      <c r="G362" s="5"/>
      <c r="H362" s="151"/>
      <c r="I362" s="151"/>
      <c r="J362" s="151"/>
      <c r="K362" s="151"/>
      <c r="L362" s="152"/>
      <c r="M362" s="152"/>
      <c r="N362" s="157"/>
      <c r="O362" s="148"/>
      <c r="P362" s="148"/>
      <c r="Q362" s="148"/>
      <c r="R362" s="1"/>
      <c r="S362" s="1"/>
      <c r="T362" s="1"/>
      <c r="U362" s="1"/>
      <c r="V362" s="1"/>
    </row>
    <row r="363" spans="1:22" x14ac:dyDescent="0.3">
      <c r="A363" s="5" t="str">
        <f>CONCATENATE("F",IF(B363&lt;&gt;"",COUNTA($B$2:B363),""))</f>
        <v>F</v>
      </c>
      <c r="B363" s="148"/>
      <c r="C363" s="148"/>
      <c r="D363" s="149"/>
      <c r="E363" s="149"/>
      <c r="F363" s="148"/>
      <c r="G363" s="5"/>
      <c r="H363" s="151"/>
      <c r="I363" s="151"/>
      <c r="J363" s="151"/>
      <c r="K363" s="151"/>
      <c r="L363" s="152"/>
      <c r="M363" s="152"/>
      <c r="N363" s="157"/>
      <c r="O363" s="148"/>
      <c r="P363" s="148"/>
      <c r="Q363" s="148"/>
      <c r="R363" s="1"/>
      <c r="S363" s="1"/>
      <c r="T363" s="1"/>
      <c r="U363" s="1"/>
      <c r="V363" s="1"/>
    </row>
    <row r="364" spans="1:22" x14ac:dyDescent="0.3">
      <c r="A364" s="5" t="str">
        <f>CONCATENATE("F",IF(B364&lt;&gt;"",COUNTA($B$2:B364),""))</f>
        <v>F225</v>
      </c>
      <c r="B364" s="148" t="s">
        <v>41</v>
      </c>
      <c r="C364" s="148" t="s">
        <v>34</v>
      </c>
      <c r="D36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96.897525137937905</v>
      </c>
      <c r="E36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4" s="148">
        <f>VLOOKUP(woodflow[[#This Row],[From]],woodstock[#All],4,FALSE)</f>
        <v>2021</v>
      </c>
      <c r="G364" s="5" t="str">
        <f>VLOOKUP(woodflow[[#This Row],[From]],woodstock[#All],5,FALSE)</f>
        <v>Global</v>
      </c>
      <c r="H364" s="151" t="str">
        <f>VLOOKUP(woodflow[[#This Row],[From]],woodstock[#All],7,FALSE)</f>
        <v>41</v>
      </c>
      <c r="I364" s="151" t="str">
        <f>VLOOKUP(woodflow[[#This Row],[to]],woodstock[#All],7,FALSE)</f>
        <v>47</v>
      </c>
      <c r="J364" s="151" t="str">
        <f>VLOOKUP(woodflow[[#This Row],[From]],woodstock[#All],8,FALSE)</f>
        <v>0</v>
      </c>
      <c r="K364" s="151" t="str">
        <f>VLOOKUP(woodflow[[#This Row],[to]],woodstock[#All],8,FALSE)</f>
        <v>0</v>
      </c>
      <c r="L364" s="152" t="str">
        <f>VLOOKUP(woodflow[[#This Row],[From]],woodstock[#All],9,FALSE)</f>
        <v>nan</v>
      </c>
      <c r="M364" s="152" t="str">
        <f>VLOOKUP(woodflow[[#This Row],[to]],woodstock[#All],9,FALSE)</f>
        <v>nan</v>
      </c>
      <c r="N364" s="157">
        <f>((N90+N166+N175+N205+N217+N235+N244+N256+N265)*'production-mass-balance'!B82)+(N558-N639)</f>
        <v>96.897525137937905</v>
      </c>
      <c r="O364" s="148" t="s">
        <v>921</v>
      </c>
      <c r="P364" s="148" t="s">
        <v>453</v>
      </c>
      <c r="Q364" s="148"/>
      <c r="R364" s="1"/>
      <c r="S364" s="1"/>
      <c r="T364" s="1"/>
      <c r="U364" s="1"/>
      <c r="V364" s="1"/>
    </row>
    <row r="365" spans="1:22" x14ac:dyDescent="0.3">
      <c r="A365" s="5" t="str">
        <f>CONCATENATE("F",IF(B365&lt;&gt;"",COUNTA($B$2:B365),""))</f>
        <v>F</v>
      </c>
      <c r="B365" s="148"/>
      <c r="C365" s="148"/>
      <c r="D365" s="149"/>
      <c r="E365" s="149"/>
      <c r="F365" s="148"/>
      <c r="G365" s="5"/>
      <c r="H365" s="151"/>
      <c r="I365" s="151"/>
      <c r="J365" s="151"/>
      <c r="K365" s="151"/>
      <c r="L365" s="152"/>
      <c r="M365" s="152"/>
      <c r="N365" s="157"/>
      <c r="O365" s="148"/>
      <c r="P365" s="148"/>
      <c r="Q365" s="148"/>
      <c r="R365" s="1"/>
      <c r="S365" s="1"/>
      <c r="T365" s="1"/>
      <c r="U365" s="1"/>
      <c r="V365" s="1"/>
    </row>
    <row r="366" spans="1:22" x14ac:dyDescent="0.3">
      <c r="A366" s="5" t="str">
        <f>CONCATENATE("F",IF(B366&lt;&gt;"",COUNTA($B$2:B366),""))</f>
        <v>F</v>
      </c>
      <c r="B366" s="148"/>
      <c r="C366" s="148"/>
      <c r="D366" s="149"/>
      <c r="E366" s="149"/>
      <c r="F366" s="148"/>
      <c r="G366" s="5"/>
      <c r="H366" s="151"/>
      <c r="I366" s="151"/>
      <c r="J366" s="151"/>
      <c r="K366" s="151"/>
      <c r="L366" s="152"/>
      <c r="M366" s="152"/>
      <c r="N366" s="157"/>
      <c r="O366" s="148"/>
      <c r="P366" s="148"/>
      <c r="Q366" s="148"/>
      <c r="R366" s="1"/>
      <c r="S366" s="1"/>
      <c r="T366" s="1"/>
      <c r="U366" s="1"/>
      <c r="V366" s="1"/>
    </row>
    <row r="367" spans="1:22" x14ac:dyDescent="0.3">
      <c r="A367" s="5" t="str">
        <f>CONCATENATE("F",IF(B367&lt;&gt;"",COUNTA($B$2:B367),""))</f>
        <v>F226</v>
      </c>
      <c r="B367" s="148" t="s">
        <v>41</v>
      </c>
      <c r="C367" s="148" t="s">
        <v>73</v>
      </c>
      <c r="D36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9.6265452523839077</v>
      </c>
      <c r="E36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67" s="148">
        <f>VLOOKUP(woodflow[[#This Row],[From]],woodstock[#All],4,FALSE)</f>
        <v>2021</v>
      </c>
      <c r="G367" s="5" t="str">
        <f>VLOOKUP(woodflow[[#This Row],[From]],woodstock[#All],5,FALSE)</f>
        <v>Global</v>
      </c>
      <c r="H367" s="151" t="str">
        <f>VLOOKUP(woodflow[[#This Row],[From]],woodstock[#All],7,FALSE)</f>
        <v>41</v>
      </c>
      <c r="I367" s="151" t="str">
        <f>VLOOKUP(woodflow[[#This Row],[to]],woodstock[#All],7,FALSE)</f>
        <v>51</v>
      </c>
      <c r="J367" s="151" t="str">
        <f>VLOOKUP(woodflow[[#This Row],[From]],woodstock[#All],8,FALSE)</f>
        <v>0</v>
      </c>
      <c r="K367" s="151" t="str">
        <f>VLOOKUP(woodflow[[#This Row],[to]],woodstock[#All],8,FALSE)</f>
        <v>0</v>
      </c>
      <c r="L367" s="152" t="str">
        <f>VLOOKUP(woodflow[[#This Row],[From]],woodstock[#All],9,FALSE)</f>
        <v>nan</v>
      </c>
      <c r="M367" s="152" t="str">
        <f>VLOOKUP(woodflow[[#This Row],[to]],woodstock[#All],9,FALSE)</f>
        <v>nan</v>
      </c>
      <c r="N367" s="157">
        <f>(N90+N166+N175+N205+N217+N235+N244+N256+N265)*(SUM('production-mass-balance'!B83:B85))</f>
        <v>9.6265452523839077</v>
      </c>
      <c r="O367" s="148" t="s">
        <v>921</v>
      </c>
      <c r="P367" s="148" t="s">
        <v>453</v>
      </c>
      <c r="Q367" s="148"/>
      <c r="R367" s="1"/>
      <c r="S367" s="1"/>
      <c r="T367" s="1"/>
      <c r="U367" s="1"/>
      <c r="V367" s="1"/>
    </row>
    <row r="368" spans="1:22" x14ac:dyDescent="0.3">
      <c r="A368" s="5" t="str">
        <f>CONCATENATE("F",IF(B368&lt;&gt;"",COUNTA($B$2:B368),""))</f>
        <v>F</v>
      </c>
      <c r="B368" s="148"/>
      <c r="C368" s="148"/>
      <c r="D368" s="149"/>
      <c r="E368" s="149"/>
      <c r="F368" s="148"/>
      <c r="G368" s="5"/>
      <c r="H368" s="151"/>
      <c r="I368" s="151"/>
      <c r="J368" s="151"/>
      <c r="K368" s="151"/>
      <c r="L368" s="152"/>
      <c r="M368" s="152"/>
      <c r="N368" s="157"/>
      <c r="O368" s="148"/>
      <c r="P368" s="148"/>
      <c r="Q368" s="148"/>
      <c r="R368" s="1"/>
      <c r="S368" s="1"/>
      <c r="T368" s="1"/>
      <c r="U368" s="1"/>
      <c r="V368" s="1"/>
    </row>
    <row r="369" spans="1:22" x14ac:dyDescent="0.3">
      <c r="A369" s="5" t="str">
        <f>CONCATENATE("F",IF(B369&lt;&gt;"",COUNTA($B$2:B369),""))</f>
        <v>F</v>
      </c>
      <c r="B369" s="148"/>
      <c r="C369" s="148"/>
      <c r="D369" s="149"/>
      <c r="E369" s="149"/>
      <c r="F369" s="148"/>
      <c r="G369" s="5"/>
      <c r="H369" s="151"/>
      <c r="I369" s="151"/>
      <c r="J369" s="151"/>
      <c r="K369" s="151"/>
      <c r="L369" s="152"/>
      <c r="M369" s="152"/>
      <c r="N369" s="157"/>
      <c r="O369" s="148"/>
      <c r="P369" s="148"/>
      <c r="Q369" s="148"/>
      <c r="R369" s="1"/>
      <c r="S369" s="1"/>
      <c r="T369" s="1"/>
      <c r="U369" s="1"/>
      <c r="V369" s="1"/>
    </row>
    <row r="370" spans="1:22" x14ac:dyDescent="0.3">
      <c r="A370" s="5" t="str">
        <f>CONCATENATE("F",IF(B370&lt;&gt;"",COUNTA($B$2:B370),""))</f>
        <v>F227</v>
      </c>
      <c r="B370" s="148" t="s">
        <v>38</v>
      </c>
      <c r="C370" s="148" t="s">
        <v>57</v>
      </c>
      <c r="D37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47.439029476895129</v>
      </c>
      <c r="E37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0" s="148">
        <f>VLOOKUP(woodflow[[#This Row],[From]],woodstock[#All],4,FALSE)</f>
        <v>2021</v>
      </c>
      <c r="G370" s="5" t="str">
        <f>VLOOKUP(woodflow[[#This Row],[From]],woodstock[#All],5,FALSE)</f>
        <v>Global</v>
      </c>
      <c r="H370" s="151" t="str">
        <f>VLOOKUP(woodflow[[#This Row],[From]],woodstock[#All],7,FALSE)</f>
        <v>42</v>
      </c>
      <c r="I370" s="151" t="str">
        <f>VLOOKUP(woodflow[[#This Row],[to]],woodstock[#All],7,FALSE)</f>
        <v>49</v>
      </c>
      <c r="J370" s="151" t="str">
        <f>VLOOKUP(woodflow[[#This Row],[From]],woodstock[#All],8,FALSE)</f>
        <v>0</v>
      </c>
      <c r="K370" s="151" t="str">
        <f>VLOOKUP(woodflow[[#This Row],[to]],woodstock[#All],8,FALSE)</f>
        <v>0</v>
      </c>
      <c r="L370" s="152" t="str">
        <f>VLOOKUP(woodflow[[#This Row],[From]],woodstock[#All],9,FALSE)</f>
        <v>nan</v>
      </c>
      <c r="M370" s="152" t="str">
        <f>VLOOKUP(woodflow[[#This Row],[to]],woodstock[#All],9,FALSE)</f>
        <v>nan</v>
      </c>
      <c r="N370" s="157">
        <f>((N91+N167+N176+N206+N218+N236+N245+N257+N266)*'production-mass-balance'!B82)+(N559-N640)</f>
        <v>47.439029476895129</v>
      </c>
      <c r="O370" s="148" t="s">
        <v>921</v>
      </c>
      <c r="P370" s="148" t="s">
        <v>453</v>
      </c>
      <c r="Q370" s="148"/>
      <c r="R370" s="1"/>
      <c r="S370" s="1"/>
      <c r="T370" s="1"/>
      <c r="U370" s="1"/>
      <c r="V370" s="1"/>
    </row>
    <row r="371" spans="1:22" x14ac:dyDescent="0.3">
      <c r="A371" s="5" t="str">
        <f>CONCATENATE("F",IF(B371&lt;&gt;"",COUNTA($B$2:B371),""))</f>
        <v>F</v>
      </c>
      <c r="B371" s="148"/>
      <c r="C371" s="148"/>
      <c r="D371" s="149"/>
      <c r="E371" s="149"/>
      <c r="F371" s="148"/>
      <c r="G371" s="5"/>
      <c r="H371" s="151"/>
      <c r="I371" s="151"/>
      <c r="J371" s="151"/>
      <c r="K371" s="151"/>
      <c r="L371" s="152"/>
      <c r="M371" s="152"/>
      <c r="N371" s="157"/>
      <c r="O371" s="148"/>
      <c r="P371" s="148"/>
      <c r="Q371" s="148"/>
      <c r="R371" s="1"/>
      <c r="S371" s="1"/>
      <c r="T371" s="1"/>
      <c r="U371" s="1"/>
      <c r="V371" s="1"/>
    </row>
    <row r="372" spans="1:22" x14ac:dyDescent="0.3">
      <c r="A372" s="5" t="str">
        <f>CONCATENATE("F",IF(B372&lt;&gt;"",COUNTA($B$2:B372),""))</f>
        <v>F</v>
      </c>
      <c r="B372" s="148"/>
      <c r="C372" s="148"/>
      <c r="D372" s="149"/>
      <c r="E372" s="149"/>
      <c r="F372" s="148"/>
      <c r="G372" s="5"/>
      <c r="H372" s="151"/>
      <c r="I372" s="151"/>
      <c r="J372" s="151"/>
      <c r="K372" s="151"/>
      <c r="L372" s="152"/>
      <c r="M372" s="152"/>
      <c r="N372" s="157"/>
      <c r="O372" s="148"/>
      <c r="P372" s="148"/>
      <c r="Q372" s="148"/>
      <c r="R372" s="1"/>
      <c r="S372" s="1"/>
      <c r="T372" s="1"/>
      <c r="U372" s="1"/>
      <c r="V372" s="1"/>
    </row>
    <row r="373" spans="1:22" x14ac:dyDescent="0.3">
      <c r="A373" s="5" t="str">
        <f>CONCATENATE("F",IF(B373&lt;&gt;"",COUNTA($B$2:B373),""))</f>
        <v>F228</v>
      </c>
      <c r="B373" s="148" t="s">
        <v>38</v>
      </c>
      <c r="C373" s="148" t="s">
        <v>73</v>
      </c>
      <c r="D37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4.7129579763612073</v>
      </c>
      <c r="E37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3" s="148">
        <f>VLOOKUP(woodflow[[#This Row],[From]],woodstock[#All],4,FALSE)</f>
        <v>2021</v>
      </c>
      <c r="G373" s="5" t="str">
        <f>VLOOKUP(woodflow[[#This Row],[From]],woodstock[#All],5,FALSE)</f>
        <v>Global</v>
      </c>
      <c r="H373" s="151" t="str">
        <f>VLOOKUP(woodflow[[#This Row],[From]],woodstock[#All],7,FALSE)</f>
        <v>42</v>
      </c>
      <c r="I373" s="151" t="str">
        <f>VLOOKUP(woodflow[[#This Row],[to]],woodstock[#All],7,FALSE)</f>
        <v>51</v>
      </c>
      <c r="J373" s="151" t="str">
        <f>VLOOKUP(woodflow[[#This Row],[From]],woodstock[#All],8,FALSE)</f>
        <v>0</v>
      </c>
      <c r="K373" s="151" t="str">
        <f>VLOOKUP(woodflow[[#This Row],[to]],woodstock[#All],8,FALSE)</f>
        <v>0</v>
      </c>
      <c r="L373" s="152" t="str">
        <f>VLOOKUP(woodflow[[#This Row],[From]],woodstock[#All],9,FALSE)</f>
        <v>nan</v>
      </c>
      <c r="M373" s="152" t="str">
        <f>VLOOKUP(woodflow[[#This Row],[to]],woodstock[#All],9,FALSE)</f>
        <v>nan</v>
      </c>
      <c r="N373" s="157">
        <f>(N91+N167+N176+N206+N218+N236+N245+N257+N266)*(SUM('production-mass-balance'!B83:B85))</f>
        <v>4.7129579763612073</v>
      </c>
      <c r="O373" s="148" t="s">
        <v>921</v>
      </c>
      <c r="P373" s="148" t="s">
        <v>453</v>
      </c>
      <c r="Q373" s="148"/>
      <c r="R373" s="1"/>
      <c r="S373" s="1"/>
      <c r="T373" s="1"/>
      <c r="U373" s="1"/>
      <c r="V373" s="1"/>
    </row>
    <row r="374" spans="1:22" x14ac:dyDescent="0.3">
      <c r="A374" s="5" t="str">
        <f>CONCATENATE("F",IF(B374&lt;&gt;"",COUNTA($B$2:B374),""))</f>
        <v>F</v>
      </c>
      <c r="B374" s="148"/>
      <c r="C374" s="148"/>
      <c r="D374" s="149"/>
      <c r="E374" s="149"/>
      <c r="F374" s="148"/>
      <c r="G374" s="5"/>
      <c r="H374" s="151"/>
      <c r="I374" s="151"/>
      <c r="J374" s="151"/>
      <c r="K374" s="151"/>
      <c r="L374" s="152"/>
      <c r="M374" s="152"/>
      <c r="N374" s="157"/>
      <c r="O374" s="148"/>
      <c r="P374" s="148"/>
      <c r="Q374" s="148"/>
      <c r="R374" s="1"/>
      <c r="S374" s="1"/>
      <c r="T374" s="1"/>
      <c r="U374" s="1"/>
      <c r="V374" s="1"/>
    </row>
    <row r="375" spans="1:22" x14ac:dyDescent="0.3">
      <c r="A375" s="5" t="str">
        <f>CONCATENATE("F",IF(B375&lt;&gt;"",COUNTA($B$2:B375),""))</f>
        <v>F</v>
      </c>
      <c r="B375" s="148"/>
      <c r="C375" s="148"/>
      <c r="D375" s="149"/>
      <c r="E375" s="149"/>
      <c r="F375" s="148"/>
      <c r="G375" s="5"/>
      <c r="H375" s="151"/>
      <c r="I375" s="151"/>
      <c r="J375" s="151"/>
      <c r="K375" s="151"/>
      <c r="L375" s="152"/>
      <c r="M375" s="152"/>
      <c r="N375" s="157"/>
      <c r="O375" s="148"/>
      <c r="P375" s="148"/>
      <c r="Q375" s="148"/>
      <c r="R375" s="1"/>
      <c r="S375" s="1"/>
      <c r="T375" s="1"/>
      <c r="U375" s="1"/>
      <c r="V375" s="1"/>
    </row>
    <row r="376" spans="1:22" x14ac:dyDescent="0.3">
      <c r="A376" s="148" t="str">
        <f>CONCATENATE("F",IF(B376&lt;&gt;"",COUNTA($B$2:B376),""))</f>
        <v>F229</v>
      </c>
      <c r="B376" s="5" t="s">
        <v>59</v>
      </c>
      <c r="C376" s="5" t="s">
        <v>371</v>
      </c>
      <c r="D37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166.98105717983324</v>
      </c>
      <c r="E37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6" s="148">
        <f>VLOOKUP(woodflow[[#This Row],[From]],woodstock[#All],4,FALSE)</f>
        <v>2021</v>
      </c>
      <c r="G376" s="5" t="str">
        <f>VLOOKUP(woodflow[[#This Row],[From]],woodstock[#All],5,FALSE)</f>
        <v>Global</v>
      </c>
      <c r="H376" s="151" t="str">
        <f>VLOOKUP(woodflow[[#This Row],[From]],woodstock[#All],7,FALSE)</f>
        <v>17</v>
      </c>
      <c r="I376" s="151" t="str">
        <f>VLOOKUP(woodflow[[#This Row],[to]],woodstock[#All],7,FALSE)</f>
        <v>56</v>
      </c>
      <c r="J376" s="151" t="str">
        <f>VLOOKUP(woodflow[[#This Row],[From]],woodstock[#All],8,FALSE)</f>
        <v>1</v>
      </c>
      <c r="K376" s="151" t="str">
        <f>VLOOKUP(woodflow[[#This Row],[to]],woodstock[#All],8,FALSE)</f>
        <v>0</v>
      </c>
      <c r="L376" s="152" t="str">
        <f>VLOOKUP(woodflow[[#This Row],[From]],woodstock[#All],9,FALSE)</f>
        <v>43-44-45-46-47-48-49</v>
      </c>
      <c r="M376" s="152" t="str">
        <f>VLOOKUP(woodflow[[#This Row],[to]],woodstock[#All],9,FALSE)</f>
        <v>nan</v>
      </c>
      <c r="N376" s="157">
        <f>N392</f>
        <v>166.98105717983324</v>
      </c>
      <c r="O376" s="148" t="s">
        <v>921</v>
      </c>
      <c r="P376" s="148" t="s">
        <v>232</v>
      </c>
      <c r="Q376" s="148"/>
      <c r="R376" s="1"/>
      <c r="S376" s="1"/>
      <c r="T376" s="1"/>
      <c r="U376" s="1"/>
      <c r="V376" s="1"/>
    </row>
    <row r="377" spans="1:22" x14ac:dyDescent="0.3">
      <c r="A377" s="148" t="str">
        <f>CONCATENATE("F",IF(B377&lt;&gt;"",COUNTA($B$2:B377),""))</f>
        <v>F230</v>
      </c>
      <c r="B377" s="5" t="s">
        <v>408</v>
      </c>
      <c r="C377" s="5" t="s">
        <v>371</v>
      </c>
      <c r="D37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7" s="148">
        <f>VLOOKUP(woodflow[[#This Row],[From]],woodstock[#All],4,FALSE)</f>
        <v>2021</v>
      </c>
      <c r="G377" s="5" t="str">
        <f>VLOOKUP(woodflow[[#This Row],[From]],woodstock[#All],5,FALSE)</f>
        <v>Global</v>
      </c>
      <c r="H377" s="151" t="str">
        <f>VLOOKUP(woodflow[[#This Row],[From]],woodstock[#All],7,FALSE)</f>
        <v>43</v>
      </c>
      <c r="I377" s="151" t="str">
        <f>VLOOKUP(woodflow[[#This Row],[to]],woodstock[#All],7,FALSE)</f>
        <v>56</v>
      </c>
      <c r="J377" s="151" t="str">
        <f>VLOOKUP(woodflow[[#This Row],[From]],woodstock[#All],8,FALSE)</f>
        <v>0</v>
      </c>
      <c r="K377" s="151" t="str">
        <f>VLOOKUP(woodflow[[#This Row],[to]],woodstock[#All],8,FALSE)</f>
        <v>0</v>
      </c>
      <c r="L377" s="152" t="str">
        <f>VLOOKUP(woodflow[[#This Row],[From]],woodstock[#All],9,FALSE)</f>
        <v>nan</v>
      </c>
      <c r="M377" s="152" t="str">
        <f>VLOOKUP(woodflow[[#This Row],[to]],woodstock[#All],9,FALSE)</f>
        <v>nan</v>
      </c>
      <c r="N377" s="157">
        <v>0</v>
      </c>
      <c r="O377" s="148" t="s">
        <v>209</v>
      </c>
      <c r="P377" s="148"/>
      <c r="Q377" s="148"/>
      <c r="R377" s="1"/>
      <c r="S377" s="1"/>
      <c r="T377" s="1"/>
      <c r="U377" s="1"/>
      <c r="V377" s="1"/>
    </row>
    <row r="378" spans="1:22" x14ac:dyDescent="0.3">
      <c r="A378" s="148" t="str">
        <f>CONCATENATE("F",IF(B378&lt;&gt;"",COUNTA($B$2:B378),""))</f>
        <v>F231</v>
      </c>
      <c r="B378" s="5" t="s">
        <v>31</v>
      </c>
      <c r="C378" s="5" t="s">
        <v>371</v>
      </c>
      <c r="D37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7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78" s="148">
        <f>VLOOKUP(woodflow[[#This Row],[From]],woodstock[#All],4,FALSE)</f>
        <v>2021</v>
      </c>
      <c r="G378" s="5" t="str">
        <f>VLOOKUP(woodflow[[#This Row],[From]],woodstock[#All],5,FALSE)</f>
        <v>Global</v>
      </c>
      <c r="H378" s="151" t="str">
        <f>VLOOKUP(woodflow[[#This Row],[From]],woodstock[#All],7,FALSE)</f>
        <v>44</v>
      </c>
      <c r="I378" s="151" t="str">
        <f>VLOOKUP(woodflow[[#This Row],[to]],woodstock[#All],7,FALSE)</f>
        <v>56</v>
      </c>
      <c r="J378" s="151" t="str">
        <f>VLOOKUP(woodflow[[#This Row],[From]],woodstock[#All],8,FALSE)</f>
        <v>0</v>
      </c>
      <c r="K378" s="151" t="str">
        <f>VLOOKUP(woodflow[[#This Row],[to]],woodstock[#All],8,FALSE)</f>
        <v>0</v>
      </c>
      <c r="L378" s="152" t="str">
        <f>VLOOKUP(woodflow[[#This Row],[From]],woodstock[#All],9,FALSE)</f>
        <v>nan</v>
      </c>
      <c r="M378" s="152" t="str">
        <f>VLOOKUP(woodflow[[#This Row],[to]],woodstock[#All],9,FALSE)</f>
        <v>nan</v>
      </c>
      <c r="N378" s="157">
        <v>0</v>
      </c>
      <c r="O378" s="148" t="s">
        <v>209</v>
      </c>
      <c r="P378" s="148"/>
      <c r="Q378" s="148"/>
      <c r="R378" s="1"/>
      <c r="S378" s="1"/>
      <c r="T378" s="1"/>
      <c r="U378" s="1"/>
      <c r="V378" s="1"/>
    </row>
    <row r="379" spans="1:22" x14ac:dyDescent="0.3">
      <c r="A379" s="148" t="str">
        <f>CONCATENATE("F",IF(B379&lt;&gt;"",COUNTA($B$2:B379),""))</f>
        <v>F232</v>
      </c>
      <c r="B379" s="5" t="s">
        <v>32</v>
      </c>
      <c r="C379" s="5" t="s">
        <v>371</v>
      </c>
      <c r="D379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79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32.895268264427152</v>
      </c>
      <c r="F379" s="148">
        <f>VLOOKUP(woodflow[[#This Row],[From]],woodstock[#All],4,FALSE)</f>
        <v>2021</v>
      </c>
      <c r="G379" s="5" t="str">
        <f>VLOOKUP(woodflow[[#This Row],[From]],woodstock[#All],5,FALSE)</f>
        <v>Global</v>
      </c>
      <c r="H379" s="151" t="str">
        <f>VLOOKUP(woodflow[[#This Row],[From]],woodstock[#All],7,FALSE)</f>
        <v>45</v>
      </c>
      <c r="I379" s="151" t="str">
        <f>VLOOKUP(woodflow[[#This Row],[to]],woodstock[#All],7,FALSE)</f>
        <v>56</v>
      </c>
      <c r="J379" s="151" t="str">
        <f>VLOOKUP(woodflow[[#This Row],[From]],woodstock[#All],8,FALSE)</f>
        <v>0</v>
      </c>
      <c r="K379" s="151" t="str">
        <f>VLOOKUP(woodflow[[#This Row],[to]],woodstock[#All],8,FALSE)</f>
        <v>0</v>
      </c>
      <c r="L379" s="152" t="str">
        <f>VLOOKUP(woodflow[[#This Row],[From]],woodstock[#All],9,FALSE)</f>
        <v>nan</v>
      </c>
      <c r="M379" s="152" t="str">
        <f>VLOOKUP(woodflow[[#This Row],[to]],woodstock[#All],9,FALSE)</f>
        <v>nan</v>
      </c>
      <c r="N379" s="157">
        <f>N376*woodratio!I136</f>
        <v>32.895268264427152</v>
      </c>
      <c r="O379" s="148" t="s">
        <v>920</v>
      </c>
      <c r="P379" s="148" t="s">
        <v>232</v>
      </c>
      <c r="Q379" s="148"/>
      <c r="R379" s="1"/>
      <c r="S379" s="1"/>
      <c r="T379" s="1"/>
      <c r="U379" s="1"/>
      <c r="V379" s="1"/>
    </row>
    <row r="380" spans="1:22" x14ac:dyDescent="0.3">
      <c r="A380" s="148" t="str">
        <f>CONCATENATE("F",IF(B380&lt;&gt;"",COUNTA($B$2:B380),""))</f>
        <v>F233</v>
      </c>
      <c r="B380" s="5" t="s">
        <v>33</v>
      </c>
      <c r="C380" s="5" t="s">
        <v>371</v>
      </c>
      <c r="D38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115.71787262562442</v>
      </c>
      <c r="F380" s="148">
        <f>VLOOKUP(woodflow[[#This Row],[From]],woodstock[#All],4,FALSE)</f>
        <v>2021</v>
      </c>
      <c r="G380" s="5" t="str">
        <f>VLOOKUP(woodflow[[#This Row],[From]],woodstock[#All],5,FALSE)</f>
        <v>Global</v>
      </c>
      <c r="H380" s="151" t="str">
        <f>VLOOKUP(woodflow[[#This Row],[From]],woodstock[#All],7,FALSE)</f>
        <v>46</v>
      </c>
      <c r="I380" s="151" t="str">
        <f>VLOOKUP(woodflow[[#This Row],[to]],woodstock[#All],7,FALSE)</f>
        <v>56</v>
      </c>
      <c r="J380" s="151" t="str">
        <f>VLOOKUP(woodflow[[#This Row],[From]],woodstock[#All],8,FALSE)</f>
        <v>0</v>
      </c>
      <c r="K380" s="151" t="str">
        <f>VLOOKUP(woodflow[[#This Row],[to]],woodstock[#All],8,FALSE)</f>
        <v>0</v>
      </c>
      <c r="L380" s="152" t="str">
        <f>VLOOKUP(woodflow[[#This Row],[From]],woodstock[#All],9,FALSE)</f>
        <v>nan</v>
      </c>
      <c r="M380" s="152" t="str">
        <f>VLOOKUP(woodflow[[#This Row],[to]],woodstock[#All],9,FALSE)</f>
        <v>nan</v>
      </c>
      <c r="N380" s="157">
        <f>N376*woodratio!I137</f>
        <v>115.71787262562442</v>
      </c>
      <c r="O380" s="148" t="s">
        <v>920</v>
      </c>
      <c r="P380" s="148" t="s">
        <v>232</v>
      </c>
      <c r="Q380" s="148"/>
      <c r="R380" s="1"/>
      <c r="S380" s="1"/>
      <c r="T380" s="1"/>
      <c r="U380" s="1"/>
      <c r="V380" s="1"/>
    </row>
    <row r="381" spans="1:22" x14ac:dyDescent="0.3">
      <c r="A381" s="148" t="str">
        <f>CONCATENATE("F",IF(B381&lt;&gt;"",COUNTA($B$2:B381),""))</f>
        <v>F234</v>
      </c>
      <c r="B381" s="5" t="s">
        <v>34</v>
      </c>
      <c r="C381" s="5" t="s">
        <v>371</v>
      </c>
      <c r="D38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9.1839581448908287</v>
      </c>
      <c r="F381" s="148">
        <f>VLOOKUP(woodflow[[#This Row],[From]],woodstock[#All],4,FALSE)</f>
        <v>2021</v>
      </c>
      <c r="G381" s="5" t="str">
        <f>VLOOKUP(woodflow[[#This Row],[From]],woodstock[#All],5,FALSE)</f>
        <v>Global</v>
      </c>
      <c r="H381" s="151" t="str">
        <f>VLOOKUP(woodflow[[#This Row],[From]],woodstock[#All],7,FALSE)</f>
        <v>47</v>
      </c>
      <c r="I381" s="151" t="str">
        <f>VLOOKUP(woodflow[[#This Row],[to]],woodstock[#All],7,FALSE)</f>
        <v>56</v>
      </c>
      <c r="J381" s="151" t="str">
        <f>VLOOKUP(woodflow[[#This Row],[From]],woodstock[#All],8,FALSE)</f>
        <v>0</v>
      </c>
      <c r="K381" s="151" t="str">
        <f>VLOOKUP(woodflow[[#This Row],[to]],woodstock[#All],8,FALSE)</f>
        <v>0</v>
      </c>
      <c r="L381" s="152" t="str">
        <f>VLOOKUP(woodflow[[#This Row],[From]],woodstock[#All],9,FALSE)</f>
        <v>nan</v>
      </c>
      <c r="M381" s="152" t="str">
        <f>VLOOKUP(woodflow[[#This Row],[to]],woodstock[#All],9,FALSE)</f>
        <v>nan</v>
      </c>
      <c r="N381" s="157">
        <f>N376*woodratio!I138</f>
        <v>9.1839581448908287</v>
      </c>
      <c r="O381" s="148" t="s">
        <v>920</v>
      </c>
      <c r="P381" s="148" t="s">
        <v>232</v>
      </c>
      <c r="Q381" s="148"/>
      <c r="R381" s="1"/>
      <c r="S381" s="1"/>
      <c r="T381" s="1"/>
      <c r="U381" s="1"/>
      <c r="V381" s="1"/>
    </row>
    <row r="382" spans="1:22" x14ac:dyDescent="0.3">
      <c r="A382" s="148" t="str">
        <f>CONCATENATE("F",IF(B382&lt;&gt;"",COUNTA($B$2:B382),""))</f>
        <v>F235</v>
      </c>
      <c r="B382" s="5" t="s">
        <v>35</v>
      </c>
      <c r="C382" s="5" t="s">
        <v>371</v>
      </c>
      <c r="D38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8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2" s="148">
        <f>VLOOKUP(woodflow[[#This Row],[From]],woodstock[#All],4,FALSE)</f>
        <v>2021</v>
      </c>
      <c r="G382" s="5" t="str">
        <f>VLOOKUP(woodflow[[#This Row],[From]],woodstock[#All],5,FALSE)</f>
        <v>Global</v>
      </c>
      <c r="H382" s="151" t="str">
        <f>VLOOKUP(woodflow[[#This Row],[From]],woodstock[#All],7,FALSE)</f>
        <v>48</v>
      </c>
      <c r="I382" s="151" t="str">
        <f>VLOOKUP(woodflow[[#This Row],[to]],woodstock[#All],7,FALSE)</f>
        <v>56</v>
      </c>
      <c r="J382" s="151" t="str">
        <f>VLOOKUP(woodflow[[#This Row],[From]],woodstock[#All],8,FALSE)</f>
        <v>0</v>
      </c>
      <c r="K382" s="151" t="str">
        <f>VLOOKUP(woodflow[[#This Row],[to]],woodstock[#All],8,FALSE)</f>
        <v>0</v>
      </c>
      <c r="L382" s="152" t="str">
        <f>VLOOKUP(woodflow[[#This Row],[From]],woodstock[#All],9,FALSE)</f>
        <v>nan</v>
      </c>
      <c r="M382" s="152" t="str">
        <f>VLOOKUP(woodflow[[#This Row],[to]],woodstock[#All],9,FALSE)</f>
        <v>nan</v>
      </c>
      <c r="N382" s="157">
        <v>0</v>
      </c>
      <c r="O382" s="148" t="s">
        <v>209</v>
      </c>
      <c r="P382" s="148"/>
      <c r="Q382" s="148"/>
      <c r="R382" s="1"/>
      <c r="S382" s="1"/>
      <c r="T382" s="1"/>
      <c r="U382" s="1"/>
      <c r="V382" s="1"/>
    </row>
    <row r="383" spans="1:22" x14ac:dyDescent="0.3">
      <c r="A383" s="148" t="str">
        <f>CONCATENATE("F",IF(B383&lt;&gt;"",COUNTA($B$2:B383),""))</f>
        <v>F236</v>
      </c>
      <c r="B383" s="5" t="s">
        <v>57</v>
      </c>
      <c r="C383" s="5" t="s">
        <v>371</v>
      </c>
      <c r="D38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8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9.1839581448908287</v>
      </c>
      <c r="F383" s="148">
        <f>VLOOKUP(woodflow[[#This Row],[From]],woodstock[#All],4,FALSE)</f>
        <v>2021</v>
      </c>
      <c r="G383" s="5" t="str">
        <f>VLOOKUP(woodflow[[#This Row],[From]],woodstock[#All],5,FALSE)</f>
        <v>Global</v>
      </c>
      <c r="H383" s="151" t="str">
        <f>VLOOKUP(woodflow[[#This Row],[From]],woodstock[#All],7,FALSE)</f>
        <v>49</v>
      </c>
      <c r="I383" s="151" t="str">
        <f>VLOOKUP(woodflow[[#This Row],[to]],woodstock[#All],7,FALSE)</f>
        <v>56</v>
      </c>
      <c r="J383" s="151" t="str">
        <f>VLOOKUP(woodflow[[#This Row],[From]],woodstock[#All],8,FALSE)</f>
        <v>0</v>
      </c>
      <c r="K383" s="151" t="str">
        <f>VLOOKUP(woodflow[[#This Row],[to]],woodstock[#All],8,FALSE)</f>
        <v>0</v>
      </c>
      <c r="L383" s="152" t="str">
        <f>VLOOKUP(woodflow[[#This Row],[From]],woodstock[#All],9,FALSE)</f>
        <v>nan</v>
      </c>
      <c r="M383" s="152" t="str">
        <f>VLOOKUP(woodflow[[#This Row],[to]],woodstock[#All],9,FALSE)</f>
        <v>nan</v>
      </c>
      <c r="N383" s="157">
        <f>N376*woodratio!I139</f>
        <v>9.1839581448908287</v>
      </c>
      <c r="O383" s="148" t="s">
        <v>920</v>
      </c>
      <c r="P383" s="148" t="s">
        <v>232</v>
      </c>
      <c r="Q383" s="148"/>
      <c r="R383" s="1"/>
      <c r="S383" s="1"/>
      <c r="T383" s="1"/>
      <c r="U383" s="1"/>
      <c r="V383" s="1"/>
    </row>
    <row r="384" spans="1:22" x14ac:dyDescent="0.3">
      <c r="A384" s="148" t="str">
        <f>CONCATENATE("F",IF(B384&lt;&gt;"",COUNTA($B$2:B384),""))</f>
        <v>F</v>
      </c>
      <c r="B384" s="148"/>
      <c r="C384" s="148"/>
      <c r="D384" s="149"/>
      <c r="E384" s="149"/>
      <c r="F384" s="148"/>
      <c r="G384" s="148"/>
      <c r="H384" s="151"/>
      <c r="I384" s="151"/>
      <c r="J384" s="151"/>
      <c r="K384" s="151"/>
      <c r="L384" s="152"/>
      <c r="M384" s="152"/>
      <c r="N384" s="157"/>
      <c r="O384" s="148"/>
      <c r="P384" s="148"/>
      <c r="Q384" s="148"/>
      <c r="R384" s="1"/>
      <c r="S384" s="1"/>
      <c r="T384" s="1"/>
      <c r="U384" s="1"/>
      <c r="V384" s="1"/>
    </row>
    <row r="385" spans="1:22" x14ac:dyDescent="0.3">
      <c r="A385" s="5" t="str">
        <f>CONCATENATE("F",IF(B385&lt;&gt;"",COUNTA($B$2:B391),""))</f>
        <v>F</v>
      </c>
      <c r="B385" s="148"/>
      <c r="C385" s="148"/>
      <c r="D385" s="149"/>
      <c r="E385" s="149"/>
      <c r="F385" s="148"/>
      <c r="G385" s="5"/>
      <c r="H385" s="151"/>
      <c r="I385" s="151"/>
      <c r="J385" s="151"/>
      <c r="K385" s="151"/>
      <c r="L385" s="152"/>
      <c r="M385" s="152"/>
      <c r="N385" s="157"/>
      <c r="O385" s="148"/>
      <c r="P385" s="148"/>
      <c r="Q385" s="148"/>
      <c r="R385" s="1"/>
      <c r="S385" s="1"/>
      <c r="T385" s="1"/>
      <c r="U385" s="1"/>
      <c r="V385" s="1"/>
    </row>
    <row r="386" spans="1:22" x14ac:dyDescent="0.3">
      <c r="A386" s="5" t="str">
        <f>CONCATENATE("F",IF(B386&lt;&gt;"",COUNTA($B$2:B386),""))</f>
        <v>F237</v>
      </c>
      <c r="B386" s="148" t="s">
        <v>31</v>
      </c>
      <c r="C386" s="148" t="s">
        <v>372</v>
      </c>
      <c r="D38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132.45746327449999</v>
      </c>
      <c r="E38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6" s="148">
        <f>VLOOKUP(woodflow[[#This Row],[From]],woodstock[#All],4,FALSE)</f>
        <v>2021</v>
      </c>
      <c r="G386" s="5" t="str">
        <f>VLOOKUP(woodflow[[#This Row],[From]],woodstock[#All],5,FALSE)</f>
        <v>Global</v>
      </c>
      <c r="H386" s="151" t="str">
        <f>VLOOKUP(woodflow[[#This Row],[From]],woodstock[#All],7,FALSE)</f>
        <v>44</v>
      </c>
      <c r="I386" s="151" t="str">
        <f>VLOOKUP(woodflow[[#This Row],[to]],woodstock[#All],7,FALSE)</f>
        <v>57</v>
      </c>
      <c r="J386" s="151" t="str">
        <f>VLOOKUP(woodflow[[#This Row],[From]],woodstock[#All],8,FALSE)</f>
        <v>0</v>
      </c>
      <c r="K386" s="151" t="str">
        <f>VLOOKUP(woodflow[[#This Row],[to]],woodstock[#All],8,FALSE)</f>
        <v>0</v>
      </c>
      <c r="L386" s="152" t="str">
        <f>VLOOKUP(woodflow[[#This Row],[From]],woodstock[#All],9,FALSE)</f>
        <v>nan</v>
      </c>
      <c r="M386" s="152" t="str">
        <f>VLOOKUP(woodflow[[#This Row],[to]],woodstock[#All],9,FALSE)</f>
        <v>nan</v>
      </c>
      <c r="N386" s="157">
        <f>N314*(1-'supporting-percentages'!B75)</f>
        <v>132.45746327449999</v>
      </c>
      <c r="O386" s="148" t="s">
        <v>921</v>
      </c>
      <c r="P386" s="148" t="s">
        <v>455</v>
      </c>
      <c r="Q386" s="153"/>
      <c r="R386" s="1"/>
      <c r="S386" s="1"/>
      <c r="T386" s="1"/>
      <c r="U386" s="1"/>
      <c r="V386" s="1"/>
    </row>
    <row r="387" spans="1:22" x14ac:dyDescent="0.3">
      <c r="A387" s="148" t="str">
        <f>CONCATENATE("F",IF(B387&lt;&gt;"",COUNTA($B$2:B387),""))</f>
        <v>F</v>
      </c>
      <c r="B387" s="148"/>
      <c r="C387" s="148"/>
      <c r="D387" s="149"/>
      <c r="E387" s="149"/>
      <c r="F387" s="148"/>
      <c r="G387" s="148"/>
      <c r="H387" s="151"/>
      <c r="I387" s="151"/>
      <c r="J387" s="151"/>
      <c r="K387" s="151"/>
      <c r="L387" s="152"/>
      <c r="M387" s="152"/>
      <c r="N387" s="157"/>
      <c r="O387" s="148"/>
      <c r="P387" s="148"/>
      <c r="Q387" s="154"/>
      <c r="R387" s="1"/>
      <c r="S387" s="1"/>
      <c r="T387" s="1"/>
      <c r="U387" s="1"/>
      <c r="V387" s="1"/>
    </row>
    <row r="388" spans="1:22" x14ac:dyDescent="0.3">
      <c r="A388" s="148" t="str">
        <f>CONCATENATE("F",IF(B388&lt;&gt;"",COUNTA($B$2:B388),""))</f>
        <v>F</v>
      </c>
      <c r="B388" s="148"/>
      <c r="C388" s="148"/>
      <c r="D388" s="149"/>
      <c r="E388" s="149"/>
      <c r="F388" s="148"/>
      <c r="G388" s="148"/>
      <c r="H388" s="151"/>
      <c r="I388" s="151"/>
      <c r="J388" s="151"/>
      <c r="K388" s="151"/>
      <c r="L388" s="152"/>
      <c r="M388" s="152"/>
      <c r="N388" s="157"/>
      <c r="O388" s="148"/>
      <c r="P388" s="148"/>
      <c r="Q388" s="154"/>
      <c r="R388" s="1"/>
      <c r="S388" s="1"/>
      <c r="T388" s="1"/>
      <c r="U388" s="1"/>
      <c r="V388" s="1"/>
    </row>
    <row r="389" spans="1:22" x14ac:dyDescent="0.3">
      <c r="A389" s="5" t="str">
        <f>CONCATENATE("F",IF(B389&lt;&gt;"",COUNTA($B$2:B389),""))</f>
        <v>F238</v>
      </c>
      <c r="B389" s="148" t="s">
        <v>32</v>
      </c>
      <c r="C389" s="5" t="s">
        <v>372</v>
      </c>
      <c r="D38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228.27851187049998</v>
      </c>
      <c r="E38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89" s="148">
        <f>VLOOKUP(woodflow[[#This Row],[From]],woodstock[#All],4,FALSE)</f>
        <v>2021</v>
      </c>
      <c r="G389" s="5" t="str">
        <f>VLOOKUP(woodflow[[#This Row],[From]],woodstock[#All],5,FALSE)</f>
        <v>Global</v>
      </c>
      <c r="H389" s="151" t="str">
        <f>VLOOKUP(woodflow[[#This Row],[From]],woodstock[#All],7,FALSE)</f>
        <v>45</v>
      </c>
      <c r="I389" s="151" t="str">
        <f>VLOOKUP(woodflow[[#This Row],[to]],woodstock[#All],7,FALSE)</f>
        <v>57</v>
      </c>
      <c r="J389" s="151" t="str">
        <f>VLOOKUP(woodflow[[#This Row],[From]],woodstock[#All],8,FALSE)</f>
        <v>0</v>
      </c>
      <c r="K389" s="151" t="str">
        <f>VLOOKUP(woodflow[[#This Row],[to]],woodstock[#All],8,FALSE)</f>
        <v>0</v>
      </c>
      <c r="L389" s="152" t="str">
        <f>VLOOKUP(woodflow[[#This Row],[From]],woodstock[#All],9,FALSE)</f>
        <v>nan</v>
      </c>
      <c r="M389" s="152" t="str">
        <f>VLOOKUP(woodflow[[#This Row],[to]],woodstock[#All],9,FALSE)</f>
        <v>nan</v>
      </c>
      <c r="N389" s="157">
        <f>N322*(1-'supporting-percentages'!B75)</f>
        <v>228.27851187049998</v>
      </c>
      <c r="O389" s="148" t="s">
        <v>921</v>
      </c>
      <c r="P389" s="148" t="s">
        <v>455</v>
      </c>
      <c r="Q389" s="153"/>
      <c r="R389" s="1"/>
      <c r="S389" s="1"/>
      <c r="T389" s="1"/>
      <c r="U389" s="1"/>
      <c r="V389" s="1"/>
    </row>
    <row r="390" spans="1:22" x14ac:dyDescent="0.3">
      <c r="A390" s="5" t="str">
        <f>CONCATENATE("F",IF(B390&lt;&gt;"",COUNTA($B$2:B390),""))</f>
        <v>F</v>
      </c>
      <c r="B390" s="148"/>
      <c r="C390" s="148"/>
      <c r="D390" s="149"/>
      <c r="E390" s="149"/>
      <c r="F390" s="148"/>
      <c r="G390" s="5"/>
      <c r="H390" s="151"/>
      <c r="I390" s="151"/>
      <c r="J390" s="151"/>
      <c r="K390" s="151"/>
      <c r="L390" s="152"/>
      <c r="M390" s="152"/>
      <c r="N390" s="157"/>
      <c r="O390" s="148"/>
      <c r="P390" s="148"/>
      <c r="Q390" s="148"/>
      <c r="R390" s="1"/>
      <c r="S390" s="1"/>
      <c r="T390" s="1"/>
      <c r="U390" s="1"/>
      <c r="V390" s="1"/>
    </row>
    <row r="391" spans="1:22" x14ac:dyDescent="0.3">
      <c r="A391" s="148" t="str">
        <f>CONCATENATE("F",IF(B391&lt;&gt;"",COUNTA($B$2:B391),""))</f>
        <v>F</v>
      </c>
      <c r="B391" s="148"/>
      <c r="C391" s="148"/>
      <c r="D391" s="149"/>
      <c r="E391" s="149"/>
      <c r="F391" s="148"/>
      <c r="G391" s="148"/>
      <c r="H391" s="151"/>
      <c r="I391" s="151"/>
      <c r="J391" s="151"/>
      <c r="K391" s="151"/>
      <c r="L391" s="152"/>
      <c r="M391" s="152"/>
      <c r="N391" s="157"/>
      <c r="O391" s="148"/>
      <c r="P391" s="148"/>
      <c r="Q391" s="148"/>
      <c r="R391" s="1"/>
      <c r="S391" s="1"/>
      <c r="T391" s="1"/>
      <c r="U391" s="1"/>
      <c r="V391" s="1"/>
    </row>
    <row r="392" spans="1:22" x14ac:dyDescent="0.3">
      <c r="A392" s="5" t="str">
        <f>CONCATENATE("F",IF(B392&lt;&gt;"",COUNTA($B$2:B392),""))</f>
        <v>F239</v>
      </c>
      <c r="B392" s="5" t="s">
        <v>371</v>
      </c>
      <c r="C392" s="5" t="s">
        <v>350</v>
      </c>
      <c r="D39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166.98105717983324</v>
      </c>
      <c r="E39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2" s="148">
        <f>VLOOKUP(woodflow[[#This Row],[From]],woodstock[#All],4,FALSE)</f>
        <v>2021</v>
      </c>
      <c r="G392" s="5" t="str">
        <f>VLOOKUP(woodflow[[#This Row],[From]],woodstock[#All],5,FALSE)</f>
        <v>Global</v>
      </c>
      <c r="H392" s="151" t="str">
        <f>VLOOKUP(woodflow[[#This Row],[From]],woodstock[#All],7,FALSE)</f>
        <v>56</v>
      </c>
      <c r="I392" s="151" t="str">
        <f>VLOOKUP(woodflow[[#This Row],[to]],woodstock[#All],7,FALSE)</f>
        <v>20</v>
      </c>
      <c r="J392" s="151" t="str">
        <f>VLOOKUP(woodflow[[#This Row],[From]],woodstock[#All],8,FALSE)</f>
        <v>0</v>
      </c>
      <c r="K392" s="151" t="str">
        <f>VLOOKUP(woodflow[[#This Row],[to]],woodstock[#All],8,FALSE)</f>
        <v>1</v>
      </c>
      <c r="L392" s="152" t="str">
        <f>VLOOKUP(woodflow[[#This Row],[From]],woodstock[#All],9,FALSE)</f>
        <v>nan</v>
      </c>
      <c r="M392" s="152" t="str">
        <f>VLOOKUP(woodflow[[#This Row],[to]],woodstock[#All],9,FALSE)</f>
        <v>58-59-60-61-62-63-64</v>
      </c>
      <c r="N392" s="157">
        <f>(VLOOKUP(woodflow[[#This Row],[location]],waste!A3:B5,2,FALSE)/10^6)*'conversion-factors'!D20</f>
        <v>166.98105717983324</v>
      </c>
      <c r="O392" s="148" t="s">
        <v>921</v>
      </c>
      <c r="P392" s="148" t="s">
        <v>394</v>
      </c>
      <c r="Q392" s="148"/>
      <c r="R392" s="1"/>
      <c r="S392" s="1"/>
      <c r="T392" s="1"/>
      <c r="U392" s="1"/>
      <c r="V392" s="1"/>
    </row>
    <row r="393" spans="1:22" x14ac:dyDescent="0.3">
      <c r="A393" s="5" t="str">
        <f>CONCATENATE("F",IF(B393&lt;&gt;"",COUNTA($B$2:B393),""))</f>
        <v>F240</v>
      </c>
      <c r="B393" s="5" t="s">
        <v>371</v>
      </c>
      <c r="C393" s="5" t="s">
        <v>392</v>
      </c>
      <c r="D39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61.745035952204539</v>
      </c>
      <c r="F393" s="148">
        <f>VLOOKUP(woodflow[[#This Row],[From]],woodstock[#All],4,FALSE)</f>
        <v>2021</v>
      </c>
      <c r="G393" s="5" t="str">
        <f>VLOOKUP(woodflow[[#This Row],[From]],woodstock[#All],5,FALSE)</f>
        <v>Global</v>
      </c>
      <c r="H393" s="151" t="str">
        <f>VLOOKUP(woodflow[[#This Row],[From]],woodstock[#All],7,FALSE)</f>
        <v>56</v>
      </c>
      <c r="I393" s="151" t="str">
        <f>VLOOKUP(woodflow[[#This Row],[to]],woodstock[#All],7,FALSE)</f>
        <v>21</v>
      </c>
      <c r="J393" s="151" t="str">
        <f>VLOOKUP(woodflow[[#This Row],[From]],woodstock[#All],8,FALSE)</f>
        <v>0</v>
      </c>
      <c r="K393" s="151" t="str">
        <f>VLOOKUP(woodflow[[#This Row],[to]],woodstock[#All],8,FALSE)</f>
        <v>1</v>
      </c>
      <c r="L393" s="152" t="str">
        <f>VLOOKUP(woodflow[[#This Row],[From]],woodstock[#All],9,FALSE)</f>
        <v>nan</v>
      </c>
      <c r="M393" s="152" t="str">
        <f>VLOOKUP(woodflow[[#This Row],[to]],woodstock[#All],9,FALSE)</f>
        <v>58-59-60-61</v>
      </c>
      <c r="N393" s="157">
        <f>SUM(N394:N397)</f>
        <v>61.745035952204539</v>
      </c>
      <c r="O393" s="148" t="s">
        <v>920</v>
      </c>
      <c r="P393" s="148" t="s">
        <v>232</v>
      </c>
      <c r="Q393" s="148"/>
      <c r="R393" s="1"/>
      <c r="S393" s="1"/>
      <c r="T393" s="1"/>
      <c r="U393" s="1"/>
      <c r="V393" s="1"/>
    </row>
    <row r="394" spans="1:22" x14ac:dyDescent="0.3">
      <c r="A394" s="5" t="str">
        <f>CONCATENATE("F",IF(B394&lt;&gt;"",COUNTA($B$2:B394),""))</f>
        <v>F241</v>
      </c>
      <c r="B394" s="5" t="s">
        <v>371</v>
      </c>
      <c r="C394" s="5" t="s">
        <v>351</v>
      </c>
      <c r="D39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35.812120852278632</v>
      </c>
      <c r="F394" s="148">
        <f>VLOOKUP(woodflow[[#This Row],[From]],woodstock[#All],4,FALSE)</f>
        <v>2021</v>
      </c>
      <c r="G394" s="5" t="str">
        <f>VLOOKUP(woodflow[[#This Row],[From]],woodstock[#All],5,FALSE)</f>
        <v>Global</v>
      </c>
      <c r="H394" s="151" t="str">
        <f>VLOOKUP(woodflow[[#This Row],[From]],woodstock[#All],7,FALSE)</f>
        <v>56</v>
      </c>
      <c r="I394" s="151" t="str">
        <f>VLOOKUP(woodflow[[#This Row],[to]],woodstock[#All],7,FALSE)</f>
        <v>58</v>
      </c>
      <c r="J394" s="151" t="str">
        <f>VLOOKUP(woodflow[[#This Row],[From]],woodstock[#All],8,FALSE)</f>
        <v>0</v>
      </c>
      <c r="K394" s="151" t="str">
        <f>VLOOKUP(woodflow[[#This Row],[to]],woodstock[#All],8,FALSE)</f>
        <v>0</v>
      </c>
      <c r="L394" s="152" t="str">
        <f>VLOOKUP(woodflow[[#This Row],[From]],woodstock[#All],9,FALSE)</f>
        <v>nan</v>
      </c>
      <c r="M394" s="152" t="str">
        <f>VLOOKUP(woodflow[[#This Row],[to]],woodstock[#All],9,FALSE)</f>
        <v>nan</v>
      </c>
      <c r="N394" s="157">
        <f>N392*woodratio!I142</f>
        <v>35.812120852278632</v>
      </c>
      <c r="O394" s="148" t="s">
        <v>920</v>
      </c>
      <c r="P394" s="148" t="s">
        <v>233</v>
      </c>
      <c r="Q394" s="153"/>
      <c r="R394" s="1"/>
      <c r="S394" s="13"/>
      <c r="T394" s="1"/>
      <c r="U394" s="1"/>
      <c r="V394" s="1"/>
    </row>
    <row r="395" spans="1:22" x14ac:dyDescent="0.3">
      <c r="A395" s="5" t="str">
        <f>CONCATENATE("F",IF(B395&lt;&gt;"",COUNTA($B$2:B395),""))</f>
        <v>F242</v>
      </c>
      <c r="B395" s="5" t="s">
        <v>371</v>
      </c>
      <c r="C395" s="5" t="s">
        <v>916</v>
      </c>
      <c r="D39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16.671159707095228</v>
      </c>
      <c r="F395" s="148">
        <f>VLOOKUP(woodflow[[#This Row],[From]],woodstock[#All],4,FALSE)</f>
        <v>2021</v>
      </c>
      <c r="G395" s="5" t="str">
        <f>VLOOKUP(woodflow[[#This Row],[From]],woodstock[#All],5,FALSE)</f>
        <v>Global</v>
      </c>
      <c r="H395" s="151" t="str">
        <f>VLOOKUP(woodflow[[#This Row],[From]],woodstock[#All],7,FALSE)</f>
        <v>56</v>
      </c>
      <c r="I395" s="151" t="str">
        <f>VLOOKUP(woodflow[[#This Row],[to]],woodstock[#All],7,FALSE)</f>
        <v>59</v>
      </c>
      <c r="J395" s="151" t="str">
        <f>VLOOKUP(woodflow[[#This Row],[From]],woodstock[#All],8,FALSE)</f>
        <v>0</v>
      </c>
      <c r="K395" s="151" t="str">
        <f>VLOOKUP(woodflow[[#This Row],[to]],woodstock[#All],8,FALSE)</f>
        <v>0</v>
      </c>
      <c r="L395" s="152" t="str">
        <f>VLOOKUP(woodflow[[#This Row],[From]],woodstock[#All],9,FALSE)</f>
        <v>nan</v>
      </c>
      <c r="M395" s="152" t="str">
        <f>VLOOKUP(woodflow[[#This Row],[to]],woodstock[#All],9,FALSE)</f>
        <v>nan</v>
      </c>
      <c r="N395" s="157">
        <f>N392*woodratio!I143</f>
        <v>16.671159707095228</v>
      </c>
      <c r="O395" s="148" t="s">
        <v>920</v>
      </c>
      <c r="P395" s="148" t="s">
        <v>233</v>
      </c>
      <c r="Q395" s="153"/>
      <c r="R395" s="1"/>
      <c r="S395" s="1"/>
      <c r="T395" s="1"/>
      <c r="U395" s="1"/>
      <c r="V395" s="1"/>
    </row>
    <row r="396" spans="1:22" x14ac:dyDescent="0.3">
      <c r="A396" s="5" t="str">
        <f>CONCATENATE("F",IF(B396&lt;&gt;"",COUNTA($B$2:B396),""))</f>
        <v>F243</v>
      </c>
      <c r="B396" s="5" t="s">
        <v>371</v>
      </c>
      <c r="C396" s="5" t="s">
        <v>917</v>
      </c>
      <c r="D39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39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396" s="148">
        <f>VLOOKUP(woodflow[[#This Row],[From]],woodstock[#All],4,FALSE)</f>
        <v>2021</v>
      </c>
      <c r="G396" s="5" t="str">
        <f>VLOOKUP(woodflow[[#This Row],[From]],woodstock[#All],5,FALSE)</f>
        <v>Global</v>
      </c>
      <c r="H396" s="151" t="str">
        <f>VLOOKUP(woodflow[[#This Row],[From]],woodstock[#All],7,FALSE)</f>
        <v>56</v>
      </c>
      <c r="I396" s="151" t="str">
        <f>VLOOKUP(woodflow[[#This Row],[to]],woodstock[#All],7,FALSE)</f>
        <v>60</v>
      </c>
      <c r="J396" s="151" t="str">
        <f>VLOOKUP(woodflow[[#This Row],[From]],woodstock[#All],8,FALSE)</f>
        <v>0</v>
      </c>
      <c r="K396" s="151" t="str">
        <f>VLOOKUP(woodflow[[#This Row],[to]],woodstock[#All],8,FALSE)</f>
        <v>0</v>
      </c>
      <c r="L396" s="152" t="str">
        <f>VLOOKUP(woodflow[[#This Row],[From]],woodstock[#All],9,FALSE)</f>
        <v>nan</v>
      </c>
      <c r="M396" s="152" t="str">
        <f>VLOOKUP(woodflow[[#This Row],[to]],woodstock[#All],9,FALSE)</f>
        <v>nan</v>
      </c>
      <c r="N396" s="157">
        <v>0</v>
      </c>
      <c r="O396" s="148" t="s">
        <v>209</v>
      </c>
      <c r="P396" s="148"/>
      <c r="Q396" s="153"/>
      <c r="R396" s="1"/>
      <c r="S396" s="1"/>
      <c r="T396" s="1"/>
      <c r="U396" s="1"/>
      <c r="V396" s="1"/>
    </row>
    <row r="397" spans="1:22" x14ac:dyDescent="0.3">
      <c r="A397" s="5" t="str">
        <f>CONCATENATE("F",IF(B397&lt;&gt;"",COUNTA($B$2:B397),""))</f>
        <v>F244</v>
      </c>
      <c r="B397" s="5" t="s">
        <v>371</v>
      </c>
      <c r="C397" s="5" t="s">
        <v>391</v>
      </c>
      <c r="D39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9.2617553928306808</v>
      </c>
      <c r="F397" s="148">
        <f>VLOOKUP(woodflow[[#This Row],[From]],woodstock[#All],4,FALSE)</f>
        <v>2021</v>
      </c>
      <c r="G397" s="5" t="str">
        <f>VLOOKUP(woodflow[[#This Row],[From]],woodstock[#All],5,FALSE)</f>
        <v>Global</v>
      </c>
      <c r="H397" s="151" t="str">
        <f>VLOOKUP(woodflow[[#This Row],[From]],woodstock[#All],7,FALSE)</f>
        <v>56</v>
      </c>
      <c r="I397" s="151" t="str">
        <f>VLOOKUP(woodflow[[#This Row],[to]],woodstock[#All],7,FALSE)</f>
        <v>61</v>
      </c>
      <c r="J397" s="151" t="str">
        <f>VLOOKUP(woodflow[[#This Row],[From]],woodstock[#All],8,FALSE)</f>
        <v>0</v>
      </c>
      <c r="K397" s="151" t="str">
        <f>VLOOKUP(woodflow[[#This Row],[to]],woodstock[#All],8,FALSE)</f>
        <v>0</v>
      </c>
      <c r="L397" s="152" t="str">
        <f>VLOOKUP(woodflow[[#This Row],[From]],woodstock[#All],9,FALSE)</f>
        <v>nan</v>
      </c>
      <c r="M397" s="152" t="str">
        <f>VLOOKUP(woodflow[[#This Row],[to]],woodstock[#All],9,FALSE)</f>
        <v>nan</v>
      </c>
      <c r="N397" s="157">
        <f>N392*woodratio!I144</f>
        <v>9.2617553928306808</v>
      </c>
      <c r="O397" s="148" t="s">
        <v>920</v>
      </c>
      <c r="P397" s="148" t="s">
        <v>233</v>
      </c>
      <c r="Q397" s="154"/>
      <c r="R397" s="1"/>
      <c r="S397" s="1"/>
      <c r="T397" s="1"/>
      <c r="U397" s="1"/>
      <c r="V397" s="1"/>
    </row>
    <row r="398" spans="1:22" x14ac:dyDescent="0.3">
      <c r="A398" s="5" t="str">
        <f>CONCATENATE("F",IF(B398&lt;&gt;"",COUNTA($B$2:B398),""))</f>
        <v>F245</v>
      </c>
      <c r="B398" s="5" t="s">
        <v>371</v>
      </c>
      <c r="C398" s="5" t="s">
        <v>403</v>
      </c>
      <c r="D39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8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105.2360212276287</v>
      </c>
      <c r="F398" s="148">
        <f>VLOOKUP(woodflow[[#This Row],[From]],woodstock[#All],4,FALSE)</f>
        <v>2021</v>
      </c>
      <c r="G398" s="5" t="str">
        <f>VLOOKUP(woodflow[[#This Row],[From]],woodstock[#All],5,FALSE)</f>
        <v>Global</v>
      </c>
      <c r="H398" s="151" t="str">
        <f>VLOOKUP(woodflow[[#This Row],[From]],woodstock[#All],7,FALSE)</f>
        <v>56</v>
      </c>
      <c r="I398" s="151" t="str">
        <f>VLOOKUP(woodflow[[#This Row],[to]],woodstock[#All],7,FALSE)</f>
        <v>22</v>
      </c>
      <c r="J398" s="151" t="str">
        <f>VLOOKUP(woodflow[[#This Row],[From]],woodstock[#All],8,FALSE)</f>
        <v>0</v>
      </c>
      <c r="K398" s="151" t="str">
        <f>VLOOKUP(woodflow[[#This Row],[to]],woodstock[#All],8,FALSE)</f>
        <v>1</v>
      </c>
      <c r="L398" s="152" t="str">
        <f>VLOOKUP(woodflow[[#This Row],[From]],woodstock[#All],9,FALSE)</f>
        <v>nan</v>
      </c>
      <c r="M398" s="152" t="str">
        <f>VLOOKUP(woodflow[[#This Row],[to]],woodstock[#All],9,FALSE)</f>
        <v>62-63-64</v>
      </c>
      <c r="N398" s="157">
        <f>SUM(N399:N401)</f>
        <v>105.2360212276287</v>
      </c>
      <c r="O398" s="148" t="s">
        <v>920</v>
      </c>
      <c r="P398" s="148" t="s">
        <v>232</v>
      </c>
      <c r="Q398" s="154"/>
      <c r="R398" s="1"/>
      <c r="S398" s="13"/>
      <c r="T398" s="1"/>
      <c r="U398" s="1"/>
      <c r="V398" s="1"/>
    </row>
    <row r="399" spans="1:22" x14ac:dyDescent="0.3">
      <c r="A399" s="5" t="str">
        <f>CONCATENATE("F",IF(B399&lt;&gt;"",COUNTA($B$2:B399),""))</f>
        <v>F246</v>
      </c>
      <c r="B399" s="5" t="s">
        <v>371</v>
      </c>
      <c r="C399" s="5" t="s">
        <v>406</v>
      </c>
      <c r="D399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399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25.67027606783962</v>
      </c>
      <c r="F399" s="148">
        <f>VLOOKUP(woodflow[[#This Row],[From]],woodstock[#All],4,FALSE)</f>
        <v>2021</v>
      </c>
      <c r="G399" s="5" t="str">
        <f>VLOOKUP(woodflow[[#This Row],[From]],woodstock[#All],5,FALSE)</f>
        <v>Global</v>
      </c>
      <c r="H399" s="151" t="str">
        <f>VLOOKUP(woodflow[[#This Row],[From]],woodstock[#All],7,FALSE)</f>
        <v>56</v>
      </c>
      <c r="I399" s="151" t="str">
        <f>VLOOKUP(woodflow[[#This Row],[to]],woodstock[#All],7,FALSE)</f>
        <v>62</v>
      </c>
      <c r="J399" s="151" t="str">
        <f>VLOOKUP(woodflow[[#This Row],[From]],woodstock[#All],8,FALSE)</f>
        <v>0</v>
      </c>
      <c r="K399" s="151" t="str">
        <f>VLOOKUP(woodflow[[#This Row],[to]],woodstock[#All],8,FALSE)</f>
        <v>0</v>
      </c>
      <c r="L399" s="152" t="str">
        <f>VLOOKUP(woodflow[[#This Row],[From]],woodstock[#All],9,FALSE)</f>
        <v>nan</v>
      </c>
      <c r="M399" s="152" t="str">
        <f>VLOOKUP(woodflow[[#This Row],[to]],woodstock[#All],9,FALSE)</f>
        <v>nan</v>
      </c>
      <c r="N399" s="157">
        <f>N392*woodratio!I145</f>
        <v>25.67027606783962</v>
      </c>
      <c r="O399" s="148" t="s">
        <v>920</v>
      </c>
      <c r="P399" s="148" t="s">
        <v>233</v>
      </c>
      <c r="Q399" s="154"/>
      <c r="R399" s="1"/>
      <c r="S399" s="13"/>
      <c r="T399" s="1"/>
      <c r="U399" s="1"/>
      <c r="V399" s="1"/>
    </row>
    <row r="400" spans="1:22" x14ac:dyDescent="0.3">
      <c r="A400" s="5" t="str">
        <f>CONCATENATE("F",IF(B400&lt;&gt;"",COUNTA($B$2:B400),""))</f>
        <v>F247</v>
      </c>
      <c r="B400" s="5" t="s">
        <v>371</v>
      </c>
      <c r="C400" s="5" t="s">
        <v>352</v>
      </c>
      <c r="D40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59.331607645398911</v>
      </c>
      <c r="F400" s="148">
        <f>VLOOKUP(woodflow[[#This Row],[From]],woodstock[#All],4,FALSE)</f>
        <v>2021</v>
      </c>
      <c r="G400" s="5" t="str">
        <f>VLOOKUP(woodflow[[#This Row],[From]],woodstock[#All],5,FALSE)</f>
        <v>Global</v>
      </c>
      <c r="H400" s="151" t="str">
        <f>VLOOKUP(woodflow[[#This Row],[From]],woodstock[#All],7,FALSE)</f>
        <v>56</v>
      </c>
      <c r="I400" s="151" t="str">
        <f>VLOOKUP(woodflow[[#This Row],[to]],woodstock[#All],7,FALSE)</f>
        <v>63</v>
      </c>
      <c r="J400" s="151" t="str">
        <f>VLOOKUP(woodflow[[#This Row],[From]],woodstock[#All],8,FALSE)</f>
        <v>0</v>
      </c>
      <c r="K400" s="151" t="str">
        <f>VLOOKUP(woodflow[[#This Row],[to]],woodstock[#All],8,FALSE)</f>
        <v>0</v>
      </c>
      <c r="L400" s="152" t="str">
        <f>VLOOKUP(woodflow[[#This Row],[From]],woodstock[#All],9,FALSE)</f>
        <v>nan</v>
      </c>
      <c r="M400" s="152" t="str">
        <f>VLOOKUP(woodflow[[#This Row],[to]],woodstock[#All],9,FALSE)</f>
        <v>nan</v>
      </c>
      <c r="N400" s="157">
        <f>N392*woodratio!I146</f>
        <v>59.331607645398911</v>
      </c>
      <c r="O400" s="148" t="s">
        <v>920</v>
      </c>
      <c r="P400" s="148" t="s">
        <v>233</v>
      </c>
      <c r="Q400" s="148"/>
      <c r="R400" s="1"/>
      <c r="S400" s="1"/>
      <c r="T400" s="1"/>
      <c r="U400" s="1"/>
      <c r="V400" s="1"/>
    </row>
    <row r="401" spans="1:22" x14ac:dyDescent="0.3">
      <c r="A401" s="5" t="str">
        <f>CONCATENATE("F",IF(B401&lt;&gt;"",COUNTA($B$2:B401),""))</f>
        <v>F248</v>
      </c>
      <c r="B401" s="5" t="s">
        <v>371</v>
      </c>
      <c r="C401" s="5" t="s">
        <v>373</v>
      </c>
      <c r="D40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20.234137514390174</v>
      </c>
      <c r="F401" s="148">
        <f>VLOOKUP(woodflow[[#This Row],[From]],woodstock[#All],4,FALSE)</f>
        <v>2021</v>
      </c>
      <c r="G401" s="5" t="str">
        <f>VLOOKUP(woodflow[[#This Row],[From]],woodstock[#All],5,FALSE)</f>
        <v>Global</v>
      </c>
      <c r="H401" s="151" t="str">
        <f>VLOOKUP(woodflow[[#This Row],[From]],woodstock[#All],7,FALSE)</f>
        <v>56</v>
      </c>
      <c r="I401" s="151" t="str">
        <f>VLOOKUP(woodflow[[#This Row],[to]],woodstock[#All],7,FALSE)</f>
        <v>64</v>
      </c>
      <c r="J401" s="151" t="str">
        <f>VLOOKUP(woodflow[[#This Row],[From]],woodstock[#All],8,FALSE)</f>
        <v>0</v>
      </c>
      <c r="K401" s="151" t="str">
        <f>VLOOKUP(woodflow[[#This Row],[to]],woodstock[#All],8,FALSE)</f>
        <v>0</v>
      </c>
      <c r="L401" s="152" t="str">
        <f>VLOOKUP(woodflow[[#This Row],[From]],woodstock[#All],9,FALSE)</f>
        <v>nan</v>
      </c>
      <c r="M401" s="152" t="str">
        <f>VLOOKUP(woodflow[[#This Row],[to]],woodstock[#All],9,FALSE)</f>
        <v>nan</v>
      </c>
      <c r="N401" s="157">
        <f>N392*woodratio!I147</f>
        <v>20.234137514390174</v>
      </c>
      <c r="O401" s="148" t="s">
        <v>920</v>
      </c>
      <c r="P401" s="148" t="s">
        <v>233</v>
      </c>
      <c r="Q401" s="148"/>
      <c r="R401" s="1"/>
      <c r="S401" s="1"/>
      <c r="T401" s="1"/>
      <c r="U401" s="1"/>
      <c r="V401" s="1"/>
    </row>
    <row r="402" spans="1:22" x14ac:dyDescent="0.3">
      <c r="A402" s="5" t="str">
        <f>CONCATENATE("F",IF(B402&lt;&gt;"",COUNTA($B$2:B402),""))</f>
        <v>F</v>
      </c>
      <c r="B402" s="148"/>
      <c r="C402" s="148"/>
      <c r="D402" s="149"/>
      <c r="E402" s="149"/>
      <c r="F402" s="148"/>
      <c r="G402" s="148"/>
      <c r="H402" s="151"/>
      <c r="I402" s="151"/>
      <c r="J402" s="151"/>
      <c r="K402" s="151"/>
      <c r="L402" s="152"/>
      <c r="M402" s="152"/>
      <c r="N402" s="157"/>
      <c r="O402" s="148"/>
      <c r="P402" s="148"/>
      <c r="Q402" s="148"/>
      <c r="R402" s="1"/>
      <c r="S402" s="1"/>
      <c r="T402" s="1"/>
      <c r="U402" s="1"/>
      <c r="V402" s="1"/>
    </row>
    <row r="403" spans="1:22" x14ac:dyDescent="0.3">
      <c r="A403" s="5" t="str">
        <f>CONCATENATE("F",IF(B403&lt;&gt;"",COUNTA($B$2:B403),""))</f>
        <v>F</v>
      </c>
      <c r="B403" s="148"/>
      <c r="C403" s="148"/>
      <c r="D403" s="149"/>
      <c r="E403" s="149"/>
      <c r="F403" s="148"/>
      <c r="G403" s="148"/>
      <c r="H403" s="151"/>
      <c r="I403" s="151"/>
      <c r="J403" s="151"/>
      <c r="K403" s="151"/>
      <c r="L403" s="152"/>
      <c r="M403" s="152"/>
      <c r="N403" s="157"/>
      <c r="O403" s="148"/>
      <c r="P403" s="148"/>
      <c r="Q403" s="148"/>
      <c r="R403" s="1"/>
      <c r="S403" s="1"/>
      <c r="T403" s="1"/>
      <c r="U403" s="1"/>
      <c r="V403" s="1"/>
    </row>
    <row r="404" spans="1:22" x14ac:dyDescent="0.3">
      <c r="A404" s="5" t="str">
        <f>CONCATENATE("F",IF(B404&lt;&gt;"",COUNTA($B$2:B404),""))</f>
        <v>F249</v>
      </c>
      <c r="B404" s="5" t="s">
        <v>372</v>
      </c>
      <c r="C404" s="5" t="s">
        <v>350</v>
      </c>
      <c r="D40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360.73597514499994</v>
      </c>
      <c r="E40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4" s="148">
        <f>VLOOKUP(woodflow[[#This Row],[From]],woodstock[#All],4,FALSE)</f>
        <v>2021</v>
      </c>
      <c r="G404" s="5" t="str">
        <f>VLOOKUP(woodflow[[#This Row],[From]],woodstock[#All],5,FALSE)</f>
        <v>Global</v>
      </c>
      <c r="H404" s="151" t="str">
        <f>VLOOKUP(woodflow[[#This Row],[From]],woodstock[#All],7,FALSE)</f>
        <v>57</v>
      </c>
      <c r="I404" s="151" t="str">
        <f>VLOOKUP(woodflow[[#This Row],[to]],woodstock[#All],7,FALSE)</f>
        <v>20</v>
      </c>
      <c r="J404" s="151" t="str">
        <f>VLOOKUP(woodflow[[#This Row],[From]],woodstock[#All],8,FALSE)</f>
        <v>0</v>
      </c>
      <c r="K404" s="151" t="str">
        <f>VLOOKUP(woodflow[[#This Row],[to]],woodstock[#All],8,FALSE)</f>
        <v>1</v>
      </c>
      <c r="L404" s="152" t="str">
        <f>VLOOKUP(woodflow[[#This Row],[From]],woodstock[#All],9,FALSE)</f>
        <v>nan</v>
      </c>
      <c r="M404" s="152" t="str">
        <f>VLOOKUP(woodflow[[#This Row],[to]],woodstock[#All],9,FALSE)</f>
        <v>58-59-60-61-62-63-64</v>
      </c>
      <c r="N404" s="157">
        <f>(N314+N322)*'supporting-percentages'!B76</f>
        <v>360.73597514499994</v>
      </c>
      <c r="O404" s="148" t="s">
        <v>921</v>
      </c>
      <c r="P404" s="148" t="s">
        <v>455</v>
      </c>
      <c r="Q404" s="153"/>
      <c r="R404" s="1"/>
      <c r="S404" s="13"/>
      <c r="T404" s="13"/>
      <c r="U404" s="13"/>
      <c r="V404" s="1"/>
    </row>
    <row r="405" spans="1:22" x14ac:dyDescent="0.3">
      <c r="A405" s="5" t="str">
        <f>CONCATENATE("F",IF(B405&lt;&gt;"",COUNTA($B$2:B405),""))</f>
        <v>F250</v>
      </c>
      <c r="B405" s="5" t="s">
        <v>372</v>
      </c>
      <c r="C405" s="5" t="s">
        <v>392</v>
      </c>
      <c r="D40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230.60336312302684</v>
      </c>
      <c r="F405" s="148">
        <f>VLOOKUP(woodflow[[#This Row],[From]],woodstock[#All],4,FALSE)</f>
        <v>2021</v>
      </c>
      <c r="G405" s="5" t="str">
        <f>VLOOKUP(woodflow[[#This Row],[From]],woodstock[#All],5,FALSE)</f>
        <v>Global</v>
      </c>
      <c r="H405" s="151" t="str">
        <f>VLOOKUP(woodflow[[#This Row],[From]],woodstock[#All],7,FALSE)</f>
        <v>57</v>
      </c>
      <c r="I405" s="151" t="str">
        <f>VLOOKUP(woodflow[[#This Row],[to]],woodstock[#All],7,FALSE)</f>
        <v>21</v>
      </c>
      <c r="J405" s="151" t="str">
        <f>VLOOKUP(woodflow[[#This Row],[From]],woodstock[#All],8,FALSE)</f>
        <v>0</v>
      </c>
      <c r="K405" s="151" t="str">
        <f>VLOOKUP(woodflow[[#This Row],[to]],woodstock[#All],8,FALSE)</f>
        <v>1</v>
      </c>
      <c r="L405" s="152" t="str">
        <f>VLOOKUP(woodflow[[#This Row],[From]],woodstock[#All],9,FALSE)</f>
        <v>nan</v>
      </c>
      <c r="M405" s="152" t="str">
        <f>VLOOKUP(woodflow[[#This Row],[to]],woodstock[#All],9,FALSE)</f>
        <v>58-59-60-61</v>
      </c>
      <c r="N405" s="157">
        <f>N406+N407+N408+N409</f>
        <v>230.60336312302684</v>
      </c>
      <c r="O405" s="148" t="s">
        <v>920</v>
      </c>
      <c r="P405" s="148" t="s">
        <v>233</v>
      </c>
      <c r="Q405" s="154"/>
      <c r="R405" s="1"/>
      <c r="S405" s="1"/>
      <c r="T405" s="1"/>
      <c r="U405" s="1"/>
      <c r="V405" s="1"/>
    </row>
    <row r="406" spans="1:22" x14ac:dyDescent="0.3">
      <c r="A406" s="5" t="str">
        <f>CONCATENATE("F",IF(B406&lt;&gt;"",COUNTA($B$2:B406),""))</f>
        <v>F251</v>
      </c>
      <c r="B406" s="5" t="s">
        <v>372</v>
      </c>
      <c r="C406" s="5" t="s">
        <v>351</v>
      </c>
      <c r="D40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26.795726478740772</v>
      </c>
      <c r="F406" s="148">
        <f>VLOOKUP(woodflow[[#This Row],[From]],woodstock[#All],4,FALSE)</f>
        <v>2021</v>
      </c>
      <c r="G406" s="5" t="str">
        <f>VLOOKUP(woodflow[[#This Row],[From]],woodstock[#All],5,FALSE)</f>
        <v>Global</v>
      </c>
      <c r="H406" s="151" t="str">
        <f>VLOOKUP(woodflow[[#This Row],[From]],woodstock[#All],7,FALSE)</f>
        <v>57</v>
      </c>
      <c r="I406" s="151" t="str">
        <f>VLOOKUP(woodflow[[#This Row],[to]],woodstock[#All],7,FALSE)</f>
        <v>58</v>
      </c>
      <c r="J406" s="151" t="str">
        <f>VLOOKUP(woodflow[[#This Row],[From]],woodstock[#All],8,FALSE)</f>
        <v>0</v>
      </c>
      <c r="K406" s="151" t="str">
        <f>VLOOKUP(woodflow[[#This Row],[to]],woodstock[#All],8,FALSE)</f>
        <v>0</v>
      </c>
      <c r="L406" s="152" t="str">
        <f>VLOOKUP(woodflow[[#This Row],[From]],woodstock[#All],9,FALSE)</f>
        <v>nan</v>
      </c>
      <c r="M406" s="152" t="str">
        <f>VLOOKUP(woodflow[[#This Row],[to]],woodstock[#All],9,FALSE)</f>
        <v>nan</v>
      </c>
      <c r="N406" s="157">
        <f>N404*woodratio!I150</f>
        <v>26.795726478740772</v>
      </c>
      <c r="O406" s="148" t="s">
        <v>920</v>
      </c>
      <c r="P406" s="148" t="s">
        <v>233</v>
      </c>
      <c r="Q406" s="153"/>
      <c r="R406" s="1"/>
      <c r="S406" s="1"/>
      <c r="T406" s="1"/>
      <c r="U406" s="1"/>
      <c r="V406" s="1"/>
    </row>
    <row r="407" spans="1:22" x14ac:dyDescent="0.3">
      <c r="A407" s="5" t="str">
        <f>CONCATENATE("F",IF(B407&lt;&gt;"",COUNTA($B$2:B407),""))</f>
        <v>F252</v>
      </c>
      <c r="B407" s="5" t="s">
        <v>372</v>
      </c>
      <c r="C407" s="5" t="s">
        <v>916</v>
      </c>
      <c r="D40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0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7" s="148">
        <f>VLOOKUP(woodflow[[#This Row],[From]],woodstock[#All],4,FALSE)</f>
        <v>2021</v>
      </c>
      <c r="G407" s="5" t="str">
        <f>VLOOKUP(woodflow[[#This Row],[From]],woodstock[#All],5,FALSE)</f>
        <v>Global</v>
      </c>
      <c r="H407" s="151" t="str">
        <f>VLOOKUP(woodflow[[#This Row],[From]],woodstock[#All],7,FALSE)</f>
        <v>57</v>
      </c>
      <c r="I407" s="151" t="str">
        <f>VLOOKUP(woodflow[[#This Row],[to]],woodstock[#All],7,FALSE)</f>
        <v>59</v>
      </c>
      <c r="J407" s="151" t="str">
        <f>VLOOKUP(woodflow[[#This Row],[From]],woodstock[#All],8,FALSE)</f>
        <v>0</v>
      </c>
      <c r="K407" s="151" t="str">
        <f>VLOOKUP(woodflow[[#This Row],[to]],woodstock[#All],8,FALSE)</f>
        <v>0</v>
      </c>
      <c r="L407" s="152" t="str">
        <f>VLOOKUP(woodflow[[#This Row],[From]],woodstock[#All],9,FALSE)</f>
        <v>nan</v>
      </c>
      <c r="M407" s="152" t="str">
        <f>VLOOKUP(woodflow[[#This Row],[to]],woodstock[#All],9,FALSE)</f>
        <v>nan</v>
      </c>
      <c r="N407" s="157">
        <v>0</v>
      </c>
      <c r="O407" s="148" t="s">
        <v>209</v>
      </c>
      <c r="P407" s="148"/>
      <c r="Q407" s="148"/>
      <c r="R407" s="1"/>
      <c r="S407" s="1"/>
      <c r="T407" s="1"/>
      <c r="U407" s="1"/>
      <c r="V407" s="1"/>
    </row>
    <row r="408" spans="1:22" x14ac:dyDescent="0.3">
      <c r="A408" s="5" t="str">
        <f>CONCATENATE("F",IF(B408&lt;&gt;"",COUNTA($B$2:B408),""))</f>
        <v>F253</v>
      </c>
      <c r="B408" s="5" t="s">
        <v>372</v>
      </c>
      <c r="C408" s="5" t="s">
        <v>917</v>
      </c>
      <c r="D40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192.75765199999998</v>
      </c>
      <c r="E40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08" s="148">
        <f>VLOOKUP(woodflow[[#This Row],[From]],woodstock[#All],4,FALSE)</f>
        <v>2021</v>
      </c>
      <c r="G408" s="5" t="str">
        <f>VLOOKUP(woodflow[[#This Row],[From]],woodstock[#All],5,FALSE)</f>
        <v>Global</v>
      </c>
      <c r="H408" s="151" t="str">
        <f>VLOOKUP(woodflow[[#This Row],[From]],woodstock[#All],7,FALSE)</f>
        <v>57</v>
      </c>
      <c r="I408" s="151" t="str">
        <f>VLOOKUP(woodflow[[#This Row],[to]],woodstock[#All],7,FALSE)</f>
        <v>60</v>
      </c>
      <c r="J408" s="151" t="str">
        <f>VLOOKUP(woodflow[[#This Row],[From]],woodstock[#All],8,FALSE)</f>
        <v>0</v>
      </c>
      <c r="K408" s="151" t="str">
        <f>VLOOKUP(woodflow[[#This Row],[to]],woodstock[#All],8,FALSE)</f>
        <v>0</v>
      </c>
      <c r="L408" s="152" t="str">
        <f>VLOOKUP(woodflow[[#This Row],[From]],woodstock[#All],9,FALSE)</f>
        <v>nan</v>
      </c>
      <c r="M408" s="152" t="str">
        <f>VLOOKUP(woodflow[[#This Row],[to]],woodstock[#All],9,FALSE)</f>
        <v>nan</v>
      </c>
      <c r="N408" s="157">
        <f>'faostat-data'!Q120-N325</f>
        <v>192.75765199999998</v>
      </c>
      <c r="O408" s="148" t="s">
        <v>921</v>
      </c>
      <c r="P408" s="148" t="s">
        <v>232</v>
      </c>
      <c r="Q408" s="158" t="s">
        <v>227</v>
      </c>
      <c r="R408" s="1"/>
      <c r="S408" s="1"/>
      <c r="T408" s="1"/>
      <c r="U408" s="1"/>
      <c r="V408" s="1"/>
    </row>
    <row r="409" spans="1:22" x14ac:dyDescent="0.3">
      <c r="A409" s="5" t="str">
        <f>CONCATENATE("F",IF(B409&lt;&gt;"",COUNTA($B$2:B409),""))</f>
        <v>F254</v>
      </c>
      <c r="B409" s="5" t="s">
        <v>372</v>
      </c>
      <c r="C409" s="5" t="s">
        <v>391</v>
      </c>
      <c r="D409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09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11.049984644286086</v>
      </c>
      <c r="F409" s="148">
        <f>VLOOKUP(woodflow[[#This Row],[From]],woodstock[#All],4,FALSE)</f>
        <v>2021</v>
      </c>
      <c r="G409" s="5" t="str">
        <f>VLOOKUP(woodflow[[#This Row],[From]],woodstock[#All],5,FALSE)</f>
        <v>Global</v>
      </c>
      <c r="H409" s="151" t="str">
        <f>VLOOKUP(woodflow[[#This Row],[From]],woodstock[#All],7,FALSE)</f>
        <v>57</v>
      </c>
      <c r="I409" s="151" t="str">
        <f>VLOOKUP(woodflow[[#This Row],[to]],woodstock[#All],7,FALSE)</f>
        <v>61</v>
      </c>
      <c r="J409" s="151" t="str">
        <f>VLOOKUP(woodflow[[#This Row],[From]],woodstock[#All],8,FALSE)</f>
        <v>0</v>
      </c>
      <c r="K409" s="151" t="str">
        <f>VLOOKUP(woodflow[[#This Row],[to]],woodstock[#All],8,FALSE)</f>
        <v>0</v>
      </c>
      <c r="L409" s="152" t="str">
        <f>VLOOKUP(woodflow[[#This Row],[From]],woodstock[#All],9,FALSE)</f>
        <v>nan</v>
      </c>
      <c r="M409" s="152" t="str">
        <f>VLOOKUP(woodflow[[#This Row],[to]],woodstock[#All],9,FALSE)</f>
        <v>nan</v>
      </c>
      <c r="N409" s="157">
        <f>N404*woodratio!I152</f>
        <v>11.049984644286086</v>
      </c>
      <c r="O409" s="148" t="s">
        <v>920</v>
      </c>
      <c r="P409" s="148" t="s">
        <v>232</v>
      </c>
      <c r="Q409" s="159"/>
      <c r="R409" s="1"/>
      <c r="S409" s="1"/>
      <c r="T409" s="1"/>
      <c r="U409" s="1"/>
      <c r="V409" s="1"/>
    </row>
    <row r="410" spans="1:22" x14ac:dyDescent="0.3">
      <c r="A410" s="5" t="str">
        <f>CONCATENATE("F",IF(B410&lt;&gt;"",COUNTA($B$2:B410),""))</f>
        <v>F255</v>
      </c>
      <c r="B410" s="5" t="s">
        <v>372</v>
      </c>
      <c r="C410" s="5" t="s">
        <v>403</v>
      </c>
      <c r="D41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130.13261202197307</v>
      </c>
      <c r="F410" s="148">
        <f>VLOOKUP(woodflow[[#This Row],[From]],woodstock[#All],4,FALSE)</f>
        <v>2021</v>
      </c>
      <c r="G410" s="5" t="str">
        <f>VLOOKUP(woodflow[[#This Row],[From]],woodstock[#All],5,FALSE)</f>
        <v>Global</v>
      </c>
      <c r="H410" s="151" t="str">
        <f>VLOOKUP(woodflow[[#This Row],[From]],woodstock[#All],7,FALSE)</f>
        <v>57</v>
      </c>
      <c r="I410" s="151" t="str">
        <f>VLOOKUP(woodflow[[#This Row],[to]],woodstock[#All],7,FALSE)</f>
        <v>22</v>
      </c>
      <c r="J410" s="151" t="str">
        <f>VLOOKUP(woodflow[[#This Row],[From]],woodstock[#All],8,FALSE)</f>
        <v>0</v>
      </c>
      <c r="K410" s="151" t="str">
        <f>VLOOKUP(woodflow[[#This Row],[to]],woodstock[#All],8,FALSE)</f>
        <v>1</v>
      </c>
      <c r="L410" s="152" t="str">
        <f>VLOOKUP(woodflow[[#This Row],[From]],woodstock[#All],9,FALSE)</f>
        <v>nan</v>
      </c>
      <c r="M410" s="152" t="str">
        <f>VLOOKUP(woodflow[[#This Row],[to]],woodstock[#All],9,FALSE)</f>
        <v>62-63-64</v>
      </c>
      <c r="N410" s="157">
        <f>N411+N412+N413</f>
        <v>130.13261202197307</v>
      </c>
      <c r="O410" s="148" t="s">
        <v>920</v>
      </c>
      <c r="P410" s="148" t="s">
        <v>232</v>
      </c>
      <c r="Q410" s="154"/>
      <c r="R410" s="1"/>
      <c r="S410" s="1"/>
      <c r="T410" s="1"/>
      <c r="U410" s="1"/>
      <c r="V410" s="1"/>
    </row>
    <row r="411" spans="1:22" x14ac:dyDescent="0.3">
      <c r="A411" s="5" t="str">
        <f>CONCATENATE("F",IF(B411&lt;&gt;"",COUNTA($B$2:B411),""))</f>
        <v>F256</v>
      </c>
      <c r="B411" s="5" t="s">
        <v>372</v>
      </c>
      <c r="C411" s="5" t="s">
        <v>406</v>
      </c>
      <c r="D41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11.48388277660319</v>
      </c>
      <c r="F411" s="148">
        <f>VLOOKUP(woodflow[[#This Row],[From]],woodstock[#All],4,FALSE)</f>
        <v>2021</v>
      </c>
      <c r="G411" s="5" t="str">
        <f>VLOOKUP(woodflow[[#This Row],[From]],woodstock[#All],5,FALSE)</f>
        <v>Global</v>
      </c>
      <c r="H411" s="151" t="str">
        <f>VLOOKUP(woodflow[[#This Row],[From]],woodstock[#All],7,FALSE)</f>
        <v>57</v>
      </c>
      <c r="I411" s="151" t="str">
        <f>VLOOKUP(woodflow[[#This Row],[to]],woodstock[#All],7,FALSE)</f>
        <v>62</v>
      </c>
      <c r="J411" s="151" t="str">
        <f>VLOOKUP(woodflow[[#This Row],[From]],woodstock[#All],8,FALSE)</f>
        <v>0</v>
      </c>
      <c r="K411" s="151" t="str">
        <f>VLOOKUP(woodflow[[#This Row],[to]],woodstock[#All],8,FALSE)</f>
        <v>0</v>
      </c>
      <c r="L411" s="152" t="str">
        <f>VLOOKUP(woodflow[[#This Row],[From]],woodstock[#All],9,FALSE)</f>
        <v>nan</v>
      </c>
      <c r="M411" s="152" t="str">
        <f>VLOOKUP(woodflow[[#This Row],[to]],woodstock[#All],9,FALSE)</f>
        <v>nan</v>
      </c>
      <c r="N411" s="157">
        <f>N404*woodratio!I153</f>
        <v>11.48388277660319</v>
      </c>
      <c r="O411" s="148" t="s">
        <v>920</v>
      </c>
      <c r="P411" s="148" t="s">
        <v>233</v>
      </c>
      <c r="Q411" s="153"/>
      <c r="R411" s="1"/>
      <c r="S411" s="1"/>
      <c r="T411" s="1"/>
      <c r="U411" s="1"/>
      <c r="V411" s="1"/>
    </row>
    <row r="412" spans="1:22" x14ac:dyDescent="0.3">
      <c r="A412" s="5" t="str">
        <f>CONCATENATE("F",IF(B412&lt;&gt;"",COUNTA($B$2:B412),""))</f>
        <v>F257</v>
      </c>
      <c r="B412" s="5" t="s">
        <v>372</v>
      </c>
      <c r="C412" s="5" t="s">
        <v>352</v>
      </c>
      <c r="D41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88.475509618794277</v>
      </c>
      <c r="F412" s="148">
        <f>VLOOKUP(woodflow[[#This Row],[From]],woodstock[#All],4,FALSE)</f>
        <v>2021</v>
      </c>
      <c r="G412" s="5" t="str">
        <f>VLOOKUP(woodflow[[#This Row],[From]],woodstock[#All],5,FALSE)</f>
        <v>Global</v>
      </c>
      <c r="H412" s="151" t="str">
        <f>VLOOKUP(woodflow[[#This Row],[From]],woodstock[#All],7,FALSE)</f>
        <v>57</v>
      </c>
      <c r="I412" s="151" t="str">
        <f>VLOOKUP(woodflow[[#This Row],[to]],woodstock[#All],7,FALSE)</f>
        <v>63</v>
      </c>
      <c r="J412" s="151" t="str">
        <f>VLOOKUP(woodflow[[#This Row],[From]],woodstock[#All],8,FALSE)</f>
        <v>0</v>
      </c>
      <c r="K412" s="151" t="str">
        <f>VLOOKUP(woodflow[[#This Row],[to]],woodstock[#All],8,FALSE)</f>
        <v>0</v>
      </c>
      <c r="L412" s="152" t="str">
        <f>VLOOKUP(woodflow[[#This Row],[From]],woodstock[#All],9,FALSE)</f>
        <v>nan</v>
      </c>
      <c r="M412" s="152" t="str">
        <f>VLOOKUP(woodflow[[#This Row],[to]],woodstock[#All],9,FALSE)</f>
        <v>nan</v>
      </c>
      <c r="N412" s="157">
        <f>N404*woodratio!I154</f>
        <v>88.475509618794277</v>
      </c>
      <c r="O412" s="148" t="s">
        <v>920</v>
      </c>
      <c r="P412" s="148" t="s">
        <v>233</v>
      </c>
      <c r="Q412" s="153"/>
      <c r="R412" s="1"/>
      <c r="S412" s="1"/>
      <c r="T412" s="1"/>
      <c r="U412" s="1"/>
      <c r="V412" s="1"/>
    </row>
    <row r="413" spans="1:22" x14ac:dyDescent="0.3">
      <c r="A413" s="5" t="str">
        <f>CONCATENATE("F",IF(B413&lt;&gt;"",COUNTA($B$2:B413),""))</f>
        <v>F258</v>
      </c>
      <c r="B413" s="5" t="s">
        <v>372</v>
      </c>
      <c r="C413" s="5" t="s">
        <v>373</v>
      </c>
      <c r="D41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1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30.173219626575605</v>
      </c>
      <c r="F413" s="148">
        <f>VLOOKUP(woodflow[[#This Row],[From]],woodstock[#All],4,FALSE)</f>
        <v>2021</v>
      </c>
      <c r="G413" s="5" t="str">
        <f>VLOOKUP(woodflow[[#This Row],[From]],woodstock[#All],5,FALSE)</f>
        <v>Global</v>
      </c>
      <c r="H413" s="151" t="str">
        <f>VLOOKUP(woodflow[[#This Row],[From]],woodstock[#All],7,FALSE)</f>
        <v>57</v>
      </c>
      <c r="I413" s="151" t="str">
        <f>VLOOKUP(woodflow[[#This Row],[to]],woodstock[#All],7,FALSE)</f>
        <v>64</v>
      </c>
      <c r="J413" s="151" t="str">
        <f>VLOOKUP(woodflow[[#This Row],[From]],woodstock[#All],8,FALSE)</f>
        <v>0</v>
      </c>
      <c r="K413" s="151" t="str">
        <f>VLOOKUP(woodflow[[#This Row],[to]],woodstock[#All],8,FALSE)</f>
        <v>0</v>
      </c>
      <c r="L413" s="152" t="str">
        <f>VLOOKUP(woodflow[[#This Row],[From]],woodstock[#All],9,FALSE)</f>
        <v>nan</v>
      </c>
      <c r="M413" s="152" t="str">
        <f>VLOOKUP(woodflow[[#This Row],[to]],woodstock[#All],9,FALSE)</f>
        <v>nan</v>
      </c>
      <c r="N413" s="157">
        <f>N404*woodratio!I155</f>
        <v>30.173219626575605</v>
      </c>
      <c r="O413" s="148" t="s">
        <v>920</v>
      </c>
      <c r="P413" s="148" t="s">
        <v>233</v>
      </c>
      <c r="Q413" s="154"/>
      <c r="R413" s="1"/>
      <c r="S413" s="1"/>
      <c r="T413" s="1"/>
      <c r="U413" s="1"/>
      <c r="V413" s="1"/>
    </row>
    <row r="414" spans="1:22" x14ac:dyDescent="0.3">
      <c r="A414" s="5" t="str">
        <f>CONCATENATE("F",IF(B414&lt;&gt;"",COUNTA($B$2:B414),""))</f>
        <v>F</v>
      </c>
      <c r="B414" s="148"/>
      <c r="C414" s="148"/>
      <c r="D414" s="149"/>
      <c r="E414" s="149"/>
      <c r="F414" s="148"/>
      <c r="G414" s="5"/>
      <c r="H414" s="151"/>
      <c r="I414" s="151"/>
      <c r="J414" s="151"/>
      <c r="K414" s="151"/>
      <c r="L414" s="152"/>
      <c r="M414" s="152"/>
      <c r="N414" s="157"/>
      <c r="O414" s="148"/>
      <c r="P414" s="148"/>
      <c r="Q414" s="148"/>
      <c r="R414" s="1"/>
      <c r="S414" s="1"/>
      <c r="T414" s="1"/>
      <c r="U414" s="1"/>
      <c r="V414" s="1"/>
    </row>
    <row r="415" spans="1:22" x14ac:dyDescent="0.3">
      <c r="A415" s="5" t="str">
        <f>CONCATENATE("F",IF(B415&lt;&gt;"",COUNTA($B$2:B415),""))</f>
        <v>F</v>
      </c>
      <c r="B415" s="148"/>
      <c r="C415" s="148"/>
      <c r="D415" s="149"/>
      <c r="E415" s="149"/>
      <c r="F415" s="148"/>
      <c r="G415" s="148"/>
      <c r="H415" s="151"/>
      <c r="I415" s="151"/>
      <c r="J415" s="151"/>
      <c r="K415" s="151"/>
      <c r="L415" s="152"/>
      <c r="M415" s="152"/>
      <c r="N415" s="157"/>
      <c r="O415" s="148"/>
      <c r="P415" s="148"/>
      <c r="Q415" s="148"/>
      <c r="R415" s="1"/>
      <c r="S415" s="1"/>
      <c r="T415" s="1"/>
      <c r="U415" s="1"/>
      <c r="V415" s="1"/>
    </row>
    <row r="416" spans="1:22" x14ac:dyDescent="0.3">
      <c r="A416" s="5" t="str">
        <f>CONCATENATE("F",IF(B416&lt;&gt;"",COUNTA($B$2:B416),""))</f>
        <v>F259</v>
      </c>
      <c r="B416" s="148" t="s">
        <v>29</v>
      </c>
      <c r="C416" s="148" t="s">
        <v>53</v>
      </c>
      <c r="D41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79.684619701100999</v>
      </c>
      <c r="E41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6" s="148" t="str">
        <f>VLOOKUP(woodflow[[#This Row],[From]],woodstock[#All],4,FALSE)</f>
        <v>2021</v>
      </c>
      <c r="G416" s="5" t="str">
        <f>VLOOKUP(woodflow[[#This Row],[From]],woodstock[#All],5,FALSE)</f>
        <v>Global</v>
      </c>
      <c r="H416" s="151" t="str">
        <f>VLOOKUP(woodflow[[#This Row],[From]],woodstock[#All],7,FALSE)</f>
        <v>50</v>
      </c>
      <c r="I416" s="151" t="str">
        <f>VLOOKUP(woodflow[[#This Row],[to]],woodstock[#All],7,FALSE)</f>
        <v>15</v>
      </c>
      <c r="J416" s="151" t="str">
        <f>VLOOKUP(woodflow[[#This Row],[From]],woodstock[#All],8,FALSE)</f>
        <v>0</v>
      </c>
      <c r="K416" s="151" t="str">
        <f>VLOOKUP(woodflow[[#This Row],[to]],woodstock[#All],8,FALSE)</f>
        <v>0</v>
      </c>
      <c r="L416" s="152" t="str">
        <f>VLOOKUP(woodflow[[#This Row],[From]],woodstock[#All],9,FALSE)</f>
        <v>nan</v>
      </c>
      <c r="M416" s="152" t="str">
        <f>VLOOKUP(woodflow[[#This Row],[to]],woodstock[#All],9,FALSE)</f>
        <v>nan</v>
      </c>
      <c r="N416" s="157">
        <f>(N114+N180+N189+N209+N222)*'supporting-percentages'!B36</f>
        <v>79.684619701100999</v>
      </c>
      <c r="O416" s="148" t="s">
        <v>921</v>
      </c>
      <c r="P416" s="148" t="s">
        <v>455</v>
      </c>
      <c r="Q416" s="148"/>
      <c r="R416" s="1"/>
      <c r="S416" s="1"/>
      <c r="T416" s="1"/>
      <c r="U416" s="1"/>
      <c r="V416" s="1"/>
    </row>
    <row r="417" spans="1:22" x14ac:dyDescent="0.3">
      <c r="A417" s="5" t="str">
        <f>CONCATENATE("F",IF(B417&lt;&gt;"",COUNTA($B$2:B417),""))</f>
        <v>F</v>
      </c>
      <c r="B417" s="148"/>
      <c r="C417" s="148"/>
      <c r="D417" s="149"/>
      <c r="E417" s="149"/>
      <c r="F417" s="148"/>
      <c r="G417" s="148"/>
      <c r="H417" s="151"/>
      <c r="I417" s="151"/>
      <c r="J417" s="151"/>
      <c r="K417" s="151"/>
      <c r="L417" s="152"/>
      <c r="M417" s="152"/>
      <c r="N417" s="157"/>
      <c r="O417" s="148"/>
      <c r="P417" s="148"/>
      <c r="Q417" s="148"/>
      <c r="R417" s="1"/>
      <c r="S417" s="1"/>
      <c r="T417" s="1"/>
      <c r="U417" s="1"/>
      <c r="V417" s="1"/>
    </row>
    <row r="418" spans="1:22" x14ac:dyDescent="0.3">
      <c r="A418" s="5" t="str">
        <f>CONCATENATE("F",IF(B418&lt;&gt;"",COUNTA($B$2:B418),""))</f>
        <v>F</v>
      </c>
      <c r="B418" s="148"/>
      <c r="C418" s="148"/>
      <c r="D418" s="149"/>
      <c r="E418" s="149"/>
      <c r="F418" s="148"/>
      <c r="G418" s="148"/>
      <c r="H418" s="151"/>
      <c r="I418" s="151"/>
      <c r="J418" s="151"/>
      <c r="K418" s="151"/>
      <c r="L418" s="152"/>
      <c r="M418" s="152"/>
      <c r="N418" s="157"/>
      <c r="O418" s="148"/>
      <c r="P418" s="148"/>
      <c r="Q418" s="148"/>
      <c r="R418" s="1"/>
      <c r="S418" s="1"/>
      <c r="T418" s="1"/>
      <c r="U418" s="1"/>
      <c r="V418" s="1"/>
    </row>
    <row r="419" spans="1:22" x14ac:dyDescent="0.3">
      <c r="A419" s="5" t="str">
        <f>CONCATENATE("F",IF(B419&lt;&gt;"",COUNTA($B$2:B419),""))</f>
        <v>F260</v>
      </c>
      <c r="B419" s="148" t="s">
        <v>29</v>
      </c>
      <c r="C419" s="5" t="s">
        <v>350</v>
      </c>
      <c r="D41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147.98572230204473</v>
      </c>
      <c r="E41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19" s="148" t="str">
        <f>VLOOKUP(woodflow[[#This Row],[From]],woodstock[#All],4,FALSE)</f>
        <v>2021</v>
      </c>
      <c r="G419" s="5" t="str">
        <f>VLOOKUP(woodflow[[#This Row],[From]],woodstock[#All],5,FALSE)</f>
        <v>Global</v>
      </c>
      <c r="H419" s="151" t="str">
        <f>VLOOKUP(woodflow[[#This Row],[From]],woodstock[#All],7,FALSE)</f>
        <v>50</v>
      </c>
      <c r="I419" s="151" t="str">
        <f>VLOOKUP(woodflow[[#This Row],[to]],woodstock[#All],7,FALSE)</f>
        <v>20</v>
      </c>
      <c r="J419" s="151" t="str">
        <f>VLOOKUP(woodflow[[#This Row],[From]],woodstock[#All],8,FALSE)</f>
        <v>0</v>
      </c>
      <c r="K419" s="151" t="str">
        <f>VLOOKUP(woodflow[[#This Row],[to]],woodstock[#All],8,FALSE)</f>
        <v>1</v>
      </c>
      <c r="L419" s="152" t="str">
        <f>VLOOKUP(woodflow[[#This Row],[From]],woodstock[#All],9,FALSE)</f>
        <v>nan</v>
      </c>
      <c r="M419" s="152" t="str">
        <f>VLOOKUP(woodflow[[#This Row],[to]],woodstock[#All],9,FALSE)</f>
        <v>58-59-60-61-62-63-64</v>
      </c>
      <c r="N419" s="157">
        <f>(N114+N180+N189+N209+N222)*('supporting-percentages'!B37)</f>
        <v>147.98572230204473</v>
      </c>
      <c r="O419" s="148" t="s">
        <v>921</v>
      </c>
      <c r="P419" s="148" t="s">
        <v>455</v>
      </c>
      <c r="Q419" s="148"/>
      <c r="R419" s="1"/>
      <c r="S419" s="1"/>
      <c r="T419" s="1"/>
      <c r="U419" s="1"/>
      <c r="V419" s="1"/>
    </row>
    <row r="420" spans="1:22" x14ac:dyDescent="0.3">
      <c r="A420" s="5" t="str">
        <f>CONCATENATE("F",IF(B420&lt;&gt;"",COUNTA($B$2:B420),""))</f>
        <v>F261</v>
      </c>
      <c r="B420" s="148" t="s">
        <v>29</v>
      </c>
      <c r="C420" s="5" t="s">
        <v>392</v>
      </c>
      <c r="D42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125.21868810173015</v>
      </c>
      <c r="F420" s="148" t="str">
        <f>VLOOKUP(woodflow[[#This Row],[From]],woodstock[#All],4,FALSE)</f>
        <v>2021</v>
      </c>
      <c r="G420" s="5" t="str">
        <f>VLOOKUP(woodflow[[#This Row],[From]],woodstock[#All],5,FALSE)</f>
        <v>Global</v>
      </c>
      <c r="H420" s="151" t="str">
        <f>VLOOKUP(woodflow[[#This Row],[From]],woodstock[#All],7,FALSE)</f>
        <v>50</v>
      </c>
      <c r="I420" s="151" t="str">
        <f>VLOOKUP(woodflow[[#This Row],[to]],woodstock[#All],7,FALSE)</f>
        <v>21</v>
      </c>
      <c r="J420" s="151" t="str">
        <f>VLOOKUP(woodflow[[#This Row],[From]],woodstock[#All],8,FALSE)</f>
        <v>0</v>
      </c>
      <c r="K420" s="151" t="str">
        <f>VLOOKUP(woodflow[[#This Row],[to]],woodstock[#All],8,FALSE)</f>
        <v>1</v>
      </c>
      <c r="L420" s="152" t="str">
        <f>VLOOKUP(woodflow[[#This Row],[From]],woodstock[#All],9,FALSE)</f>
        <v>nan</v>
      </c>
      <c r="M420" s="152" t="str">
        <f>VLOOKUP(woodflow[[#This Row],[to]],woodstock[#All],9,FALSE)</f>
        <v>58-59-60-61</v>
      </c>
      <c r="N420" s="157">
        <f>N421+N422+N423+N424</f>
        <v>125.21868810173015</v>
      </c>
      <c r="O420" s="148" t="s">
        <v>920</v>
      </c>
      <c r="P420" s="148" t="s">
        <v>232</v>
      </c>
      <c r="Q420" s="148"/>
      <c r="R420" s="1"/>
      <c r="S420" s="1"/>
      <c r="T420" s="1"/>
      <c r="U420" s="1"/>
      <c r="V420" s="1"/>
    </row>
    <row r="421" spans="1:22" x14ac:dyDescent="0.3">
      <c r="A421" s="5" t="str">
        <f>CONCATENATE("F",IF(B421&lt;&gt;"",COUNTA($B$2:B421),""))</f>
        <v>F262</v>
      </c>
      <c r="B421" s="148" t="s">
        <v>29</v>
      </c>
      <c r="C421" s="5" t="s">
        <v>351</v>
      </c>
      <c r="D42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113.83517100157286</v>
      </c>
      <c r="F421" s="148" t="str">
        <f>VLOOKUP(woodflow[[#This Row],[From]],woodstock[#All],4,FALSE)</f>
        <v>2021</v>
      </c>
      <c r="G421" s="5" t="str">
        <f>VLOOKUP(woodflow[[#This Row],[From]],woodstock[#All],5,FALSE)</f>
        <v>Global</v>
      </c>
      <c r="H421" s="151" t="str">
        <f>VLOOKUP(woodflow[[#This Row],[From]],woodstock[#All],7,FALSE)</f>
        <v>50</v>
      </c>
      <c r="I421" s="151" t="str">
        <f>VLOOKUP(woodflow[[#This Row],[to]],woodstock[#All],7,FALSE)</f>
        <v>58</v>
      </c>
      <c r="J421" s="151" t="str">
        <f>VLOOKUP(woodflow[[#This Row],[From]],woodstock[#All],8,FALSE)</f>
        <v>0</v>
      </c>
      <c r="K421" s="151" t="str">
        <f>VLOOKUP(woodflow[[#This Row],[to]],woodstock[#All],8,FALSE)</f>
        <v>0</v>
      </c>
      <c r="L421" s="152" t="str">
        <f>VLOOKUP(woodflow[[#This Row],[From]],woodstock[#All],9,FALSE)</f>
        <v>nan</v>
      </c>
      <c r="M421" s="152" t="str">
        <f>VLOOKUP(woodflow[[#This Row],[to]],woodstock[#All],9,FALSE)</f>
        <v>nan</v>
      </c>
      <c r="N421" s="157">
        <f>N419*woodratio!I158</f>
        <v>113.83517100157286</v>
      </c>
      <c r="O421" s="148" t="s">
        <v>920</v>
      </c>
      <c r="P421" s="148" t="s">
        <v>233</v>
      </c>
      <c r="Q421" s="148"/>
      <c r="R421" s="1"/>
      <c r="S421" s="1"/>
      <c r="T421" s="1"/>
      <c r="U421" s="1"/>
      <c r="V421" s="1"/>
    </row>
    <row r="422" spans="1:22" x14ac:dyDescent="0.3">
      <c r="A422" s="5" t="str">
        <f>CONCATENATE("F",IF(B422&lt;&gt;"",COUNTA($B$2:B422),""))</f>
        <v>F263</v>
      </c>
      <c r="B422" s="148" t="s">
        <v>29</v>
      </c>
      <c r="C422" s="5" t="s">
        <v>916</v>
      </c>
      <c r="D42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2" s="148" t="str">
        <f>VLOOKUP(woodflow[[#This Row],[From]],woodstock[#All],4,FALSE)</f>
        <v>2021</v>
      </c>
      <c r="G422" s="5" t="str">
        <f>VLOOKUP(woodflow[[#This Row],[From]],woodstock[#All],5,FALSE)</f>
        <v>Global</v>
      </c>
      <c r="H422" s="151" t="str">
        <f>VLOOKUP(woodflow[[#This Row],[From]],woodstock[#All],7,FALSE)</f>
        <v>50</v>
      </c>
      <c r="I422" s="151" t="str">
        <f>VLOOKUP(woodflow[[#This Row],[to]],woodstock[#All],7,FALSE)</f>
        <v>59</v>
      </c>
      <c r="J422" s="151" t="str">
        <f>VLOOKUP(woodflow[[#This Row],[From]],woodstock[#All],8,FALSE)</f>
        <v>0</v>
      </c>
      <c r="K422" s="151" t="str">
        <f>VLOOKUP(woodflow[[#This Row],[to]],woodstock[#All],8,FALSE)</f>
        <v>0</v>
      </c>
      <c r="L422" s="152" t="str">
        <f>VLOOKUP(woodflow[[#This Row],[From]],woodstock[#All],9,FALSE)</f>
        <v>nan</v>
      </c>
      <c r="M422" s="152" t="str">
        <f>VLOOKUP(woodflow[[#This Row],[to]],woodstock[#All],9,FALSE)</f>
        <v>nan</v>
      </c>
      <c r="N422" s="157">
        <v>0</v>
      </c>
      <c r="O422" s="148" t="s">
        <v>209</v>
      </c>
      <c r="P422" s="148"/>
      <c r="Q422" s="148"/>
      <c r="R422" s="1"/>
      <c r="S422" s="1"/>
      <c r="T422" s="1"/>
      <c r="U422" s="1"/>
      <c r="V422" s="1"/>
    </row>
    <row r="423" spans="1:22" x14ac:dyDescent="0.3">
      <c r="A423" s="5" t="str">
        <f>CONCATENATE("F",IF(B423&lt;&gt;"",COUNTA($B$2:B423),""))</f>
        <v>F264</v>
      </c>
      <c r="B423" s="148" t="s">
        <v>29</v>
      </c>
      <c r="C423" s="5" t="s">
        <v>917</v>
      </c>
      <c r="D42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2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23" s="148" t="str">
        <f>VLOOKUP(woodflow[[#This Row],[From]],woodstock[#All],4,FALSE)</f>
        <v>2021</v>
      </c>
      <c r="G423" s="5" t="str">
        <f>VLOOKUP(woodflow[[#This Row],[From]],woodstock[#All],5,FALSE)</f>
        <v>Global</v>
      </c>
      <c r="H423" s="151" t="str">
        <f>VLOOKUP(woodflow[[#This Row],[From]],woodstock[#All],7,FALSE)</f>
        <v>50</v>
      </c>
      <c r="I423" s="151" t="str">
        <f>VLOOKUP(woodflow[[#This Row],[to]],woodstock[#All],7,FALSE)</f>
        <v>60</v>
      </c>
      <c r="J423" s="151" t="str">
        <f>VLOOKUP(woodflow[[#This Row],[From]],woodstock[#All],8,FALSE)</f>
        <v>0</v>
      </c>
      <c r="K423" s="151" t="str">
        <f>VLOOKUP(woodflow[[#This Row],[to]],woodstock[#All],8,FALSE)</f>
        <v>0</v>
      </c>
      <c r="L423" s="152" t="str">
        <f>VLOOKUP(woodflow[[#This Row],[From]],woodstock[#All],9,FALSE)</f>
        <v>nan</v>
      </c>
      <c r="M423" s="152" t="str">
        <f>VLOOKUP(woodflow[[#This Row],[to]],woodstock[#All],9,FALSE)</f>
        <v>nan</v>
      </c>
      <c r="N423" s="157">
        <v>0</v>
      </c>
      <c r="O423" s="148" t="s">
        <v>209</v>
      </c>
      <c r="P423" s="148"/>
      <c r="Q423" s="148"/>
      <c r="R423" s="1"/>
      <c r="S423" s="1"/>
      <c r="T423" s="1"/>
      <c r="U423" s="1"/>
      <c r="V423" s="1"/>
    </row>
    <row r="424" spans="1:22" x14ac:dyDescent="0.3">
      <c r="A424" s="5" t="str">
        <f>CONCATENATE("F",IF(B424&lt;&gt;"",COUNTA($B$2:B424),""))</f>
        <v>F265</v>
      </c>
      <c r="B424" s="148" t="s">
        <v>29</v>
      </c>
      <c r="C424" s="5" t="s">
        <v>391</v>
      </c>
      <c r="D42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11.383517100157288</v>
      </c>
      <c r="F424" s="148" t="str">
        <f>VLOOKUP(woodflow[[#This Row],[From]],woodstock[#All],4,FALSE)</f>
        <v>2021</v>
      </c>
      <c r="G424" s="5" t="str">
        <f>VLOOKUP(woodflow[[#This Row],[From]],woodstock[#All],5,FALSE)</f>
        <v>Global</v>
      </c>
      <c r="H424" s="151" t="str">
        <f>VLOOKUP(woodflow[[#This Row],[From]],woodstock[#All],7,FALSE)</f>
        <v>50</v>
      </c>
      <c r="I424" s="151" t="str">
        <f>VLOOKUP(woodflow[[#This Row],[to]],woodstock[#All],7,FALSE)</f>
        <v>61</v>
      </c>
      <c r="J424" s="151" t="str">
        <f>VLOOKUP(woodflow[[#This Row],[From]],woodstock[#All],8,FALSE)</f>
        <v>0</v>
      </c>
      <c r="K424" s="151" t="str">
        <f>VLOOKUP(woodflow[[#This Row],[to]],woodstock[#All],8,FALSE)</f>
        <v>0</v>
      </c>
      <c r="L424" s="152" t="str">
        <f>VLOOKUP(woodflow[[#This Row],[From]],woodstock[#All],9,FALSE)</f>
        <v>nan</v>
      </c>
      <c r="M424" s="152" t="str">
        <f>VLOOKUP(woodflow[[#This Row],[to]],woodstock[#All],9,FALSE)</f>
        <v>nan</v>
      </c>
      <c r="N424" s="157">
        <f>N419*woodratio!I159</f>
        <v>11.383517100157288</v>
      </c>
      <c r="O424" s="148" t="s">
        <v>920</v>
      </c>
      <c r="P424" s="148" t="s">
        <v>233</v>
      </c>
      <c r="Q424" s="148"/>
      <c r="R424" s="1"/>
      <c r="S424" s="1"/>
      <c r="T424" s="1"/>
      <c r="U424" s="1"/>
      <c r="V424" s="1"/>
    </row>
    <row r="425" spans="1:22" x14ac:dyDescent="0.3">
      <c r="A425" s="5" t="str">
        <f>CONCATENATE("F",IF(B425&lt;&gt;"",COUNTA($B$2:B425),""))</f>
        <v>F266</v>
      </c>
      <c r="B425" s="148" t="s">
        <v>29</v>
      </c>
      <c r="C425" s="5" t="s">
        <v>403</v>
      </c>
      <c r="D42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22.768034200314577</v>
      </c>
      <c r="F425" s="148" t="str">
        <f>VLOOKUP(woodflow[[#This Row],[From]],woodstock[#All],4,FALSE)</f>
        <v>2021</v>
      </c>
      <c r="G425" s="5" t="str">
        <f>VLOOKUP(woodflow[[#This Row],[From]],woodstock[#All],5,FALSE)</f>
        <v>Global</v>
      </c>
      <c r="H425" s="151" t="str">
        <f>VLOOKUP(woodflow[[#This Row],[From]],woodstock[#All],7,FALSE)</f>
        <v>50</v>
      </c>
      <c r="I425" s="151" t="str">
        <f>VLOOKUP(woodflow[[#This Row],[to]],woodstock[#All],7,FALSE)</f>
        <v>22</v>
      </c>
      <c r="J425" s="151" t="str">
        <f>VLOOKUP(woodflow[[#This Row],[From]],woodstock[#All],8,FALSE)</f>
        <v>0</v>
      </c>
      <c r="K425" s="151" t="str">
        <f>VLOOKUP(woodflow[[#This Row],[to]],woodstock[#All],8,FALSE)</f>
        <v>1</v>
      </c>
      <c r="L425" s="152" t="str">
        <f>VLOOKUP(woodflow[[#This Row],[From]],woodstock[#All],9,FALSE)</f>
        <v>nan</v>
      </c>
      <c r="M425" s="152" t="str">
        <f>VLOOKUP(woodflow[[#This Row],[to]],woodstock[#All],9,FALSE)</f>
        <v>62-63-64</v>
      </c>
      <c r="N425" s="157">
        <f>N426+N427+N428</f>
        <v>22.768034200314577</v>
      </c>
      <c r="O425" s="148" t="s">
        <v>920</v>
      </c>
      <c r="P425" s="148" t="s">
        <v>232</v>
      </c>
      <c r="Q425" s="148"/>
      <c r="R425" s="1"/>
      <c r="S425" s="1"/>
      <c r="T425" s="1"/>
      <c r="U425" s="1"/>
      <c r="V425" s="1"/>
    </row>
    <row r="426" spans="1:22" x14ac:dyDescent="0.3">
      <c r="A426" s="5" t="str">
        <f>CONCATENATE("F",IF(B426&lt;&gt;"",COUNTA($B$2:B426),""))</f>
        <v>F267</v>
      </c>
      <c r="B426" s="148" t="s">
        <v>29</v>
      </c>
      <c r="C426" s="5" t="s">
        <v>406</v>
      </c>
      <c r="D42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11.383517100157288</v>
      </c>
      <c r="F426" s="148" t="str">
        <f>VLOOKUP(woodflow[[#This Row],[From]],woodstock[#All],4,FALSE)</f>
        <v>2021</v>
      </c>
      <c r="G426" s="5" t="str">
        <f>VLOOKUP(woodflow[[#This Row],[From]],woodstock[#All],5,FALSE)</f>
        <v>Global</v>
      </c>
      <c r="H426" s="151" t="str">
        <f>VLOOKUP(woodflow[[#This Row],[From]],woodstock[#All],7,FALSE)</f>
        <v>50</v>
      </c>
      <c r="I426" s="151" t="str">
        <f>VLOOKUP(woodflow[[#This Row],[to]],woodstock[#All],7,FALSE)</f>
        <v>62</v>
      </c>
      <c r="J426" s="151" t="str">
        <f>VLOOKUP(woodflow[[#This Row],[From]],woodstock[#All],8,FALSE)</f>
        <v>0</v>
      </c>
      <c r="K426" s="151" t="str">
        <f>VLOOKUP(woodflow[[#This Row],[to]],woodstock[#All],8,FALSE)</f>
        <v>0</v>
      </c>
      <c r="L426" s="152" t="str">
        <f>VLOOKUP(woodflow[[#This Row],[From]],woodstock[#All],9,FALSE)</f>
        <v>nan</v>
      </c>
      <c r="M426" s="152" t="str">
        <f>VLOOKUP(woodflow[[#This Row],[to]],woodstock[#All],9,FALSE)</f>
        <v>nan</v>
      </c>
      <c r="N426" s="157">
        <f>N419*woodratio!I160</f>
        <v>11.383517100157288</v>
      </c>
      <c r="O426" s="148" t="s">
        <v>920</v>
      </c>
      <c r="P426" s="148" t="s">
        <v>233</v>
      </c>
      <c r="Q426" s="148"/>
      <c r="R426" s="1"/>
      <c r="S426" s="1"/>
      <c r="T426" s="1"/>
      <c r="U426" s="1"/>
      <c r="V426" s="1"/>
    </row>
    <row r="427" spans="1:22" x14ac:dyDescent="0.3">
      <c r="A427" s="5" t="str">
        <f>CONCATENATE("F",IF(B427&lt;&gt;"",COUNTA($B$2:B427),""))</f>
        <v>F268</v>
      </c>
      <c r="B427" s="148" t="s">
        <v>29</v>
      </c>
      <c r="C427" s="5" t="s">
        <v>352</v>
      </c>
      <c r="D42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11.383517100157288</v>
      </c>
      <c r="F427" s="148" t="str">
        <f>VLOOKUP(woodflow[[#This Row],[From]],woodstock[#All],4,FALSE)</f>
        <v>2021</v>
      </c>
      <c r="G427" s="5" t="str">
        <f>VLOOKUP(woodflow[[#This Row],[From]],woodstock[#All],5,FALSE)</f>
        <v>Global</v>
      </c>
      <c r="H427" s="151" t="str">
        <f>VLOOKUP(woodflow[[#This Row],[From]],woodstock[#All],7,FALSE)</f>
        <v>50</v>
      </c>
      <c r="I427" s="151" t="str">
        <f>VLOOKUP(woodflow[[#This Row],[to]],woodstock[#All],7,FALSE)</f>
        <v>63</v>
      </c>
      <c r="J427" s="151" t="str">
        <f>VLOOKUP(woodflow[[#This Row],[From]],woodstock[#All],8,FALSE)</f>
        <v>0</v>
      </c>
      <c r="K427" s="151" t="str">
        <f>VLOOKUP(woodflow[[#This Row],[to]],woodstock[#All],8,FALSE)</f>
        <v>0</v>
      </c>
      <c r="L427" s="152" t="str">
        <f>VLOOKUP(woodflow[[#This Row],[From]],woodstock[#All],9,FALSE)</f>
        <v>nan</v>
      </c>
      <c r="M427" s="152" t="str">
        <f>VLOOKUP(woodflow[[#This Row],[to]],woodstock[#All],9,FALSE)</f>
        <v>nan</v>
      </c>
      <c r="N427" s="157">
        <f>N419*woodratio!I161</f>
        <v>11.383517100157288</v>
      </c>
      <c r="O427" s="148" t="s">
        <v>920</v>
      </c>
      <c r="P427" s="148" t="s">
        <v>233</v>
      </c>
      <c r="Q427" s="148"/>
      <c r="R427" s="1"/>
      <c r="S427" s="1"/>
      <c r="T427" s="1"/>
      <c r="U427" s="1"/>
      <c r="V427" s="1"/>
    </row>
    <row r="428" spans="1:22" x14ac:dyDescent="0.3">
      <c r="A428" s="5" t="str">
        <f>CONCATENATE("F",IF(B428&lt;&gt;"",COUNTA($B$2:B428),""))</f>
        <v>F269</v>
      </c>
      <c r="B428" s="148" t="s">
        <v>29</v>
      </c>
      <c r="C428" s="5" t="s">
        <v>373</v>
      </c>
      <c r="D42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28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1E-3</v>
      </c>
      <c r="F428" s="148" t="str">
        <f>VLOOKUP(woodflow[[#This Row],[From]],woodstock[#All],4,FALSE)</f>
        <v>2021</v>
      </c>
      <c r="G428" s="5" t="str">
        <f>VLOOKUP(woodflow[[#This Row],[From]],woodstock[#All],5,FALSE)</f>
        <v>Global</v>
      </c>
      <c r="H428" s="151" t="str">
        <f>VLOOKUP(woodflow[[#This Row],[From]],woodstock[#All],7,FALSE)</f>
        <v>50</v>
      </c>
      <c r="I428" s="151" t="str">
        <f>VLOOKUP(woodflow[[#This Row],[to]],woodstock[#All],7,FALSE)</f>
        <v>64</v>
      </c>
      <c r="J428" s="151" t="str">
        <f>VLOOKUP(woodflow[[#This Row],[From]],woodstock[#All],8,FALSE)</f>
        <v>0</v>
      </c>
      <c r="K428" s="151" t="str">
        <f>VLOOKUP(woodflow[[#This Row],[to]],woodstock[#All],8,FALSE)</f>
        <v>0</v>
      </c>
      <c r="L428" s="152" t="str">
        <f>VLOOKUP(woodflow[[#This Row],[From]],woodstock[#All],9,FALSE)</f>
        <v>nan</v>
      </c>
      <c r="M428" s="152" t="str">
        <f>VLOOKUP(woodflow[[#This Row],[to]],woodstock[#All],9,FALSE)</f>
        <v>nan</v>
      </c>
      <c r="N428" s="157">
        <f>1*10^-3</f>
        <v>1E-3</v>
      </c>
      <c r="O428" s="148" t="s">
        <v>920</v>
      </c>
      <c r="P428" s="156" t="s">
        <v>342</v>
      </c>
      <c r="Q428" s="148"/>
      <c r="R428" s="1"/>
      <c r="S428" s="1"/>
      <c r="T428" s="1"/>
      <c r="U428" s="1"/>
      <c r="V428" s="1"/>
    </row>
    <row r="429" spans="1:22" x14ac:dyDescent="0.3">
      <c r="A429" s="5" t="str">
        <f>CONCATENATE("F",IF(B429&lt;&gt;"",COUNTA($B$2:B429),""))</f>
        <v>F</v>
      </c>
      <c r="B429" s="148"/>
      <c r="C429" s="148"/>
      <c r="D429" s="149"/>
      <c r="E429" s="149"/>
      <c r="F429" s="148"/>
      <c r="G429" s="148"/>
      <c r="H429" s="151"/>
      <c r="I429" s="151"/>
      <c r="J429" s="151"/>
      <c r="K429" s="151"/>
      <c r="L429" s="152"/>
      <c r="M429" s="152"/>
      <c r="N429" s="157"/>
      <c r="O429" s="148"/>
      <c r="P429" s="148"/>
      <c r="Q429" s="148"/>
      <c r="R429" s="1"/>
      <c r="S429" s="1"/>
      <c r="T429" s="1"/>
      <c r="U429" s="1"/>
      <c r="V429" s="1"/>
    </row>
    <row r="430" spans="1:22" x14ac:dyDescent="0.3">
      <c r="A430" s="5" t="str">
        <f>CONCATENATE("F",IF(B430&lt;&gt;"",COUNTA($B$2:B430),""))</f>
        <v>F</v>
      </c>
      <c r="B430" s="148"/>
      <c r="C430" s="148"/>
      <c r="D430" s="149"/>
      <c r="E430" s="149"/>
      <c r="F430" s="148"/>
      <c r="G430" s="148"/>
      <c r="H430" s="151"/>
      <c r="I430" s="151"/>
      <c r="J430" s="151"/>
      <c r="K430" s="151"/>
      <c r="L430" s="152"/>
      <c r="M430" s="152"/>
      <c r="N430" s="157"/>
      <c r="O430" s="148"/>
      <c r="P430" s="148"/>
      <c r="Q430" s="148"/>
      <c r="R430" s="1"/>
      <c r="S430" s="1"/>
      <c r="T430" s="1"/>
      <c r="U430" s="1"/>
      <c r="V430" s="1"/>
    </row>
    <row r="431" spans="1:22" x14ac:dyDescent="0.3">
      <c r="A431" s="5" t="str">
        <f>CONCATENATE("F",IF(B431&lt;&gt;"",COUNTA($B$2:B431),""))</f>
        <v>F270</v>
      </c>
      <c r="B431" s="148" t="s">
        <v>73</v>
      </c>
      <c r="C431" s="148" t="s">
        <v>54</v>
      </c>
      <c r="D43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38.429619913060215</v>
      </c>
      <c r="E43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1" s="148" t="str">
        <f>VLOOKUP(woodflow[[#This Row],[From]],woodstock[#All],4,FALSE)</f>
        <v>2021</v>
      </c>
      <c r="G431" s="5" t="str">
        <f>VLOOKUP(woodflow[[#This Row],[From]],woodstock[#All],5,FALSE)</f>
        <v>Global</v>
      </c>
      <c r="H431" s="151" t="str">
        <f>VLOOKUP(woodflow[[#This Row],[From]],woodstock[#All],7,FALSE)</f>
        <v>51</v>
      </c>
      <c r="I431" s="151" t="str">
        <f>VLOOKUP(woodflow[[#This Row],[to]],woodstock[#All],7,FALSE)</f>
        <v>16</v>
      </c>
      <c r="J431" s="151" t="str">
        <f>VLOOKUP(woodflow[[#This Row],[From]],woodstock[#All],8,FALSE)</f>
        <v>0</v>
      </c>
      <c r="K431" s="151" t="str">
        <f>VLOOKUP(woodflow[[#This Row],[to]],woodstock[#All],8,FALSE)</f>
        <v>0</v>
      </c>
      <c r="L431" s="152" t="str">
        <f>VLOOKUP(woodflow[[#This Row],[From]],woodstock[#All],9,FALSE)</f>
        <v>nan</v>
      </c>
      <c r="M431" s="152" t="str">
        <f>VLOOKUP(woodflow[[#This Row],[to]],woodstock[#All],9,FALSE)</f>
        <v>nan</v>
      </c>
      <c r="N431" s="157">
        <f>(N115+N181+N190+N223+N248+N343+N349+N355+N361+N367+N373)*'supporting-percentages'!B45</f>
        <v>38.429619913060215</v>
      </c>
      <c r="O431" s="148" t="s">
        <v>921</v>
      </c>
      <c r="P431" s="148" t="s">
        <v>455</v>
      </c>
      <c r="Q431" s="148"/>
      <c r="R431" s="1"/>
      <c r="S431" s="1"/>
      <c r="T431" s="1"/>
      <c r="U431" s="1"/>
      <c r="V431" s="1"/>
    </row>
    <row r="432" spans="1:22" x14ac:dyDescent="0.3">
      <c r="A432" s="5" t="str">
        <f>CONCATENATE("F",IF(B432&lt;&gt;"",COUNTA($B$2:B432),""))</f>
        <v>F</v>
      </c>
      <c r="B432" s="148"/>
      <c r="C432" s="148"/>
      <c r="D432" s="149"/>
      <c r="E432" s="149"/>
      <c r="F432" s="148"/>
      <c r="G432" s="148"/>
      <c r="H432" s="151"/>
      <c r="I432" s="151"/>
      <c r="J432" s="151"/>
      <c r="K432" s="151"/>
      <c r="L432" s="152"/>
      <c r="M432" s="152"/>
      <c r="N432" s="157"/>
      <c r="O432" s="148"/>
      <c r="P432" s="148"/>
      <c r="Q432" s="148"/>
      <c r="R432" s="1"/>
      <c r="S432" s="1"/>
      <c r="T432" s="1"/>
      <c r="U432" s="1"/>
      <c r="V432" s="1"/>
    </row>
    <row r="433" spans="1:22" x14ac:dyDescent="0.3">
      <c r="A433" s="5" t="str">
        <f>CONCATENATE("F",IF(B433&lt;&gt;"",COUNTA($B$2:B433),""))</f>
        <v>F</v>
      </c>
      <c r="B433" s="148"/>
      <c r="C433" s="148"/>
      <c r="D433" s="149"/>
      <c r="E433" s="149"/>
      <c r="F433" s="148"/>
      <c r="G433" s="148"/>
      <c r="H433" s="151"/>
      <c r="I433" s="151"/>
      <c r="J433" s="151"/>
      <c r="K433" s="151"/>
      <c r="L433" s="152"/>
      <c r="M433" s="152"/>
      <c r="N433" s="157"/>
      <c r="O433" s="148"/>
      <c r="P433" s="148"/>
      <c r="Q433" s="148"/>
      <c r="R433" s="1"/>
      <c r="S433" s="1"/>
      <c r="T433" s="1"/>
      <c r="U433" s="1"/>
      <c r="V433" s="1"/>
    </row>
    <row r="434" spans="1:22" x14ac:dyDescent="0.3">
      <c r="A434" s="5" t="str">
        <f>CONCATENATE("F",IF(B434&lt;&gt;"",COUNTA($B$2:B434),""))</f>
        <v>F271</v>
      </c>
      <c r="B434" s="148" t="s">
        <v>73</v>
      </c>
      <c r="C434" s="5" t="s">
        <v>350</v>
      </c>
      <c r="D43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71.369294124254694</v>
      </c>
      <c r="E43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4" s="148" t="str">
        <f>VLOOKUP(woodflow[[#This Row],[From]],woodstock[#All],4,FALSE)</f>
        <v>2021</v>
      </c>
      <c r="G434" s="5" t="str">
        <f>VLOOKUP(woodflow[[#This Row],[From]],woodstock[#All],5,FALSE)</f>
        <v>Global</v>
      </c>
      <c r="H434" s="151" t="str">
        <f>VLOOKUP(woodflow[[#This Row],[From]],woodstock[#All],7,FALSE)</f>
        <v>51</v>
      </c>
      <c r="I434" s="151" t="str">
        <f>VLOOKUP(woodflow[[#This Row],[to]],woodstock[#All],7,FALSE)</f>
        <v>20</v>
      </c>
      <c r="J434" s="151" t="str">
        <f>VLOOKUP(woodflow[[#This Row],[From]],woodstock[#All],8,FALSE)</f>
        <v>0</v>
      </c>
      <c r="K434" s="151" t="str">
        <f>VLOOKUP(woodflow[[#This Row],[to]],woodstock[#All],8,FALSE)</f>
        <v>1</v>
      </c>
      <c r="L434" s="152" t="str">
        <f>VLOOKUP(woodflow[[#This Row],[From]],woodstock[#All],9,FALSE)</f>
        <v>nan</v>
      </c>
      <c r="M434" s="152" t="str">
        <f>VLOOKUP(woodflow[[#This Row],[to]],woodstock[#All],9,FALSE)</f>
        <v>58-59-60-61-62-63-64</v>
      </c>
      <c r="N434" s="157">
        <f>(N115+N181+N190+N223++N248+N343+N349+N355+N361+N367+N373)*('supporting-percentages'!B46)</f>
        <v>71.369294124254694</v>
      </c>
      <c r="O434" s="148" t="s">
        <v>921</v>
      </c>
      <c r="P434" s="148" t="s">
        <v>455</v>
      </c>
      <c r="Q434" s="148"/>
      <c r="R434" s="1"/>
      <c r="S434" s="1"/>
      <c r="T434" s="1"/>
      <c r="U434" s="1"/>
      <c r="V434" s="1"/>
    </row>
    <row r="435" spans="1:22" x14ac:dyDescent="0.3">
      <c r="A435" s="5" t="str">
        <f>CONCATENATE("F",IF(B435&lt;&gt;"",COUNTA($B$2:B435),""))</f>
        <v>F272</v>
      </c>
      <c r="B435" s="148" t="s">
        <v>73</v>
      </c>
      <c r="C435" s="5" t="s">
        <v>392</v>
      </c>
      <c r="D43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60.389402720523194</v>
      </c>
      <c r="F435" s="148" t="str">
        <f>VLOOKUP(woodflow[[#This Row],[From]],woodstock[#All],4,FALSE)</f>
        <v>2021</v>
      </c>
      <c r="G435" s="5" t="str">
        <f>VLOOKUP(woodflow[[#This Row],[From]],woodstock[#All],5,FALSE)</f>
        <v>Global</v>
      </c>
      <c r="H435" s="151" t="str">
        <f>VLOOKUP(woodflow[[#This Row],[From]],woodstock[#All],7,FALSE)</f>
        <v>51</v>
      </c>
      <c r="I435" s="151" t="str">
        <f>VLOOKUP(woodflow[[#This Row],[to]],woodstock[#All],7,FALSE)</f>
        <v>21</v>
      </c>
      <c r="J435" s="151" t="str">
        <f>VLOOKUP(woodflow[[#This Row],[From]],woodstock[#All],8,FALSE)</f>
        <v>0</v>
      </c>
      <c r="K435" s="151" t="str">
        <f>VLOOKUP(woodflow[[#This Row],[to]],woodstock[#All],8,FALSE)</f>
        <v>1</v>
      </c>
      <c r="L435" s="152" t="str">
        <f>VLOOKUP(woodflow[[#This Row],[From]],woodstock[#All],9,FALSE)</f>
        <v>nan</v>
      </c>
      <c r="M435" s="152" t="str">
        <f>VLOOKUP(woodflow[[#This Row],[to]],woodstock[#All],9,FALSE)</f>
        <v>58-59-60-61</v>
      </c>
      <c r="N435" s="157">
        <f>N436+N437+N438++N439</f>
        <v>60.389402720523194</v>
      </c>
      <c r="O435" s="148" t="s">
        <v>920</v>
      </c>
      <c r="P435" s="148" t="s">
        <v>233</v>
      </c>
      <c r="Q435" s="148"/>
      <c r="R435" s="1"/>
      <c r="S435" s="1"/>
      <c r="T435" s="1"/>
      <c r="U435" s="1"/>
      <c r="V435" s="1"/>
    </row>
    <row r="436" spans="1:22" x14ac:dyDescent="0.3">
      <c r="A436" s="5" t="str">
        <f>CONCATENATE("F",IF(B436&lt;&gt;"",COUNTA($B$2:B436),""))</f>
        <v>F273</v>
      </c>
      <c r="B436" s="148" t="s">
        <v>73</v>
      </c>
      <c r="C436" s="5" t="s">
        <v>351</v>
      </c>
      <c r="D43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54.899457018657451</v>
      </c>
      <c r="F436" s="148" t="str">
        <f>VLOOKUP(woodflow[[#This Row],[From]],woodstock[#All],4,FALSE)</f>
        <v>2021</v>
      </c>
      <c r="G436" s="5" t="str">
        <f>VLOOKUP(woodflow[[#This Row],[From]],woodstock[#All],5,FALSE)</f>
        <v>Global</v>
      </c>
      <c r="H436" s="151" t="str">
        <f>VLOOKUP(woodflow[[#This Row],[From]],woodstock[#All],7,FALSE)</f>
        <v>51</v>
      </c>
      <c r="I436" s="151" t="str">
        <f>VLOOKUP(woodflow[[#This Row],[to]],woodstock[#All],7,FALSE)</f>
        <v>58</v>
      </c>
      <c r="J436" s="151" t="str">
        <f>VLOOKUP(woodflow[[#This Row],[From]],woodstock[#All],8,FALSE)</f>
        <v>0</v>
      </c>
      <c r="K436" s="151" t="str">
        <f>VLOOKUP(woodflow[[#This Row],[to]],woodstock[#All],8,FALSE)</f>
        <v>0</v>
      </c>
      <c r="L436" s="152" t="str">
        <f>VLOOKUP(woodflow[[#This Row],[From]],woodstock[#All],9,FALSE)</f>
        <v>nan</v>
      </c>
      <c r="M436" s="152" t="str">
        <f>VLOOKUP(woodflow[[#This Row],[to]],woodstock[#All],9,FALSE)</f>
        <v>nan</v>
      </c>
      <c r="N436" s="157">
        <f>N434*woodratio!I164</f>
        <v>54.899457018657451</v>
      </c>
      <c r="O436" s="148" t="s">
        <v>920</v>
      </c>
      <c r="P436" s="148" t="s">
        <v>233</v>
      </c>
      <c r="Q436" s="148"/>
      <c r="R436" s="1"/>
      <c r="S436" s="1"/>
      <c r="T436" s="1"/>
      <c r="U436" s="1"/>
      <c r="V436" s="1"/>
    </row>
    <row r="437" spans="1:22" x14ac:dyDescent="0.3">
      <c r="A437" s="5" t="str">
        <f>CONCATENATE("F",IF(B437&lt;&gt;"",COUNTA($B$2:B437),""))</f>
        <v>F274</v>
      </c>
      <c r="B437" s="148" t="s">
        <v>73</v>
      </c>
      <c r="C437" s="5" t="s">
        <v>916</v>
      </c>
      <c r="D43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7" s="148" t="str">
        <f>VLOOKUP(woodflow[[#This Row],[From]],woodstock[#All],4,FALSE)</f>
        <v>2021</v>
      </c>
      <c r="G437" s="5" t="str">
        <f>VLOOKUP(woodflow[[#This Row],[From]],woodstock[#All],5,FALSE)</f>
        <v>Global</v>
      </c>
      <c r="H437" s="151" t="str">
        <f>VLOOKUP(woodflow[[#This Row],[From]],woodstock[#All],7,FALSE)</f>
        <v>51</v>
      </c>
      <c r="I437" s="151" t="str">
        <f>VLOOKUP(woodflow[[#This Row],[to]],woodstock[#All],7,FALSE)</f>
        <v>59</v>
      </c>
      <c r="J437" s="151" t="str">
        <f>VLOOKUP(woodflow[[#This Row],[From]],woodstock[#All],8,FALSE)</f>
        <v>0</v>
      </c>
      <c r="K437" s="151" t="str">
        <f>VLOOKUP(woodflow[[#This Row],[to]],woodstock[#All],8,FALSE)</f>
        <v>0</v>
      </c>
      <c r="L437" s="152" t="str">
        <f>VLOOKUP(woodflow[[#This Row],[From]],woodstock[#All],9,FALSE)</f>
        <v>nan</v>
      </c>
      <c r="M437" s="152" t="str">
        <f>VLOOKUP(woodflow[[#This Row],[to]],woodstock[#All],9,FALSE)</f>
        <v>nan</v>
      </c>
      <c r="N437" s="157">
        <v>0</v>
      </c>
      <c r="O437" s="148" t="s">
        <v>209</v>
      </c>
      <c r="P437" s="148"/>
      <c r="Q437" s="148"/>
      <c r="R437" s="1"/>
      <c r="S437" s="1"/>
      <c r="T437" s="1"/>
      <c r="U437" s="1"/>
      <c r="V437" s="1"/>
    </row>
    <row r="438" spans="1:22" x14ac:dyDescent="0.3">
      <c r="A438" s="5" t="str">
        <f>CONCATENATE("F",IF(B438&lt;&gt;"",COUNTA($B$2:B438),""))</f>
        <v>F275</v>
      </c>
      <c r="B438" s="148" t="s">
        <v>73</v>
      </c>
      <c r="C438" s="5" t="s">
        <v>917</v>
      </c>
      <c r="D43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3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38" s="148" t="str">
        <f>VLOOKUP(woodflow[[#This Row],[From]],woodstock[#All],4,FALSE)</f>
        <v>2021</v>
      </c>
      <c r="G438" s="5" t="str">
        <f>VLOOKUP(woodflow[[#This Row],[From]],woodstock[#All],5,FALSE)</f>
        <v>Global</v>
      </c>
      <c r="H438" s="151" t="str">
        <f>VLOOKUP(woodflow[[#This Row],[From]],woodstock[#All],7,FALSE)</f>
        <v>51</v>
      </c>
      <c r="I438" s="151" t="str">
        <f>VLOOKUP(woodflow[[#This Row],[to]],woodstock[#All],7,FALSE)</f>
        <v>60</v>
      </c>
      <c r="J438" s="151" t="str">
        <f>VLOOKUP(woodflow[[#This Row],[From]],woodstock[#All],8,FALSE)</f>
        <v>0</v>
      </c>
      <c r="K438" s="151" t="str">
        <f>VLOOKUP(woodflow[[#This Row],[to]],woodstock[#All],8,FALSE)</f>
        <v>0</v>
      </c>
      <c r="L438" s="152" t="str">
        <f>VLOOKUP(woodflow[[#This Row],[From]],woodstock[#All],9,FALSE)</f>
        <v>nan</v>
      </c>
      <c r="M438" s="152" t="str">
        <f>VLOOKUP(woodflow[[#This Row],[to]],woodstock[#All],9,FALSE)</f>
        <v>nan</v>
      </c>
      <c r="N438" s="157">
        <v>0</v>
      </c>
      <c r="O438" s="148" t="s">
        <v>209</v>
      </c>
      <c r="P438" s="148"/>
      <c r="Q438" s="148"/>
      <c r="R438" s="1"/>
      <c r="S438" s="1"/>
      <c r="T438" s="1"/>
      <c r="U438" s="1"/>
      <c r="V438" s="1"/>
    </row>
    <row r="439" spans="1:22" x14ac:dyDescent="0.3">
      <c r="A439" s="5" t="str">
        <f>CONCATENATE("F",IF(B439&lt;&gt;"",COUNTA($B$2:B439),""))</f>
        <v>F276</v>
      </c>
      <c r="B439" s="148" t="s">
        <v>73</v>
      </c>
      <c r="C439" s="5" t="s">
        <v>391</v>
      </c>
      <c r="D439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39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5.4899457018657456</v>
      </c>
      <c r="F439" s="148" t="str">
        <f>VLOOKUP(woodflow[[#This Row],[From]],woodstock[#All],4,FALSE)</f>
        <v>2021</v>
      </c>
      <c r="G439" s="5" t="str">
        <f>VLOOKUP(woodflow[[#This Row],[From]],woodstock[#All],5,FALSE)</f>
        <v>Global</v>
      </c>
      <c r="H439" s="151" t="str">
        <f>VLOOKUP(woodflow[[#This Row],[From]],woodstock[#All],7,FALSE)</f>
        <v>51</v>
      </c>
      <c r="I439" s="151" t="str">
        <f>VLOOKUP(woodflow[[#This Row],[to]],woodstock[#All],7,FALSE)</f>
        <v>61</v>
      </c>
      <c r="J439" s="151" t="str">
        <f>VLOOKUP(woodflow[[#This Row],[From]],woodstock[#All],8,FALSE)</f>
        <v>0</v>
      </c>
      <c r="K439" s="151" t="str">
        <f>VLOOKUP(woodflow[[#This Row],[to]],woodstock[#All],8,FALSE)</f>
        <v>0</v>
      </c>
      <c r="L439" s="152" t="str">
        <f>VLOOKUP(woodflow[[#This Row],[From]],woodstock[#All],9,FALSE)</f>
        <v>nan</v>
      </c>
      <c r="M439" s="152" t="str">
        <f>VLOOKUP(woodflow[[#This Row],[to]],woodstock[#All],9,FALSE)</f>
        <v>nan</v>
      </c>
      <c r="N439" s="157">
        <f>N434*woodratio!I165</f>
        <v>5.4899457018657456</v>
      </c>
      <c r="O439" s="148" t="s">
        <v>920</v>
      </c>
      <c r="P439" s="148" t="s">
        <v>233</v>
      </c>
      <c r="Q439" s="148"/>
      <c r="R439" s="1"/>
      <c r="S439" s="1"/>
      <c r="T439" s="1"/>
      <c r="U439" s="1"/>
      <c r="V439" s="1"/>
    </row>
    <row r="440" spans="1:22" x14ac:dyDescent="0.3">
      <c r="A440" s="5" t="str">
        <f>CONCATENATE("F",IF(B440&lt;&gt;"",COUNTA($B$2:B440),""))</f>
        <v>F277</v>
      </c>
      <c r="B440" s="148" t="s">
        <v>73</v>
      </c>
      <c r="C440" s="5" t="s">
        <v>403</v>
      </c>
      <c r="D44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10.980891403731491</v>
      </c>
      <c r="F440" s="148" t="str">
        <f>VLOOKUP(woodflow[[#This Row],[From]],woodstock[#All],4,FALSE)</f>
        <v>2021</v>
      </c>
      <c r="G440" s="5" t="str">
        <f>VLOOKUP(woodflow[[#This Row],[From]],woodstock[#All],5,FALSE)</f>
        <v>Global</v>
      </c>
      <c r="H440" s="151" t="str">
        <f>VLOOKUP(woodflow[[#This Row],[From]],woodstock[#All],7,FALSE)</f>
        <v>51</v>
      </c>
      <c r="I440" s="151" t="str">
        <f>VLOOKUP(woodflow[[#This Row],[to]],woodstock[#All],7,FALSE)</f>
        <v>22</v>
      </c>
      <c r="J440" s="151" t="str">
        <f>VLOOKUP(woodflow[[#This Row],[From]],woodstock[#All],8,FALSE)</f>
        <v>0</v>
      </c>
      <c r="K440" s="151" t="str">
        <f>VLOOKUP(woodflow[[#This Row],[to]],woodstock[#All],8,FALSE)</f>
        <v>1</v>
      </c>
      <c r="L440" s="152" t="str">
        <f>VLOOKUP(woodflow[[#This Row],[From]],woodstock[#All],9,FALSE)</f>
        <v>nan</v>
      </c>
      <c r="M440" s="152" t="str">
        <f>VLOOKUP(woodflow[[#This Row],[to]],woodstock[#All],9,FALSE)</f>
        <v>62-63-64</v>
      </c>
      <c r="N440" s="157">
        <f>N441+N442+N443</f>
        <v>10.980891403731491</v>
      </c>
      <c r="O440" s="148" t="s">
        <v>920</v>
      </c>
      <c r="P440" s="148" t="s">
        <v>232</v>
      </c>
      <c r="Q440" s="148"/>
      <c r="R440" s="1"/>
      <c r="S440" s="1"/>
      <c r="T440" s="1"/>
      <c r="U440" s="1"/>
      <c r="V440" s="1"/>
    </row>
    <row r="441" spans="1:22" x14ac:dyDescent="0.3">
      <c r="A441" s="5" t="str">
        <f>CONCATENATE("F",IF(B441&lt;&gt;"",COUNTA($B$2:B441),""))</f>
        <v>F278</v>
      </c>
      <c r="B441" s="148" t="s">
        <v>73</v>
      </c>
      <c r="C441" s="5" t="s">
        <v>406</v>
      </c>
      <c r="D44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5.4899457018657456</v>
      </c>
      <c r="F441" s="148" t="str">
        <f>VLOOKUP(woodflow[[#This Row],[From]],woodstock[#All],4,FALSE)</f>
        <v>2021</v>
      </c>
      <c r="G441" s="5" t="str">
        <f>VLOOKUP(woodflow[[#This Row],[From]],woodstock[#All],5,FALSE)</f>
        <v>Global</v>
      </c>
      <c r="H441" s="151" t="str">
        <f>VLOOKUP(woodflow[[#This Row],[From]],woodstock[#All],7,FALSE)</f>
        <v>51</v>
      </c>
      <c r="I441" s="151" t="str">
        <f>VLOOKUP(woodflow[[#This Row],[to]],woodstock[#All],7,FALSE)</f>
        <v>62</v>
      </c>
      <c r="J441" s="151" t="str">
        <f>VLOOKUP(woodflow[[#This Row],[From]],woodstock[#All],8,FALSE)</f>
        <v>0</v>
      </c>
      <c r="K441" s="151" t="str">
        <f>VLOOKUP(woodflow[[#This Row],[to]],woodstock[#All],8,FALSE)</f>
        <v>0</v>
      </c>
      <c r="L441" s="152" t="str">
        <f>VLOOKUP(woodflow[[#This Row],[From]],woodstock[#All],9,FALSE)</f>
        <v>nan</v>
      </c>
      <c r="M441" s="152" t="str">
        <f>VLOOKUP(woodflow[[#This Row],[to]],woodstock[#All],9,FALSE)</f>
        <v>nan</v>
      </c>
      <c r="N441" s="157">
        <f>N434*woodratio!I166</f>
        <v>5.4899457018657456</v>
      </c>
      <c r="O441" s="148" t="s">
        <v>920</v>
      </c>
      <c r="P441" s="148" t="s">
        <v>233</v>
      </c>
      <c r="Q441" s="148"/>
      <c r="R441" s="1"/>
      <c r="S441" s="1"/>
      <c r="T441" s="1"/>
      <c r="U441" s="1"/>
      <c r="V441" s="1"/>
    </row>
    <row r="442" spans="1:22" x14ac:dyDescent="0.3">
      <c r="A442" s="5" t="str">
        <f>CONCATENATE("F",IF(B442&lt;&gt;"",COUNTA($B$2:B442),""))</f>
        <v>F279</v>
      </c>
      <c r="B442" s="148" t="s">
        <v>73</v>
      </c>
      <c r="C442" s="5" t="s">
        <v>352</v>
      </c>
      <c r="D44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5.4899457018657456</v>
      </c>
      <c r="F442" s="148" t="str">
        <f>VLOOKUP(woodflow[[#This Row],[From]],woodstock[#All],4,FALSE)</f>
        <v>2021</v>
      </c>
      <c r="G442" s="5" t="str">
        <f>VLOOKUP(woodflow[[#This Row],[From]],woodstock[#All],5,FALSE)</f>
        <v>Global</v>
      </c>
      <c r="H442" s="151" t="str">
        <f>VLOOKUP(woodflow[[#This Row],[From]],woodstock[#All],7,FALSE)</f>
        <v>51</v>
      </c>
      <c r="I442" s="151" t="str">
        <f>VLOOKUP(woodflow[[#This Row],[to]],woodstock[#All],7,FALSE)</f>
        <v>63</v>
      </c>
      <c r="J442" s="151" t="str">
        <f>VLOOKUP(woodflow[[#This Row],[From]],woodstock[#All],8,FALSE)</f>
        <v>0</v>
      </c>
      <c r="K442" s="151" t="str">
        <f>VLOOKUP(woodflow[[#This Row],[to]],woodstock[#All],8,FALSE)</f>
        <v>0</v>
      </c>
      <c r="L442" s="152" t="str">
        <f>VLOOKUP(woodflow[[#This Row],[From]],woodstock[#All],9,FALSE)</f>
        <v>nan</v>
      </c>
      <c r="M442" s="152" t="str">
        <f>VLOOKUP(woodflow[[#This Row],[to]],woodstock[#All],9,FALSE)</f>
        <v>nan</v>
      </c>
      <c r="N442" s="157">
        <f>N434*woodratio!I167</f>
        <v>5.4899457018657456</v>
      </c>
      <c r="O442" s="148" t="s">
        <v>920</v>
      </c>
      <c r="P442" s="148" t="s">
        <v>233</v>
      </c>
      <c r="Q442" s="148"/>
      <c r="R442" s="1"/>
      <c r="S442" s="1"/>
      <c r="T442" s="1"/>
      <c r="U442" s="1"/>
      <c r="V442" s="1"/>
    </row>
    <row r="443" spans="1:22" x14ac:dyDescent="0.3">
      <c r="A443" s="5" t="str">
        <f>CONCATENATE("F",IF(B443&lt;&gt;"",COUNTA($B$2:B443),""))</f>
        <v>F280</v>
      </c>
      <c r="B443" s="148" t="s">
        <v>73</v>
      </c>
      <c r="C443" s="5" t="s">
        <v>373</v>
      </c>
      <c r="D44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4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1E-3</v>
      </c>
      <c r="F443" s="148" t="str">
        <f>VLOOKUP(woodflow[[#This Row],[From]],woodstock[#All],4,FALSE)</f>
        <v>2021</v>
      </c>
      <c r="G443" s="5" t="str">
        <f>VLOOKUP(woodflow[[#This Row],[From]],woodstock[#All],5,FALSE)</f>
        <v>Global</v>
      </c>
      <c r="H443" s="151" t="str">
        <f>VLOOKUP(woodflow[[#This Row],[From]],woodstock[#All],7,FALSE)</f>
        <v>51</v>
      </c>
      <c r="I443" s="151" t="str">
        <f>VLOOKUP(woodflow[[#This Row],[to]],woodstock[#All],7,FALSE)</f>
        <v>64</v>
      </c>
      <c r="J443" s="151" t="str">
        <f>VLOOKUP(woodflow[[#This Row],[From]],woodstock[#All],8,FALSE)</f>
        <v>0</v>
      </c>
      <c r="K443" s="151" t="str">
        <f>VLOOKUP(woodflow[[#This Row],[to]],woodstock[#All],8,FALSE)</f>
        <v>0</v>
      </c>
      <c r="L443" s="152" t="str">
        <f>VLOOKUP(woodflow[[#This Row],[From]],woodstock[#All],9,FALSE)</f>
        <v>nan</v>
      </c>
      <c r="M443" s="152" t="str">
        <f>VLOOKUP(woodflow[[#This Row],[to]],woodstock[#All],9,FALSE)</f>
        <v>nan</v>
      </c>
      <c r="N443" s="157">
        <f>1*10^-3</f>
        <v>1E-3</v>
      </c>
      <c r="O443" s="148" t="s">
        <v>920</v>
      </c>
      <c r="P443" s="156" t="s">
        <v>342</v>
      </c>
      <c r="Q443" s="148"/>
      <c r="R443" s="1"/>
      <c r="S443" s="1"/>
      <c r="T443" s="1"/>
      <c r="U443" s="1"/>
      <c r="V443" s="1"/>
    </row>
    <row r="444" spans="1:22" x14ac:dyDescent="0.3">
      <c r="A444" s="5" t="str">
        <f>CONCATENATE("F",IF(B444&lt;&gt;"",COUNTA($B$2:B444),""))</f>
        <v>F</v>
      </c>
      <c r="B444" s="148"/>
      <c r="C444" s="148"/>
      <c r="D444" s="149"/>
      <c r="E444" s="149"/>
      <c r="F444" s="148"/>
      <c r="G444" s="5"/>
      <c r="H444" s="151"/>
      <c r="I444" s="151"/>
      <c r="J444" s="151"/>
      <c r="K444" s="151"/>
      <c r="L444" s="152"/>
      <c r="M444" s="152"/>
      <c r="N444" s="157"/>
      <c r="O444" s="148"/>
      <c r="P444" s="148"/>
      <c r="Q444" s="148"/>
      <c r="R444" s="1"/>
      <c r="S444" s="1"/>
      <c r="T444" s="1"/>
      <c r="U444" s="1"/>
      <c r="V444" s="1"/>
    </row>
    <row r="445" spans="1:22" x14ac:dyDescent="0.3">
      <c r="A445" s="5" t="str">
        <f>CONCATENATE("F",IF(B445&lt;&gt;"",COUNTA($B$2:B445),""))</f>
        <v>F</v>
      </c>
      <c r="B445" s="148"/>
      <c r="C445" s="148"/>
      <c r="D445" s="149"/>
      <c r="E445" s="149"/>
      <c r="F445" s="148"/>
      <c r="G445" s="5"/>
      <c r="H445" s="151"/>
      <c r="I445" s="151"/>
      <c r="J445" s="151"/>
      <c r="K445" s="151"/>
      <c r="L445" s="152"/>
      <c r="M445" s="152"/>
      <c r="N445" s="157"/>
      <c r="O445" s="148"/>
      <c r="P445" s="148"/>
      <c r="Q445" s="148"/>
      <c r="R445" s="1"/>
      <c r="S445" s="1"/>
      <c r="T445" s="1"/>
      <c r="U445" s="1"/>
      <c r="V445" s="1"/>
    </row>
    <row r="446" spans="1:22" x14ac:dyDescent="0.3">
      <c r="A446" s="5" t="str">
        <f>CONCATENATE("F",IF(B446&lt;&gt;"",COUNTA($B$2:B446),""))</f>
        <v>F281</v>
      </c>
      <c r="B446" s="148" t="s">
        <v>30</v>
      </c>
      <c r="C446" s="148" t="s">
        <v>54</v>
      </c>
      <c r="D44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5.5325273462069493</v>
      </c>
      <c r="E44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6" s="148" t="str">
        <f>VLOOKUP(woodflow[[#This Row],[From]],woodstock[#All],4,FALSE)</f>
        <v>2021</v>
      </c>
      <c r="G446" s="5" t="str">
        <f>VLOOKUP(woodflow[[#This Row],[From]],woodstock[#All],5,FALSE)</f>
        <v>Global</v>
      </c>
      <c r="H446" s="151" t="str">
        <f>VLOOKUP(woodflow[[#This Row],[From]],woodstock[#All],7,FALSE)</f>
        <v>52</v>
      </c>
      <c r="I446" s="151" t="str">
        <f>VLOOKUP(woodflow[[#This Row],[to]],woodstock[#All],7,FALSE)</f>
        <v>16</v>
      </c>
      <c r="J446" s="151" t="str">
        <f>VLOOKUP(woodflow[[#This Row],[From]],woodstock[#All],8,FALSE)</f>
        <v>0</v>
      </c>
      <c r="K446" s="151" t="str">
        <f>VLOOKUP(woodflow[[#This Row],[to]],woodstock[#All],8,FALSE)</f>
        <v>0</v>
      </c>
      <c r="L446" s="152" t="str">
        <f>VLOOKUP(woodflow[[#This Row],[From]],woodstock[#All],9,FALSE)</f>
        <v>nan</v>
      </c>
      <c r="M446" s="152" t="str">
        <f>VLOOKUP(woodflow[[#This Row],[to]],woodstock[#All],9,FALSE)</f>
        <v>nan</v>
      </c>
      <c r="N446" s="157">
        <f>(N116+N182+N191+N224)*'supporting-percentages'!B54</f>
        <v>5.5325273462069493</v>
      </c>
      <c r="O446" s="148" t="s">
        <v>921</v>
      </c>
      <c r="P446" s="148" t="s">
        <v>455</v>
      </c>
      <c r="Q446" s="148"/>
      <c r="R446" s="1"/>
      <c r="S446" s="1"/>
      <c r="T446" s="1"/>
      <c r="U446" s="1"/>
      <c r="V446" s="1"/>
    </row>
    <row r="447" spans="1:22" x14ac:dyDescent="0.3">
      <c r="A447" s="5" t="str">
        <f>CONCATENATE("F",IF(B447&lt;&gt;"",COUNTA($B$2:B447),""))</f>
        <v>F</v>
      </c>
      <c r="B447" s="148"/>
      <c r="C447" s="148"/>
      <c r="D447" s="149"/>
      <c r="E447" s="149"/>
      <c r="F447" s="148"/>
      <c r="G447" s="148"/>
      <c r="H447" s="151"/>
      <c r="I447" s="151"/>
      <c r="J447" s="151"/>
      <c r="K447" s="151"/>
      <c r="L447" s="152"/>
      <c r="M447" s="152"/>
      <c r="N447" s="157"/>
      <c r="O447" s="148"/>
      <c r="P447" s="148"/>
      <c r="Q447" s="148"/>
      <c r="R447" s="1"/>
      <c r="S447" s="1"/>
      <c r="T447" s="1"/>
      <c r="U447" s="1"/>
      <c r="V447" s="1"/>
    </row>
    <row r="448" spans="1:22" x14ac:dyDescent="0.3">
      <c r="A448" s="5" t="str">
        <f>CONCATENATE("F",IF(B448&lt;&gt;"",COUNTA($B$2:B448),""))</f>
        <v>F</v>
      </c>
      <c r="B448" s="148"/>
      <c r="C448" s="148"/>
      <c r="D448" s="149"/>
      <c r="E448" s="149"/>
      <c r="F448" s="148"/>
      <c r="G448" s="148"/>
      <c r="H448" s="151"/>
      <c r="I448" s="151"/>
      <c r="J448" s="151"/>
      <c r="K448" s="151"/>
      <c r="L448" s="152"/>
      <c r="M448" s="152"/>
      <c r="N448" s="157"/>
      <c r="O448" s="148"/>
      <c r="P448" s="148"/>
      <c r="Q448" s="148"/>
      <c r="R448" s="1"/>
      <c r="S448" s="1"/>
      <c r="T448" s="1"/>
      <c r="U448" s="1"/>
      <c r="V448" s="1"/>
    </row>
    <row r="449" spans="1:22" x14ac:dyDescent="0.3">
      <c r="A449" s="5" t="str">
        <f>CONCATENATE("F",IF(B449&lt;&gt;"",COUNTA($B$2:B449),""))</f>
        <v>F282</v>
      </c>
      <c r="B449" s="148" t="s">
        <v>30</v>
      </c>
      <c r="C449" s="5" t="s">
        <v>350</v>
      </c>
      <c r="D44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49.792746115862542</v>
      </c>
      <c r="E44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49" s="148" t="str">
        <f>VLOOKUP(woodflow[[#This Row],[From]],woodstock[#All],4,FALSE)</f>
        <v>2021</v>
      </c>
      <c r="G449" s="5" t="str">
        <f>VLOOKUP(woodflow[[#This Row],[From]],woodstock[#All],5,FALSE)</f>
        <v>Global</v>
      </c>
      <c r="H449" s="151" t="str">
        <f>VLOOKUP(woodflow[[#This Row],[From]],woodstock[#All],7,FALSE)</f>
        <v>52</v>
      </c>
      <c r="I449" s="151" t="str">
        <f>VLOOKUP(woodflow[[#This Row],[to]],woodstock[#All],7,FALSE)</f>
        <v>20</v>
      </c>
      <c r="J449" s="151" t="str">
        <f>VLOOKUP(woodflow[[#This Row],[From]],woodstock[#All],8,FALSE)</f>
        <v>0</v>
      </c>
      <c r="K449" s="151" t="str">
        <f>VLOOKUP(woodflow[[#This Row],[to]],woodstock[#All],8,FALSE)</f>
        <v>1</v>
      </c>
      <c r="L449" s="152" t="str">
        <f>VLOOKUP(woodflow[[#This Row],[From]],woodstock[#All],9,FALSE)</f>
        <v>nan</v>
      </c>
      <c r="M449" s="152" t="str">
        <f>VLOOKUP(woodflow[[#This Row],[to]],woodstock[#All],9,FALSE)</f>
        <v>58-59-60-61-62-63-64</v>
      </c>
      <c r="N449" s="157">
        <f>(N116+N182+N191+N224)*('supporting-percentages'!B55)</f>
        <v>49.792746115862542</v>
      </c>
      <c r="O449" s="148" t="s">
        <v>921</v>
      </c>
      <c r="P449" s="148" t="s">
        <v>455</v>
      </c>
      <c r="Q449" s="148"/>
      <c r="R449" s="1"/>
      <c r="S449" s="1"/>
      <c r="T449" s="1"/>
      <c r="U449" s="1"/>
      <c r="V449" s="1"/>
    </row>
    <row r="450" spans="1:22" x14ac:dyDescent="0.3">
      <c r="A450" s="5" t="str">
        <f>CONCATENATE("F",IF(B450&lt;&gt;"",COUNTA($B$2:B450),""))</f>
        <v>F283</v>
      </c>
      <c r="B450" s="148" t="s">
        <v>30</v>
      </c>
      <c r="C450" s="5" t="s">
        <v>392</v>
      </c>
      <c r="D45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44.260218769655594</v>
      </c>
      <c r="F450" s="148" t="str">
        <f>VLOOKUP(woodflow[[#This Row],[From]],woodstock[#All],4,FALSE)</f>
        <v>2021</v>
      </c>
      <c r="G450" s="5" t="str">
        <f>VLOOKUP(woodflow[[#This Row],[From]],woodstock[#All],5,FALSE)</f>
        <v>Global</v>
      </c>
      <c r="H450" s="151" t="str">
        <f>VLOOKUP(woodflow[[#This Row],[From]],woodstock[#All],7,FALSE)</f>
        <v>52</v>
      </c>
      <c r="I450" s="151" t="str">
        <f>VLOOKUP(woodflow[[#This Row],[to]],woodstock[#All],7,FALSE)</f>
        <v>21</v>
      </c>
      <c r="J450" s="151" t="str">
        <f>VLOOKUP(woodflow[[#This Row],[From]],woodstock[#All],8,FALSE)</f>
        <v>0</v>
      </c>
      <c r="K450" s="151" t="str">
        <f>VLOOKUP(woodflow[[#This Row],[to]],woodstock[#All],8,FALSE)</f>
        <v>1</v>
      </c>
      <c r="L450" s="152" t="str">
        <f>VLOOKUP(woodflow[[#This Row],[From]],woodstock[#All],9,FALSE)</f>
        <v>nan</v>
      </c>
      <c r="M450" s="152" t="str">
        <f>VLOOKUP(woodflow[[#This Row],[to]],woodstock[#All],9,FALSE)</f>
        <v>58-59-60-61</v>
      </c>
      <c r="N450" s="157">
        <f>N451+N452+N453+N454</f>
        <v>44.260218769655594</v>
      </c>
      <c r="O450" s="148" t="s">
        <v>920</v>
      </c>
      <c r="P450" s="148" t="s">
        <v>233</v>
      </c>
      <c r="Q450" s="148"/>
      <c r="R450" s="1"/>
      <c r="S450" s="1"/>
      <c r="T450" s="1"/>
      <c r="U450" s="1"/>
      <c r="V450" s="1"/>
    </row>
    <row r="451" spans="1:22" x14ac:dyDescent="0.3">
      <c r="A451" s="5" t="str">
        <f>CONCATENATE("F",IF(B451&lt;&gt;"",COUNTA($B$2:B451),""))</f>
        <v>F284</v>
      </c>
      <c r="B451" s="148" t="s">
        <v>30</v>
      </c>
      <c r="C451" s="5" t="s">
        <v>351</v>
      </c>
      <c r="D45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1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41.493955096552121</v>
      </c>
      <c r="F451" s="148" t="str">
        <f>VLOOKUP(woodflow[[#This Row],[From]],woodstock[#All],4,FALSE)</f>
        <v>2021</v>
      </c>
      <c r="G451" s="5" t="str">
        <f>VLOOKUP(woodflow[[#This Row],[From]],woodstock[#All],5,FALSE)</f>
        <v>Global</v>
      </c>
      <c r="H451" s="151" t="str">
        <f>VLOOKUP(woodflow[[#This Row],[From]],woodstock[#All],7,FALSE)</f>
        <v>52</v>
      </c>
      <c r="I451" s="151" t="str">
        <f>VLOOKUP(woodflow[[#This Row],[to]],woodstock[#All],7,FALSE)</f>
        <v>58</v>
      </c>
      <c r="J451" s="151" t="str">
        <f>VLOOKUP(woodflow[[#This Row],[From]],woodstock[#All],8,FALSE)</f>
        <v>0</v>
      </c>
      <c r="K451" s="151" t="str">
        <f>VLOOKUP(woodflow[[#This Row],[to]],woodstock[#All],8,FALSE)</f>
        <v>0</v>
      </c>
      <c r="L451" s="152" t="str">
        <f>VLOOKUP(woodflow[[#This Row],[From]],woodstock[#All],9,FALSE)</f>
        <v>nan</v>
      </c>
      <c r="M451" s="152" t="str">
        <f>VLOOKUP(woodflow[[#This Row],[to]],woodstock[#All],9,FALSE)</f>
        <v>nan</v>
      </c>
      <c r="N451" s="157">
        <f>N449*woodratio!I170</f>
        <v>41.493955096552121</v>
      </c>
      <c r="O451" s="148" t="s">
        <v>920</v>
      </c>
      <c r="P451" s="148" t="s">
        <v>233</v>
      </c>
      <c r="Q451" s="148"/>
      <c r="R451" s="1"/>
      <c r="S451" s="1"/>
      <c r="T451" s="1"/>
      <c r="U451" s="1"/>
      <c r="V451" s="1"/>
    </row>
    <row r="452" spans="1:22" x14ac:dyDescent="0.3">
      <c r="A452" s="5" t="str">
        <f>CONCATENATE("F",IF(B452&lt;&gt;"",COUNTA($B$2:B452),""))</f>
        <v>F285</v>
      </c>
      <c r="B452" s="148" t="s">
        <v>30</v>
      </c>
      <c r="C452" s="5" t="s">
        <v>916</v>
      </c>
      <c r="D45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2" s="148" t="str">
        <f>VLOOKUP(woodflow[[#This Row],[From]],woodstock[#All],4,FALSE)</f>
        <v>2021</v>
      </c>
      <c r="G452" s="5" t="str">
        <f>VLOOKUP(woodflow[[#This Row],[From]],woodstock[#All],5,FALSE)</f>
        <v>Global</v>
      </c>
      <c r="H452" s="151" t="str">
        <f>VLOOKUP(woodflow[[#This Row],[From]],woodstock[#All],7,FALSE)</f>
        <v>52</v>
      </c>
      <c r="I452" s="151" t="str">
        <f>VLOOKUP(woodflow[[#This Row],[to]],woodstock[#All],7,FALSE)</f>
        <v>59</v>
      </c>
      <c r="J452" s="151" t="str">
        <f>VLOOKUP(woodflow[[#This Row],[From]],woodstock[#All],8,FALSE)</f>
        <v>0</v>
      </c>
      <c r="K452" s="151" t="str">
        <f>VLOOKUP(woodflow[[#This Row],[to]],woodstock[#All],8,FALSE)</f>
        <v>0</v>
      </c>
      <c r="L452" s="152" t="str">
        <f>VLOOKUP(woodflow[[#This Row],[From]],woodstock[#All],9,FALSE)</f>
        <v>nan</v>
      </c>
      <c r="M452" s="152" t="str">
        <f>VLOOKUP(woodflow[[#This Row],[to]],woodstock[#All],9,FALSE)</f>
        <v>nan</v>
      </c>
      <c r="N452" s="157">
        <v>0</v>
      </c>
      <c r="O452" s="148" t="s">
        <v>209</v>
      </c>
      <c r="P452" s="148"/>
      <c r="Q452" s="148"/>
      <c r="R452" s="1"/>
      <c r="S452" s="1"/>
      <c r="T452" s="1"/>
      <c r="U452" s="1"/>
      <c r="V452" s="1"/>
    </row>
    <row r="453" spans="1:22" x14ac:dyDescent="0.3">
      <c r="A453" s="5" t="str">
        <f>CONCATENATE("F",IF(B453&lt;&gt;"",COUNTA($B$2:B453),""))</f>
        <v>F286</v>
      </c>
      <c r="B453" s="148" t="s">
        <v>30</v>
      </c>
      <c r="C453" s="5" t="s">
        <v>917</v>
      </c>
      <c r="D45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5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53" s="148" t="str">
        <f>VLOOKUP(woodflow[[#This Row],[From]],woodstock[#All],4,FALSE)</f>
        <v>2021</v>
      </c>
      <c r="G453" s="5" t="str">
        <f>VLOOKUP(woodflow[[#This Row],[From]],woodstock[#All],5,FALSE)</f>
        <v>Global</v>
      </c>
      <c r="H453" s="151" t="str">
        <f>VLOOKUP(woodflow[[#This Row],[From]],woodstock[#All],7,FALSE)</f>
        <v>52</v>
      </c>
      <c r="I453" s="151" t="str">
        <f>VLOOKUP(woodflow[[#This Row],[to]],woodstock[#All],7,FALSE)</f>
        <v>60</v>
      </c>
      <c r="J453" s="151" t="str">
        <f>VLOOKUP(woodflow[[#This Row],[From]],woodstock[#All],8,FALSE)</f>
        <v>0</v>
      </c>
      <c r="K453" s="151" t="str">
        <f>VLOOKUP(woodflow[[#This Row],[to]],woodstock[#All],8,FALSE)</f>
        <v>0</v>
      </c>
      <c r="L453" s="152" t="str">
        <f>VLOOKUP(woodflow[[#This Row],[From]],woodstock[#All],9,FALSE)</f>
        <v>nan</v>
      </c>
      <c r="M453" s="152" t="str">
        <f>VLOOKUP(woodflow[[#This Row],[to]],woodstock[#All],9,FALSE)</f>
        <v>nan</v>
      </c>
      <c r="N453" s="157">
        <v>0</v>
      </c>
      <c r="O453" s="148" t="s">
        <v>209</v>
      </c>
      <c r="P453" s="148"/>
      <c r="Q453" s="148"/>
      <c r="R453" s="1"/>
      <c r="S453" s="1"/>
      <c r="T453" s="1"/>
      <c r="U453" s="1"/>
      <c r="V453" s="1"/>
    </row>
    <row r="454" spans="1:22" x14ac:dyDescent="0.3">
      <c r="A454" s="5" t="str">
        <f>CONCATENATE("F",IF(B454&lt;&gt;"",COUNTA($B$2:B454),""))</f>
        <v>F287</v>
      </c>
      <c r="B454" s="148" t="s">
        <v>30</v>
      </c>
      <c r="C454" s="5" t="s">
        <v>391</v>
      </c>
      <c r="D454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4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2.7662636731034747</v>
      </c>
      <c r="F454" s="148" t="str">
        <f>VLOOKUP(woodflow[[#This Row],[From]],woodstock[#All],4,FALSE)</f>
        <v>2021</v>
      </c>
      <c r="G454" s="5" t="str">
        <f>VLOOKUP(woodflow[[#This Row],[From]],woodstock[#All],5,FALSE)</f>
        <v>Global</v>
      </c>
      <c r="H454" s="151" t="str">
        <f>VLOOKUP(woodflow[[#This Row],[From]],woodstock[#All],7,FALSE)</f>
        <v>52</v>
      </c>
      <c r="I454" s="151" t="str">
        <f>VLOOKUP(woodflow[[#This Row],[to]],woodstock[#All],7,FALSE)</f>
        <v>61</v>
      </c>
      <c r="J454" s="151" t="str">
        <f>VLOOKUP(woodflow[[#This Row],[From]],woodstock[#All],8,FALSE)</f>
        <v>0</v>
      </c>
      <c r="K454" s="151" t="str">
        <f>VLOOKUP(woodflow[[#This Row],[to]],woodstock[#All],8,FALSE)</f>
        <v>0</v>
      </c>
      <c r="L454" s="152" t="str">
        <f>VLOOKUP(woodflow[[#This Row],[From]],woodstock[#All],9,FALSE)</f>
        <v>nan</v>
      </c>
      <c r="M454" s="152" t="str">
        <f>VLOOKUP(woodflow[[#This Row],[to]],woodstock[#All],9,FALSE)</f>
        <v>nan</v>
      </c>
      <c r="N454" s="157">
        <f>N449*woodratio!I171</f>
        <v>2.7662636731034747</v>
      </c>
      <c r="O454" s="148" t="s">
        <v>920</v>
      </c>
      <c r="P454" s="148" t="s">
        <v>233</v>
      </c>
      <c r="Q454" s="148"/>
      <c r="R454" s="1"/>
      <c r="S454" s="1"/>
      <c r="T454" s="1"/>
      <c r="U454" s="1"/>
      <c r="V454" s="1"/>
    </row>
    <row r="455" spans="1:22" x14ac:dyDescent="0.3">
      <c r="A455" s="5" t="str">
        <f>CONCATENATE("F",IF(B455&lt;&gt;"",COUNTA($B$2:B455),""))</f>
        <v>F288</v>
      </c>
      <c r="B455" s="148" t="s">
        <v>30</v>
      </c>
      <c r="C455" s="5" t="s">
        <v>403</v>
      </c>
      <c r="D455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5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5.5335273462069496</v>
      </c>
      <c r="F455" s="148" t="str">
        <f>VLOOKUP(woodflow[[#This Row],[From]],woodstock[#All],4,FALSE)</f>
        <v>2021</v>
      </c>
      <c r="G455" s="5" t="str">
        <f>VLOOKUP(woodflow[[#This Row],[From]],woodstock[#All],5,FALSE)</f>
        <v>Global</v>
      </c>
      <c r="H455" s="151" t="str">
        <f>VLOOKUP(woodflow[[#This Row],[From]],woodstock[#All],7,FALSE)</f>
        <v>52</v>
      </c>
      <c r="I455" s="151" t="str">
        <f>VLOOKUP(woodflow[[#This Row],[to]],woodstock[#All],7,FALSE)</f>
        <v>22</v>
      </c>
      <c r="J455" s="151" t="str">
        <f>VLOOKUP(woodflow[[#This Row],[From]],woodstock[#All],8,FALSE)</f>
        <v>0</v>
      </c>
      <c r="K455" s="151" t="str">
        <f>VLOOKUP(woodflow[[#This Row],[to]],woodstock[#All],8,FALSE)</f>
        <v>1</v>
      </c>
      <c r="L455" s="152" t="str">
        <f>VLOOKUP(woodflow[[#This Row],[From]],woodstock[#All],9,FALSE)</f>
        <v>nan</v>
      </c>
      <c r="M455" s="152" t="str">
        <f>VLOOKUP(woodflow[[#This Row],[to]],woodstock[#All],9,FALSE)</f>
        <v>62-63-64</v>
      </c>
      <c r="N455" s="157">
        <f>N456+N457+N458</f>
        <v>5.5335273462069496</v>
      </c>
      <c r="O455" s="148" t="s">
        <v>920</v>
      </c>
      <c r="P455" s="148" t="s">
        <v>232</v>
      </c>
      <c r="Q455" s="148"/>
      <c r="R455" s="1"/>
      <c r="S455" s="1"/>
      <c r="T455" s="1"/>
      <c r="U455" s="1"/>
      <c r="V455" s="1"/>
    </row>
    <row r="456" spans="1:22" x14ac:dyDescent="0.3">
      <c r="A456" s="5" t="str">
        <f>CONCATENATE("F",IF(B456&lt;&gt;"",COUNTA($B$2:B456),""))</f>
        <v>F289</v>
      </c>
      <c r="B456" s="148" t="s">
        <v>30</v>
      </c>
      <c r="C456" s="5" t="s">
        <v>406</v>
      </c>
      <c r="D45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2.7662636731034747</v>
      </c>
      <c r="F456" s="148" t="str">
        <f>VLOOKUP(woodflow[[#This Row],[From]],woodstock[#All],4,FALSE)</f>
        <v>2021</v>
      </c>
      <c r="G456" s="5" t="str">
        <f>VLOOKUP(woodflow[[#This Row],[From]],woodstock[#All],5,FALSE)</f>
        <v>Global</v>
      </c>
      <c r="H456" s="151" t="str">
        <f>VLOOKUP(woodflow[[#This Row],[From]],woodstock[#All],7,FALSE)</f>
        <v>52</v>
      </c>
      <c r="I456" s="151" t="str">
        <f>VLOOKUP(woodflow[[#This Row],[to]],woodstock[#All],7,FALSE)</f>
        <v>62</v>
      </c>
      <c r="J456" s="151" t="str">
        <f>VLOOKUP(woodflow[[#This Row],[From]],woodstock[#All],8,FALSE)</f>
        <v>0</v>
      </c>
      <c r="K456" s="151" t="str">
        <f>VLOOKUP(woodflow[[#This Row],[to]],woodstock[#All],8,FALSE)</f>
        <v>0</v>
      </c>
      <c r="L456" s="152" t="str">
        <f>VLOOKUP(woodflow[[#This Row],[From]],woodstock[#All],9,FALSE)</f>
        <v>nan</v>
      </c>
      <c r="M456" s="152" t="str">
        <f>VLOOKUP(woodflow[[#This Row],[to]],woodstock[#All],9,FALSE)</f>
        <v>nan</v>
      </c>
      <c r="N456" s="157">
        <f>N449*woodratio!I172</f>
        <v>2.7662636731034747</v>
      </c>
      <c r="O456" s="148" t="s">
        <v>920</v>
      </c>
      <c r="P456" s="148" t="s">
        <v>233</v>
      </c>
      <c r="Q456" s="148"/>
      <c r="R456" s="1"/>
      <c r="S456" s="1"/>
      <c r="T456" s="1"/>
      <c r="U456" s="1"/>
      <c r="V456" s="1"/>
    </row>
    <row r="457" spans="1:22" x14ac:dyDescent="0.3">
      <c r="A457" s="5" t="str">
        <f>CONCATENATE("F",IF(B457&lt;&gt;"",COUNTA($B$2:B457),""))</f>
        <v>F290</v>
      </c>
      <c r="B457" s="148" t="s">
        <v>30</v>
      </c>
      <c r="C457" s="5" t="s">
        <v>352</v>
      </c>
      <c r="D45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2.7662636731034747</v>
      </c>
      <c r="F457" s="148" t="str">
        <f>VLOOKUP(woodflow[[#This Row],[From]],woodstock[#All],4,FALSE)</f>
        <v>2021</v>
      </c>
      <c r="G457" s="5" t="str">
        <f>VLOOKUP(woodflow[[#This Row],[From]],woodstock[#All],5,FALSE)</f>
        <v>Global</v>
      </c>
      <c r="H457" s="151" t="str">
        <f>VLOOKUP(woodflow[[#This Row],[From]],woodstock[#All],7,FALSE)</f>
        <v>52</v>
      </c>
      <c r="I457" s="151" t="str">
        <f>VLOOKUP(woodflow[[#This Row],[to]],woodstock[#All],7,FALSE)</f>
        <v>63</v>
      </c>
      <c r="J457" s="151" t="str">
        <f>VLOOKUP(woodflow[[#This Row],[From]],woodstock[#All],8,FALSE)</f>
        <v>0</v>
      </c>
      <c r="K457" s="151" t="str">
        <f>VLOOKUP(woodflow[[#This Row],[to]],woodstock[#All],8,FALSE)</f>
        <v>0</v>
      </c>
      <c r="L457" s="152" t="str">
        <f>VLOOKUP(woodflow[[#This Row],[From]],woodstock[#All],9,FALSE)</f>
        <v>nan</v>
      </c>
      <c r="M457" s="152" t="str">
        <f>VLOOKUP(woodflow[[#This Row],[to]],woodstock[#All],9,FALSE)</f>
        <v>nan</v>
      </c>
      <c r="N457" s="157">
        <f>N449*woodratio!I173</f>
        <v>2.7662636731034747</v>
      </c>
      <c r="O457" s="148" t="s">
        <v>920</v>
      </c>
      <c r="P457" s="148" t="s">
        <v>233</v>
      </c>
      <c r="Q457" s="148"/>
      <c r="R457" s="1"/>
      <c r="S457" s="1"/>
      <c r="T457" s="1"/>
      <c r="U457" s="1"/>
      <c r="V457" s="1"/>
    </row>
    <row r="458" spans="1:22" x14ac:dyDescent="0.3">
      <c r="A458" s="5" t="str">
        <f>CONCATENATE("F",IF(B458&lt;&gt;"",COUNTA($B$2:B458),""))</f>
        <v>F291</v>
      </c>
      <c r="B458" s="148" t="s">
        <v>30</v>
      </c>
      <c r="C458" s="5" t="s">
        <v>373</v>
      </c>
      <c r="D45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58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1E-3</v>
      </c>
      <c r="F458" s="148" t="str">
        <f>VLOOKUP(woodflow[[#This Row],[From]],woodstock[#All],4,FALSE)</f>
        <v>2021</v>
      </c>
      <c r="G458" s="5" t="str">
        <f>VLOOKUP(woodflow[[#This Row],[From]],woodstock[#All],5,FALSE)</f>
        <v>Global</v>
      </c>
      <c r="H458" s="151" t="str">
        <f>VLOOKUP(woodflow[[#This Row],[From]],woodstock[#All],7,FALSE)</f>
        <v>52</v>
      </c>
      <c r="I458" s="151" t="str">
        <f>VLOOKUP(woodflow[[#This Row],[to]],woodstock[#All],7,FALSE)</f>
        <v>64</v>
      </c>
      <c r="J458" s="151" t="str">
        <f>VLOOKUP(woodflow[[#This Row],[From]],woodstock[#All],8,FALSE)</f>
        <v>0</v>
      </c>
      <c r="K458" s="151" t="str">
        <f>VLOOKUP(woodflow[[#This Row],[to]],woodstock[#All],8,FALSE)</f>
        <v>0</v>
      </c>
      <c r="L458" s="152" t="str">
        <f>VLOOKUP(woodflow[[#This Row],[From]],woodstock[#All],9,FALSE)</f>
        <v>nan</v>
      </c>
      <c r="M458" s="152" t="str">
        <f>VLOOKUP(woodflow[[#This Row],[to]],woodstock[#All],9,FALSE)</f>
        <v>nan</v>
      </c>
      <c r="N458" s="157">
        <f>1*10^-3</f>
        <v>1E-3</v>
      </c>
      <c r="O458" s="148" t="s">
        <v>920</v>
      </c>
      <c r="P458" s="156" t="s">
        <v>342</v>
      </c>
      <c r="Q458" s="148"/>
      <c r="R458" s="1"/>
      <c r="S458" s="1"/>
      <c r="T458" s="1"/>
      <c r="U458" s="1"/>
      <c r="V458" s="1"/>
    </row>
    <row r="459" spans="1:22" x14ac:dyDescent="0.3">
      <c r="A459" s="5" t="str">
        <f>CONCATENATE("F",IF(B459&lt;&gt;"",COUNTA($B$2:B459),""))</f>
        <v>F</v>
      </c>
      <c r="B459" s="148"/>
      <c r="C459" s="148"/>
      <c r="D459" s="149"/>
      <c r="E459" s="149"/>
      <c r="F459" s="148"/>
      <c r="G459" s="148"/>
      <c r="H459" s="151"/>
      <c r="I459" s="151"/>
      <c r="J459" s="151"/>
      <c r="K459" s="151"/>
      <c r="L459" s="152"/>
      <c r="M459" s="152"/>
      <c r="N459" s="157"/>
      <c r="O459" s="148"/>
      <c r="P459" s="148"/>
      <c r="Q459" s="148"/>
      <c r="R459" s="1"/>
      <c r="S459" s="1"/>
      <c r="T459" s="1"/>
      <c r="U459" s="1"/>
      <c r="V459" s="1"/>
    </row>
    <row r="460" spans="1:22" x14ac:dyDescent="0.3">
      <c r="A460" s="5" t="str">
        <f>CONCATENATE("F",IF(B460&lt;&gt;"",COUNTA($B$2:B460),""))</f>
        <v>F</v>
      </c>
      <c r="B460" s="148"/>
      <c r="C460" s="148"/>
      <c r="D460" s="149"/>
      <c r="E460" s="149"/>
      <c r="F460" s="148"/>
      <c r="G460" s="148"/>
      <c r="H460" s="151"/>
      <c r="I460" s="151"/>
      <c r="J460" s="151"/>
      <c r="K460" s="151"/>
      <c r="L460" s="152"/>
      <c r="M460" s="152"/>
      <c r="N460" s="157"/>
      <c r="O460" s="148"/>
      <c r="P460" s="148"/>
      <c r="Q460" s="148"/>
      <c r="R460" s="1"/>
      <c r="S460" s="1"/>
      <c r="T460" s="1"/>
      <c r="U460" s="1"/>
      <c r="V460" s="1"/>
    </row>
    <row r="461" spans="1:22" x14ac:dyDescent="0.3">
      <c r="A461" s="5" t="str">
        <f>CONCATENATE("F",IF(B461&lt;&gt;"",COUNTA($B$2:B461),""))</f>
        <v>F292</v>
      </c>
      <c r="B461" s="148" t="s">
        <v>80</v>
      </c>
      <c r="C461" s="5" t="s">
        <v>350</v>
      </c>
      <c r="D46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218.87840747606941</v>
      </c>
      <c r="E46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1" s="148" t="str">
        <f>VLOOKUP(woodflow[[#This Row],[From]],woodstock[#All],4,FALSE)</f>
        <v>2021</v>
      </c>
      <c r="G461" s="5" t="str">
        <f>VLOOKUP(woodflow[[#This Row],[From]],woodstock[#All],5,FALSE)</f>
        <v>Global</v>
      </c>
      <c r="H461" s="151" t="str">
        <f>VLOOKUP(woodflow[[#This Row],[From]],woodstock[#All],7,FALSE)</f>
        <v>53</v>
      </c>
      <c r="I461" s="151" t="str">
        <f>VLOOKUP(woodflow[[#This Row],[to]],woodstock[#All],7,FALSE)</f>
        <v>20</v>
      </c>
      <c r="J461" s="151" t="str">
        <f>VLOOKUP(woodflow[[#This Row],[From]],woodstock[#All],8,FALSE)</f>
        <v>0</v>
      </c>
      <c r="K461" s="151" t="str">
        <f>VLOOKUP(woodflow[[#This Row],[to]],woodstock[#All],8,FALSE)</f>
        <v>1</v>
      </c>
      <c r="L461" s="152" t="str">
        <f>VLOOKUP(woodflow[[#This Row],[From]],woodstock[#All],9,FALSE)</f>
        <v>nan</v>
      </c>
      <c r="M461" s="152" t="str">
        <f>VLOOKUP(woodflow[[#This Row],[to]],woodstock[#All],9,FALSE)</f>
        <v>58-59-60-61-62-63-64</v>
      </c>
      <c r="N461" s="157">
        <f>N304</f>
        <v>218.87840747606941</v>
      </c>
      <c r="O461" s="148" t="s">
        <v>921</v>
      </c>
      <c r="P461" s="148" t="s">
        <v>232</v>
      </c>
      <c r="Q461" s="148"/>
      <c r="R461" s="1"/>
      <c r="S461" s="1"/>
      <c r="T461" s="1"/>
      <c r="U461" s="1"/>
      <c r="V461" s="1"/>
    </row>
    <row r="462" spans="1:22" x14ac:dyDescent="0.3">
      <c r="A462" s="5" t="str">
        <f>CONCATENATE("F",IF(B462&lt;&gt;"",COUNTA($B$2:B462),""))</f>
        <v>F293</v>
      </c>
      <c r="B462" s="148" t="s">
        <v>80</v>
      </c>
      <c r="C462" s="5" t="s">
        <v>392</v>
      </c>
      <c r="D462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2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193.37801048856616</v>
      </c>
      <c r="F462" s="148" t="str">
        <f>VLOOKUP(woodflow[[#This Row],[From]],woodstock[#All],4,FALSE)</f>
        <v>2021</v>
      </c>
      <c r="G462" s="5" t="str">
        <f>VLOOKUP(woodflow[[#This Row],[From]],woodstock[#All],5,FALSE)</f>
        <v>Global</v>
      </c>
      <c r="H462" s="151" t="str">
        <f>VLOOKUP(woodflow[[#This Row],[From]],woodstock[#All],7,FALSE)</f>
        <v>53</v>
      </c>
      <c r="I462" s="151" t="str">
        <f>VLOOKUP(woodflow[[#This Row],[to]],woodstock[#All],7,FALSE)</f>
        <v>21</v>
      </c>
      <c r="J462" s="151" t="str">
        <f>VLOOKUP(woodflow[[#This Row],[From]],woodstock[#All],8,FALSE)</f>
        <v>0</v>
      </c>
      <c r="K462" s="151" t="str">
        <f>VLOOKUP(woodflow[[#This Row],[to]],woodstock[#All],8,FALSE)</f>
        <v>1</v>
      </c>
      <c r="L462" s="152" t="str">
        <f>VLOOKUP(woodflow[[#This Row],[From]],woodstock[#All],9,FALSE)</f>
        <v>nan</v>
      </c>
      <c r="M462" s="152" t="str">
        <f>VLOOKUP(woodflow[[#This Row],[to]],woodstock[#All],9,FALSE)</f>
        <v>58-59-60-61</v>
      </c>
      <c r="N462" s="157">
        <f>N463+N464+N465+N466</f>
        <v>193.37801048856616</v>
      </c>
      <c r="O462" s="148" t="s">
        <v>920</v>
      </c>
      <c r="P462" s="148" t="s">
        <v>232</v>
      </c>
      <c r="Q462" s="148"/>
      <c r="R462" s="1"/>
      <c r="S462" s="1"/>
      <c r="T462" s="1"/>
      <c r="U462" s="1"/>
      <c r="V462" s="1"/>
    </row>
    <row r="463" spans="1:22" x14ac:dyDescent="0.3">
      <c r="A463" s="5" t="str">
        <f>CONCATENATE("F",IF(B463&lt;&gt;"",COUNTA($B$2:B463),""))</f>
        <v>F294</v>
      </c>
      <c r="B463" s="148" t="s">
        <v>80</v>
      </c>
      <c r="C463" s="5" t="s">
        <v>351</v>
      </c>
      <c r="D463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3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167.87761350106294</v>
      </c>
      <c r="F463" s="148" t="str">
        <f>VLOOKUP(woodflow[[#This Row],[From]],woodstock[#All],4,FALSE)</f>
        <v>2021</v>
      </c>
      <c r="G463" s="5" t="str">
        <f>VLOOKUP(woodflow[[#This Row],[From]],woodstock[#All],5,FALSE)</f>
        <v>Global</v>
      </c>
      <c r="H463" s="151" t="str">
        <f>VLOOKUP(woodflow[[#This Row],[From]],woodstock[#All],7,FALSE)</f>
        <v>53</v>
      </c>
      <c r="I463" s="151" t="str">
        <f>VLOOKUP(woodflow[[#This Row],[to]],woodstock[#All],7,FALSE)</f>
        <v>58</v>
      </c>
      <c r="J463" s="151" t="str">
        <f>VLOOKUP(woodflow[[#This Row],[From]],woodstock[#All],8,FALSE)</f>
        <v>0</v>
      </c>
      <c r="K463" s="151" t="str">
        <f>VLOOKUP(woodflow[[#This Row],[to]],woodstock[#All],8,FALSE)</f>
        <v>0</v>
      </c>
      <c r="L463" s="152" t="str">
        <f>VLOOKUP(woodflow[[#This Row],[From]],woodstock[#All],9,FALSE)</f>
        <v>nan</v>
      </c>
      <c r="M463" s="152" t="str">
        <f>VLOOKUP(woodflow[[#This Row],[to]],woodstock[#All],9,FALSE)</f>
        <v>nan</v>
      </c>
      <c r="N463" s="157">
        <f>N461*woodratio!I176</f>
        <v>167.87761350106294</v>
      </c>
      <c r="O463" s="148" t="s">
        <v>920</v>
      </c>
      <c r="P463" s="148" t="s">
        <v>233</v>
      </c>
      <c r="Q463" s="148"/>
      <c r="R463" s="1"/>
      <c r="S463" s="1"/>
      <c r="T463" s="1"/>
      <c r="U463" s="1"/>
      <c r="V463" s="1"/>
    </row>
    <row r="464" spans="1:22" x14ac:dyDescent="0.3">
      <c r="A464" s="5" t="str">
        <f>CONCATENATE("F",IF(B464&lt;&gt;"",COUNTA($B$2:B464),""))</f>
        <v>F295</v>
      </c>
      <c r="B464" s="148" t="s">
        <v>80</v>
      </c>
      <c r="C464" s="5" t="s">
        <v>916</v>
      </c>
      <c r="D46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4" s="148" t="str">
        <f>VLOOKUP(woodflow[[#This Row],[From]],woodstock[#All],4,FALSE)</f>
        <v>2021</v>
      </c>
      <c r="G464" s="5" t="str">
        <f>VLOOKUP(woodflow[[#This Row],[From]],woodstock[#All],5,FALSE)</f>
        <v>Global</v>
      </c>
      <c r="H464" s="151" t="str">
        <f>VLOOKUP(woodflow[[#This Row],[From]],woodstock[#All],7,FALSE)</f>
        <v>53</v>
      </c>
      <c r="I464" s="151" t="str">
        <f>VLOOKUP(woodflow[[#This Row],[to]],woodstock[#All],7,FALSE)</f>
        <v>59</v>
      </c>
      <c r="J464" s="151" t="str">
        <f>VLOOKUP(woodflow[[#This Row],[From]],woodstock[#All],8,FALSE)</f>
        <v>0</v>
      </c>
      <c r="K464" s="151" t="str">
        <f>VLOOKUP(woodflow[[#This Row],[to]],woodstock[#All],8,FALSE)</f>
        <v>0</v>
      </c>
      <c r="L464" s="152" t="str">
        <f>VLOOKUP(woodflow[[#This Row],[From]],woodstock[#All],9,FALSE)</f>
        <v>nan</v>
      </c>
      <c r="M464" s="152" t="str">
        <f>VLOOKUP(woodflow[[#This Row],[to]],woodstock[#All],9,FALSE)</f>
        <v>nan</v>
      </c>
      <c r="N464" s="157">
        <v>0</v>
      </c>
      <c r="O464" s="148" t="s">
        <v>209</v>
      </c>
      <c r="P464" s="148"/>
      <c r="Q464" s="148"/>
      <c r="R464" s="1"/>
      <c r="S464" s="1"/>
      <c r="T464" s="1"/>
      <c r="U464" s="1"/>
      <c r="V464" s="1"/>
    </row>
    <row r="465" spans="1:22" x14ac:dyDescent="0.3">
      <c r="A465" s="5" t="str">
        <f>CONCATENATE("F",IF(B465&lt;&gt;"",COUNTA($B$2:B465),""))</f>
        <v>F296</v>
      </c>
      <c r="B465" s="148" t="s">
        <v>80</v>
      </c>
      <c r="C465" s="5" t="s">
        <v>917</v>
      </c>
      <c r="D46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6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65" s="148" t="str">
        <f>VLOOKUP(woodflow[[#This Row],[From]],woodstock[#All],4,FALSE)</f>
        <v>2021</v>
      </c>
      <c r="G465" s="5" t="str">
        <f>VLOOKUP(woodflow[[#This Row],[From]],woodstock[#All],5,FALSE)</f>
        <v>Global</v>
      </c>
      <c r="H465" s="151" t="str">
        <f>VLOOKUP(woodflow[[#This Row],[From]],woodstock[#All],7,FALSE)</f>
        <v>53</v>
      </c>
      <c r="I465" s="151" t="str">
        <f>VLOOKUP(woodflow[[#This Row],[to]],woodstock[#All],7,FALSE)</f>
        <v>60</v>
      </c>
      <c r="J465" s="151" t="str">
        <f>VLOOKUP(woodflow[[#This Row],[From]],woodstock[#All],8,FALSE)</f>
        <v>0</v>
      </c>
      <c r="K465" s="151" t="str">
        <f>VLOOKUP(woodflow[[#This Row],[to]],woodstock[#All],8,FALSE)</f>
        <v>0</v>
      </c>
      <c r="L465" s="152" t="str">
        <f>VLOOKUP(woodflow[[#This Row],[From]],woodstock[#All],9,FALSE)</f>
        <v>nan</v>
      </c>
      <c r="M465" s="152" t="str">
        <f>VLOOKUP(woodflow[[#This Row],[to]],woodstock[#All],9,FALSE)</f>
        <v>nan</v>
      </c>
      <c r="N465" s="157">
        <v>0</v>
      </c>
      <c r="O465" s="148" t="s">
        <v>209</v>
      </c>
      <c r="P465" s="148"/>
      <c r="Q465" s="148"/>
      <c r="R465" s="1"/>
      <c r="S465" s="1"/>
      <c r="T465" s="1"/>
      <c r="U465" s="1"/>
      <c r="V465" s="1"/>
    </row>
    <row r="466" spans="1:22" x14ac:dyDescent="0.3">
      <c r="A466" s="5" t="str">
        <f>CONCATENATE("F",IF(B466&lt;&gt;"",COUNTA($B$2:B466),""))</f>
        <v>F297</v>
      </c>
      <c r="B466" s="148" t="s">
        <v>80</v>
      </c>
      <c r="C466" s="5" t="s">
        <v>391</v>
      </c>
      <c r="D46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25.500396987503233</v>
      </c>
      <c r="F466" s="148" t="str">
        <f>VLOOKUP(woodflow[[#This Row],[From]],woodstock[#All],4,FALSE)</f>
        <v>2021</v>
      </c>
      <c r="G466" s="5" t="str">
        <f>VLOOKUP(woodflow[[#This Row],[From]],woodstock[#All],5,FALSE)</f>
        <v>Global</v>
      </c>
      <c r="H466" s="151" t="str">
        <f>VLOOKUP(woodflow[[#This Row],[From]],woodstock[#All],7,FALSE)</f>
        <v>53</v>
      </c>
      <c r="I466" s="151" t="str">
        <f>VLOOKUP(woodflow[[#This Row],[to]],woodstock[#All],7,FALSE)</f>
        <v>61</v>
      </c>
      <c r="J466" s="151" t="str">
        <f>VLOOKUP(woodflow[[#This Row],[From]],woodstock[#All],8,FALSE)</f>
        <v>0</v>
      </c>
      <c r="K466" s="151" t="str">
        <f>VLOOKUP(woodflow[[#This Row],[to]],woodstock[#All],8,FALSE)</f>
        <v>0</v>
      </c>
      <c r="L466" s="152" t="str">
        <f>VLOOKUP(woodflow[[#This Row],[From]],woodstock[#All],9,FALSE)</f>
        <v>nan</v>
      </c>
      <c r="M466" s="152" t="str">
        <f>VLOOKUP(woodflow[[#This Row],[to]],woodstock[#All],9,FALSE)</f>
        <v>nan</v>
      </c>
      <c r="N466" s="157">
        <f>N461*woodratio!I177</f>
        <v>25.500396987503233</v>
      </c>
      <c r="O466" s="148" t="s">
        <v>920</v>
      </c>
      <c r="P466" s="148" t="s">
        <v>233</v>
      </c>
      <c r="Q466" s="148"/>
      <c r="R466" s="1"/>
      <c r="S466" s="1"/>
      <c r="T466" s="1"/>
      <c r="U466" s="1"/>
      <c r="V466" s="1"/>
    </row>
    <row r="467" spans="1:22" x14ac:dyDescent="0.3">
      <c r="A467" s="5" t="str">
        <f>CONCATENATE("F",IF(B467&lt;&gt;"",COUNTA($B$2:B467),""))</f>
        <v>F298</v>
      </c>
      <c r="B467" s="148" t="s">
        <v>80</v>
      </c>
      <c r="C467" s="5" t="s">
        <v>403</v>
      </c>
      <c r="D467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7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25.502396987503236</v>
      </c>
      <c r="F467" s="148" t="str">
        <f>VLOOKUP(woodflow[[#This Row],[From]],woodstock[#All],4,FALSE)</f>
        <v>2021</v>
      </c>
      <c r="G467" s="5" t="str">
        <f>VLOOKUP(woodflow[[#This Row],[From]],woodstock[#All],5,FALSE)</f>
        <v>Global</v>
      </c>
      <c r="H467" s="151" t="str">
        <f>VLOOKUP(woodflow[[#This Row],[From]],woodstock[#All],7,FALSE)</f>
        <v>53</v>
      </c>
      <c r="I467" s="151" t="str">
        <f>VLOOKUP(woodflow[[#This Row],[to]],woodstock[#All],7,FALSE)</f>
        <v>22</v>
      </c>
      <c r="J467" s="151" t="str">
        <f>VLOOKUP(woodflow[[#This Row],[From]],woodstock[#All],8,FALSE)</f>
        <v>0</v>
      </c>
      <c r="K467" s="151" t="str">
        <f>VLOOKUP(woodflow[[#This Row],[to]],woodstock[#All],8,FALSE)</f>
        <v>1</v>
      </c>
      <c r="L467" s="152" t="str">
        <f>VLOOKUP(woodflow[[#This Row],[From]],woodstock[#All],9,FALSE)</f>
        <v>nan</v>
      </c>
      <c r="M467" s="152" t="str">
        <f>VLOOKUP(woodflow[[#This Row],[to]],woodstock[#All],9,FALSE)</f>
        <v>62-63-64</v>
      </c>
      <c r="N467" s="157">
        <f>N468+N469+N470</f>
        <v>25.502396987503236</v>
      </c>
      <c r="O467" s="148" t="s">
        <v>920</v>
      </c>
      <c r="P467" s="148" t="s">
        <v>232</v>
      </c>
      <c r="Q467" s="148"/>
      <c r="R467" s="1"/>
      <c r="S467" s="1"/>
      <c r="T467" s="1"/>
      <c r="U467" s="1"/>
      <c r="V467" s="1"/>
    </row>
    <row r="468" spans="1:22" x14ac:dyDescent="0.3">
      <c r="A468" s="5" t="str">
        <f>CONCATENATE("F",IF(B468&lt;&gt;"",COUNTA($B$2:B468),""))</f>
        <v>F299</v>
      </c>
      <c r="B468" s="148" t="s">
        <v>80</v>
      </c>
      <c r="C468" s="5" t="s">
        <v>406</v>
      </c>
      <c r="D468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8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1E-3</v>
      </c>
      <c r="F468" s="148" t="str">
        <f>VLOOKUP(woodflow[[#This Row],[From]],woodstock[#All],4,FALSE)</f>
        <v>2021</v>
      </c>
      <c r="G468" s="5" t="str">
        <f>VLOOKUP(woodflow[[#This Row],[From]],woodstock[#All],5,FALSE)</f>
        <v>Global</v>
      </c>
      <c r="H468" s="151" t="str">
        <f>VLOOKUP(woodflow[[#This Row],[From]],woodstock[#All],7,FALSE)</f>
        <v>53</v>
      </c>
      <c r="I468" s="151" t="str">
        <f>VLOOKUP(woodflow[[#This Row],[to]],woodstock[#All],7,FALSE)</f>
        <v>62</v>
      </c>
      <c r="J468" s="151" t="str">
        <f>VLOOKUP(woodflow[[#This Row],[From]],woodstock[#All],8,FALSE)</f>
        <v>0</v>
      </c>
      <c r="K468" s="151" t="str">
        <f>VLOOKUP(woodflow[[#This Row],[to]],woodstock[#All],8,FALSE)</f>
        <v>0</v>
      </c>
      <c r="L468" s="152" t="str">
        <f>VLOOKUP(woodflow[[#This Row],[From]],woodstock[#All],9,FALSE)</f>
        <v>nan</v>
      </c>
      <c r="M468" s="152" t="str">
        <f>VLOOKUP(woodflow[[#This Row],[to]],woodstock[#All],9,FALSE)</f>
        <v>nan</v>
      </c>
      <c r="N468" s="157">
        <f>1*10^-3</f>
        <v>1E-3</v>
      </c>
      <c r="O468" s="148" t="s">
        <v>920</v>
      </c>
      <c r="P468" s="156" t="s">
        <v>342</v>
      </c>
      <c r="Q468" s="148"/>
      <c r="R468" s="1"/>
      <c r="S468" s="1"/>
      <c r="T468" s="1"/>
      <c r="U468" s="1"/>
      <c r="V468" s="1"/>
    </row>
    <row r="469" spans="1:22" x14ac:dyDescent="0.3">
      <c r="A469" s="5" t="str">
        <f>CONCATENATE("F",IF(B469&lt;&gt;"",COUNTA($B$2:B469),""))</f>
        <v>F300</v>
      </c>
      <c r="B469" s="148" t="s">
        <v>80</v>
      </c>
      <c r="C469" s="5" t="s">
        <v>352</v>
      </c>
      <c r="D469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69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25.500396987503233</v>
      </c>
      <c r="F469" s="148" t="str">
        <f>VLOOKUP(woodflow[[#This Row],[From]],woodstock[#All],4,FALSE)</f>
        <v>2021</v>
      </c>
      <c r="G469" s="5" t="str">
        <f>VLOOKUP(woodflow[[#This Row],[From]],woodstock[#All],5,FALSE)</f>
        <v>Global</v>
      </c>
      <c r="H469" s="151" t="str">
        <f>VLOOKUP(woodflow[[#This Row],[From]],woodstock[#All],7,FALSE)</f>
        <v>53</v>
      </c>
      <c r="I469" s="151" t="str">
        <f>VLOOKUP(woodflow[[#This Row],[to]],woodstock[#All],7,FALSE)</f>
        <v>63</v>
      </c>
      <c r="J469" s="151" t="str">
        <f>VLOOKUP(woodflow[[#This Row],[From]],woodstock[#All],8,FALSE)</f>
        <v>0</v>
      </c>
      <c r="K469" s="151" t="str">
        <f>VLOOKUP(woodflow[[#This Row],[to]],woodstock[#All],8,FALSE)</f>
        <v>0</v>
      </c>
      <c r="L469" s="152" t="str">
        <f>VLOOKUP(woodflow[[#This Row],[From]],woodstock[#All],9,FALSE)</f>
        <v>nan</v>
      </c>
      <c r="M469" s="152" t="str">
        <f>VLOOKUP(woodflow[[#This Row],[to]],woodstock[#All],9,FALSE)</f>
        <v>nan</v>
      </c>
      <c r="N469" s="157">
        <f>N461*woodratio!I178</f>
        <v>25.500396987503233</v>
      </c>
      <c r="O469" s="148" t="s">
        <v>920</v>
      </c>
      <c r="P469" s="148" t="s">
        <v>233</v>
      </c>
      <c r="Q469" s="148"/>
      <c r="R469" s="1"/>
      <c r="S469" s="1"/>
      <c r="T469" s="1"/>
      <c r="U469" s="1"/>
      <c r="V469" s="1"/>
    </row>
    <row r="470" spans="1:22" x14ac:dyDescent="0.3">
      <c r="A470" s="5" t="str">
        <f>CONCATENATE("F",IF(B470&lt;&gt;"",COUNTA($B$2:B470),""))</f>
        <v>F301</v>
      </c>
      <c r="B470" s="148" t="s">
        <v>80</v>
      </c>
      <c r="C470" s="5" t="s">
        <v>373</v>
      </c>
      <c r="D47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0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1E-3</v>
      </c>
      <c r="F470" s="148" t="str">
        <f>VLOOKUP(woodflow[[#This Row],[From]],woodstock[#All],4,FALSE)</f>
        <v>2021</v>
      </c>
      <c r="G470" s="5" t="str">
        <f>VLOOKUP(woodflow[[#This Row],[From]],woodstock[#All],5,FALSE)</f>
        <v>Global</v>
      </c>
      <c r="H470" s="151" t="str">
        <f>VLOOKUP(woodflow[[#This Row],[From]],woodstock[#All],7,FALSE)</f>
        <v>53</v>
      </c>
      <c r="I470" s="151" t="str">
        <f>VLOOKUP(woodflow[[#This Row],[to]],woodstock[#All],7,FALSE)</f>
        <v>64</v>
      </c>
      <c r="J470" s="151" t="str">
        <f>VLOOKUP(woodflow[[#This Row],[From]],woodstock[#All],8,FALSE)</f>
        <v>0</v>
      </c>
      <c r="K470" s="151" t="str">
        <f>VLOOKUP(woodflow[[#This Row],[to]],woodstock[#All],8,FALSE)</f>
        <v>0</v>
      </c>
      <c r="L470" s="152" t="str">
        <f>VLOOKUP(woodflow[[#This Row],[From]],woodstock[#All],9,FALSE)</f>
        <v>nan</v>
      </c>
      <c r="M470" s="152" t="str">
        <f>VLOOKUP(woodflow[[#This Row],[to]],woodstock[#All],9,FALSE)</f>
        <v>nan</v>
      </c>
      <c r="N470" s="157">
        <f>1*10^-3</f>
        <v>1E-3</v>
      </c>
      <c r="O470" s="148" t="s">
        <v>920</v>
      </c>
      <c r="P470" s="156" t="s">
        <v>342</v>
      </c>
      <c r="Q470" s="148"/>
      <c r="R470" s="1"/>
      <c r="S470" s="1"/>
      <c r="T470" s="1"/>
      <c r="U470" s="1"/>
      <c r="V470" s="1"/>
    </row>
    <row r="471" spans="1:22" x14ac:dyDescent="0.3">
      <c r="A471" s="5" t="str">
        <f>CONCATENATE("F",IF(B471&lt;&gt;"",COUNTA($B$2:B471),""))</f>
        <v>F</v>
      </c>
      <c r="B471" s="148"/>
      <c r="C471" s="148"/>
      <c r="D471" s="149"/>
      <c r="E471" s="149"/>
      <c r="F471" s="148"/>
      <c r="G471" s="148"/>
      <c r="H471" s="151"/>
      <c r="I471" s="151"/>
      <c r="J471" s="151"/>
      <c r="K471" s="151"/>
      <c r="L471" s="152"/>
      <c r="M471" s="152"/>
      <c r="N471" s="157"/>
      <c r="O471" s="148"/>
      <c r="P471" s="148"/>
      <c r="Q471" s="148"/>
      <c r="R471" s="1"/>
      <c r="S471" s="1"/>
      <c r="T471" s="1"/>
      <c r="U471" s="1"/>
      <c r="V471" s="1"/>
    </row>
    <row r="472" spans="1:22" x14ac:dyDescent="0.3">
      <c r="A472" s="5" t="str">
        <f>CONCATENATE("F",IF(B472&lt;&gt;"",COUNTA($B$2:B472),""))</f>
        <v>F</v>
      </c>
      <c r="B472" s="148"/>
      <c r="C472" s="148"/>
      <c r="D472" s="149"/>
      <c r="E472" s="149"/>
      <c r="F472" s="148"/>
      <c r="G472" s="148"/>
      <c r="H472" s="151"/>
      <c r="I472" s="151"/>
      <c r="J472" s="151"/>
      <c r="K472" s="151"/>
      <c r="L472" s="152"/>
      <c r="M472" s="152"/>
      <c r="N472" s="157"/>
      <c r="O472" s="148"/>
      <c r="P472" s="148"/>
      <c r="Q472" s="148"/>
      <c r="R472" s="1"/>
      <c r="S472" s="1"/>
      <c r="T472" s="1"/>
      <c r="U472" s="1"/>
      <c r="V472" s="1"/>
    </row>
    <row r="473" spans="1:22" x14ac:dyDescent="0.3">
      <c r="A473" s="5" t="str">
        <f>CONCATENATE("F",IF(B473&lt;&gt;"",COUNTA($B$2:B473),""))</f>
        <v>F302</v>
      </c>
      <c r="B473" s="148" t="s">
        <v>235</v>
      </c>
      <c r="C473" s="148" t="s">
        <v>77</v>
      </c>
      <c r="D47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20.863850500000016</v>
      </c>
      <c r="E47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3" s="148">
        <f>VLOOKUP(woodflow[[#This Row],[From]],woodstock[#All],4,FALSE)</f>
        <v>2021</v>
      </c>
      <c r="G473" s="5" t="str">
        <f>VLOOKUP(woodflow[[#This Row],[From]],woodstock[#All],5,FALSE)</f>
        <v>Global</v>
      </c>
      <c r="H473" s="151" t="str">
        <f>VLOOKUP(woodflow[[#This Row],[From]],woodstock[#All],7,FALSE)</f>
        <v>54</v>
      </c>
      <c r="I473" s="151" t="str">
        <f>VLOOKUP(woodflow[[#This Row],[to]],woodstock[#All],7,FALSE)</f>
        <v>30</v>
      </c>
      <c r="J473" s="151" t="str">
        <f>VLOOKUP(woodflow[[#This Row],[From]],woodstock[#All],8,FALSE)</f>
        <v>0</v>
      </c>
      <c r="K473" s="151" t="str">
        <f>VLOOKUP(woodflow[[#This Row],[to]],woodstock[#All],8,FALSE)</f>
        <v>0</v>
      </c>
      <c r="L473" s="152" t="str">
        <f>VLOOKUP(woodflow[[#This Row],[From]],woodstock[#All],9,FALSE)</f>
        <v>nan</v>
      </c>
      <c r="M473" s="152" t="str">
        <f>VLOOKUP(woodflow[[#This Row],[to]],woodstock[#All],9,FALSE)</f>
        <v>nan</v>
      </c>
      <c r="N473" s="157">
        <f>N326+N327+N328+N329+N330</f>
        <v>20.863850500000016</v>
      </c>
      <c r="O473" s="148" t="s">
        <v>921</v>
      </c>
      <c r="P473" s="148" t="s">
        <v>232</v>
      </c>
      <c r="Q473" s="148"/>
      <c r="R473" s="1"/>
      <c r="S473" s="1"/>
      <c r="T473" s="1"/>
      <c r="U473" s="1"/>
      <c r="V473" s="1"/>
    </row>
    <row r="474" spans="1:22" x14ac:dyDescent="0.3">
      <c r="A474" s="5" t="str">
        <f>CONCATENATE("F",IF(B474&lt;&gt;"",COUNTA($B$2:B474),""))</f>
        <v>F</v>
      </c>
      <c r="B474" s="148"/>
      <c r="C474" s="148"/>
      <c r="D474" s="149"/>
      <c r="E474" s="149"/>
      <c r="F474" s="148"/>
      <c r="G474" s="148"/>
      <c r="H474" s="151"/>
      <c r="I474" s="151"/>
      <c r="J474" s="151"/>
      <c r="K474" s="151"/>
      <c r="L474" s="152"/>
      <c r="M474" s="152"/>
      <c r="N474" s="157"/>
      <c r="O474" s="148"/>
      <c r="P474" s="148"/>
      <c r="Q474" s="148"/>
      <c r="R474" s="1"/>
      <c r="S474" s="1"/>
      <c r="T474" s="1"/>
      <c r="U474" s="1"/>
      <c r="V474" s="1"/>
    </row>
    <row r="475" spans="1:22" x14ac:dyDescent="0.3">
      <c r="A475" s="5" t="str">
        <f>CONCATENATE("F",IF(B475&lt;&gt;"",COUNTA($B$2:B475),""))</f>
        <v>F</v>
      </c>
      <c r="B475" s="148"/>
      <c r="C475" s="148"/>
      <c r="D475" s="149"/>
      <c r="E475" s="149"/>
      <c r="F475" s="148"/>
      <c r="G475" s="148"/>
      <c r="H475" s="151"/>
      <c r="I475" s="151"/>
      <c r="J475" s="151"/>
      <c r="K475" s="151"/>
      <c r="L475" s="152"/>
      <c r="M475" s="152"/>
      <c r="N475" s="157"/>
      <c r="O475" s="148"/>
      <c r="P475" s="148"/>
      <c r="Q475" s="148"/>
      <c r="R475" s="1"/>
      <c r="S475" s="1"/>
      <c r="T475" s="1"/>
      <c r="U475" s="1"/>
      <c r="V475" s="1"/>
    </row>
    <row r="476" spans="1:22" x14ac:dyDescent="0.3">
      <c r="A476" s="5" t="str">
        <f>CONCATENATE("F",IF(B476&lt;&gt;"",COUNTA($B$2:B476),""))</f>
        <v>F303</v>
      </c>
      <c r="B476" s="5" t="s">
        <v>351</v>
      </c>
      <c r="C476" s="148" t="s">
        <v>408</v>
      </c>
      <c r="D476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76" s="149">
        <f>IF(woodflow[[#This Row],[data-info]]="Observed","",IF(woodflow[[#This Row],[data-info]]="No Flow","",IF(woodflow[[#This Row],[data-info]]="Prior",woodflow[[#This Row],[quantity-input (Modmt)]],IF(woodflow[[#This Row],[data-info]]="BaMFA",""))))</f>
        <v>440.71404394886474</v>
      </c>
      <c r="F476" s="148">
        <f>VLOOKUP(woodflow[[#This Row],[From]],woodstock[#All],4,FALSE)</f>
        <v>2021</v>
      </c>
      <c r="G476" s="5" t="str">
        <f>VLOOKUP(woodflow[[#This Row],[From]],woodstock[#All],5,FALSE)</f>
        <v>Global</v>
      </c>
      <c r="H476" s="151" t="str">
        <f>VLOOKUP(woodflow[[#This Row],[From]],woodstock[#All],7,FALSE)</f>
        <v>58</v>
      </c>
      <c r="I476" s="151" t="str">
        <f>VLOOKUP(woodflow[[#This Row],[to]],woodstock[#All],7,FALSE)</f>
        <v>43</v>
      </c>
      <c r="J476" s="151" t="str">
        <f>VLOOKUP(woodflow[[#This Row],[From]],woodstock[#All],8,FALSE)</f>
        <v>0</v>
      </c>
      <c r="K476" s="151" t="str">
        <f>VLOOKUP(woodflow[[#This Row],[to]],woodstock[#All],8,FALSE)</f>
        <v>0</v>
      </c>
      <c r="L476" s="152" t="str">
        <f>VLOOKUP(woodflow[[#This Row],[From]],woodstock[#All],9,FALSE)</f>
        <v>nan</v>
      </c>
      <c r="M476" s="152" t="str">
        <f>VLOOKUP(woodflow[[#This Row],[to]],woodstock[#All],9,FALSE)</f>
        <v>nan</v>
      </c>
      <c r="N476" s="157">
        <f>N394+N406+N421+N436+N451+N463</f>
        <v>440.71404394886474</v>
      </c>
      <c r="O476" s="148" t="s">
        <v>920</v>
      </c>
      <c r="P476" s="148" t="s">
        <v>232</v>
      </c>
      <c r="Q476" s="148"/>
      <c r="R476" s="1"/>
      <c r="S476" s="1"/>
      <c r="T476" s="1"/>
      <c r="U476" s="1"/>
      <c r="V476" s="1"/>
    </row>
    <row r="477" spans="1:22" x14ac:dyDescent="0.3">
      <c r="A477" s="5" t="str">
        <f>CONCATENATE("F",IF(B477&lt;&gt;"",COUNTA($B$2:B477),""))</f>
        <v>F</v>
      </c>
      <c r="B477" s="148"/>
      <c r="C477" s="148"/>
      <c r="D477" s="149"/>
      <c r="E477" s="149"/>
      <c r="F477" s="148"/>
      <c r="G477" s="5"/>
      <c r="H477" s="151"/>
      <c r="I477" s="151"/>
      <c r="J477" s="151"/>
      <c r="K477" s="151"/>
      <c r="L477" s="152"/>
      <c r="M477" s="152"/>
      <c r="N477" s="157"/>
      <c r="O477" s="148"/>
      <c r="P477" s="148"/>
      <c r="Q477" s="148"/>
      <c r="R477" s="1"/>
      <c r="S477" s="1"/>
      <c r="T477" s="1"/>
      <c r="U477" s="1"/>
      <c r="V477" s="1"/>
    </row>
    <row r="478" spans="1:22" x14ac:dyDescent="0.3">
      <c r="A478" s="5" t="str">
        <f>CONCATENATE("F",IF(B478&lt;&gt;"",COUNTA($B$2:B478),""))</f>
        <v>F</v>
      </c>
      <c r="B478" s="148"/>
      <c r="C478" s="148"/>
      <c r="D478" s="149"/>
      <c r="E478" s="149"/>
      <c r="F478" s="148"/>
      <c r="G478" s="5"/>
      <c r="H478" s="151"/>
      <c r="I478" s="151"/>
      <c r="J478" s="151"/>
      <c r="K478" s="151"/>
      <c r="L478" s="152"/>
      <c r="M478" s="152"/>
      <c r="N478" s="157"/>
      <c r="O478" s="148"/>
      <c r="P478" s="148"/>
      <c r="Q478" s="148"/>
      <c r="R478" s="1"/>
      <c r="S478" s="1"/>
      <c r="T478" s="1"/>
      <c r="U478" s="1"/>
      <c r="V478" s="1"/>
    </row>
    <row r="479" spans="1:22" x14ac:dyDescent="0.3">
      <c r="A479" s="5" t="str">
        <f>CONCATENATE("F",IF(B479&lt;&gt;"",COUNTA($B$2:B479),""))</f>
        <v>F304</v>
      </c>
      <c r="B479" s="5" t="s">
        <v>916</v>
      </c>
      <c r="C479" s="148" t="s">
        <v>65</v>
      </c>
      <c r="D47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16.671159707095228</v>
      </c>
      <c r="E47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79" s="148">
        <f>VLOOKUP(woodflow[[#This Row],[From]],woodstock[#All],4,FALSE)</f>
        <v>2021</v>
      </c>
      <c r="G479" s="5" t="str">
        <f>VLOOKUP(woodflow[[#This Row],[From]],woodstock[#All],5,FALSE)</f>
        <v>Global</v>
      </c>
      <c r="H479" s="151" t="str">
        <f>VLOOKUP(woodflow[[#This Row],[From]],woodstock[#All],7,FALSE)</f>
        <v>59</v>
      </c>
      <c r="I479" s="151" t="str">
        <f>VLOOKUP(woodflow[[#This Row],[to]],woodstock[#All],7,FALSE)</f>
        <v>9</v>
      </c>
      <c r="J479" s="151" t="str">
        <f>VLOOKUP(woodflow[[#This Row],[From]],woodstock[#All],8,FALSE)</f>
        <v>0</v>
      </c>
      <c r="K479" s="151" t="str">
        <f>VLOOKUP(woodflow[[#This Row],[to]],woodstock[#All],8,FALSE)</f>
        <v>1</v>
      </c>
      <c r="L479" s="152" t="str">
        <f>VLOOKUP(woodflow[[#This Row],[From]],woodstock[#All],9,FALSE)</f>
        <v>nan</v>
      </c>
      <c r="M479" s="152" t="str">
        <f>VLOOKUP(woodflow[[#This Row],[to]],woodstock[#All],9,FALSE)</f>
        <v>15-16</v>
      </c>
      <c r="N479" s="157">
        <f>N395+N407+'faostat-data'!Q46-'faostat-data'!Q47</f>
        <v>16.671159707095228</v>
      </c>
      <c r="O479" s="148" t="s">
        <v>921</v>
      </c>
      <c r="P479" s="148" t="s">
        <v>232</v>
      </c>
      <c r="Q479" s="148"/>
      <c r="R479" s="1"/>
      <c r="S479" s="1"/>
      <c r="T479" s="1"/>
      <c r="U479" s="1"/>
      <c r="V479" s="1"/>
    </row>
    <row r="480" spans="1:22" x14ac:dyDescent="0.3">
      <c r="A480" s="5" t="str">
        <f>CONCATENATE("F",IF(B480&lt;&gt;"",COUNTA($B$2:B480),""))</f>
        <v>F305</v>
      </c>
      <c r="B480" s="5" t="s">
        <v>916</v>
      </c>
      <c r="C480" s="148" t="s">
        <v>53</v>
      </c>
      <c r="D480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0" s="148">
        <f>VLOOKUP(woodflow[[#This Row],[From]],woodstock[#All],4,FALSE)</f>
        <v>2021</v>
      </c>
      <c r="G480" s="5" t="str">
        <f>VLOOKUP(woodflow[[#This Row],[From]],woodstock[#All],5,FALSE)</f>
        <v>Global</v>
      </c>
      <c r="H480" s="151" t="str">
        <f>VLOOKUP(woodflow[[#This Row],[From]],woodstock[#All],7,FALSE)</f>
        <v>59</v>
      </c>
      <c r="I480" s="151" t="str">
        <f>VLOOKUP(woodflow[[#This Row],[to]],woodstock[#All],7,FALSE)</f>
        <v>15</v>
      </c>
      <c r="J480" s="151" t="str">
        <f>VLOOKUP(woodflow[[#This Row],[From]],woodstock[#All],8,FALSE)</f>
        <v>0</v>
      </c>
      <c r="K480" s="151" t="str">
        <f>VLOOKUP(woodflow[[#This Row],[to]],woodstock[#All],8,FALSE)</f>
        <v>0</v>
      </c>
      <c r="L480" s="152" t="str">
        <f>VLOOKUP(woodflow[[#This Row],[From]],woodstock[#All],9,FALSE)</f>
        <v>nan</v>
      </c>
      <c r="M480" s="152" t="str">
        <f>VLOOKUP(woodflow[[#This Row],[to]],woodstock[#All],9,FALSE)</f>
        <v>nan</v>
      </c>
      <c r="N480" s="157"/>
      <c r="O480" s="148" t="s">
        <v>457</v>
      </c>
      <c r="P480" s="148"/>
      <c r="Q480" s="148"/>
      <c r="R480" s="1"/>
      <c r="S480" s="1"/>
      <c r="T480" s="1"/>
      <c r="U480" s="1"/>
      <c r="V480" s="1"/>
    </row>
    <row r="481" spans="1:22" x14ac:dyDescent="0.3">
      <c r="A481" s="5" t="str">
        <f>CONCATENATE("F",IF(B481&lt;&gt;"",COUNTA($B$2:B481),""))</f>
        <v>F306</v>
      </c>
      <c r="B481" s="5" t="s">
        <v>916</v>
      </c>
      <c r="C481" s="148" t="s">
        <v>54</v>
      </c>
      <c r="D481" s="149" t="str">
        <f>IF(woodflow[[#This Row],[data-info]]="Observed",woodflow[[#This Row],[quantity-input (Modmt)]],IF(woodflow[[#This Row],[data-info]]="No Flow",0,IF(woodflow[[#This Row],[data-info]]="Prior","nan",IF(woodflow[[#This Row],[data-info]]="BaMFA","nan"))))</f>
        <v>nan</v>
      </c>
      <c r="E48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1" s="148">
        <f>VLOOKUP(woodflow[[#This Row],[From]],woodstock[#All],4,FALSE)</f>
        <v>2021</v>
      </c>
      <c r="G481" s="5" t="str">
        <f>VLOOKUP(woodflow[[#This Row],[From]],woodstock[#All],5,FALSE)</f>
        <v>Global</v>
      </c>
      <c r="H481" s="151" t="str">
        <f>VLOOKUP(woodflow[[#This Row],[From]],woodstock[#All],7,FALSE)</f>
        <v>59</v>
      </c>
      <c r="I481" s="151" t="str">
        <f>VLOOKUP(woodflow[[#This Row],[to]],woodstock[#All],7,FALSE)</f>
        <v>16</v>
      </c>
      <c r="J481" s="151" t="str">
        <f>VLOOKUP(woodflow[[#This Row],[From]],woodstock[#All],8,FALSE)</f>
        <v>0</v>
      </c>
      <c r="K481" s="151" t="str">
        <f>VLOOKUP(woodflow[[#This Row],[to]],woodstock[#All],8,FALSE)</f>
        <v>0</v>
      </c>
      <c r="L481" s="152" t="str">
        <f>VLOOKUP(woodflow[[#This Row],[From]],woodstock[#All],9,FALSE)</f>
        <v>nan</v>
      </c>
      <c r="M481" s="152" t="str">
        <f>VLOOKUP(woodflow[[#This Row],[to]],woodstock[#All],9,FALSE)</f>
        <v>nan</v>
      </c>
      <c r="N481" s="157"/>
      <c r="O481" s="148" t="s">
        <v>457</v>
      </c>
      <c r="P481" s="148"/>
      <c r="Q481" s="148"/>
      <c r="R481" s="1"/>
      <c r="S481" s="1"/>
      <c r="T481" s="1"/>
      <c r="U481" s="1"/>
      <c r="V481" s="1"/>
    </row>
    <row r="482" spans="1:22" x14ac:dyDescent="0.3">
      <c r="A482" s="5" t="str">
        <f>CONCATENATE("F",IF(B482&lt;&gt;"",COUNTA($B$2:B482),""))</f>
        <v>F</v>
      </c>
      <c r="B482" s="148"/>
      <c r="C482" s="148"/>
      <c r="D482" s="149"/>
      <c r="E482" s="149"/>
      <c r="F482" s="148"/>
      <c r="G482" s="5"/>
      <c r="H482" s="151"/>
      <c r="I482" s="151"/>
      <c r="J482" s="151"/>
      <c r="K482" s="151"/>
      <c r="L482" s="152"/>
      <c r="M482" s="152"/>
      <c r="N482" s="157"/>
      <c r="O482" s="148"/>
      <c r="P482" s="148"/>
      <c r="Q482" s="148"/>
      <c r="R482" s="1"/>
      <c r="S482" s="1"/>
      <c r="T482" s="1"/>
      <c r="U482" s="1"/>
      <c r="V482" s="1"/>
    </row>
    <row r="483" spans="1:22" x14ac:dyDescent="0.3">
      <c r="A483" s="5" t="str">
        <f>CONCATENATE("F",IF(B483&lt;&gt;"",COUNTA($B$2:B483),""))</f>
        <v>F</v>
      </c>
      <c r="B483" s="148"/>
      <c r="C483" s="148"/>
      <c r="D483" s="149"/>
      <c r="E483" s="149"/>
      <c r="F483" s="148"/>
      <c r="G483" s="5"/>
      <c r="H483" s="151"/>
      <c r="I483" s="151"/>
      <c r="J483" s="151"/>
      <c r="K483" s="151"/>
      <c r="L483" s="152"/>
      <c r="M483" s="152"/>
      <c r="N483" s="157"/>
      <c r="O483" s="148"/>
      <c r="P483" s="148"/>
      <c r="Q483" s="148"/>
      <c r="R483" s="1"/>
      <c r="S483" s="1"/>
      <c r="T483" s="1"/>
      <c r="U483" s="1"/>
      <c r="V483" s="1"/>
    </row>
    <row r="484" spans="1:22" x14ac:dyDescent="0.3">
      <c r="A484" s="5" t="str">
        <f>CONCATENATE("F",IF(B484&lt;&gt;"",COUNTA($B$2:B484),""))</f>
        <v>F307</v>
      </c>
      <c r="B484" s="148" t="s">
        <v>917</v>
      </c>
      <c r="C484" s="148" t="s">
        <v>77</v>
      </c>
      <c r="D48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192.75765199999998</v>
      </c>
      <c r="E48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4" s="148">
        <f>VLOOKUP(woodflow[[#This Row],[From]],woodstock[#All],4,FALSE)</f>
        <v>2021</v>
      </c>
      <c r="G484" s="5" t="str">
        <f>VLOOKUP(woodflow[[#This Row],[From]],woodstock[#All],5,FALSE)</f>
        <v>Global</v>
      </c>
      <c r="H484" s="151" t="str">
        <f>VLOOKUP(woodflow[[#This Row],[From]],woodstock[#All],7,FALSE)</f>
        <v>60</v>
      </c>
      <c r="I484" s="151" t="str">
        <f>VLOOKUP(woodflow[[#This Row],[to]],woodstock[#All],7,FALSE)</f>
        <v>30</v>
      </c>
      <c r="J484" s="151" t="str">
        <f>VLOOKUP(woodflow[[#This Row],[From]],woodstock[#All],8,FALSE)</f>
        <v>0</v>
      </c>
      <c r="K484" s="151" t="str">
        <f>VLOOKUP(woodflow[[#This Row],[to]],woodstock[#All],8,FALSE)</f>
        <v>0</v>
      </c>
      <c r="L484" s="152" t="str">
        <f>VLOOKUP(woodflow[[#This Row],[From]],woodstock[#All],9,FALSE)</f>
        <v>nan</v>
      </c>
      <c r="M484" s="152" t="str">
        <f>VLOOKUP(woodflow[[#This Row],[to]],woodstock[#All],9,FALSE)</f>
        <v>nan</v>
      </c>
      <c r="N484" s="157">
        <f>N408+'faostat-data'!Q121-'faostat-data'!Q122</f>
        <v>192.75765199999998</v>
      </c>
      <c r="O484" s="148" t="s">
        <v>921</v>
      </c>
      <c r="P484" s="148" t="s">
        <v>232</v>
      </c>
      <c r="Q484" s="148" t="s">
        <v>227</v>
      </c>
      <c r="R484" s="1"/>
      <c r="S484" s="1"/>
      <c r="T484" s="1"/>
      <c r="U484" s="1"/>
      <c r="V484" s="1"/>
    </row>
    <row r="485" spans="1:22" x14ac:dyDescent="0.3">
      <c r="A485" s="5" t="str">
        <f>CONCATENATE("F",IF(B485&lt;&gt;"",COUNTA($B$2:B485),""))</f>
        <v>F</v>
      </c>
      <c r="B485" s="148"/>
      <c r="C485" s="148"/>
      <c r="D485" s="149"/>
      <c r="E485" s="149"/>
      <c r="F485" s="148"/>
      <c r="G485" s="5"/>
      <c r="H485" s="151"/>
      <c r="I485" s="151"/>
      <c r="J485" s="151"/>
      <c r="K485" s="151"/>
      <c r="L485" s="152"/>
      <c r="M485" s="152"/>
      <c r="N485" s="157"/>
      <c r="O485" s="148"/>
      <c r="P485" s="148"/>
      <c r="Q485" s="148"/>
      <c r="R485" s="1"/>
      <c r="S485" s="1"/>
      <c r="T485" s="1"/>
      <c r="U485" s="1"/>
      <c r="V485" s="1"/>
    </row>
    <row r="486" spans="1:22" x14ac:dyDescent="0.3">
      <c r="A486" s="5" t="str">
        <f>CONCATENATE("F",IF(B486&lt;&gt;"",COUNTA($B$2:B486),""))</f>
        <v>F</v>
      </c>
      <c r="B486" s="148"/>
      <c r="C486" s="148"/>
      <c r="D486" s="149"/>
      <c r="E486" s="149"/>
      <c r="F486" s="148"/>
      <c r="G486" s="5"/>
      <c r="H486" s="151"/>
      <c r="I486" s="151"/>
      <c r="J486" s="151"/>
      <c r="K486" s="151"/>
      <c r="L486" s="152"/>
      <c r="M486" s="152"/>
      <c r="N486" s="157"/>
      <c r="O486" s="148"/>
      <c r="P486" s="148"/>
      <c r="Q486" s="148"/>
      <c r="R486" s="1"/>
      <c r="S486" s="1"/>
      <c r="T486" s="1"/>
      <c r="U486" s="1"/>
      <c r="V486" s="1"/>
    </row>
    <row r="487" spans="1:22" x14ac:dyDescent="0.3">
      <c r="A487" s="5" t="str">
        <f>CONCATENATE("F",IF(B487&lt;&gt;"",COUNTA($B$2:B487),""))</f>
        <v>F308</v>
      </c>
      <c r="B487" s="5" t="s">
        <v>335</v>
      </c>
      <c r="C487" s="5" t="s">
        <v>258</v>
      </c>
      <c r="D48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8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7" s="148">
        <f>VLOOKUP(woodflow[[#This Row],[From]],woodstock[#All],4,FALSE)</f>
        <v>2021</v>
      </c>
      <c r="G487" s="5" t="str">
        <f>VLOOKUP(woodflow[[#This Row],[From]],woodstock[#All],5,FALSE)</f>
        <v>Global</v>
      </c>
      <c r="H487" s="151" t="str">
        <f>VLOOKUP(woodflow[[#This Row],[From]],woodstock[#All],7,FALSE)</f>
        <v>65</v>
      </c>
      <c r="I487" s="151" t="str">
        <f>VLOOKUP(woodflow[[#This Row],[to]],woodstock[#All],7,FALSE)</f>
        <v>4</v>
      </c>
      <c r="J487" s="151" t="str">
        <f>VLOOKUP(woodflow[[#This Row],[From]],woodstock[#All],8,FALSE)</f>
        <v>0</v>
      </c>
      <c r="K487" s="151" t="str">
        <f>VLOOKUP(woodflow[[#This Row],[to]],woodstock[#All],8,FALSE)</f>
        <v>0</v>
      </c>
      <c r="L487" s="152" t="str">
        <f>VLOOKUP(woodflow[[#This Row],[From]],woodstock[#All],9,FALSE)</f>
        <v>nan</v>
      </c>
      <c r="M487" s="152" t="str">
        <f>VLOOKUP(woodflow[[#This Row],[to]],woodstock[#All],9,FALSE)</f>
        <v>nan</v>
      </c>
      <c r="N487" s="157">
        <f>'faostat-data'!Q3</f>
        <v>0</v>
      </c>
      <c r="O487" s="148" t="s">
        <v>921</v>
      </c>
      <c r="P487" s="148"/>
      <c r="Q487" s="148"/>
    </row>
    <row r="488" spans="1:22" x14ac:dyDescent="0.3">
      <c r="A488" s="5" t="str">
        <f>CONCATENATE("F",IF(B488&lt;&gt;"",COUNTA($B$2:B488),""))</f>
        <v>F309</v>
      </c>
      <c r="B488" s="5" t="s">
        <v>335</v>
      </c>
      <c r="C488" s="5" t="s">
        <v>259</v>
      </c>
      <c r="D48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8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88" s="148">
        <f>VLOOKUP(woodflow[[#This Row],[From]],woodstock[#All],4,FALSE)</f>
        <v>2021</v>
      </c>
      <c r="G488" s="5" t="str">
        <f>VLOOKUP(woodflow[[#This Row],[From]],woodstock[#All],5,FALSE)</f>
        <v>Global</v>
      </c>
      <c r="H488" s="151" t="str">
        <f>VLOOKUP(woodflow[[#This Row],[From]],woodstock[#All],7,FALSE)</f>
        <v>65</v>
      </c>
      <c r="I488" s="151" t="str">
        <f>VLOOKUP(woodflow[[#This Row],[to]],woodstock[#All],7,FALSE)</f>
        <v>5</v>
      </c>
      <c r="J488" s="151" t="str">
        <f>VLOOKUP(woodflow[[#This Row],[From]],woodstock[#All],8,FALSE)</f>
        <v>0</v>
      </c>
      <c r="K488" s="151" t="str">
        <f>VLOOKUP(woodflow[[#This Row],[to]],woodstock[#All],8,FALSE)</f>
        <v>0</v>
      </c>
      <c r="L488" s="152" t="str">
        <f>VLOOKUP(woodflow[[#This Row],[From]],woodstock[#All],9,FALSE)</f>
        <v>nan</v>
      </c>
      <c r="M488" s="152" t="str">
        <f>VLOOKUP(woodflow[[#This Row],[to]],woodstock[#All],9,FALSE)</f>
        <v>nan</v>
      </c>
      <c r="N488" s="157">
        <f>'faostat-data'!Q6</f>
        <v>0</v>
      </c>
      <c r="O488" s="148" t="s">
        <v>921</v>
      </c>
      <c r="P488" s="148"/>
      <c r="Q488" s="148"/>
    </row>
    <row r="489" spans="1:22" x14ac:dyDescent="0.3">
      <c r="A489" s="5" t="str">
        <f>CONCATENATE("F",IF(B489&lt;&gt;"",COUNTA($B$2:B489),""))</f>
        <v>F</v>
      </c>
      <c r="B489" s="5"/>
      <c r="C489" s="5"/>
      <c r="D489" s="149"/>
      <c r="E489" s="149"/>
      <c r="F489" s="148"/>
      <c r="G489" s="5"/>
      <c r="H489" s="151"/>
      <c r="I489" s="151"/>
      <c r="J489" s="151"/>
      <c r="K489" s="151"/>
      <c r="L489" s="152"/>
      <c r="M489" s="152"/>
      <c r="N489" s="157"/>
      <c r="O489" s="148"/>
      <c r="P489" s="148"/>
      <c r="Q489" s="148"/>
    </row>
    <row r="490" spans="1:22" x14ac:dyDescent="0.3">
      <c r="A490" s="5" t="str">
        <f>CONCATENATE("F",IF(B490&lt;&gt;"",COUNTA($B$2:B490),""))</f>
        <v>F</v>
      </c>
      <c r="B490" s="5"/>
      <c r="C490" s="5"/>
      <c r="D490" s="149"/>
      <c r="E490" s="149"/>
      <c r="F490" s="148"/>
      <c r="G490" s="5"/>
      <c r="H490" s="151"/>
      <c r="I490" s="151"/>
      <c r="J490" s="151"/>
      <c r="K490" s="151"/>
      <c r="L490" s="152"/>
      <c r="M490" s="152"/>
      <c r="N490" s="157"/>
      <c r="O490" s="148"/>
      <c r="P490" s="148"/>
      <c r="Q490" s="148"/>
    </row>
    <row r="491" spans="1:22" x14ac:dyDescent="0.3">
      <c r="A491" s="5" t="str">
        <f>CONCATENATE("F",IF(B491&lt;&gt;"",COUNTA($B$2:B491),""))</f>
        <v>F310</v>
      </c>
      <c r="B491" s="5" t="s">
        <v>335</v>
      </c>
      <c r="C491" s="148" t="s">
        <v>343</v>
      </c>
      <c r="D49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9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1" s="148">
        <f>VLOOKUP(woodflow[[#This Row],[From]],woodstock[#All],4,FALSE)</f>
        <v>2021</v>
      </c>
      <c r="G491" s="5" t="str">
        <f>VLOOKUP(woodflow[[#This Row],[From]],woodstock[#All],5,FALSE)</f>
        <v>Global</v>
      </c>
      <c r="H491" s="151" t="str">
        <f>VLOOKUP(woodflow[[#This Row],[From]],woodstock[#All],7,FALSE)</f>
        <v>65</v>
      </c>
      <c r="I491" s="151" t="str">
        <f>VLOOKUP(woodflow[[#This Row],[to]],woodstock[#All],7,FALSE)</f>
        <v>3</v>
      </c>
      <c r="J491" s="151" t="str">
        <f>VLOOKUP(woodflow[[#This Row],[From]],woodstock[#All],8,FALSE)</f>
        <v>0</v>
      </c>
      <c r="K491" s="151" t="str">
        <f>VLOOKUP(woodflow[[#This Row],[to]],woodstock[#All],8,FALSE)</f>
        <v>1</v>
      </c>
      <c r="L491" s="152" t="str">
        <f>VLOOKUP(woodflow[[#This Row],[From]],woodstock[#All],9,FALSE)</f>
        <v>nan</v>
      </c>
      <c r="M491" s="152" t="str">
        <f>VLOOKUP(woodflow[[#This Row],[to]],woodstock[#All],9,FALSE)</f>
        <v>6-8-10</v>
      </c>
      <c r="N491" s="157">
        <f>'faostat-data'!Q10</f>
        <v>0</v>
      </c>
      <c r="O491" s="148" t="s">
        <v>921</v>
      </c>
      <c r="P491" s="148"/>
      <c r="Q491" s="148"/>
    </row>
    <row r="492" spans="1:22" x14ac:dyDescent="0.3">
      <c r="A492" s="5" t="str">
        <f>CONCATENATE("F",IF(B492&lt;&gt;"",COUNTA($B$2:B492),""))</f>
        <v>F311</v>
      </c>
      <c r="B492" s="5" t="s">
        <v>335</v>
      </c>
      <c r="C492" s="5" t="s">
        <v>260</v>
      </c>
      <c r="D49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9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2" s="148">
        <f>VLOOKUP(woodflow[[#This Row],[From]],woodstock[#All],4,FALSE)</f>
        <v>2021</v>
      </c>
      <c r="G492" s="5" t="str">
        <f>VLOOKUP(woodflow[[#This Row],[From]],woodstock[#All],5,FALSE)</f>
        <v>Global</v>
      </c>
      <c r="H492" s="151" t="str">
        <f>VLOOKUP(woodflow[[#This Row],[From]],woodstock[#All],7,FALSE)</f>
        <v>65</v>
      </c>
      <c r="I492" s="151" t="str">
        <f>VLOOKUP(woodflow[[#This Row],[to]],woodstock[#All],7,FALSE)</f>
        <v>6</v>
      </c>
      <c r="J492" s="151" t="str">
        <f>VLOOKUP(woodflow[[#This Row],[From]],woodstock[#All],8,FALSE)</f>
        <v>0</v>
      </c>
      <c r="K492" s="151" t="str">
        <f>VLOOKUP(woodflow[[#This Row],[to]],woodstock[#All],8,FALSE)</f>
        <v>0</v>
      </c>
      <c r="L492" s="152" t="str">
        <f>VLOOKUP(woodflow[[#This Row],[From]],woodstock[#All],9,FALSE)</f>
        <v>nan</v>
      </c>
      <c r="M492" s="152" t="str">
        <f>VLOOKUP(woodflow[[#This Row],[to]],woodstock[#All],9,FALSE)</f>
        <v>nan</v>
      </c>
      <c r="N492" s="157">
        <v>0</v>
      </c>
      <c r="O492" s="148" t="s">
        <v>921</v>
      </c>
      <c r="P492" s="148"/>
      <c r="Q492" s="148"/>
    </row>
    <row r="493" spans="1:22" x14ac:dyDescent="0.3">
      <c r="A493" s="5" t="str">
        <f>CONCATENATE("F",IF(B493&lt;&gt;"",COUNTA($B$2:B493),""))</f>
        <v>F312</v>
      </c>
      <c r="B493" s="5" t="s">
        <v>335</v>
      </c>
      <c r="C493" s="5" t="s">
        <v>263</v>
      </c>
      <c r="D49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9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3" s="148">
        <f>VLOOKUP(woodflow[[#This Row],[From]],woodstock[#All],4,FALSE)</f>
        <v>2021</v>
      </c>
      <c r="G493" s="5" t="str">
        <f>VLOOKUP(woodflow[[#This Row],[From]],woodstock[#All],5,FALSE)</f>
        <v>Global</v>
      </c>
      <c r="H493" s="151" t="str">
        <f>VLOOKUP(woodflow[[#This Row],[From]],woodstock[#All],7,FALSE)</f>
        <v>65</v>
      </c>
      <c r="I493" s="151" t="str">
        <f>VLOOKUP(woodflow[[#This Row],[to]],woodstock[#All],7,FALSE)</f>
        <v>8</v>
      </c>
      <c r="J493" s="151" t="str">
        <f>VLOOKUP(woodflow[[#This Row],[From]],woodstock[#All],8,FALSE)</f>
        <v>0</v>
      </c>
      <c r="K493" s="151" t="str">
        <f>VLOOKUP(woodflow[[#This Row],[to]],woodstock[#All],8,FALSE)</f>
        <v>0</v>
      </c>
      <c r="L493" s="152" t="str">
        <f>VLOOKUP(woodflow[[#This Row],[From]],woodstock[#All],9,FALSE)</f>
        <v>nan</v>
      </c>
      <c r="M493" s="152" t="str">
        <f>VLOOKUP(woodflow[[#This Row],[to]],woodstock[#All],9,FALSE)</f>
        <v>nan</v>
      </c>
      <c r="N493" s="157">
        <v>0</v>
      </c>
      <c r="O493" s="148" t="s">
        <v>921</v>
      </c>
      <c r="P493" s="148"/>
      <c r="Q493" s="148"/>
    </row>
    <row r="494" spans="1:22" x14ac:dyDescent="0.3">
      <c r="A494" s="5" t="str">
        <f>CONCATENATE("F",IF(B494&lt;&gt;"",COUNTA($B$2:B494),""))</f>
        <v>F313</v>
      </c>
      <c r="B494" s="5" t="s">
        <v>335</v>
      </c>
      <c r="C494" s="5" t="s">
        <v>265</v>
      </c>
      <c r="D49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9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4" s="148">
        <f>VLOOKUP(woodflow[[#This Row],[From]],woodstock[#All],4,FALSE)</f>
        <v>2021</v>
      </c>
      <c r="G494" s="5" t="str">
        <f>VLOOKUP(woodflow[[#This Row],[From]],woodstock[#All],5,FALSE)</f>
        <v>Global</v>
      </c>
      <c r="H494" s="151" t="str">
        <f>VLOOKUP(woodflow[[#This Row],[From]],woodstock[#All],7,FALSE)</f>
        <v>65</v>
      </c>
      <c r="I494" s="151" t="str">
        <f>VLOOKUP(woodflow[[#This Row],[to]],woodstock[#All],7,FALSE)</f>
        <v>10</v>
      </c>
      <c r="J494" s="151" t="str">
        <f>VLOOKUP(woodflow[[#This Row],[From]],woodstock[#All],8,FALSE)</f>
        <v>0</v>
      </c>
      <c r="K494" s="151" t="str">
        <f>VLOOKUP(woodflow[[#This Row],[to]],woodstock[#All],8,FALSE)</f>
        <v>0</v>
      </c>
      <c r="L494" s="152" t="str">
        <f>VLOOKUP(woodflow[[#This Row],[From]],woodstock[#All],9,FALSE)</f>
        <v>nan</v>
      </c>
      <c r="M494" s="152" t="str">
        <f>VLOOKUP(woodflow[[#This Row],[to]],woodstock[#All],9,FALSE)</f>
        <v>nan</v>
      </c>
      <c r="N494" s="157">
        <v>0</v>
      </c>
      <c r="O494" s="148" t="s">
        <v>921</v>
      </c>
      <c r="P494" s="148"/>
      <c r="Q494" s="148"/>
    </row>
    <row r="495" spans="1:22" x14ac:dyDescent="0.3">
      <c r="A495" s="5" t="str">
        <f>CONCATENATE("F",IF(B495&lt;&gt;"",COUNTA($B$2:B495),""))</f>
        <v>F</v>
      </c>
      <c r="B495" s="148"/>
      <c r="C495" s="148"/>
      <c r="D495" s="149"/>
      <c r="E495" s="149"/>
      <c r="F495" s="148"/>
      <c r="G495" s="5"/>
      <c r="H495" s="151"/>
      <c r="I495" s="151"/>
      <c r="J495" s="151"/>
      <c r="K495" s="151"/>
      <c r="L495" s="152"/>
      <c r="M495" s="152"/>
      <c r="N495" s="157"/>
      <c r="O495" s="148"/>
      <c r="P495" s="148"/>
      <c r="Q495" s="148"/>
    </row>
    <row r="496" spans="1:22" x14ac:dyDescent="0.3">
      <c r="A496" s="5" t="str">
        <f>CONCATENATE("F",IF(B496&lt;&gt;"",COUNTA($B$2:B496),""))</f>
        <v>F</v>
      </c>
      <c r="B496" s="148"/>
      <c r="C496" s="148"/>
      <c r="D496" s="149"/>
      <c r="E496" s="149"/>
      <c r="F496" s="148"/>
      <c r="G496" s="5"/>
      <c r="H496" s="151"/>
      <c r="I496" s="151"/>
      <c r="J496" s="151"/>
      <c r="K496" s="151"/>
      <c r="L496" s="152"/>
      <c r="M496" s="152"/>
      <c r="N496" s="157"/>
      <c r="O496" s="148"/>
      <c r="P496" s="148"/>
      <c r="Q496" s="148"/>
    </row>
    <row r="497" spans="1:17" x14ac:dyDescent="0.3">
      <c r="A497" s="5" t="str">
        <f>CONCATENATE("F",IF(B497&lt;&gt;"",COUNTA($B$2:B497),""))</f>
        <v>F314</v>
      </c>
      <c r="B497" s="5" t="s">
        <v>335</v>
      </c>
      <c r="C497" s="148" t="s">
        <v>344</v>
      </c>
      <c r="D49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9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7" s="148">
        <f>VLOOKUP(woodflow[[#This Row],[From]],woodstock[#All],4,FALSE)</f>
        <v>2021</v>
      </c>
      <c r="G497" s="5" t="str">
        <f>VLOOKUP(woodflow[[#This Row],[From]],woodstock[#All],5,FALSE)</f>
        <v>Global</v>
      </c>
      <c r="H497" s="151" t="str">
        <f>VLOOKUP(woodflow[[#This Row],[From]],woodstock[#All],7,FALSE)</f>
        <v>65</v>
      </c>
      <c r="I497" s="151" t="str">
        <f>VLOOKUP(woodflow[[#This Row],[to]],woodstock[#All],7,FALSE)</f>
        <v>4</v>
      </c>
      <c r="J497" s="151" t="str">
        <f>VLOOKUP(woodflow[[#This Row],[From]],woodstock[#All],8,FALSE)</f>
        <v>0</v>
      </c>
      <c r="K497" s="151" t="str">
        <f>VLOOKUP(woodflow[[#This Row],[to]],woodstock[#All],8,FALSE)</f>
        <v>1</v>
      </c>
      <c r="L497" s="152" t="str">
        <f>VLOOKUP(woodflow[[#This Row],[From]],woodstock[#All],9,FALSE)</f>
        <v>nan</v>
      </c>
      <c r="M497" s="152" t="str">
        <f>VLOOKUP(woodflow[[#This Row],[to]],woodstock[#All],9,FALSE)</f>
        <v>7-9-11</v>
      </c>
      <c r="N497" s="157">
        <f>'faostat-data'!Q12+'faostat-data'!Q14</f>
        <v>0</v>
      </c>
      <c r="O497" s="148" t="s">
        <v>921</v>
      </c>
      <c r="P497" s="148"/>
      <c r="Q497" s="148"/>
    </row>
    <row r="498" spans="1:17" x14ac:dyDescent="0.3">
      <c r="A498" s="5" t="str">
        <f>CONCATENATE("F",IF(B498&lt;&gt;"",COUNTA($B$2:B498),""))</f>
        <v>F315</v>
      </c>
      <c r="B498" s="5" t="s">
        <v>335</v>
      </c>
      <c r="C498" s="5" t="s">
        <v>261</v>
      </c>
      <c r="D49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9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8" s="148">
        <f>VLOOKUP(woodflow[[#This Row],[From]],woodstock[#All],4,FALSE)</f>
        <v>2021</v>
      </c>
      <c r="G498" s="5" t="str">
        <f>VLOOKUP(woodflow[[#This Row],[From]],woodstock[#All],5,FALSE)</f>
        <v>Global</v>
      </c>
      <c r="H498" s="151" t="str">
        <f>VLOOKUP(woodflow[[#This Row],[From]],woodstock[#All],7,FALSE)</f>
        <v>65</v>
      </c>
      <c r="I498" s="151" t="str">
        <f>VLOOKUP(woodflow[[#This Row],[to]],woodstock[#All],7,FALSE)</f>
        <v>7</v>
      </c>
      <c r="J498" s="151" t="str">
        <f>VLOOKUP(woodflow[[#This Row],[From]],woodstock[#All],8,FALSE)</f>
        <v>0</v>
      </c>
      <c r="K498" s="151" t="str">
        <f>VLOOKUP(woodflow[[#This Row],[to]],woodstock[#All],8,FALSE)</f>
        <v>0</v>
      </c>
      <c r="L498" s="152" t="str">
        <f>VLOOKUP(woodflow[[#This Row],[From]],woodstock[#All],9,FALSE)</f>
        <v>nan</v>
      </c>
      <c r="M498" s="152" t="str">
        <f>VLOOKUP(woodflow[[#This Row],[to]],woodstock[#All],9,FALSE)</f>
        <v>nan</v>
      </c>
      <c r="N498" s="157">
        <v>0</v>
      </c>
      <c r="O498" s="148" t="s">
        <v>921</v>
      </c>
      <c r="P498" s="148"/>
      <c r="Q498" s="148"/>
    </row>
    <row r="499" spans="1:17" x14ac:dyDescent="0.3">
      <c r="A499" s="5" t="str">
        <f>CONCATENATE("F",IF(B499&lt;&gt;"",COUNTA($B$2:B499),""))</f>
        <v>F316</v>
      </c>
      <c r="B499" s="5" t="s">
        <v>335</v>
      </c>
      <c r="C499" s="5" t="s">
        <v>264</v>
      </c>
      <c r="D49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49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499" s="148">
        <f>VLOOKUP(woodflow[[#This Row],[From]],woodstock[#All],4,FALSE)</f>
        <v>2021</v>
      </c>
      <c r="G499" s="5" t="str">
        <f>VLOOKUP(woodflow[[#This Row],[From]],woodstock[#All],5,FALSE)</f>
        <v>Global</v>
      </c>
      <c r="H499" s="151" t="str">
        <f>VLOOKUP(woodflow[[#This Row],[From]],woodstock[#All],7,FALSE)</f>
        <v>65</v>
      </c>
      <c r="I499" s="151" t="str">
        <f>VLOOKUP(woodflow[[#This Row],[to]],woodstock[#All],7,FALSE)</f>
        <v>9</v>
      </c>
      <c r="J499" s="151" t="str">
        <f>VLOOKUP(woodflow[[#This Row],[From]],woodstock[#All],8,FALSE)</f>
        <v>0</v>
      </c>
      <c r="K499" s="151" t="str">
        <f>VLOOKUP(woodflow[[#This Row],[to]],woodstock[#All],8,FALSE)</f>
        <v>0</v>
      </c>
      <c r="L499" s="152" t="str">
        <f>VLOOKUP(woodflow[[#This Row],[From]],woodstock[#All],9,FALSE)</f>
        <v>nan</v>
      </c>
      <c r="M499" s="152" t="str">
        <f>VLOOKUP(woodflow[[#This Row],[to]],woodstock[#All],9,FALSE)</f>
        <v>nan</v>
      </c>
      <c r="N499" s="157">
        <v>0</v>
      </c>
      <c r="O499" s="148" t="s">
        <v>921</v>
      </c>
      <c r="P499" s="148"/>
      <c r="Q499" s="148"/>
    </row>
    <row r="500" spans="1:17" x14ac:dyDescent="0.3">
      <c r="A500" s="5" t="str">
        <f>CONCATENATE("F",IF(B500&lt;&gt;"",COUNTA($B$2:B500),""))</f>
        <v>F317</v>
      </c>
      <c r="B500" s="5" t="s">
        <v>335</v>
      </c>
      <c r="C500" s="5" t="s">
        <v>266</v>
      </c>
      <c r="D50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0" s="148">
        <f>VLOOKUP(woodflow[[#This Row],[From]],woodstock[#All],4,FALSE)</f>
        <v>2021</v>
      </c>
      <c r="G500" s="5" t="str">
        <f>VLOOKUP(woodflow[[#This Row],[From]],woodstock[#All],5,FALSE)</f>
        <v>Global</v>
      </c>
      <c r="H500" s="151" t="str">
        <f>VLOOKUP(woodflow[[#This Row],[From]],woodstock[#All],7,FALSE)</f>
        <v>65</v>
      </c>
      <c r="I500" s="151" t="str">
        <f>VLOOKUP(woodflow[[#This Row],[to]],woodstock[#All],7,FALSE)</f>
        <v>11</v>
      </c>
      <c r="J500" s="151" t="str">
        <f>VLOOKUP(woodflow[[#This Row],[From]],woodstock[#All],8,FALSE)</f>
        <v>0</v>
      </c>
      <c r="K500" s="151" t="str">
        <f>VLOOKUP(woodflow[[#This Row],[to]],woodstock[#All],8,FALSE)</f>
        <v>0</v>
      </c>
      <c r="L500" s="152" t="str">
        <f>VLOOKUP(woodflow[[#This Row],[From]],woodstock[#All],9,FALSE)</f>
        <v>nan</v>
      </c>
      <c r="M500" s="152" t="str">
        <f>VLOOKUP(woodflow[[#This Row],[to]],woodstock[#All],9,FALSE)</f>
        <v>nan</v>
      </c>
      <c r="N500" s="157">
        <v>0</v>
      </c>
      <c r="O500" s="148" t="s">
        <v>921</v>
      </c>
      <c r="P500" s="148"/>
      <c r="Q500" s="148"/>
    </row>
    <row r="501" spans="1:17" x14ac:dyDescent="0.3">
      <c r="A501" s="5" t="str">
        <f>CONCATENATE("F",IF(B501&lt;&gt;"",COUNTA($B$2:B501),""))</f>
        <v>F</v>
      </c>
      <c r="B501" s="148"/>
      <c r="C501" s="148"/>
      <c r="D501" s="149"/>
      <c r="E501" s="149"/>
      <c r="F501" s="148"/>
      <c r="G501" s="5"/>
      <c r="H501" s="151"/>
      <c r="I501" s="151"/>
      <c r="J501" s="151"/>
      <c r="K501" s="151"/>
      <c r="L501" s="152"/>
      <c r="M501" s="152"/>
      <c r="N501" s="157"/>
      <c r="O501" s="148"/>
      <c r="P501" s="148"/>
      <c r="Q501" s="148"/>
    </row>
    <row r="502" spans="1:17" x14ac:dyDescent="0.3">
      <c r="A502" s="5" t="str">
        <f>CONCATENATE("F",IF(B502&lt;&gt;"",COUNTA($B$2:B502),""))</f>
        <v>F</v>
      </c>
      <c r="B502" s="148"/>
      <c r="C502" s="148"/>
      <c r="D502" s="149"/>
      <c r="E502" s="149"/>
      <c r="F502" s="148"/>
      <c r="G502" s="5"/>
      <c r="H502" s="151"/>
      <c r="I502" s="151"/>
      <c r="J502" s="151"/>
      <c r="K502" s="151"/>
      <c r="L502" s="152"/>
      <c r="M502" s="152"/>
      <c r="N502" s="157"/>
      <c r="O502" s="148"/>
      <c r="P502" s="148"/>
      <c r="Q502" s="148"/>
    </row>
    <row r="503" spans="1:17" x14ac:dyDescent="0.3">
      <c r="A503" s="5" t="str">
        <f>CONCATENATE("F",IF(B503&lt;&gt;"",COUNTA($B$2:B503),""))</f>
        <v>F318</v>
      </c>
      <c r="B503" s="5" t="s">
        <v>335</v>
      </c>
      <c r="C503" s="5" t="s">
        <v>208</v>
      </c>
      <c r="D50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3" s="148">
        <f>VLOOKUP(woodflow[[#This Row],[From]],woodstock[#All],4,FALSE)</f>
        <v>2021</v>
      </c>
      <c r="G503" s="5" t="str">
        <f>VLOOKUP(woodflow[[#This Row],[From]],woodstock[#All],5,FALSE)</f>
        <v>Global</v>
      </c>
      <c r="H503" s="151" t="str">
        <f>VLOOKUP(woodflow[[#This Row],[From]],woodstock[#All],7,FALSE)</f>
        <v>65</v>
      </c>
      <c r="I503" s="151" t="str">
        <f>VLOOKUP(woodflow[[#This Row],[to]],woodstock[#All],7,FALSE)</f>
        <v>12</v>
      </c>
      <c r="J503" s="151" t="str">
        <f>VLOOKUP(woodflow[[#This Row],[From]],woodstock[#All],8,FALSE)</f>
        <v>0</v>
      </c>
      <c r="K503" s="151" t="str">
        <f>VLOOKUP(woodflow[[#This Row],[to]],woodstock[#All],8,FALSE)</f>
        <v>0</v>
      </c>
      <c r="L503" s="152" t="str">
        <f>VLOOKUP(woodflow[[#This Row],[From]],woodstock[#All],9,FALSE)</f>
        <v>nan</v>
      </c>
      <c r="M503" s="152" t="str">
        <f>VLOOKUP(woodflow[[#This Row],[to]],woodstock[#All],9,FALSE)</f>
        <v>nan</v>
      </c>
      <c r="N503" s="157">
        <v>0</v>
      </c>
      <c r="O503" s="148" t="s">
        <v>921</v>
      </c>
      <c r="P503" s="148"/>
      <c r="Q503" s="148"/>
    </row>
    <row r="504" spans="1:17" x14ac:dyDescent="0.3">
      <c r="A504" s="5" t="str">
        <f>CONCATENATE("F",IF(B504&lt;&gt;"",COUNTA($B$2:B504),""))</f>
        <v>F</v>
      </c>
      <c r="B504" s="148"/>
      <c r="C504" s="5"/>
      <c r="D504" s="149"/>
      <c r="E504" s="149"/>
      <c r="F504" s="148"/>
      <c r="G504" s="5"/>
      <c r="H504" s="151"/>
      <c r="I504" s="151"/>
      <c r="J504" s="151"/>
      <c r="K504" s="151"/>
      <c r="L504" s="152"/>
      <c r="M504" s="152"/>
      <c r="N504" s="157"/>
      <c r="O504" s="148"/>
      <c r="P504" s="148"/>
      <c r="Q504" s="148"/>
    </row>
    <row r="505" spans="1:17" x14ac:dyDescent="0.3">
      <c r="A505" s="5" t="str">
        <f>CONCATENATE("F",IF(B505&lt;&gt;"",COUNTA($B$2:B505),""))</f>
        <v>F</v>
      </c>
      <c r="B505" s="148"/>
      <c r="C505" s="5"/>
      <c r="D505" s="149"/>
      <c r="E505" s="149"/>
      <c r="F505" s="148"/>
      <c r="G505" s="5"/>
      <c r="H505" s="151"/>
      <c r="I505" s="151"/>
      <c r="J505" s="151"/>
      <c r="K505" s="151"/>
      <c r="L505" s="152"/>
      <c r="M505" s="152"/>
      <c r="N505" s="157"/>
      <c r="O505" s="148"/>
      <c r="P505" s="148"/>
      <c r="Q505" s="148"/>
    </row>
    <row r="506" spans="1:17" x14ac:dyDescent="0.3">
      <c r="A506" s="5" t="str">
        <f>CONCATENATE("F",IF(B506&lt;&gt;"",COUNTA($B$2:B506),""))</f>
        <v>F319</v>
      </c>
      <c r="B506" s="5" t="s">
        <v>335</v>
      </c>
      <c r="C506" s="5" t="s">
        <v>55</v>
      </c>
      <c r="D50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6" s="148">
        <f>VLOOKUP(woodflow[[#This Row],[From]],woodstock[#All],4,FALSE)</f>
        <v>2021</v>
      </c>
      <c r="G506" s="5" t="str">
        <f>VLOOKUP(woodflow[[#This Row],[From]],woodstock[#All],5,FALSE)</f>
        <v>Global</v>
      </c>
      <c r="H506" s="151" t="str">
        <f>VLOOKUP(woodflow[[#This Row],[From]],woodstock[#All],7,FALSE)</f>
        <v>65</v>
      </c>
      <c r="I506" s="151" t="str">
        <f>VLOOKUP(woodflow[[#This Row],[to]],woodstock[#All],7,FALSE)</f>
        <v>13</v>
      </c>
      <c r="J506" s="151" t="str">
        <f>VLOOKUP(woodflow[[#This Row],[From]],woodstock[#All],8,FALSE)</f>
        <v>0</v>
      </c>
      <c r="K506" s="151" t="str">
        <f>VLOOKUP(woodflow[[#This Row],[to]],woodstock[#All],8,FALSE)</f>
        <v>0</v>
      </c>
      <c r="L506" s="152" t="str">
        <f>VLOOKUP(woodflow[[#This Row],[From]],woodstock[#All],9,FALSE)</f>
        <v>nan</v>
      </c>
      <c r="M506" s="152" t="str">
        <f>VLOOKUP(woodflow[[#This Row],[to]],woodstock[#All],9,FALSE)</f>
        <v>nan</v>
      </c>
      <c r="N506" s="157">
        <f>'faostat-data'!Q35</f>
        <v>0</v>
      </c>
      <c r="O506" s="148" t="s">
        <v>921</v>
      </c>
      <c r="P506" s="148"/>
      <c r="Q506" s="148"/>
    </row>
    <row r="507" spans="1:17" x14ac:dyDescent="0.3">
      <c r="A507" s="5" t="str">
        <f>CONCATENATE("F",IF(B507&lt;&gt;"",COUNTA($B$2:B507),""))</f>
        <v>F320</v>
      </c>
      <c r="B507" s="5" t="s">
        <v>335</v>
      </c>
      <c r="C507" s="5" t="s">
        <v>175</v>
      </c>
      <c r="D50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0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07" s="148">
        <f>VLOOKUP(woodflow[[#This Row],[From]],woodstock[#All],4,FALSE)</f>
        <v>2021</v>
      </c>
      <c r="G507" s="5" t="str">
        <f>VLOOKUP(woodflow[[#This Row],[From]],woodstock[#All],5,FALSE)</f>
        <v>Global</v>
      </c>
      <c r="H507" s="151" t="str">
        <f>VLOOKUP(woodflow[[#This Row],[From]],woodstock[#All],7,FALSE)</f>
        <v>65</v>
      </c>
      <c r="I507" s="151" t="str">
        <f>VLOOKUP(woodflow[[#This Row],[to]],woodstock[#All],7,FALSE)</f>
        <v>14</v>
      </c>
      <c r="J507" s="151" t="str">
        <f>VLOOKUP(woodflow[[#This Row],[From]],woodstock[#All],8,FALSE)</f>
        <v>0</v>
      </c>
      <c r="K507" s="151" t="str">
        <f>VLOOKUP(woodflow[[#This Row],[to]],woodstock[#All],8,FALSE)</f>
        <v>0</v>
      </c>
      <c r="L507" s="152" t="str">
        <f>VLOOKUP(woodflow[[#This Row],[From]],woodstock[#All],9,FALSE)</f>
        <v>nan</v>
      </c>
      <c r="M507" s="152" t="str">
        <f>VLOOKUP(woodflow[[#This Row],[to]],woodstock[#All],9,FALSE)</f>
        <v>nan</v>
      </c>
      <c r="N507" s="157">
        <v>0</v>
      </c>
      <c r="O507" s="148" t="s">
        <v>921</v>
      </c>
      <c r="P507" s="148"/>
      <c r="Q507" s="148"/>
    </row>
    <row r="508" spans="1:17" x14ac:dyDescent="0.3">
      <c r="A508" s="5" t="str">
        <f>CONCATENATE("F",IF(B508&lt;&gt;"",COUNTA($B$2:B508),""))</f>
        <v>F</v>
      </c>
      <c r="B508" s="148"/>
      <c r="C508" s="148"/>
      <c r="D508" s="149"/>
      <c r="E508" s="149"/>
      <c r="F508" s="148"/>
      <c r="G508" s="5"/>
      <c r="H508" s="151"/>
      <c r="I508" s="151"/>
      <c r="J508" s="151"/>
      <c r="K508" s="151"/>
      <c r="L508" s="152"/>
      <c r="M508" s="152"/>
      <c r="N508" s="157"/>
      <c r="O508" s="148"/>
      <c r="P508" s="148"/>
      <c r="Q508" s="148"/>
    </row>
    <row r="509" spans="1:17" x14ac:dyDescent="0.3">
      <c r="A509" s="5" t="str">
        <f>CONCATENATE("F",IF(B509&lt;&gt;"",COUNTA($B$2:B509),""))</f>
        <v>F</v>
      </c>
      <c r="B509" s="148"/>
      <c r="C509" s="5"/>
      <c r="D509" s="149"/>
      <c r="E509" s="149"/>
      <c r="F509" s="148"/>
      <c r="G509" s="5"/>
      <c r="H509" s="151"/>
      <c r="I509" s="151"/>
      <c r="J509" s="151"/>
      <c r="K509" s="151"/>
      <c r="L509" s="152"/>
      <c r="M509" s="152"/>
      <c r="N509" s="157"/>
      <c r="O509" s="148"/>
      <c r="P509" s="148"/>
      <c r="Q509" s="148"/>
    </row>
    <row r="510" spans="1:17" x14ac:dyDescent="0.3">
      <c r="A510" s="5" t="str">
        <f>CONCATENATE("F",IF(B510&lt;&gt;"",COUNTA($B$2:B510),""))</f>
        <v>F321</v>
      </c>
      <c r="B510" s="5" t="s">
        <v>335</v>
      </c>
      <c r="C510" s="5" t="s">
        <v>65</v>
      </c>
      <c r="D51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1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0" s="148">
        <f>VLOOKUP(woodflow[[#This Row],[From]],woodstock[#All],4,FALSE)</f>
        <v>2021</v>
      </c>
      <c r="G510" s="5" t="str">
        <f>VLOOKUP(woodflow[[#This Row],[From]],woodstock[#All],5,FALSE)</f>
        <v>Global</v>
      </c>
      <c r="H510" s="151" t="str">
        <f>VLOOKUP(woodflow[[#This Row],[From]],woodstock[#All],7,FALSE)</f>
        <v>65</v>
      </c>
      <c r="I510" s="151" t="str">
        <f>VLOOKUP(woodflow[[#This Row],[to]],woodstock[#All],7,FALSE)</f>
        <v>9</v>
      </c>
      <c r="J510" s="151" t="str">
        <f>VLOOKUP(woodflow[[#This Row],[From]],woodstock[#All],8,FALSE)</f>
        <v>0</v>
      </c>
      <c r="K510" s="151" t="str">
        <f>VLOOKUP(woodflow[[#This Row],[to]],woodstock[#All],8,FALSE)</f>
        <v>1</v>
      </c>
      <c r="L510" s="152" t="str">
        <f>VLOOKUP(woodflow[[#This Row],[From]],woodstock[#All],9,FALSE)</f>
        <v>nan</v>
      </c>
      <c r="M510" s="152" t="str">
        <f>VLOOKUP(woodflow[[#This Row],[to]],woodstock[#All],9,FALSE)</f>
        <v>15-16</v>
      </c>
      <c r="N510" s="157">
        <f>SUM(N511:N512)</f>
        <v>0</v>
      </c>
      <c r="O510" s="148" t="s">
        <v>921</v>
      </c>
      <c r="P510" s="148"/>
      <c r="Q510" s="148"/>
    </row>
    <row r="511" spans="1:17" x14ac:dyDescent="0.3">
      <c r="A511" s="5" t="str">
        <f>CONCATENATE("F",IF(B511&lt;&gt;"",COUNTA($B$2:B511),""))</f>
        <v>F322</v>
      </c>
      <c r="B511" s="5" t="s">
        <v>335</v>
      </c>
      <c r="C511" s="5" t="s">
        <v>53</v>
      </c>
      <c r="D51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1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1" s="148">
        <f>VLOOKUP(woodflow[[#This Row],[From]],woodstock[#All],4,FALSE)</f>
        <v>2021</v>
      </c>
      <c r="G511" s="5" t="str">
        <f>VLOOKUP(woodflow[[#This Row],[From]],woodstock[#All],5,FALSE)</f>
        <v>Global</v>
      </c>
      <c r="H511" s="151" t="str">
        <f>VLOOKUP(woodflow[[#This Row],[From]],woodstock[#All],7,FALSE)</f>
        <v>65</v>
      </c>
      <c r="I511" s="151" t="str">
        <f>VLOOKUP(woodflow[[#This Row],[to]],woodstock[#All],7,FALSE)</f>
        <v>15</v>
      </c>
      <c r="J511" s="151" t="str">
        <f>VLOOKUP(woodflow[[#This Row],[From]],woodstock[#All],8,FALSE)</f>
        <v>0</v>
      </c>
      <c r="K511" s="151" t="str">
        <f>VLOOKUP(woodflow[[#This Row],[to]],woodstock[#All],8,FALSE)</f>
        <v>0</v>
      </c>
      <c r="L511" s="152" t="str">
        <f>VLOOKUP(woodflow[[#This Row],[From]],woodstock[#All],9,FALSE)</f>
        <v>nan</v>
      </c>
      <c r="M511" s="152" t="str">
        <f>VLOOKUP(woodflow[[#This Row],[to]],woodstock[#All],9,FALSE)</f>
        <v>nan</v>
      </c>
      <c r="N511" s="157">
        <f>'faostat-data'!Q40</f>
        <v>0</v>
      </c>
      <c r="O511" s="148" t="s">
        <v>921</v>
      </c>
      <c r="P511" s="148"/>
      <c r="Q511" s="148"/>
    </row>
    <row r="512" spans="1:17" x14ac:dyDescent="0.3">
      <c r="A512" s="5" t="str">
        <f>CONCATENATE("F",IF(B512&lt;&gt;"",COUNTA($B$2:B512),""))</f>
        <v>F323</v>
      </c>
      <c r="B512" s="5" t="s">
        <v>335</v>
      </c>
      <c r="C512" s="5" t="s">
        <v>54</v>
      </c>
      <c r="D51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1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2" s="148">
        <f>VLOOKUP(woodflow[[#This Row],[From]],woodstock[#All],4,FALSE)</f>
        <v>2021</v>
      </c>
      <c r="G512" s="5" t="str">
        <f>VLOOKUP(woodflow[[#This Row],[From]],woodstock[#All],5,FALSE)</f>
        <v>Global</v>
      </c>
      <c r="H512" s="151" t="str">
        <f>VLOOKUP(woodflow[[#This Row],[From]],woodstock[#All],7,FALSE)</f>
        <v>65</v>
      </c>
      <c r="I512" s="151" t="str">
        <f>VLOOKUP(woodflow[[#This Row],[to]],woodstock[#All],7,FALSE)</f>
        <v>16</v>
      </c>
      <c r="J512" s="151" t="str">
        <f>VLOOKUP(woodflow[[#This Row],[From]],woodstock[#All],8,FALSE)</f>
        <v>0</v>
      </c>
      <c r="K512" s="151" t="str">
        <f>VLOOKUP(woodflow[[#This Row],[to]],woodstock[#All],8,FALSE)</f>
        <v>0</v>
      </c>
      <c r="L512" s="152" t="str">
        <f>VLOOKUP(woodflow[[#This Row],[From]],woodstock[#All],9,FALSE)</f>
        <v>nan</v>
      </c>
      <c r="M512" s="152" t="str">
        <f>VLOOKUP(woodflow[[#This Row],[to]],woodstock[#All],9,FALSE)</f>
        <v>nan</v>
      </c>
      <c r="N512" s="157">
        <f>'faostat-data'!Q43</f>
        <v>0</v>
      </c>
      <c r="O512" s="148" t="s">
        <v>921</v>
      </c>
      <c r="P512" s="148"/>
      <c r="Q512" s="148"/>
    </row>
    <row r="513" spans="1:17" x14ac:dyDescent="0.3">
      <c r="A513" s="5" t="str">
        <f>CONCATENATE("F",IF(B513&lt;&gt;"",COUNTA($B$2:B513),""))</f>
        <v>F</v>
      </c>
      <c r="B513" s="148"/>
      <c r="C513" s="5"/>
      <c r="D513" s="149"/>
      <c r="E513" s="149"/>
      <c r="F513" s="148"/>
      <c r="G513" s="5"/>
      <c r="H513" s="151"/>
      <c r="I513" s="151"/>
      <c r="J513" s="151"/>
      <c r="K513" s="151"/>
      <c r="L513" s="152"/>
      <c r="M513" s="152"/>
      <c r="N513" s="157"/>
      <c r="O513" s="148"/>
      <c r="P513" s="148"/>
      <c r="Q513" s="148"/>
    </row>
    <row r="514" spans="1:17" x14ac:dyDescent="0.3">
      <c r="A514" s="5" t="str">
        <f>CONCATENATE("F",IF(B514&lt;&gt;"",COUNTA($B$2:B514),""))</f>
        <v>F</v>
      </c>
      <c r="B514" s="148"/>
      <c r="C514" s="148"/>
      <c r="D514" s="149"/>
      <c r="E514" s="149"/>
      <c r="F514" s="148"/>
      <c r="G514" s="5"/>
      <c r="H514" s="151"/>
      <c r="I514" s="151"/>
      <c r="J514" s="151"/>
      <c r="K514" s="151"/>
      <c r="L514" s="152"/>
      <c r="M514" s="152"/>
      <c r="N514" s="157"/>
      <c r="O514" s="148"/>
      <c r="P514" s="148"/>
      <c r="Q514" s="148"/>
    </row>
    <row r="515" spans="1:17" x14ac:dyDescent="0.3">
      <c r="A515" s="5" t="str">
        <f>CONCATENATE("F",IF(B515&lt;&gt;"",COUNTA($B$2:B515),""))</f>
        <v>F324</v>
      </c>
      <c r="B515" s="5" t="s">
        <v>335</v>
      </c>
      <c r="C515" s="5" t="s">
        <v>47</v>
      </c>
      <c r="D51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1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5" s="148">
        <f>VLOOKUP(woodflow[[#This Row],[From]],woodstock[#All],4,FALSE)</f>
        <v>2021</v>
      </c>
      <c r="G515" s="5" t="str">
        <f>VLOOKUP(woodflow[[#This Row],[From]],woodstock[#All],5,FALSE)</f>
        <v>Global</v>
      </c>
      <c r="H515" s="151" t="str">
        <f>VLOOKUP(woodflow[[#This Row],[From]],woodstock[#All],7,FALSE)</f>
        <v>65</v>
      </c>
      <c r="I515" s="151" t="str">
        <f>VLOOKUP(woodflow[[#This Row],[to]],woodstock[#All],7,FALSE)</f>
        <v>17</v>
      </c>
      <c r="J515" s="151" t="str">
        <f>VLOOKUP(woodflow[[#This Row],[From]],woodstock[#All],8,FALSE)</f>
        <v>0</v>
      </c>
      <c r="K515" s="151" t="str">
        <f>VLOOKUP(woodflow[[#This Row],[to]],woodstock[#All],8,FALSE)</f>
        <v>0</v>
      </c>
      <c r="L515" s="152" t="str">
        <f>VLOOKUP(woodflow[[#This Row],[From]],woodstock[#All],9,FALSE)</f>
        <v>nan</v>
      </c>
      <c r="M515" s="152" t="str">
        <f>VLOOKUP(woodflow[[#This Row],[to]],woodstock[#All],9,FALSE)</f>
        <v>nan</v>
      </c>
      <c r="N515" s="157">
        <f>'faostat-data'!Q36+'faostat-data'!Q49</f>
        <v>0</v>
      </c>
      <c r="O515" s="148" t="s">
        <v>921</v>
      </c>
      <c r="P515" s="148"/>
      <c r="Q515" s="148"/>
    </row>
    <row r="516" spans="1:17" x14ac:dyDescent="0.3">
      <c r="A516" s="5" t="str">
        <f>CONCATENATE("F",IF(B516&lt;&gt;"",COUNTA($B$2:B516),""))</f>
        <v>F</v>
      </c>
      <c r="B516" s="148"/>
      <c r="C516" s="5"/>
      <c r="D516" s="149"/>
      <c r="E516" s="149"/>
      <c r="F516" s="148"/>
      <c r="G516" s="5"/>
      <c r="H516" s="151"/>
      <c r="I516" s="151"/>
      <c r="J516" s="151"/>
      <c r="K516" s="151"/>
      <c r="L516" s="152"/>
      <c r="M516" s="152"/>
      <c r="N516" s="157"/>
      <c r="O516" s="148"/>
      <c r="P516" s="148"/>
      <c r="Q516" s="148"/>
    </row>
    <row r="517" spans="1:17" x14ac:dyDescent="0.3">
      <c r="A517" s="5" t="str">
        <f>CONCATENATE("F",IF(B517&lt;&gt;"",COUNTA($B$2:B517),""))</f>
        <v>F</v>
      </c>
      <c r="B517" s="148"/>
      <c r="C517" s="5"/>
      <c r="D517" s="149"/>
      <c r="E517" s="149"/>
      <c r="F517" s="148"/>
      <c r="G517" s="5"/>
      <c r="H517" s="151"/>
      <c r="I517" s="151"/>
      <c r="J517" s="151"/>
      <c r="K517" s="151"/>
      <c r="L517" s="152"/>
      <c r="M517" s="152"/>
      <c r="N517" s="157"/>
      <c r="O517" s="148"/>
      <c r="P517" s="148"/>
      <c r="Q517" s="148"/>
    </row>
    <row r="518" spans="1:17" x14ac:dyDescent="0.3">
      <c r="A518" s="5" t="str">
        <f>CONCATENATE("F",IF(B518&lt;&gt;"",COUNTA($B$2:B518),""))</f>
        <v>F325</v>
      </c>
      <c r="B518" s="5" t="s">
        <v>335</v>
      </c>
      <c r="C518" s="5" t="s">
        <v>48</v>
      </c>
      <c r="D51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1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8" s="148">
        <f>VLOOKUP(woodflow[[#This Row],[From]],woodstock[#All],4,FALSE)</f>
        <v>2021</v>
      </c>
      <c r="G518" s="5" t="str">
        <f>VLOOKUP(woodflow[[#This Row],[From]],woodstock[#All],5,FALSE)</f>
        <v>Global</v>
      </c>
      <c r="H518" s="151" t="str">
        <f>VLOOKUP(woodflow[[#This Row],[From]],woodstock[#All],7,FALSE)</f>
        <v>65</v>
      </c>
      <c r="I518" s="151" t="str">
        <f>VLOOKUP(woodflow[[#This Row],[to]],woodstock[#All],7,FALSE)</f>
        <v>10</v>
      </c>
      <c r="J518" s="151" t="str">
        <f>VLOOKUP(woodflow[[#This Row],[From]],woodstock[#All],8,FALSE)</f>
        <v>0</v>
      </c>
      <c r="K518" s="151" t="str">
        <f>VLOOKUP(woodflow[[#This Row],[to]],woodstock[#All],8,FALSE)</f>
        <v>1</v>
      </c>
      <c r="L518" s="152" t="str">
        <f>VLOOKUP(woodflow[[#This Row],[From]],woodstock[#All],9,FALSE)</f>
        <v>nan</v>
      </c>
      <c r="M518" s="152" t="str">
        <f>VLOOKUP(woodflow[[#This Row],[to]],woodstock[#All],9,FALSE)</f>
        <v>18-19</v>
      </c>
      <c r="N518" s="157">
        <f>SUM(N519:N520)</f>
        <v>0</v>
      </c>
      <c r="O518" s="148" t="s">
        <v>921</v>
      </c>
      <c r="P518" s="148"/>
      <c r="Q518" s="148"/>
    </row>
    <row r="519" spans="1:17" x14ac:dyDescent="0.3">
      <c r="A519" s="5" t="str">
        <f>CONCATENATE("F",IF(B519&lt;&gt;"",COUNTA($B$2:B519),""))</f>
        <v>F326</v>
      </c>
      <c r="B519" s="5" t="s">
        <v>335</v>
      </c>
      <c r="C519" s="5" t="s">
        <v>267</v>
      </c>
      <c r="D51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1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19" s="148">
        <f>VLOOKUP(woodflow[[#This Row],[From]],woodstock[#All],4,FALSE)</f>
        <v>2021</v>
      </c>
      <c r="G519" s="5" t="str">
        <f>VLOOKUP(woodflow[[#This Row],[From]],woodstock[#All],5,FALSE)</f>
        <v>Global</v>
      </c>
      <c r="H519" s="151" t="str">
        <f>VLOOKUP(woodflow[[#This Row],[From]],woodstock[#All],7,FALSE)</f>
        <v>65</v>
      </c>
      <c r="I519" s="151" t="str">
        <f>VLOOKUP(woodflow[[#This Row],[to]],woodstock[#All],7,FALSE)</f>
        <v>18</v>
      </c>
      <c r="J519" s="151" t="str">
        <f>VLOOKUP(woodflow[[#This Row],[From]],woodstock[#All],8,FALSE)</f>
        <v>0</v>
      </c>
      <c r="K519" s="151" t="str">
        <f>VLOOKUP(woodflow[[#This Row],[to]],woodstock[#All],8,FALSE)</f>
        <v>0</v>
      </c>
      <c r="L519" s="152" t="str">
        <f>VLOOKUP(woodflow[[#This Row],[From]],woodstock[#All],9,FALSE)</f>
        <v>nan</v>
      </c>
      <c r="M519" s="152" t="str">
        <f>VLOOKUP(woodflow[[#This Row],[to]],woodstock[#All],9,FALSE)</f>
        <v>nan</v>
      </c>
      <c r="N519" s="157">
        <f>'faostat-data'!Q52</f>
        <v>0</v>
      </c>
      <c r="O519" s="148" t="s">
        <v>921</v>
      </c>
      <c r="P519" s="148"/>
      <c r="Q519" s="148"/>
    </row>
    <row r="520" spans="1:17" x14ac:dyDescent="0.3">
      <c r="A520" s="5" t="str">
        <f>CONCATENATE("F",IF(B520&lt;&gt;"",COUNTA($B$2:B520),""))</f>
        <v>F327</v>
      </c>
      <c r="B520" s="5" t="s">
        <v>335</v>
      </c>
      <c r="C520" s="5" t="s">
        <v>268</v>
      </c>
      <c r="D52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2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0" s="148">
        <f>VLOOKUP(woodflow[[#This Row],[From]],woodstock[#All],4,FALSE)</f>
        <v>2021</v>
      </c>
      <c r="G520" s="5" t="str">
        <f>VLOOKUP(woodflow[[#This Row],[From]],woodstock[#All],5,FALSE)</f>
        <v>Global</v>
      </c>
      <c r="H520" s="151" t="str">
        <f>VLOOKUP(woodflow[[#This Row],[From]],woodstock[#All],7,FALSE)</f>
        <v>65</v>
      </c>
      <c r="I520" s="151" t="str">
        <f>VLOOKUP(woodflow[[#This Row],[to]],woodstock[#All],7,FALSE)</f>
        <v>19</v>
      </c>
      <c r="J520" s="151" t="str">
        <f>VLOOKUP(woodflow[[#This Row],[From]],woodstock[#All],8,FALSE)</f>
        <v>0</v>
      </c>
      <c r="K520" s="151" t="str">
        <f>VLOOKUP(woodflow[[#This Row],[to]],woodstock[#All],8,FALSE)</f>
        <v>0</v>
      </c>
      <c r="L520" s="152" t="str">
        <f>VLOOKUP(woodflow[[#This Row],[From]],woodstock[#All],9,FALSE)</f>
        <v>nan</v>
      </c>
      <c r="M520" s="152" t="str">
        <f>VLOOKUP(woodflow[[#This Row],[to]],woodstock[#All],9,FALSE)</f>
        <v>nan</v>
      </c>
      <c r="N520" s="157">
        <f>'faostat-data'!Q55</f>
        <v>0</v>
      </c>
      <c r="O520" s="148" t="s">
        <v>921</v>
      </c>
      <c r="P520" s="148"/>
      <c r="Q520" s="148"/>
    </row>
    <row r="521" spans="1:17" x14ac:dyDescent="0.3">
      <c r="A521" s="5" t="str">
        <f>CONCATENATE("F",IF(B521&lt;&gt;"",COUNTA($B$2:B521),""))</f>
        <v>F</v>
      </c>
      <c r="B521" s="148"/>
      <c r="C521" s="148"/>
      <c r="D521" s="149"/>
      <c r="E521" s="149"/>
      <c r="F521" s="148"/>
      <c r="G521" s="5"/>
      <c r="H521" s="151"/>
      <c r="I521" s="151"/>
      <c r="J521" s="151"/>
      <c r="K521" s="151"/>
      <c r="L521" s="152"/>
      <c r="M521" s="152"/>
      <c r="N521" s="157"/>
      <c r="O521" s="148"/>
      <c r="P521" s="148"/>
      <c r="Q521" s="148"/>
    </row>
    <row r="522" spans="1:17" x14ac:dyDescent="0.3">
      <c r="A522" s="5" t="str">
        <f>CONCATENATE("F",IF(B522&lt;&gt;"",COUNTA($B$2:B522),""))</f>
        <v>F</v>
      </c>
      <c r="B522" s="148"/>
      <c r="C522" s="5"/>
      <c r="D522" s="149"/>
      <c r="E522" s="149"/>
      <c r="F522" s="148"/>
      <c r="G522" s="5"/>
      <c r="H522" s="151"/>
      <c r="I522" s="151"/>
      <c r="J522" s="151"/>
      <c r="K522" s="151"/>
      <c r="L522" s="152"/>
      <c r="M522" s="152"/>
      <c r="N522" s="157"/>
      <c r="O522" s="148"/>
      <c r="P522" s="148"/>
      <c r="Q522" s="148"/>
    </row>
    <row r="523" spans="1:17" x14ac:dyDescent="0.3">
      <c r="A523" s="5" t="str">
        <f>CONCATENATE("F",IF(B523&lt;&gt;"",COUNTA($B$2:B523),""))</f>
        <v>F328</v>
      </c>
      <c r="B523" s="5" t="s">
        <v>335</v>
      </c>
      <c r="C523" s="5" t="s">
        <v>49</v>
      </c>
      <c r="D52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2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3" s="148">
        <f>VLOOKUP(woodflow[[#This Row],[From]],woodstock[#All],4,FALSE)</f>
        <v>2021</v>
      </c>
      <c r="G523" s="5" t="str">
        <f>VLOOKUP(woodflow[[#This Row],[From]],woodstock[#All],5,FALSE)</f>
        <v>Global</v>
      </c>
      <c r="H523" s="151" t="str">
        <f>VLOOKUP(woodflow[[#This Row],[From]],woodstock[#All],7,FALSE)</f>
        <v>65</v>
      </c>
      <c r="I523" s="151" t="str">
        <f>VLOOKUP(woodflow[[#This Row],[to]],woodstock[#All],7,FALSE)</f>
        <v>20</v>
      </c>
      <c r="J523" s="151" t="str">
        <f>VLOOKUP(woodflow[[#This Row],[From]],woodstock[#All],8,FALSE)</f>
        <v>0</v>
      </c>
      <c r="K523" s="151" t="str">
        <f>VLOOKUP(woodflow[[#This Row],[to]],woodstock[#All],8,FALSE)</f>
        <v>0</v>
      </c>
      <c r="L523" s="152" t="str">
        <f>VLOOKUP(woodflow[[#This Row],[From]],woodstock[#All],9,FALSE)</f>
        <v>nan</v>
      </c>
      <c r="M523" s="152" t="str">
        <f>VLOOKUP(woodflow[[#This Row],[to]],woodstock[#All],9,FALSE)</f>
        <v>nan</v>
      </c>
      <c r="N523" s="157">
        <f>'faostat-data'!Q58</f>
        <v>0</v>
      </c>
      <c r="O523" s="148" t="s">
        <v>921</v>
      </c>
      <c r="P523" s="148"/>
      <c r="Q523" s="148"/>
    </row>
    <row r="524" spans="1:17" x14ac:dyDescent="0.3">
      <c r="A524" s="5" t="str">
        <f>CONCATENATE("F",IF(B524&lt;&gt;"",COUNTA($B$2:B524),""))</f>
        <v>F</v>
      </c>
      <c r="B524" s="148"/>
      <c r="C524" s="148"/>
      <c r="D524" s="149"/>
      <c r="E524" s="149"/>
      <c r="F524" s="148"/>
      <c r="G524" s="5"/>
      <c r="H524" s="151"/>
      <c r="I524" s="151"/>
      <c r="J524" s="151"/>
      <c r="K524" s="151"/>
      <c r="L524" s="152"/>
      <c r="M524" s="152"/>
      <c r="N524" s="157"/>
      <c r="O524" s="148"/>
      <c r="P524" s="148"/>
      <c r="Q524" s="155"/>
    </row>
    <row r="525" spans="1:17" x14ac:dyDescent="0.3">
      <c r="A525" s="5" t="str">
        <f>CONCATENATE("F",IF(B525&lt;&gt;"",COUNTA($B$2:B525),""))</f>
        <v>F</v>
      </c>
      <c r="B525" s="148"/>
      <c r="C525" s="5"/>
      <c r="D525" s="149"/>
      <c r="E525" s="149"/>
      <c r="F525" s="148"/>
      <c r="G525" s="5"/>
      <c r="H525" s="151"/>
      <c r="I525" s="151"/>
      <c r="J525" s="151"/>
      <c r="K525" s="151"/>
      <c r="L525" s="152"/>
      <c r="M525" s="152"/>
      <c r="N525" s="157"/>
      <c r="O525" s="148"/>
      <c r="P525" s="148"/>
      <c r="Q525" s="148"/>
    </row>
    <row r="526" spans="1:17" x14ac:dyDescent="0.3">
      <c r="A526" s="5" t="str">
        <f>CONCATENATE("F",IF(B526&lt;&gt;"",COUNTA($B$2:B526),""))</f>
        <v>F329</v>
      </c>
      <c r="B526" s="5" t="s">
        <v>335</v>
      </c>
      <c r="C526" s="5" t="s">
        <v>52</v>
      </c>
      <c r="D52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2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6" s="148">
        <f>VLOOKUP(woodflow[[#This Row],[From]],woodstock[#All],4,FALSE)</f>
        <v>2021</v>
      </c>
      <c r="G526" s="5" t="str">
        <f>VLOOKUP(woodflow[[#This Row],[From]],woodstock[#All],5,FALSE)</f>
        <v>Global</v>
      </c>
      <c r="H526" s="151" t="str">
        <f>VLOOKUP(woodflow[[#This Row],[From]],woodstock[#All],7,FALSE)</f>
        <v>65</v>
      </c>
      <c r="I526" s="151" t="str">
        <f>VLOOKUP(woodflow[[#This Row],[to]],woodstock[#All],7,FALSE)</f>
        <v>11</v>
      </c>
      <c r="J526" s="151" t="str">
        <f>VLOOKUP(woodflow[[#This Row],[From]],woodstock[#All],8,FALSE)</f>
        <v>0</v>
      </c>
      <c r="K526" s="151" t="str">
        <f>VLOOKUP(woodflow[[#This Row],[to]],woodstock[#All],8,FALSE)</f>
        <v>1</v>
      </c>
      <c r="L526" s="152" t="str">
        <f>VLOOKUP(woodflow[[#This Row],[From]],woodstock[#All],9,FALSE)</f>
        <v>nan</v>
      </c>
      <c r="M526" s="152" t="str">
        <f>VLOOKUP(woodflow[[#This Row],[to]],woodstock[#All],9,FALSE)</f>
        <v>21-22-23-24-25-26</v>
      </c>
      <c r="N526" s="157">
        <f>SUM(N527:N532)</f>
        <v>0</v>
      </c>
      <c r="O526" s="148" t="s">
        <v>921</v>
      </c>
      <c r="P526" s="148"/>
      <c r="Q526" s="148"/>
    </row>
    <row r="527" spans="1:17" x14ac:dyDescent="0.3">
      <c r="A527" s="5" t="str">
        <f>CONCATENATE("F",IF(B527&lt;&gt;"",COUNTA($B$2:B527),""))</f>
        <v>F330</v>
      </c>
      <c r="B527" s="5" t="s">
        <v>335</v>
      </c>
      <c r="C527" s="5" t="s">
        <v>44</v>
      </c>
      <c r="D52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2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7" s="148">
        <f>VLOOKUP(woodflow[[#This Row],[From]],woodstock[#All],4,FALSE)</f>
        <v>2021</v>
      </c>
      <c r="G527" s="5" t="str">
        <f>VLOOKUP(woodflow[[#This Row],[From]],woodstock[#All],5,FALSE)</f>
        <v>Global</v>
      </c>
      <c r="H527" s="151" t="str">
        <f>VLOOKUP(woodflow[[#This Row],[From]],woodstock[#All],7,FALSE)</f>
        <v>65</v>
      </c>
      <c r="I527" s="151" t="str">
        <f>VLOOKUP(woodflow[[#This Row],[to]],woodstock[#All],7,FALSE)</f>
        <v>21</v>
      </c>
      <c r="J527" s="151" t="str">
        <f>VLOOKUP(woodflow[[#This Row],[From]],woodstock[#All],8,FALSE)</f>
        <v>0</v>
      </c>
      <c r="K527" s="151" t="str">
        <f>VLOOKUP(woodflow[[#This Row],[to]],woodstock[#All],8,FALSE)</f>
        <v>0</v>
      </c>
      <c r="L527" s="152" t="str">
        <f>VLOOKUP(woodflow[[#This Row],[From]],woodstock[#All],9,FALSE)</f>
        <v>nan</v>
      </c>
      <c r="M527" s="152" t="str">
        <f>VLOOKUP(woodflow[[#This Row],[to]],woodstock[#All],9,FALSE)</f>
        <v>nan</v>
      </c>
      <c r="N527" s="157">
        <f>'faostat-data'!Q61</f>
        <v>0</v>
      </c>
      <c r="O527" s="148" t="s">
        <v>921</v>
      </c>
      <c r="P527" s="148"/>
      <c r="Q527" s="148"/>
    </row>
    <row r="528" spans="1:17" x14ac:dyDescent="0.3">
      <c r="A528" s="5" t="str">
        <f>CONCATENATE("F",IF(B528&lt;&gt;"",COUNTA($B$2:B528),""))</f>
        <v>F331</v>
      </c>
      <c r="B528" s="5" t="s">
        <v>335</v>
      </c>
      <c r="C528" s="5" t="s">
        <v>45</v>
      </c>
      <c r="D52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2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8" s="148">
        <f>VLOOKUP(woodflow[[#This Row],[From]],woodstock[#All],4,FALSE)</f>
        <v>2021</v>
      </c>
      <c r="G528" s="5" t="str">
        <f>VLOOKUP(woodflow[[#This Row],[From]],woodstock[#All],5,FALSE)</f>
        <v>Global</v>
      </c>
      <c r="H528" s="151" t="str">
        <f>VLOOKUP(woodflow[[#This Row],[From]],woodstock[#All],7,FALSE)</f>
        <v>65</v>
      </c>
      <c r="I528" s="151" t="str">
        <f>VLOOKUP(woodflow[[#This Row],[to]],woodstock[#All],7,FALSE)</f>
        <v>22</v>
      </c>
      <c r="J528" s="151" t="str">
        <f>VLOOKUP(woodflow[[#This Row],[From]],woodstock[#All],8,FALSE)</f>
        <v>0</v>
      </c>
      <c r="K528" s="151" t="str">
        <f>VLOOKUP(woodflow[[#This Row],[to]],woodstock[#All],8,FALSE)</f>
        <v>0</v>
      </c>
      <c r="L528" s="152" t="str">
        <f>VLOOKUP(woodflow[[#This Row],[From]],woodstock[#All],9,FALSE)</f>
        <v>nan</v>
      </c>
      <c r="M528" s="152" t="str">
        <f>VLOOKUP(woodflow[[#This Row],[to]],woodstock[#All],9,FALSE)</f>
        <v>nan</v>
      </c>
      <c r="N528" s="157">
        <f>'faostat-data'!Q67</f>
        <v>0</v>
      </c>
      <c r="O528" s="148" t="s">
        <v>921</v>
      </c>
      <c r="P528" s="148"/>
      <c r="Q528" s="148"/>
    </row>
    <row r="529" spans="1:17" x14ac:dyDescent="0.3">
      <c r="A529" s="5" t="str">
        <f>CONCATENATE("F",IF(B529&lt;&gt;"",COUNTA($B$2:B529),""))</f>
        <v>F332</v>
      </c>
      <c r="B529" s="5" t="s">
        <v>335</v>
      </c>
      <c r="C529" s="5" t="s">
        <v>76</v>
      </c>
      <c r="D52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2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29" s="148">
        <f>VLOOKUP(woodflow[[#This Row],[From]],woodstock[#All],4,FALSE)</f>
        <v>2021</v>
      </c>
      <c r="G529" s="5" t="str">
        <f>VLOOKUP(woodflow[[#This Row],[From]],woodstock[#All],5,FALSE)</f>
        <v>Global</v>
      </c>
      <c r="H529" s="151" t="str">
        <f>VLOOKUP(woodflow[[#This Row],[From]],woodstock[#All],7,FALSE)</f>
        <v>65</v>
      </c>
      <c r="I529" s="151" t="str">
        <f>VLOOKUP(woodflow[[#This Row],[to]],woodstock[#All],7,FALSE)</f>
        <v>23</v>
      </c>
      <c r="J529" s="151" t="str">
        <f>VLOOKUP(woodflow[[#This Row],[From]],woodstock[#All],8,FALSE)</f>
        <v>0</v>
      </c>
      <c r="K529" s="151" t="str">
        <f>VLOOKUP(woodflow[[#This Row],[to]],woodstock[#All],8,FALSE)</f>
        <v>0</v>
      </c>
      <c r="L529" s="152" t="str">
        <f>VLOOKUP(woodflow[[#This Row],[From]],woodstock[#All],9,FALSE)</f>
        <v>nan</v>
      </c>
      <c r="M529" s="152" t="str">
        <f>VLOOKUP(woodflow[[#This Row],[to]],woodstock[#All],9,FALSE)</f>
        <v>nan</v>
      </c>
      <c r="N529" s="157">
        <f>'faostat-data'!Q70</f>
        <v>0</v>
      </c>
      <c r="O529" s="148" t="s">
        <v>921</v>
      </c>
      <c r="P529" s="148"/>
      <c r="Q529" s="148"/>
    </row>
    <row r="530" spans="1:17" x14ac:dyDescent="0.3">
      <c r="A530" s="5" t="str">
        <f>CONCATENATE("F",IF(B530&lt;&gt;"",COUNTA($B$2:B530),""))</f>
        <v>F333</v>
      </c>
      <c r="B530" s="5" t="s">
        <v>335</v>
      </c>
      <c r="C530" s="5" t="s">
        <v>176</v>
      </c>
      <c r="D53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3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0" s="148">
        <f>VLOOKUP(woodflow[[#This Row],[From]],woodstock[#All],4,FALSE)</f>
        <v>2021</v>
      </c>
      <c r="G530" s="5" t="str">
        <f>VLOOKUP(woodflow[[#This Row],[From]],woodstock[#All],5,FALSE)</f>
        <v>Global</v>
      </c>
      <c r="H530" s="151" t="str">
        <f>VLOOKUP(woodflow[[#This Row],[From]],woodstock[#All],7,FALSE)</f>
        <v>65</v>
      </c>
      <c r="I530" s="151" t="str">
        <f>VLOOKUP(woodflow[[#This Row],[to]],woodstock[#All],7,FALSE)</f>
        <v>24</v>
      </c>
      <c r="J530" s="151" t="str">
        <f>VLOOKUP(woodflow[[#This Row],[From]],woodstock[#All],8,FALSE)</f>
        <v>0</v>
      </c>
      <c r="K530" s="151" t="str">
        <f>VLOOKUP(woodflow[[#This Row],[to]],woodstock[#All],8,FALSE)</f>
        <v>0</v>
      </c>
      <c r="L530" s="152" t="str">
        <f>VLOOKUP(woodflow[[#This Row],[From]],woodstock[#All],9,FALSE)</f>
        <v>nan</v>
      </c>
      <c r="M530" s="152" t="str">
        <f>VLOOKUP(woodflow[[#This Row],[to]],woodstock[#All],9,FALSE)</f>
        <v>nan</v>
      </c>
      <c r="N530" s="157">
        <f>'faostat-data'!Q73</f>
        <v>0</v>
      </c>
      <c r="O530" s="148" t="s">
        <v>921</v>
      </c>
      <c r="P530" s="148"/>
      <c r="Q530" s="148"/>
    </row>
    <row r="531" spans="1:17" x14ac:dyDescent="0.3">
      <c r="A531" s="5" t="str">
        <f>CONCATENATE("F",IF(B531&lt;&gt;"",COUNTA($B$2:B531),""))</f>
        <v>F334</v>
      </c>
      <c r="B531" s="5" t="s">
        <v>335</v>
      </c>
      <c r="C531" s="5" t="s">
        <v>205</v>
      </c>
      <c r="D53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3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1" s="148">
        <f>VLOOKUP(woodflow[[#This Row],[From]],woodstock[#All],4,FALSE)</f>
        <v>2021</v>
      </c>
      <c r="G531" s="5" t="str">
        <f>VLOOKUP(woodflow[[#This Row],[From]],woodstock[#All],5,FALSE)</f>
        <v>Global</v>
      </c>
      <c r="H531" s="151" t="str">
        <f>VLOOKUP(woodflow[[#This Row],[From]],woodstock[#All],7,FALSE)</f>
        <v>65</v>
      </c>
      <c r="I531" s="151" t="str">
        <f>VLOOKUP(woodflow[[#This Row],[to]],woodstock[#All],7,FALSE)</f>
        <v>25</v>
      </c>
      <c r="J531" s="151" t="str">
        <f>VLOOKUP(woodflow[[#This Row],[From]],woodstock[#All],8,FALSE)</f>
        <v>0</v>
      </c>
      <c r="K531" s="151" t="str">
        <f>VLOOKUP(woodflow[[#This Row],[to]],woodstock[#All],8,FALSE)</f>
        <v>0</v>
      </c>
      <c r="L531" s="152" t="str">
        <f>VLOOKUP(woodflow[[#This Row],[From]],woodstock[#All],9,FALSE)</f>
        <v>nan</v>
      </c>
      <c r="M531" s="152" t="str">
        <f>VLOOKUP(woodflow[[#This Row],[to]],woodstock[#All],9,FALSE)</f>
        <v>nan</v>
      </c>
      <c r="N531" s="157">
        <f>'faostat-data'!Q76</f>
        <v>0</v>
      </c>
      <c r="O531" s="148" t="s">
        <v>921</v>
      </c>
      <c r="P531" s="148"/>
      <c r="Q531" s="148"/>
    </row>
    <row r="532" spans="1:17" x14ac:dyDescent="0.3">
      <c r="A532" s="5" t="str">
        <f>CONCATENATE("F",IF(B532&lt;&gt;"",COUNTA($B$2:B532),""))</f>
        <v>F335</v>
      </c>
      <c r="B532" s="5" t="s">
        <v>335</v>
      </c>
      <c r="C532" s="5" t="s">
        <v>75</v>
      </c>
      <c r="D53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3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2" s="148">
        <f>VLOOKUP(woodflow[[#This Row],[From]],woodstock[#All],4,FALSE)</f>
        <v>2021</v>
      </c>
      <c r="G532" s="5" t="str">
        <f>VLOOKUP(woodflow[[#This Row],[From]],woodstock[#All],5,FALSE)</f>
        <v>Global</v>
      </c>
      <c r="H532" s="151" t="str">
        <f>VLOOKUP(woodflow[[#This Row],[From]],woodstock[#All],7,FALSE)</f>
        <v>65</v>
      </c>
      <c r="I532" s="151" t="str">
        <f>VLOOKUP(woodflow[[#This Row],[to]],woodstock[#All],7,FALSE)</f>
        <v>26</v>
      </c>
      <c r="J532" s="151" t="str">
        <f>VLOOKUP(woodflow[[#This Row],[From]],woodstock[#All],8,FALSE)</f>
        <v>0</v>
      </c>
      <c r="K532" s="151" t="str">
        <f>VLOOKUP(woodflow[[#This Row],[to]],woodstock[#All],8,FALSE)</f>
        <v>0</v>
      </c>
      <c r="L532" s="152" t="str">
        <f>VLOOKUP(woodflow[[#This Row],[From]],woodstock[#All],9,FALSE)</f>
        <v>nan</v>
      </c>
      <c r="M532" s="152" t="str">
        <f>VLOOKUP(woodflow[[#This Row],[to]],woodstock[#All],9,FALSE)</f>
        <v>nan</v>
      </c>
      <c r="N532" s="157">
        <f>'faostat-data'!Q79</f>
        <v>0</v>
      </c>
      <c r="O532" s="148" t="s">
        <v>921</v>
      </c>
      <c r="P532" s="148"/>
      <c r="Q532" s="148"/>
    </row>
    <row r="533" spans="1:17" x14ac:dyDescent="0.3">
      <c r="A533" s="5" t="str">
        <f>CONCATENATE("F",IF(B533&lt;&gt;"",COUNTA($B$2:B533),""))</f>
        <v>F</v>
      </c>
      <c r="B533" s="148"/>
      <c r="C533" s="148"/>
      <c r="D533" s="149"/>
      <c r="E533" s="149"/>
      <c r="F533" s="148"/>
      <c r="G533" s="5"/>
      <c r="H533" s="151"/>
      <c r="I533" s="151"/>
      <c r="J533" s="151"/>
      <c r="K533" s="151"/>
      <c r="L533" s="152"/>
      <c r="M533" s="152"/>
      <c r="N533" s="157"/>
      <c r="O533" s="148"/>
      <c r="P533" s="148"/>
      <c r="Q533" s="148"/>
    </row>
    <row r="534" spans="1:17" x14ac:dyDescent="0.3">
      <c r="A534" s="5" t="str">
        <f>CONCATENATE("F",IF(B534&lt;&gt;"",COUNTA($B$2:B534),""))</f>
        <v>F</v>
      </c>
      <c r="B534" s="148"/>
      <c r="C534" s="5"/>
      <c r="D534" s="149"/>
      <c r="E534" s="149"/>
      <c r="F534" s="148"/>
      <c r="G534" s="5"/>
      <c r="H534" s="151"/>
      <c r="I534" s="151"/>
      <c r="J534" s="151"/>
      <c r="K534" s="151"/>
      <c r="L534" s="152"/>
      <c r="M534" s="152"/>
      <c r="N534" s="157"/>
      <c r="O534" s="148"/>
      <c r="P534" s="148"/>
      <c r="Q534" s="148"/>
    </row>
    <row r="535" spans="1:17" x14ac:dyDescent="0.3">
      <c r="A535" s="5" t="str">
        <f>CONCATENATE("F",IF(B535&lt;&gt;"",COUNTA($B$2:B535),""))</f>
        <v>F336</v>
      </c>
      <c r="B535" s="5" t="s">
        <v>335</v>
      </c>
      <c r="C535" s="5" t="s">
        <v>42</v>
      </c>
      <c r="D53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3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5" s="148">
        <f>VLOOKUP(woodflow[[#This Row],[From]],woodstock[#All],4,FALSE)</f>
        <v>2021</v>
      </c>
      <c r="G535" s="5" t="str">
        <f>VLOOKUP(woodflow[[#This Row],[From]],woodstock[#All],5,FALSE)</f>
        <v>Global</v>
      </c>
      <c r="H535" s="151" t="str">
        <f>VLOOKUP(woodflow[[#This Row],[From]],woodstock[#All],7,FALSE)</f>
        <v>65</v>
      </c>
      <c r="I535" s="151" t="str">
        <f>VLOOKUP(woodflow[[#This Row],[to]],woodstock[#All],7,FALSE)</f>
        <v>13</v>
      </c>
      <c r="J535" s="151" t="str">
        <f>VLOOKUP(woodflow[[#This Row],[From]],woodstock[#All],8,FALSE)</f>
        <v>0</v>
      </c>
      <c r="K535" s="151" t="str">
        <f>VLOOKUP(woodflow[[#This Row],[to]],woodstock[#All],8,FALSE)</f>
        <v>1</v>
      </c>
      <c r="L535" s="152" t="str">
        <f>VLOOKUP(woodflow[[#This Row],[From]],woodstock[#All],9,FALSE)</f>
        <v>nan</v>
      </c>
      <c r="M535" s="152" t="str">
        <f>VLOOKUP(woodflow[[#This Row],[to]],woodstock[#All],9,FALSE)</f>
        <v>27-28-29-30</v>
      </c>
      <c r="N535" s="157">
        <f>SUM(N536:N539)</f>
        <v>0</v>
      </c>
      <c r="O535" s="148" t="s">
        <v>921</v>
      </c>
      <c r="P535" s="148"/>
      <c r="Q535" s="148"/>
    </row>
    <row r="536" spans="1:17" x14ac:dyDescent="0.3">
      <c r="A536" s="5" t="str">
        <f>CONCATENATE("F",IF(B536&lt;&gt;"",COUNTA($B$2:B536),""))</f>
        <v>F337</v>
      </c>
      <c r="B536" s="5" t="s">
        <v>335</v>
      </c>
      <c r="C536" s="5" t="s">
        <v>70</v>
      </c>
      <c r="D53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3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6" s="148">
        <f>VLOOKUP(woodflow[[#This Row],[From]],woodstock[#All],4,FALSE)</f>
        <v>2021</v>
      </c>
      <c r="G536" s="5" t="str">
        <f>VLOOKUP(woodflow[[#This Row],[From]],woodstock[#All],5,FALSE)</f>
        <v>Global</v>
      </c>
      <c r="H536" s="151" t="str">
        <f>VLOOKUP(woodflow[[#This Row],[From]],woodstock[#All],7,FALSE)</f>
        <v>65</v>
      </c>
      <c r="I536" s="151" t="str">
        <f>VLOOKUP(woodflow[[#This Row],[to]],woodstock[#All],7,FALSE)</f>
        <v>27</v>
      </c>
      <c r="J536" s="151" t="str">
        <f>VLOOKUP(woodflow[[#This Row],[From]],woodstock[#All],8,FALSE)</f>
        <v>0</v>
      </c>
      <c r="K536" s="151" t="str">
        <f>VLOOKUP(woodflow[[#This Row],[to]],woodstock[#All],8,FALSE)</f>
        <v>0</v>
      </c>
      <c r="L536" s="152" t="str">
        <f>VLOOKUP(woodflow[[#This Row],[From]],woodstock[#All],9,FALSE)</f>
        <v>nan</v>
      </c>
      <c r="M536" s="152" t="str">
        <f>VLOOKUP(woodflow[[#This Row],[to]],woodstock[#All],9,FALSE)</f>
        <v>nan</v>
      </c>
      <c r="N536" s="157">
        <f>'faostat-data'!Q85</f>
        <v>0</v>
      </c>
      <c r="O536" s="148" t="s">
        <v>921</v>
      </c>
      <c r="P536" s="148"/>
      <c r="Q536" s="148"/>
    </row>
    <row r="537" spans="1:17" x14ac:dyDescent="0.3">
      <c r="A537" s="5" t="str">
        <f>CONCATENATE("F",IF(B537&lt;&gt;"",COUNTA($B$2:B537),""))</f>
        <v>F338</v>
      </c>
      <c r="B537" s="5" t="s">
        <v>335</v>
      </c>
      <c r="C537" s="5" t="s">
        <v>71</v>
      </c>
      <c r="D53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3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7" s="148">
        <f>VLOOKUP(woodflow[[#This Row],[From]],woodstock[#All],4,FALSE)</f>
        <v>2021</v>
      </c>
      <c r="G537" s="5" t="str">
        <f>VLOOKUP(woodflow[[#This Row],[From]],woodstock[#All],5,FALSE)</f>
        <v>Global</v>
      </c>
      <c r="H537" s="151" t="str">
        <f>VLOOKUP(woodflow[[#This Row],[From]],woodstock[#All],7,FALSE)</f>
        <v>65</v>
      </c>
      <c r="I537" s="151" t="str">
        <f>VLOOKUP(woodflow[[#This Row],[to]],woodstock[#All],7,FALSE)</f>
        <v>28</v>
      </c>
      <c r="J537" s="151" t="str">
        <f>VLOOKUP(woodflow[[#This Row],[From]],woodstock[#All],8,FALSE)</f>
        <v>0</v>
      </c>
      <c r="K537" s="151" t="str">
        <f>VLOOKUP(woodflow[[#This Row],[to]],woodstock[#All],8,FALSE)</f>
        <v>0</v>
      </c>
      <c r="L537" s="152" t="str">
        <f>VLOOKUP(woodflow[[#This Row],[From]],woodstock[#All],9,FALSE)</f>
        <v>nan</v>
      </c>
      <c r="M537" s="152" t="str">
        <f>VLOOKUP(woodflow[[#This Row],[to]],woodstock[#All],9,FALSE)</f>
        <v>nan</v>
      </c>
      <c r="N537" s="157">
        <f>'faostat-data'!Q94</f>
        <v>0</v>
      </c>
      <c r="O537" s="148" t="s">
        <v>921</v>
      </c>
      <c r="P537" s="148"/>
      <c r="Q537" s="148"/>
    </row>
    <row r="538" spans="1:17" x14ac:dyDescent="0.3">
      <c r="A538" s="5" t="str">
        <f>CONCATENATE("F",IF(B538&lt;&gt;"",COUNTA($B$2:B538),""))</f>
        <v>F339</v>
      </c>
      <c r="B538" s="5" t="s">
        <v>335</v>
      </c>
      <c r="C538" s="5" t="s">
        <v>72</v>
      </c>
      <c r="D53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3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8" s="148">
        <f>VLOOKUP(woodflow[[#This Row],[From]],woodstock[#All],4,FALSE)</f>
        <v>2021</v>
      </c>
      <c r="G538" s="5" t="str">
        <f>VLOOKUP(woodflow[[#This Row],[From]],woodstock[#All],5,FALSE)</f>
        <v>Global</v>
      </c>
      <c r="H538" s="151" t="str">
        <f>VLOOKUP(woodflow[[#This Row],[From]],woodstock[#All],7,FALSE)</f>
        <v>65</v>
      </c>
      <c r="I538" s="151" t="str">
        <f>VLOOKUP(woodflow[[#This Row],[to]],woodstock[#All],7,FALSE)</f>
        <v>29</v>
      </c>
      <c r="J538" s="151" t="str">
        <f>VLOOKUP(woodflow[[#This Row],[From]],woodstock[#All],8,FALSE)</f>
        <v>0</v>
      </c>
      <c r="K538" s="151" t="str">
        <f>VLOOKUP(woodflow[[#This Row],[to]],woodstock[#All],8,FALSE)</f>
        <v>0</v>
      </c>
      <c r="L538" s="152" t="str">
        <f>VLOOKUP(woodflow[[#This Row],[From]],woodstock[#All],9,FALSE)</f>
        <v>nan</v>
      </c>
      <c r="M538" s="152" t="str">
        <f>VLOOKUP(woodflow[[#This Row],[to]],woodstock[#All],9,FALSE)</f>
        <v>nan</v>
      </c>
      <c r="N538" s="157">
        <f>'faostat-data'!Q112</f>
        <v>0</v>
      </c>
      <c r="O538" s="148" t="s">
        <v>921</v>
      </c>
      <c r="P538" s="148"/>
      <c r="Q538" s="148"/>
    </row>
    <row r="539" spans="1:17" x14ac:dyDescent="0.3">
      <c r="A539" s="5" t="str">
        <f>CONCATENATE("F",IF(B539&lt;&gt;"",COUNTA($B$2:B539),""))</f>
        <v>F340</v>
      </c>
      <c r="B539" s="5" t="s">
        <v>335</v>
      </c>
      <c r="C539" s="5" t="s">
        <v>77</v>
      </c>
      <c r="D53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3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39" s="148">
        <f>VLOOKUP(woodflow[[#This Row],[From]],woodstock[#All],4,FALSE)</f>
        <v>2021</v>
      </c>
      <c r="G539" s="5" t="str">
        <f>VLOOKUP(woodflow[[#This Row],[From]],woodstock[#All],5,FALSE)</f>
        <v>Global</v>
      </c>
      <c r="H539" s="151" t="str">
        <f>VLOOKUP(woodflow[[#This Row],[From]],woodstock[#All],7,FALSE)</f>
        <v>65</v>
      </c>
      <c r="I539" s="151" t="str">
        <f>VLOOKUP(woodflow[[#This Row],[to]],woodstock[#All],7,FALSE)</f>
        <v>30</v>
      </c>
      <c r="J539" s="151" t="str">
        <f>VLOOKUP(woodflow[[#This Row],[From]],woodstock[#All],8,FALSE)</f>
        <v>0</v>
      </c>
      <c r="K539" s="151" t="str">
        <f>VLOOKUP(woodflow[[#This Row],[to]],woodstock[#All],8,FALSE)</f>
        <v>0</v>
      </c>
      <c r="L539" s="152" t="str">
        <f>VLOOKUP(woodflow[[#This Row],[From]],woodstock[#All],9,FALSE)</f>
        <v>nan</v>
      </c>
      <c r="M539" s="152" t="str">
        <f>VLOOKUP(woodflow[[#This Row],[to]],woodstock[#All],9,FALSE)</f>
        <v>nan</v>
      </c>
      <c r="N539" s="157">
        <f>'faostat-data'!Q118</f>
        <v>0</v>
      </c>
      <c r="O539" s="148" t="s">
        <v>921</v>
      </c>
      <c r="P539" s="148"/>
      <c r="Q539" s="148"/>
    </row>
    <row r="540" spans="1:17" x14ac:dyDescent="0.3">
      <c r="A540" s="5" t="str">
        <f>CONCATENATE("F",IF(B540&lt;&gt;"",COUNTA($B$2:B540),""))</f>
        <v>F</v>
      </c>
      <c r="B540" s="148"/>
      <c r="C540" s="148"/>
      <c r="D540" s="149"/>
      <c r="E540" s="149"/>
      <c r="F540" s="148"/>
      <c r="G540" s="5"/>
      <c r="H540" s="151"/>
      <c r="I540" s="151"/>
      <c r="J540" s="151"/>
      <c r="K540" s="151"/>
      <c r="L540" s="152"/>
      <c r="M540" s="152"/>
      <c r="N540" s="157"/>
      <c r="O540" s="148"/>
      <c r="P540" s="148"/>
      <c r="Q540" s="148"/>
    </row>
    <row r="541" spans="1:17" x14ac:dyDescent="0.3">
      <c r="A541" s="5" t="str">
        <f>CONCATENATE("F",IF(B541&lt;&gt;"",COUNTA($B$2:B541),""))</f>
        <v>F</v>
      </c>
      <c r="B541" s="148"/>
      <c r="C541" s="5"/>
      <c r="D541" s="149"/>
      <c r="E541" s="149"/>
      <c r="F541" s="148"/>
      <c r="G541" s="5"/>
      <c r="H541" s="151"/>
      <c r="I541" s="151"/>
      <c r="J541" s="151"/>
      <c r="K541" s="151"/>
      <c r="L541" s="152"/>
      <c r="M541" s="152"/>
      <c r="N541" s="157"/>
      <c r="O541" s="148"/>
      <c r="P541" s="148"/>
      <c r="Q541" s="148"/>
    </row>
    <row r="542" spans="1:17" x14ac:dyDescent="0.3">
      <c r="A542" s="5" t="str">
        <f>CONCATENATE("F",IF(B542&lt;&gt;"",COUNTA($B$2:B542),""))</f>
        <v>F341</v>
      </c>
      <c r="B542" s="5" t="s">
        <v>335</v>
      </c>
      <c r="C542" s="5" t="s">
        <v>43</v>
      </c>
      <c r="D54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4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2" s="148">
        <f>VLOOKUP(woodflow[[#This Row],[From]],woodstock[#All],4,FALSE)</f>
        <v>2021</v>
      </c>
      <c r="G542" s="5" t="str">
        <f>VLOOKUP(woodflow[[#This Row],[From]],woodstock[#All],5,FALSE)</f>
        <v>Global</v>
      </c>
      <c r="H542" s="151" t="str">
        <f>VLOOKUP(woodflow[[#This Row],[From]],woodstock[#All],7,FALSE)</f>
        <v>65</v>
      </c>
      <c r="I542" s="151" t="str">
        <f>VLOOKUP(woodflow[[#This Row],[to]],woodstock[#All],7,FALSE)</f>
        <v>31</v>
      </c>
      <c r="J542" s="151" t="str">
        <f>VLOOKUP(woodflow[[#This Row],[From]],woodstock[#All],8,FALSE)</f>
        <v>0</v>
      </c>
      <c r="K542" s="151" t="str">
        <f>VLOOKUP(woodflow[[#This Row],[to]],woodstock[#All],8,FALSE)</f>
        <v>0</v>
      </c>
      <c r="L542" s="152" t="str">
        <f>VLOOKUP(woodflow[[#This Row],[From]],woodstock[#All],9,FALSE)</f>
        <v>nan</v>
      </c>
      <c r="M542" s="152" t="str">
        <f>VLOOKUP(woodflow[[#This Row],[to]],woodstock[#All],9,FALSE)</f>
        <v>nan</v>
      </c>
      <c r="N542" s="157">
        <f>'faostat-data'!Q115</f>
        <v>0</v>
      </c>
      <c r="O542" s="148" t="s">
        <v>921</v>
      </c>
      <c r="P542" s="148"/>
      <c r="Q542" s="148"/>
    </row>
    <row r="543" spans="1:17" x14ac:dyDescent="0.3">
      <c r="A543" s="5" t="str">
        <f>CONCATENATE("F",IF(B543&lt;&gt;"",COUNTA($B$2:B543),""))</f>
        <v>F</v>
      </c>
      <c r="B543" s="148"/>
      <c r="C543" s="148"/>
      <c r="D543" s="149"/>
      <c r="E543" s="149"/>
      <c r="F543" s="148"/>
      <c r="G543" s="5"/>
      <c r="H543" s="151"/>
      <c r="I543" s="151"/>
      <c r="J543" s="151"/>
      <c r="K543" s="151"/>
      <c r="L543" s="152"/>
      <c r="M543" s="152"/>
      <c r="N543" s="157"/>
      <c r="O543" s="148"/>
      <c r="P543" s="148"/>
      <c r="Q543" s="148"/>
    </row>
    <row r="544" spans="1:17" x14ac:dyDescent="0.3">
      <c r="A544" s="5" t="str">
        <f>CONCATENATE("F",IF(B544&lt;&gt;"",COUNTA($B$2:B544),""))</f>
        <v>F</v>
      </c>
      <c r="B544" s="148"/>
      <c r="C544" s="5"/>
      <c r="D544" s="149"/>
      <c r="E544" s="149"/>
      <c r="F544" s="148"/>
      <c r="G544" s="5"/>
      <c r="H544" s="151"/>
      <c r="I544" s="151"/>
      <c r="J544" s="151"/>
      <c r="K544" s="151"/>
      <c r="L544" s="152"/>
      <c r="M544" s="152"/>
      <c r="N544" s="157"/>
      <c r="O544" s="148"/>
      <c r="P544" s="148"/>
      <c r="Q544" s="148"/>
    </row>
    <row r="545" spans="1:17" x14ac:dyDescent="0.3">
      <c r="A545" s="5" t="str">
        <f>CONCATENATE("F",IF(B545&lt;&gt;"",COUNTA($B$2:B545),""))</f>
        <v>F342</v>
      </c>
      <c r="B545" s="5" t="s">
        <v>335</v>
      </c>
      <c r="C545" s="5" t="s">
        <v>50</v>
      </c>
      <c r="D54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4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5" s="148">
        <f>VLOOKUP(woodflow[[#This Row],[From]],woodstock[#All],4,FALSE)</f>
        <v>2021</v>
      </c>
      <c r="G545" s="5" t="str">
        <f>VLOOKUP(woodflow[[#This Row],[From]],woodstock[#All],5,FALSE)</f>
        <v>Global</v>
      </c>
      <c r="H545" s="151" t="str">
        <f>VLOOKUP(woodflow[[#This Row],[From]],woodstock[#All],7,FALSE)</f>
        <v>65</v>
      </c>
      <c r="I545" s="151" t="str">
        <f>VLOOKUP(woodflow[[#This Row],[to]],woodstock[#All],7,FALSE)</f>
        <v>14</v>
      </c>
      <c r="J545" s="151" t="str">
        <f>VLOOKUP(woodflow[[#This Row],[From]],woodstock[#All],8,FALSE)</f>
        <v>0</v>
      </c>
      <c r="K545" s="151" t="str">
        <f>VLOOKUP(woodflow[[#This Row],[to]],woodstock[#All],8,FALSE)</f>
        <v>1</v>
      </c>
      <c r="L545" s="152" t="str">
        <f>VLOOKUP(woodflow[[#This Row],[From]],woodstock[#All],9,FALSE)</f>
        <v>nan</v>
      </c>
      <c r="M545" s="152" t="str">
        <f>VLOOKUP(woodflow[[#This Row],[to]],woodstock[#All],9,FALSE)</f>
        <v>32-33-34-35-36</v>
      </c>
      <c r="N545" s="157">
        <f>SUM(N546:N550)</f>
        <v>0</v>
      </c>
      <c r="O545" s="148" t="s">
        <v>921</v>
      </c>
      <c r="P545" s="148"/>
      <c r="Q545" s="148"/>
    </row>
    <row r="546" spans="1:17" x14ac:dyDescent="0.3">
      <c r="A546" s="5" t="str">
        <f>CONCATENATE("F",IF(B546&lt;&gt;"",COUNTA($B$2:B546),""))</f>
        <v>F343</v>
      </c>
      <c r="B546" s="5" t="s">
        <v>335</v>
      </c>
      <c r="C546" s="5" t="s">
        <v>78</v>
      </c>
      <c r="D54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4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6" s="148">
        <f>VLOOKUP(woodflow[[#This Row],[From]],woodstock[#All],4,FALSE)</f>
        <v>2021</v>
      </c>
      <c r="G546" s="5" t="str">
        <f>VLOOKUP(woodflow[[#This Row],[From]],woodstock[#All],5,FALSE)</f>
        <v>Global</v>
      </c>
      <c r="H546" s="151" t="str">
        <f>VLOOKUP(woodflow[[#This Row],[From]],woodstock[#All],7,FALSE)</f>
        <v>65</v>
      </c>
      <c r="I546" s="151" t="str">
        <f>VLOOKUP(woodflow[[#This Row],[to]],woodstock[#All],7,FALSE)</f>
        <v>32</v>
      </c>
      <c r="J546" s="151" t="str">
        <f>VLOOKUP(woodflow[[#This Row],[From]],woodstock[#All],8,FALSE)</f>
        <v>0</v>
      </c>
      <c r="K546" s="151" t="str">
        <f>VLOOKUP(woodflow[[#This Row],[to]],woodstock[#All],8,FALSE)</f>
        <v>0</v>
      </c>
      <c r="L546" s="152" t="str">
        <f>VLOOKUP(woodflow[[#This Row],[From]],woodstock[#All],9,FALSE)</f>
        <v>nan</v>
      </c>
      <c r="M546" s="152" t="str">
        <f>VLOOKUP(woodflow[[#This Row],[to]],woodstock[#All],9,FALSE)</f>
        <v>nan</v>
      </c>
      <c r="N546" s="157">
        <f>'faostat-data'!Q124</f>
        <v>0</v>
      </c>
      <c r="O546" s="148" t="s">
        <v>921</v>
      </c>
      <c r="P546" s="148"/>
      <c r="Q546" s="148"/>
    </row>
    <row r="547" spans="1:17" x14ac:dyDescent="0.3">
      <c r="A547" s="5" t="str">
        <f>CONCATENATE("F",IF(B547&lt;&gt;"",COUNTA($B$2:B547),""))</f>
        <v>F344</v>
      </c>
      <c r="B547" s="5" t="s">
        <v>335</v>
      </c>
      <c r="C547" s="5" t="s">
        <v>79</v>
      </c>
      <c r="D54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4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7" s="148">
        <f>VLOOKUP(woodflow[[#This Row],[From]],woodstock[#All],4,FALSE)</f>
        <v>2021</v>
      </c>
      <c r="G547" s="5" t="str">
        <f>VLOOKUP(woodflow[[#This Row],[From]],woodstock[#All],5,FALSE)</f>
        <v>Global</v>
      </c>
      <c r="H547" s="151" t="str">
        <f>VLOOKUP(woodflow[[#This Row],[From]],woodstock[#All],7,FALSE)</f>
        <v>65</v>
      </c>
      <c r="I547" s="151" t="str">
        <f>VLOOKUP(woodflow[[#This Row],[to]],woodstock[#All],7,FALSE)</f>
        <v>33</v>
      </c>
      <c r="J547" s="151" t="str">
        <f>VLOOKUP(woodflow[[#This Row],[From]],woodstock[#All],8,FALSE)</f>
        <v>0</v>
      </c>
      <c r="K547" s="151" t="str">
        <f>VLOOKUP(woodflow[[#This Row],[to]],woodstock[#All],8,FALSE)</f>
        <v>0</v>
      </c>
      <c r="L547" s="152" t="str">
        <f>VLOOKUP(woodflow[[#This Row],[From]],woodstock[#All],9,FALSE)</f>
        <v>nan</v>
      </c>
      <c r="M547" s="152" t="str">
        <f>VLOOKUP(woodflow[[#This Row],[to]],woodstock[#All],9,FALSE)</f>
        <v>nan</v>
      </c>
      <c r="N547" s="157">
        <f>'faostat-data'!Q127</f>
        <v>0</v>
      </c>
      <c r="O547" s="148" t="s">
        <v>921</v>
      </c>
      <c r="P547" s="148"/>
      <c r="Q547" s="148"/>
    </row>
    <row r="548" spans="1:17" x14ac:dyDescent="0.3">
      <c r="A548" s="5" t="str">
        <f>CONCATENATE("F",IF(B548&lt;&gt;"",COUNTA($B$2:B548),""))</f>
        <v>F345</v>
      </c>
      <c r="B548" s="5" t="s">
        <v>335</v>
      </c>
      <c r="C548" s="5" t="s">
        <v>67</v>
      </c>
      <c r="D54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4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8" s="148">
        <f>VLOOKUP(woodflow[[#This Row],[From]],woodstock[#All],4,FALSE)</f>
        <v>2021</v>
      </c>
      <c r="G548" s="5" t="str">
        <f>VLOOKUP(woodflow[[#This Row],[From]],woodstock[#All],5,FALSE)</f>
        <v>Global</v>
      </c>
      <c r="H548" s="151" t="str">
        <f>VLOOKUP(woodflow[[#This Row],[From]],woodstock[#All],7,FALSE)</f>
        <v>65</v>
      </c>
      <c r="I548" s="151" t="str">
        <f>VLOOKUP(woodflow[[#This Row],[to]],woodstock[#All],7,FALSE)</f>
        <v>34</v>
      </c>
      <c r="J548" s="151" t="str">
        <f>VLOOKUP(woodflow[[#This Row],[From]],woodstock[#All],8,FALSE)</f>
        <v>0</v>
      </c>
      <c r="K548" s="151" t="str">
        <f>VLOOKUP(woodflow[[#This Row],[to]],woodstock[#All],8,FALSE)</f>
        <v>0</v>
      </c>
      <c r="L548" s="152" t="str">
        <f>VLOOKUP(woodflow[[#This Row],[From]],woodstock[#All],9,FALSE)</f>
        <v>nan</v>
      </c>
      <c r="M548" s="152" t="str">
        <f>VLOOKUP(woodflow[[#This Row],[to]],woodstock[#All],9,FALSE)</f>
        <v>nan</v>
      </c>
      <c r="N548" s="157">
        <f>'faostat-data'!Q142</f>
        <v>0</v>
      </c>
      <c r="O548" s="148" t="s">
        <v>921</v>
      </c>
      <c r="P548" s="148"/>
      <c r="Q548" s="148"/>
    </row>
    <row r="549" spans="1:17" x14ac:dyDescent="0.3">
      <c r="A549" s="5" t="str">
        <f>CONCATENATE("F",IF(B549&lt;&gt;"",COUNTA($B$2:B549),""))</f>
        <v>F346</v>
      </c>
      <c r="B549" s="5" t="s">
        <v>335</v>
      </c>
      <c r="C549" s="5" t="s">
        <v>68</v>
      </c>
      <c r="D54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4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49" s="148">
        <f>VLOOKUP(woodflow[[#This Row],[From]],woodstock[#All],4,FALSE)</f>
        <v>2021</v>
      </c>
      <c r="G549" s="5" t="str">
        <f>VLOOKUP(woodflow[[#This Row],[From]],woodstock[#All],5,FALSE)</f>
        <v>Global</v>
      </c>
      <c r="H549" s="151" t="str">
        <f>VLOOKUP(woodflow[[#This Row],[From]],woodstock[#All],7,FALSE)</f>
        <v>65</v>
      </c>
      <c r="I549" s="151" t="str">
        <f>VLOOKUP(woodflow[[#This Row],[to]],woodstock[#All],7,FALSE)</f>
        <v>35</v>
      </c>
      <c r="J549" s="151" t="str">
        <f>VLOOKUP(woodflow[[#This Row],[From]],woodstock[#All],8,FALSE)</f>
        <v>0</v>
      </c>
      <c r="K549" s="151" t="str">
        <f>VLOOKUP(woodflow[[#This Row],[to]],woodstock[#All],8,FALSE)</f>
        <v>0</v>
      </c>
      <c r="L549" s="152" t="str">
        <f>VLOOKUP(woodflow[[#This Row],[From]],woodstock[#All],9,FALSE)</f>
        <v>nan</v>
      </c>
      <c r="M549" s="152" t="str">
        <f>VLOOKUP(woodflow[[#This Row],[to]],woodstock[#All],9,FALSE)</f>
        <v>nan</v>
      </c>
      <c r="N549" s="157">
        <f>'faostat-data'!Q148+'faostat-data'!Q151+'faostat-data'!Q154+'faostat-data'!Q157</f>
        <v>0</v>
      </c>
      <c r="O549" s="148" t="s">
        <v>921</v>
      </c>
      <c r="P549" s="148"/>
      <c r="Q549" s="148"/>
    </row>
    <row r="550" spans="1:17" x14ac:dyDescent="0.3">
      <c r="A550" s="5" t="str">
        <f>CONCATENATE("F",IF(B550&lt;&gt;"",COUNTA($B$2:B550),""))</f>
        <v>F347</v>
      </c>
      <c r="B550" s="5" t="s">
        <v>335</v>
      </c>
      <c r="C550" s="5" t="s">
        <v>69</v>
      </c>
      <c r="D55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0" s="148">
        <f>VLOOKUP(woodflow[[#This Row],[From]],woodstock[#All],4,FALSE)</f>
        <v>2021</v>
      </c>
      <c r="G550" s="5" t="str">
        <f>VLOOKUP(woodflow[[#This Row],[From]],woodstock[#All],5,FALSE)</f>
        <v>Global</v>
      </c>
      <c r="H550" s="151" t="str">
        <f>VLOOKUP(woodflow[[#This Row],[From]],woodstock[#All],7,FALSE)</f>
        <v>65</v>
      </c>
      <c r="I550" s="151" t="str">
        <f>VLOOKUP(woodflow[[#This Row],[to]],woodstock[#All],7,FALSE)</f>
        <v>36</v>
      </c>
      <c r="J550" s="151" t="str">
        <f>VLOOKUP(woodflow[[#This Row],[From]],woodstock[#All],8,FALSE)</f>
        <v>0</v>
      </c>
      <c r="K550" s="151" t="str">
        <f>VLOOKUP(woodflow[[#This Row],[to]],woodstock[#All],8,FALSE)</f>
        <v>0</v>
      </c>
      <c r="L550" s="152" t="str">
        <f>VLOOKUP(woodflow[[#This Row],[From]],woodstock[#All],9,FALSE)</f>
        <v>nan</v>
      </c>
      <c r="M550" s="152" t="str">
        <f>VLOOKUP(woodflow[[#This Row],[to]],woodstock[#All],9,FALSE)</f>
        <v>nan</v>
      </c>
      <c r="N550" s="157">
        <f>+'faostat-data'!Q160</f>
        <v>0</v>
      </c>
      <c r="O550" s="148" t="s">
        <v>921</v>
      </c>
      <c r="P550" s="148"/>
      <c r="Q550" s="148"/>
    </row>
    <row r="551" spans="1:17" x14ac:dyDescent="0.3">
      <c r="A551" s="5" t="str">
        <f>CONCATENATE("F",IF(B551&lt;&gt;"",COUNTA($B$2:B551),""))</f>
        <v>F</v>
      </c>
      <c r="B551" s="148"/>
      <c r="C551" s="148"/>
      <c r="D551" s="149"/>
      <c r="E551" s="149"/>
      <c r="F551" s="148"/>
      <c r="G551" s="5"/>
      <c r="H551" s="151"/>
      <c r="I551" s="151"/>
      <c r="J551" s="151"/>
      <c r="K551" s="151"/>
      <c r="L551" s="152"/>
      <c r="M551" s="152"/>
      <c r="N551" s="157"/>
      <c r="O551" s="148"/>
      <c r="P551" s="148"/>
      <c r="Q551" s="148"/>
    </row>
    <row r="552" spans="1:17" x14ac:dyDescent="0.3">
      <c r="A552" s="5" t="str">
        <f>CONCATENATE("F",IF(B552&lt;&gt;"",COUNTA($B$2:B552),""))</f>
        <v>F</v>
      </c>
      <c r="B552" s="148"/>
      <c r="C552" s="5"/>
      <c r="D552" s="149"/>
      <c r="E552" s="149"/>
      <c r="F552" s="148"/>
      <c r="G552" s="5"/>
      <c r="H552" s="151"/>
      <c r="I552" s="151"/>
      <c r="J552" s="151"/>
      <c r="K552" s="151"/>
      <c r="L552" s="152"/>
      <c r="M552" s="152"/>
      <c r="N552" s="157"/>
      <c r="O552" s="148"/>
      <c r="P552" s="148"/>
      <c r="Q552" s="148"/>
    </row>
    <row r="553" spans="1:17" x14ac:dyDescent="0.3">
      <c r="A553" s="5" t="str">
        <f>CONCATENATE("F",IF(B553&lt;&gt;"",COUNTA($B$2:B553),""))</f>
        <v>F348</v>
      </c>
      <c r="B553" s="5" t="s">
        <v>335</v>
      </c>
      <c r="C553" s="5" t="s">
        <v>51</v>
      </c>
      <c r="D55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3" s="148">
        <f>VLOOKUP(woodflow[[#This Row],[From]],woodstock[#All],4,FALSE)</f>
        <v>2021</v>
      </c>
      <c r="G553" s="5" t="str">
        <f>VLOOKUP(woodflow[[#This Row],[From]],woodstock[#All],5,FALSE)</f>
        <v>Global</v>
      </c>
      <c r="H553" s="151" t="str">
        <f>VLOOKUP(woodflow[[#This Row],[From]],woodstock[#All],7,FALSE)</f>
        <v>65</v>
      </c>
      <c r="I553" s="151" t="str">
        <f>VLOOKUP(woodflow[[#This Row],[to]],woodstock[#All],7,FALSE)</f>
        <v>15</v>
      </c>
      <c r="J553" s="151" t="str">
        <f>VLOOKUP(woodflow[[#This Row],[From]],woodstock[#All],8,FALSE)</f>
        <v>0</v>
      </c>
      <c r="K553" s="151" t="str">
        <f>VLOOKUP(woodflow[[#This Row],[to]],woodstock[#All],8,FALSE)</f>
        <v>1</v>
      </c>
      <c r="L553" s="152" t="str">
        <f>VLOOKUP(woodflow[[#This Row],[From]],woodstock[#All],9,FALSE)</f>
        <v>nan</v>
      </c>
      <c r="M553" s="152" t="str">
        <f>VLOOKUP(woodflow[[#This Row],[to]],woodstock[#All],9,FALSE)</f>
        <v>37-38-39-40-41-42</v>
      </c>
      <c r="N553" s="157">
        <v>0</v>
      </c>
      <c r="O553" s="148" t="s">
        <v>921</v>
      </c>
      <c r="P553" s="148"/>
      <c r="Q553" s="148"/>
    </row>
    <row r="554" spans="1:17" x14ac:dyDescent="0.3">
      <c r="A554" s="5" t="str">
        <f>CONCATENATE("F",IF(B554&lt;&gt;"",COUNTA($B$2:B554),""))</f>
        <v>F349</v>
      </c>
      <c r="B554" s="5" t="s">
        <v>335</v>
      </c>
      <c r="C554" s="5" t="s">
        <v>36</v>
      </c>
      <c r="D55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4" s="148">
        <f>VLOOKUP(woodflow[[#This Row],[From]],woodstock[#All],4,FALSE)</f>
        <v>2021</v>
      </c>
      <c r="G554" s="5" t="str">
        <f>VLOOKUP(woodflow[[#This Row],[From]],woodstock[#All],5,FALSE)</f>
        <v>Global</v>
      </c>
      <c r="H554" s="151" t="str">
        <f>VLOOKUP(woodflow[[#This Row],[From]],woodstock[#All],7,FALSE)</f>
        <v>65</v>
      </c>
      <c r="I554" s="151" t="str">
        <f>VLOOKUP(woodflow[[#This Row],[to]],woodstock[#All],7,FALSE)</f>
        <v>37</v>
      </c>
      <c r="J554" s="151" t="str">
        <f>VLOOKUP(woodflow[[#This Row],[From]],woodstock[#All],8,FALSE)</f>
        <v>0</v>
      </c>
      <c r="K554" s="151" t="str">
        <f>VLOOKUP(woodflow[[#This Row],[to]],woodstock[#All],8,FALSE)</f>
        <v>0</v>
      </c>
      <c r="L554" s="152" t="str">
        <f>VLOOKUP(woodflow[[#This Row],[From]],woodstock[#All],9,FALSE)</f>
        <v>nan</v>
      </c>
      <c r="M554" s="152" t="str">
        <f>VLOOKUP(woodflow[[#This Row],[to]],woodstock[#All],9,FALSE)</f>
        <v>nan</v>
      </c>
      <c r="N554" s="157">
        <v>0</v>
      </c>
      <c r="O554" s="148" t="s">
        <v>921</v>
      </c>
      <c r="P554" s="148"/>
      <c r="Q554" s="148"/>
    </row>
    <row r="555" spans="1:17" x14ac:dyDescent="0.3">
      <c r="A555" s="5" t="str">
        <f>CONCATENATE("F",IF(B555&lt;&gt;"",COUNTA($B$2:B555),""))</f>
        <v>F350</v>
      </c>
      <c r="B555" s="5" t="s">
        <v>335</v>
      </c>
      <c r="C555" s="5" t="s">
        <v>37</v>
      </c>
      <c r="D55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5" s="148">
        <f>VLOOKUP(woodflow[[#This Row],[From]],woodstock[#All],4,FALSE)</f>
        <v>2021</v>
      </c>
      <c r="G555" s="5" t="str">
        <f>VLOOKUP(woodflow[[#This Row],[From]],woodstock[#All],5,FALSE)</f>
        <v>Global</v>
      </c>
      <c r="H555" s="151" t="str">
        <f>VLOOKUP(woodflow[[#This Row],[From]],woodstock[#All],7,FALSE)</f>
        <v>65</v>
      </c>
      <c r="I555" s="151" t="str">
        <f>VLOOKUP(woodflow[[#This Row],[to]],woodstock[#All],7,FALSE)</f>
        <v>38</v>
      </c>
      <c r="J555" s="151" t="str">
        <f>VLOOKUP(woodflow[[#This Row],[From]],woodstock[#All],8,FALSE)</f>
        <v>0</v>
      </c>
      <c r="K555" s="151" t="str">
        <f>VLOOKUP(woodflow[[#This Row],[to]],woodstock[#All],8,FALSE)</f>
        <v>0</v>
      </c>
      <c r="L555" s="152" t="str">
        <f>VLOOKUP(woodflow[[#This Row],[From]],woodstock[#All],9,FALSE)</f>
        <v>nan</v>
      </c>
      <c r="M555" s="152" t="str">
        <f>VLOOKUP(woodflow[[#This Row],[to]],woodstock[#All],9,FALSE)</f>
        <v>nan</v>
      </c>
      <c r="N555" s="157">
        <v>0</v>
      </c>
      <c r="O555" s="148" t="s">
        <v>921</v>
      </c>
      <c r="P555" s="148"/>
      <c r="Q555" s="148"/>
    </row>
    <row r="556" spans="1:17" x14ac:dyDescent="0.3">
      <c r="A556" s="5" t="str">
        <f>CONCATENATE("F",IF(B556&lt;&gt;"",COUNTA($B$2:B556),""))</f>
        <v>F351</v>
      </c>
      <c r="B556" s="5" t="s">
        <v>335</v>
      </c>
      <c r="C556" s="5" t="s">
        <v>39</v>
      </c>
      <c r="D55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6" s="148">
        <f>VLOOKUP(woodflow[[#This Row],[From]],woodstock[#All],4,FALSE)</f>
        <v>2021</v>
      </c>
      <c r="G556" s="5" t="str">
        <f>VLOOKUP(woodflow[[#This Row],[From]],woodstock[#All],5,FALSE)</f>
        <v>Global</v>
      </c>
      <c r="H556" s="151" t="str">
        <f>VLOOKUP(woodflow[[#This Row],[From]],woodstock[#All],7,FALSE)</f>
        <v>65</v>
      </c>
      <c r="I556" s="151" t="str">
        <f>VLOOKUP(woodflow[[#This Row],[to]],woodstock[#All],7,FALSE)</f>
        <v>39</v>
      </c>
      <c r="J556" s="151" t="str">
        <f>VLOOKUP(woodflow[[#This Row],[From]],woodstock[#All],8,FALSE)</f>
        <v>0</v>
      </c>
      <c r="K556" s="151" t="str">
        <f>VLOOKUP(woodflow[[#This Row],[to]],woodstock[#All],8,FALSE)</f>
        <v>0</v>
      </c>
      <c r="L556" s="152" t="str">
        <f>VLOOKUP(woodflow[[#This Row],[From]],woodstock[#All],9,FALSE)</f>
        <v>nan</v>
      </c>
      <c r="M556" s="152" t="str">
        <f>VLOOKUP(woodflow[[#This Row],[to]],woodstock[#All],9,FALSE)</f>
        <v>nan</v>
      </c>
      <c r="N556" s="157">
        <v>0</v>
      </c>
      <c r="O556" s="148" t="s">
        <v>921</v>
      </c>
      <c r="P556" s="148"/>
      <c r="Q556" s="148"/>
    </row>
    <row r="557" spans="1:17" x14ac:dyDescent="0.3">
      <c r="A557" s="5" t="str">
        <f>CONCATENATE("F",IF(B557&lt;&gt;"",COUNTA($B$2:B557),""))</f>
        <v>F352</v>
      </c>
      <c r="B557" s="5" t="s">
        <v>335</v>
      </c>
      <c r="C557" s="5" t="s">
        <v>40</v>
      </c>
      <c r="D55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7" s="148">
        <f>VLOOKUP(woodflow[[#This Row],[From]],woodstock[#All],4,FALSE)</f>
        <v>2021</v>
      </c>
      <c r="G557" s="5" t="str">
        <f>VLOOKUP(woodflow[[#This Row],[From]],woodstock[#All],5,FALSE)</f>
        <v>Global</v>
      </c>
      <c r="H557" s="151" t="str">
        <f>VLOOKUP(woodflow[[#This Row],[From]],woodstock[#All],7,FALSE)</f>
        <v>65</v>
      </c>
      <c r="I557" s="151" t="str">
        <f>VLOOKUP(woodflow[[#This Row],[to]],woodstock[#All],7,FALSE)</f>
        <v>40</v>
      </c>
      <c r="J557" s="151" t="str">
        <f>VLOOKUP(woodflow[[#This Row],[From]],woodstock[#All],8,FALSE)</f>
        <v>0</v>
      </c>
      <c r="K557" s="151" t="str">
        <f>VLOOKUP(woodflow[[#This Row],[to]],woodstock[#All],8,FALSE)</f>
        <v>0</v>
      </c>
      <c r="L557" s="152" t="str">
        <f>VLOOKUP(woodflow[[#This Row],[From]],woodstock[#All],9,FALSE)</f>
        <v>nan</v>
      </c>
      <c r="M557" s="152" t="str">
        <f>VLOOKUP(woodflow[[#This Row],[to]],woodstock[#All],9,FALSE)</f>
        <v>nan</v>
      </c>
      <c r="N557" s="157">
        <v>0</v>
      </c>
      <c r="O557" s="148" t="s">
        <v>921</v>
      </c>
      <c r="P557" s="148"/>
      <c r="Q557" s="148"/>
    </row>
    <row r="558" spans="1:17" x14ac:dyDescent="0.3">
      <c r="A558" s="5" t="str">
        <f>CONCATENATE("F",IF(B558&lt;&gt;"",COUNTA($B$2:B558),""))</f>
        <v>F353</v>
      </c>
      <c r="B558" s="5" t="s">
        <v>335</v>
      </c>
      <c r="C558" s="5" t="s">
        <v>41</v>
      </c>
      <c r="D55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8" s="148">
        <f>VLOOKUP(woodflow[[#This Row],[From]],woodstock[#All],4,FALSE)</f>
        <v>2021</v>
      </c>
      <c r="G558" s="5" t="str">
        <f>VLOOKUP(woodflow[[#This Row],[From]],woodstock[#All],5,FALSE)</f>
        <v>Global</v>
      </c>
      <c r="H558" s="151" t="str">
        <f>VLOOKUP(woodflow[[#This Row],[From]],woodstock[#All],7,FALSE)</f>
        <v>65</v>
      </c>
      <c r="I558" s="151" t="str">
        <f>VLOOKUP(woodflow[[#This Row],[to]],woodstock[#All],7,FALSE)</f>
        <v>41</v>
      </c>
      <c r="J558" s="151" t="str">
        <f>VLOOKUP(woodflow[[#This Row],[From]],woodstock[#All],8,FALSE)</f>
        <v>0</v>
      </c>
      <c r="K558" s="151" t="str">
        <f>VLOOKUP(woodflow[[#This Row],[to]],woodstock[#All],8,FALSE)</f>
        <v>0</v>
      </c>
      <c r="L558" s="152" t="str">
        <f>VLOOKUP(woodflow[[#This Row],[From]],woodstock[#All],9,FALSE)</f>
        <v>nan</v>
      </c>
      <c r="M558" s="152" t="str">
        <f>VLOOKUP(woodflow[[#This Row],[to]],woodstock[#All],9,FALSE)</f>
        <v>nan</v>
      </c>
      <c r="N558" s="157">
        <v>0</v>
      </c>
      <c r="O558" s="148" t="s">
        <v>921</v>
      </c>
      <c r="P558" s="148"/>
      <c r="Q558" s="148"/>
    </row>
    <row r="559" spans="1:17" x14ac:dyDescent="0.3">
      <c r="A559" s="5" t="str">
        <f>CONCATENATE("F",IF(B559&lt;&gt;"",COUNTA($B$2:B559),""))</f>
        <v>F354</v>
      </c>
      <c r="B559" s="5" t="s">
        <v>335</v>
      </c>
      <c r="C559" s="5" t="s">
        <v>38</v>
      </c>
      <c r="D55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5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59" s="148">
        <f>VLOOKUP(woodflow[[#This Row],[From]],woodstock[#All],4,FALSE)</f>
        <v>2021</v>
      </c>
      <c r="G559" s="5" t="str">
        <f>VLOOKUP(woodflow[[#This Row],[From]],woodstock[#All],5,FALSE)</f>
        <v>Global</v>
      </c>
      <c r="H559" s="151" t="str">
        <f>VLOOKUP(woodflow[[#This Row],[From]],woodstock[#All],7,FALSE)</f>
        <v>65</v>
      </c>
      <c r="I559" s="151" t="str">
        <f>VLOOKUP(woodflow[[#This Row],[to]],woodstock[#All],7,FALSE)</f>
        <v>42</v>
      </c>
      <c r="J559" s="151" t="str">
        <f>VLOOKUP(woodflow[[#This Row],[From]],woodstock[#All],8,FALSE)</f>
        <v>0</v>
      </c>
      <c r="K559" s="151" t="str">
        <f>VLOOKUP(woodflow[[#This Row],[to]],woodstock[#All],8,FALSE)</f>
        <v>0</v>
      </c>
      <c r="L559" s="152" t="str">
        <f>VLOOKUP(woodflow[[#This Row],[From]],woodstock[#All],9,FALSE)</f>
        <v>nan</v>
      </c>
      <c r="M559" s="152" t="str">
        <f>VLOOKUP(woodflow[[#This Row],[to]],woodstock[#All],9,FALSE)</f>
        <v>nan</v>
      </c>
      <c r="N559" s="157">
        <v>0</v>
      </c>
      <c r="O559" s="148" t="s">
        <v>921</v>
      </c>
      <c r="P559" s="148"/>
      <c r="Q559" s="148"/>
    </row>
    <row r="560" spans="1:17" x14ac:dyDescent="0.3">
      <c r="A560" s="5" t="str">
        <f>CONCATENATE("F",IF(B560&lt;&gt;"",COUNTA($B$2:B560),""))</f>
        <v>F</v>
      </c>
      <c r="B560" s="148"/>
      <c r="C560" s="148"/>
      <c r="D560" s="149"/>
      <c r="E560" s="149"/>
      <c r="F560" s="148"/>
      <c r="G560" s="5"/>
      <c r="H560" s="151"/>
      <c r="I560" s="151"/>
      <c r="J560" s="151"/>
      <c r="K560" s="151"/>
      <c r="L560" s="152"/>
      <c r="M560" s="152"/>
      <c r="N560" s="157"/>
      <c r="O560" s="148"/>
      <c r="P560" s="148"/>
      <c r="Q560" s="148"/>
    </row>
    <row r="561" spans="1:17" x14ac:dyDescent="0.3">
      <c r="A561" s="5" t="str">
        <f>CONCATENATE("F",IF(B561&lt;&gt;"",COUNTA($B$2:B561),""))</f>
        <v>F</v>
      </c>
      <c r="B561" s="148"/>
      <c r="C561" s="148"/>
      <c r="D561" s="149"/>
      <c r="E561" s="149"/>
      <c r="F561" s="148"/>
      <c r="G561" s="5"/>
      <c r="H561" s="151"/>
      <c r="I561" s="151"/>
      <c r="J561" s="151"/>
      <c r="K561" s="151"/>
      <c r="L561" s="152"/>
      <c r="M561" s="152"/>
      <c r="N561" s="157"/>
      <c r="O561" s="148"/>
      <c r="P561" s="148"/>
      <c r="Q561" s="148"/>
    </row>
    <row r="562" spans="1:17" x14ac:dyDescent="0.3">
      <c r="A562" s="5" t="str">
        <f>CONCATENATE("F",IF(B562&lt;&gt;"",COUNTA($B$2:B562),""))</f>
        <v>F355</v>
      </c>
      <c r="B562" s="5" t="s">
        <v>335</v>
      </c>
      <c r="C562" s="5" t="s">
        <v>916</v>
      </c>
      <c r="D56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2" s="148">
        <f>VLOOKUP(woodflow[[#This Row],[From]],woodstock[#All],4,FALSE)</f>
        <v>2021</v>
      </c>
      <c r="G562" s="5" t="str">
        <f>VLOOKUP(woodflow[[#This Row],[From]],woodstock[#All],5,FALSE)</f>
        <v>Global</v>
      </c>
      <c r="H562" s="151" t="str">
        <f>VLOOKUP(woodflow[[#This Row],[From]],woodstock[#All],7,FALSE)</f>
        <v>65</v>
      </c>
      <c r="I562" s="151" t="str">
        <f>VLOOKUP(woodflow[[#This Row],[to]],woodstock[#All],7,FALSE)</f>
        <v>59</v>
      </c>
      <c r="J562" s="151" t="str">
        <f>VLOOKUP(woodflow[[#This Row],[From]],woodstock[#All],8,FALSE)</f>
        <v>0</v>
      </c>
      <c r="K562" s="151" t="str">
        <f>VLOOKUP(woodflow[[#This Row],[to]],woodstock[#All],8,FALSE)</f>
        <v>0</v>
      </c>
      <c r="L562" s="152" t="str">
        <f>VLOOKUP(woodflow[[#This Row],[From]],woodstock[#All],9,FALSE)</f>
        <v>nan</v>
      </c>
      <c r="M562" s="152" t="str">
        <f>VLOOKUP(woodflow[[#This Row],[to]],woodstock[#All],9,FALSE)</f>
        <v>nan</v>
      </c>
      <c r="N562" s="157">
        <f>'faostat-data'!Q46</f>
        <v>0</v>
      </c>
      <c r="O562" s="148" t="s">
        <v>921</v>
      </c>
      <c r="P562" s="148"/>
      <c r="Q562" s="148"/>
    </row>
    <row r="563" spans="1:17" x14ac:dyDescent="0.3">
      <c r="A563" s="5" t="str">
        <f>CONCATENATE("F",IF(B563&lt;&gt;"",COUNTA($B$2:B563),""))</f>
        <v>F</v>
      </c>
      <c r="B563" s="148"/>
      <c r="C563" s="148"/>
      <c r="D563" s="149"/>
      <c r="E563" s="149"/>
      <c r="F563" s="148"/>
      <c r="G563" s="5"/>
      <c r="H563" s="151"/>
      <c r="I563" s="151"/>
      <c r="J563" s="151"/>
      <c r="K563" s="151"/>
      <c r="L563" s="152"/>
      <c r="M563" s="152"/>
      <c r="N563" s="157"/>
      <c r="O563" s="148"/>
      <c r="P563" s="148"/>
      <c r="Q563" s="148"/>
    </row>
    <row r="564" spans="1:17" x14ac:dyDescent="0.3">
      <c r="A564" s="5" t="str">
        <f>CONCATENATE("F",IF(B564&lt;&gt;"",COUNTA($B$2:B564),""))</f>
        <v>F</v>
      </c>
      <c r="B564" s="148"/>
      <c r="C564" s="5"/>
      <c r="D564" s="149"/>
      <c r="E564" s="149"/>
      <c r="F564" s="148"/>
      <c r="G564" s="5"/>
      <c r="H564" s="151"/>
      <c r="I564" s="151"/>
      <c r="J564" s="151"/>
      <c r="K564" s="151"/>
      <c r="L564" s="152"/>
      <c r="M564" s="152"/>
      <c r="N564" s="157"/>
      <c r="O564" s="148"/>
      <c r="P564" s="148"/>
      <c r="Q564" s="148"/>
    </row>
    <row r="565" spans="1:17" x14ac:dyDescent="0.3">
      <c r="A565" s="5" t="str">
        <f>CONCATENATE("F",IF(B565&lt;&gt;"",COUNTA($B$2:B565),""))</f>
        <v>F356</v>
      </c>
      <c r="B565" s="5" t="s">
        <v>335</v>
      </c>
      <c r="C565" s="5" t="s">
        <v>917</v>
      </c>
      <c r="D56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5" s="148">
        <f>VLOOKUP(woodflow[[#This Row],[From]],woodstock[#All],4,FALSE)</f>
        <v>2021</v>
      </c>
      <c r="G565" s="5" t="str">
        <f>VLOOKUP(woodflow[[#This Row],[From]],woodstock[#All],5,FALSE)</f>
        <v>Global</v>
      </c>
      <c r="H565" s="151" t="str">
        <f>VLOOKUP(woodflow[[#This Row],[From]],woodstock[#All],7,FALSE)</f>
        <v>65</v>
      </c>
      <c r="I565" s="151" t="str">
        <f>VLOOKUP(woodflow[[#This Row],[to]],woodstock[#All],7,FALSE)</f>
        <v>60</v>
      </c>
      <c r="J565" s="151" t="str">
        <f>VLOOKUP(woodflow[[#This Row],[From]],woodstock[#All],8,FALSE)</f>
        <v>0</v>
      </c>
      <c r="K565" s="151" t="str">
        <f>VLOOKUP(woodflow[[#This Row],[to]],woodstock[#All],8,FALSE)</f>
        <v>0</v>
      </c>
      <c r="L565" s="152" t="str">
        <f>VLOOKUP(woodflow[[#This Row],[From]],woodstock[#All],9,FALSE)</f>
        <v>nan</v>
      </c>
      <c r="M565" s="152" t="str">
        <f>VLOOKUP(woodflow[[#This Row],[to]],woodstock[#All],9,FALSE)</f>
        <v>nan</v>
      </c>
      <c r="N565" s="157">
        <f>'faostat-data'!Q121</f>
        <v>0</v>
      </c>
      <c r="O565" s="148" t="s">
        <v>921</v>
      </c>
      <c r="P565" s="148"/>
      <c r="Q565" s="148"/>
    </row>
    <row r="566" spans="1:17" x14ac:dyDescent="0.3">
      <c r="A566" s="5" t="str">
        <f>CONCATENATE("F",IF(B566&lt;&gt;"",COUNTA($B$2:B566),""))</f>
        <v>F</v>
      </c>
      <c r="B566" s="148"/>
      <c r="C566" s="148"/>
      <c r="D566" s="149"/>
      <c r="E566" s="149"/>
      <c r="F566" s="148"/>
      <c r="G566" s="5"/>
      <c r="H566" s="151"/>
      <c r="I566" s="151"/>
      <c r="J566" s="151"/>
      <c r="K566" s="151"/>
      <c r="L566" s="152"/>
      <c r="M566" s="152"/>
      <c r="N566" s="157"/>
      <c r="O566" s="148"/>
      <c r="P566" s="148"/>
      <c r="Q566" s="148"/>
    </row>
    <row r="567" spans="1:17" x14ac:dyDescent="0.3">
      <c r="A567" s="5" t="str">
        <f>CONCATENATE("F",IF(B567&lt;&gt;"",COUNTA($B$2:B567),""))</f>
        <v>F</v>
      </c>
      <c r="B567" s="148"/>
      <c r="C567" s="148"/>
      <c r="D567" s="149"/>
      <c r="E567" s="149"/>
      <c r="F567" s="148"/>
      <c r="G567" s="5"/>
      <c r="H567" s="151"/>
      <c r="I567" s="151"/>
      <c r="J567" s="151"/>
      <c r="K567" s="151"/>
      <c r="L567" s="152"/>
      <c r="M567" s="152"/>
      <c r="N567" s="157"/>
      <c r="O567" s="148"/>
      <c r="P567" s="148"/>
      <c r="Q567" s="148"/>
    </row>
    <row r="568" spans="1:17" x14ac:dyDescent="0.3">
      <c r="A568" s="5" t="str">
        <f>CONCATENATE("F",IF(B568&lt;&gt;"",COUNTA($B$2:B568),""))</f>
        <v>F357</v>
      </c>
      <c r="B568" s="5" t="s">
        <v>258</v>
      </c>
      <c r="C568" s="5" t="s">
        <v>336</v>
      </c>
      <c r="D56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8" s="148">
        <f>VLOOKUP(woodflow[[#This Row],[From]],woodstock[#All],4,FALSE)</f>
        <v>2021</v>
      </c>
      <c r="G568" s="5" t="str">
        <f>VLOOKUP(woodflow[[#This Row],[From]],woodstock[#All],5,FALSE)</f>
        <v>Global</v>
      </c>
      <c r="H568" s="151" t="str">
        <f>VLOOKUP(woodflow[[#This Row],[From]],woodstock[#All],7,FALSE)</f>
        <v>4</v>
      </c>
      <c r="I568" s="151" t="str">
        <f>VLOOKUP(woodflow[[#This Row],[to]],woodstock[#All],7,FALSE)</f>
        <v>66</v>
      </c>
      <c r="J568" s="151" t="str">
        <f>VLOOKUP(woodflow[[#This Row],[From]],woodstock[#All],8,FALSE)</f>
        <v>0</v>
      </c>
      <c r="K568" s="151" t="str">
        <f>VLOOKUP(woodflow[[#This Row],[to]],woodstock[#All],8,FALSE)</f>
        <v>0</v>
      </c>
      <c r="L568" s="152" t="str">
        <f>VLOOKUP(woodflow[[#This Row],[From]],woodstock[#All],9,FALSE)</f>
        <v>nan</v>
      </c>
      <c r="M568" s="152" t="str">
        <f>VLOOKUP(woodflow[[#This Row],[to]],woodstock[#All],9,FALSE)</f>
        <v>nan</v>
      </c>
      <c r="N568" s="157">
        <f>'faostat-data'!Q4</f>
        <v>0</v>
      </c>
      <c r="O568" s="148" t="s">
        <v>921</v>
      </c>
      <c r="P568" s="148"/>
      <c r="Q568" s="148"/>
    </row>
    <row r="569" spans="1:17" x14ac:dyDescent="0.3">
      <c r="A569" s="5" t="str">
        <f>CONCATENATE("F",IF(B569&lt;&gt;"",COUNTA($B$2:B569),""))</f>
        <v>F358</v>
      </c>
      <c r="B569" s="5" t="s">
        <v>259</v>
      </c>
      <c r="C569" s="5" t="s">
        <v>336</v>
      </c>
      <c r="D56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6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69" s="148">
        <f>VLOOKUP(woodflow[[#This Row],[From]],woodstock[#All],4,FALSE)</f>
        <v>2021</v>
      </c>
      <c r="G569" s="5" t="str">
        <f>VLOOKUP(woodflow[[#This Row],[From]],woodstock[#All],5,FALSE)</f>
        <v>Global</v>
      </c>
      <c r="H569" s="151" t="str">
        <f>VLOOKUP(woodflow[[#This Row],[From]],woodstock[#All],7,FALSE)</f>
        <v>5</v>
      </c>
      <c r="I569" s="151" t="str">
        <f>VLOOKUP(woodflow[[#This Row],[to]],woodstock[#All],7,FALSE)</f>
        <v>66</v>
      </c>
      <c r="J569" s="151" t="str">
        <f>VLOOKUP(woodflow[[#This Row],[From]],woodstock[#All],8,FALSE)</f>
        <v>0</v>
      </c>
      <c r="K569" s="151" t="str">
        <f>VLOOKUP(woodflow[[#This Row],[to]],woodstock[#All],8,FALSE)</f>
        <v>0</v>
      </c>
      <c r="L569" s="152" t="str">
        <f>VLOOKUP(woodflow[[#This Row],[From]],woodstock[#All],9,FALSE)</f>
        <v>nan</v>
      </c>
      <c r="M569" s="152" t="str">
        <f>VLOOKUP(woodflow[[#This Row],[to]],woodstock[#All],9,FALSE)</f>
        <v>nan</v>
      </c>
      <c r="N569" s="157">
        <f>'faostat-data'!Q7</f>
        <v>0</v>
      </c>
      <c r="O569" s="148" t="s">
        <v>921</v>
      </c>
      <c r="P569" s="148"/>
      <c r="Q569" s="148"/>
    </row>
    <row r="570" spans="1:17" x14ac:dyDescent="0.3">
      <c r="A570" s="5" t="str">
        <f>CONCATENATE("F",IF(B570&lt;&gt;"",COUNTA($B$2:B570),""))</f>
        <v>F</v>
      </c>
      <c r="B570" s="148"/>
      <c r="C570" s="148"/>
      <c r="D570" s="149"/>
      <c r="E570" s="149"/>
      <c r="F570" s="148"/>
      <c r="G570" s="5"/>
      <c r="H570" s="151"/>
      <c r="I570" s="151"/>
      <c r="J570" s="151"/>
      <c r="K570" s="151"/>
      <c r="L570" s="152"/>
      <c r="M570" s="152"/>
      <c r="N570" s="157"/>
      <c r="O570" s="148"/>
      <c r="P570" s="148"/>
      <c r="Q570" s="148"/>
    </row>
    <row r="571" spans="1:17" x14ac:dyDescent="0.3">
      <c r="A571" s="5" t="str">
        <f>CONCATENATE("F",IF(B571&lt;&gt;"",COUNTA($B$2:B571),""))</f>
        <v>F</v>
      </c>
      <c r="B571" s="5"/>
      <c r="C571" s="5"/>
      <c r="D571" s="149"/>
      <c r="E571" s="149"/>
      <c r="F571" s="148"/>
      <c r="G571" s="5"/>
      <c r="H571" s="151"/>
      <c r="I571" s="151"/>
      <c r="J571" s="151"/>
      <c r="K571" s="151"/>
      <c r="L571" s="152"/>
      <c r="M571" s="152"/>
      <c r="N571" s="157"/>
      <c r="O571" s="148"/>
      <c r="P571" s="148"/>
      <c r="Q571" s="148"/>
    </row>
    <row r="572" spans="1:17" x14ac:dyDescent="0.3">
      <c r="A572" s="5" t="str">
        <f>CONCATENATE("F",IF(B572&lt;&gt;"",COUNTA($B$2:B572),""))</f>
        <v>F359</v>
      </c>
      <c r="B572" s="5" t="s">
        <v>343</v>
      </c>
      <c r="C572" s="5" t="s">
        <v>336</v>
      </c>
      <c r="D57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7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2" s="148">
        <f>VLOOKUP(woodflow[[#This Row],[From]],woodstock[#All],4,FALSE)</f>
        <v>2021</v>
      </c>
      <c r="G572" s="5" t="str">
        <f>VLOOKUP(woodflow[[#This Row],[From]],woodstock[#All],5,FALSE)</f>
        <v>Global</v>
      </c>
      <c r="H572" s="151" t="str">
        <f>VLOOKUP(woodflow[[#This Row],[From]],woodstock[#All],7,FALSE)</f>
        <v>3</v>
      </c>
      <c r="I572" s="151" t="str">
        <f>VLOOKUP(woodflow[[#This Row],[to]],woodstock[#All],7,FALSE)</f>
        <v>66</v>
      </c>
      <c r="J572" s="151" t="str">
        <f>VLOOKUP(woodflow[[#This Row],[From]],woodstock[#All],8,FALSE)</f>
        <v>1</v>
      </c>
      <c r="K572" s="151" t="str">
        <f>VLOOKUP(woodflow[[#This Row],[to]],woodstock[#All],8,FALSE)</f>
        <v>0</v>
      </c>
      <c r="L572" s="152" t="str">
        <f>VLOOKUP(woodflow[[#This Row],[From]],woodstock[#All],9,FALSE)</f>
        <v>6-8-10</v>
      </c>
      <c r="M572" s="152" t="str">
        <f>VLOOKUP(woodflow[[#This Row],[to]],woodstock[#All],9,FALSE)</f>
        <v>nan</v>
      </c>
      <c r="N572" s="157">
        <f>'faostat-data'!Q11</f>
        <v>0</v>
      </c>
      <c r="O572" s="148" t="s">
        <v>921</v>
      </c>
      <c r="P572" s="148"/>
      <c r="Q572" s="148"/>
    </row>
    <row r="573" spans="1:17" x14ac:dyDescent="0.3">
      <c r="A573" s="5" t="str">
        <f>CONCATENATE("F",IF(B573&lt;&gt;"",COUNTA($B$2:B573),""))</f>
        <v>F360</v>
      </c>
      <c r="B573" s="5" t="s">
        <v>260</v>
      </c>
      <c r="C573" s="5" t="s">
        <v>336</v>
      </c>
      <c r="D57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7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3" s="148">
        <f>VLOOKUP(woodflow[[#This Row],[From]],woodstock[#All],4,FALSE)</f>
        <v>2021</v>
      </c>
      <c r="G573" s="5" t="str">
        <f>VLOOKUP(woodflow[[#This Row],[From]],woodstock[#All],5,FALSE)</f>
        <v>Global</v>
      </c>
      <c r="H573" s="151" t="str">
        <f>VLOOKUP(woodflow[[#This Row],[From]],woodstock[#All],7,FALSE)</f>
        <v>6</v>
      </c>
      <c r="I573" s="151" t="str">
        <f>VLOOKUP(woodflow[[#This Row],[to]],woodstock[#All],7,FALSE)</f>
        <v>66</v>
      </c>
      <c r="J573" s="151" t="str">
        <f>VLOOKUP(woodflow[[#This Row],[From]],woodstock[#All],8,FALSE)</f>
        <v>0</v>
      </c>
      <c r="K573" s="151" t="str">
        <f>VLOOKUP(woodflow[[#This Row],[to]],woodstock[#All],8,FALSE)</f>
        <v>0</v>
      </c>
      <c r="L573" s="152" t="str">
        <f>VLOOKUP(woodflow[[#This Row],[From]],woodstock[#All],9,FALSE)</f>
        <v>nan</v>
      </c>
      <c r="M573" s="152" t="str">
        <f>VLOOKUP(woodflow[[#This Row],[to]],woodstock[#All],9,FALSE)</f>
        <v>nan</v>
      </c>
      <c r="N573" s="157">
        <v>0</v>
      </c>
      <c r="O573" s="148" t="s">
        <v>921</v>
      </c>
      <c r="P573" s="148"/>
      <c r="Q573" s="148"/>
    </row>
    <row r="574" spans="1:17" x14ac:dyDescent="0.3">
      <c r="A574" s="5" t="str">
        <f>CONCATENATE("F",IF(B574&lt;&gt;"",COUNTA($B$2:B574),""))</f>
        <v>F361</v>
      </c>
      <c r="B574" s="5" t="s">
        <v>263</v>
      </c>
      <c r="C574" s="5" t="s">
        <v>336</v>
      </c>
      <c r="D57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7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4" s="148">
        <f>VLOOKUP(woodflow[[#This Row],[From]],woodstock[#All],4,FALSE)</f>
        <v>2021</v>
      </c>
      <c r="G574" s="5" t="str">
        <f>VLOOKUP(woodflow[[#This Row],[From]],woodstock[#All],5,FALSE)</f>
        <v>Global</v>
      </c>
      <c r="H574" s="151" t="str">
        <f>VLOOKUP(woodflow[[#This Row],[From]],woodstock[#All],7,FALSE)</f>
        <v>8</v>
      </c>
      <c r="I574" s="151" t="str">
        <f>VLOOKUP(woodflow[[#This Row],[to]],woodstock[#All],7,FALSE)</f>
        <v>66</v>
      </c>
      <c r="J574" s="151" t="str">
        <f>VLOOKUP(woodflow[[#This Row],[From]],woodstock[#All],8,FALSE)</f>
        <v>0</v>
      </c>
      <c r="K574" s="151" t="str">
        <f>VLOOKUP(woodflow[[#This Row],[to]],woodstock[#All],8,FALSE)</f>
        <v>0</v>
      </c>
      <c r="L574" s="152" t="str">
        <f>VLOOKUP(woodflow[[#This Row],[From]],woodstock[#All],9,FALSE)</f>
        <v>nan</v>
      </c>
      <c r="M574" s="152" t="str">
        <f>VLOOKUP(woodflow[[#This Row],[to]],woodstock[#All],9,FALSE)</f>
        <v>nan</v>
      </c>
      <c r="N574" s="157">
        <v>0</v>
      </c>
      <c r="O574" s="148" t="s">
        <v>921</v>
      </c>
      <c r="P574" s="148"/>
      <c r="Q574" s="148"/>
    </row>
    <row r="575" spans="1:17" x14ac:dyDescent="0.3">
      <c r="A575" s="5" t="str">
        <f>CONCATENATE("F",IF(B575&lt;&gt;"",COUNTA($B$2:B575),""))</f>
        <v>F362</v>
      </c>
      <c r="B575" s="5" t="s">
        <v>265</v>
      </c>
      <c r="C575" s="5" t="s">
        <v>336</v>
      </c>
      <c r="D57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7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5" s="148">
        <f>VLOOKUP(woodflow[[#This Row],[From]],woodstock[#All],4,FALSE)</f>
        <v>2021</v>
      </c>
      <c r="G575" s="5" t="str">
        <f>VLOOKUP(woodflow[[#This Row],[From]],woodstock[#All],5,FALSE)</f>
        <v>Global</v>
      </c>
      <c r="H575" s="151" t="str">
        <f>VLOOKUP(woodflow[[#This Row],[From]],woodstock[#All],7,FALSE)</f>
        <v>10</v>
      </c>
      <c r="I575" s="151" t="str">
        <f>VLOOKUP(woodflow[[#This Row],[to]],woodstock[#All],7,FALSE)</f>
        <v>66</v>
      </c>
      <c r="J575" s="151" t="str">
        <f>VLOOKUP(woodflow[[#This Row],[From]],woodstock[#All],8,FALSE)</f>
        <v>0</v>
      </c>
      <c r="K575" s="151" t="str">
        <f>VLOOKUP(woodflow[[#This Row],[to]],woodstock[#All],8,FALSE)</f>
        <v>0</v>
      </c>
      <c r="L575" s="152" t="str">
        <f>VLOOKUP(woodflow[[#This Row],[From]],woodstock[#All],9,FALSE)</f>
        <v>nan</v>
      </c>
      <c r="M575" s="152" t="str">
        <f>VLOOKUP(woodflow[[#This Row],[to]],woodstock[#All],9,FALSE)</f>
        <v>nan</v>
      </c>
      <c r="N575" s="157">
        <v>0</v>
      </c>
      <c r="O575" s="148" t="s">
        <v>921</v>
      </c>
      <c r="P575" s="148"/>
      <c r="Q575" s="148"/>
    </row>
    <row r="576" spans="1:17" x14ac:dyDescent="0.3">
      <c r="A576" s="5" t="str">
        <f>CONCATENATE("F",IF(B576&lt;&gt;"",COUNTA($B$2:B576),""))</f>
        <v>F</v>
      </c>
      <c r="B576" s="5"/>
      <c r="C576" s="5"/>
      <c r="D576" s="149"/>
      <c r="E576" s="149"/>
      <c r="F576" s="148"/>
      <c r="G576" s="5"/>
      <c r="H576" s="151"/>
      <c r="I576" s="151"/>
      <c r="J576" s="151"/>
      <c r="K576" s="151"/>
      <c r="L576" s="152"/>
      <c r="M576" s="152"/>
      <c r="N576" s="157"/>
      <c r="O576" s="148"/>
      <c r="P576" s="148"/>
      <c r="Q576" s="148"/>
    </row>
    <row r="577" spans="1:17" x14ac:dyDescent="0.3">
      <c r="A577" s="5" t="str">
        <f>CONCATENATE("F",IF(B577&lt;&gt;"",COUNTA($B$2:B577),""))</f>
        <v>F</v>
      </c>
      <c r="B577" s="148"/>
      <c r="C577" s="148"/>
      <c r="D577" s="149"/>
      <c r="E577" s="149"/>
      <c r="F577" s="148"/>
      <c r="G577" s="5"/>
      <c r="H577" s="151"/>
      <c r="I577" s="151"/>
      <c r="J577" s="151"/>
      <c r="K577" s="151"/>
      <c r="L577" s="152"/>
      <c r="M577" s="152"/>
      <c r="N577" s="157"/>
      <c r="O577" s="148"/>
      <c r="P577" s="148"/>
      <c r="Q577" s="148"/>
    </row>
    <row r="578" spans="1:17" x14ac:dyDescent="0.3">
      <c r="A578" s="5" t="str">
        <f>CONCATENATE("F",IF(B578&lt;&gt;"",COUNTA($B$2:B578),""))</f>
        <v>F363</v>
      </c>
      <c r="B578" s="5" t="s">
        <v>344</v>
      </c>
      <c r="C578" s="5" t="s">
        <v>336</v>
      </c>
      <c r="D57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7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8" s="148">
        <f>VLOOKUP(woodflow[[#This Row],[From]],woodstock[#All],4,FALSE)</f>
        <v>2021</v>
      </c>
      <c r="G578" s="5" t="str">
        <f>VLOOKUP(woodflow[[#This Row],[From]],woodstock[#All],5,FALSE)</f>
        <v>Global</v>
      </c>
      <c r="H578" s="151" t="str">
        <f>VLOOKUP(woodflow[[#This Row],[From]],woodstock[#All],7,FALSE)</f>
        <v>4</v>
      </c>
      <c r="I578" s="151" t="str">
        <f>VLOOKUP(woodflow[[#This Row],[to]],woodstock[#All],7,FALSE)</f>
        <v>66</v>
      </c>
      <c r="J578" s="151" t="str">
        <f>VLOOKUP(woodflow[[#This Row],[From]],woodstock[#All],8,FALSE)</f>
        <v>1</v>
      </c>
      <c r="K578" s="151" t="str">
        <f>VLOOKUP(woodflow[[#This Row],[to]],woodstock[#All],8,FALSE)</f>
        <v>0</v>
      </c>
      <c r="L578" s="152" t="str">
        <f>VLOOKUP(woodflow[[#This Row],[From]],woodstock[#All],9,FALSE)</f>
        <v>7-9-11</v>
      </c>
      <c r="M578" s="152" t="str">
        <f>VLOOKUP(woodflow[[#This Row],[to]],woodstock[#All],9,FALSE)</f>
        <v>nan</v>
      </c>
      <c r="N578" s="157">
        <f>'faostat-data'!Q13+'faostat-data'!Q15</f>
        <v>0</v>
      </c>
      <c r="O578" s="148" t="s">
        <v>921</v>
      </c>
      <c r="P578" s="148"/>
      <c r="Q578" s="148"/>
    </row>
    <row r="579" spans="1:17" x14ac:dyDescent="0.3">
      <c r="A579" s="5" t="str">
        <f>CONCATENATE("F",IF(B579&lt;&gt;"",COUNTA($B$2:B579),""))</f>
        <v>F364</v>
      </c>
      <c r="B579" s="5" t="s">
        <v>261</v>
      </c>
      <c r="C579" s="5" t="s">
        <v>336</v>
      </c>
      <c r="D57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7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79" s="148">
        <f>VLOOKUP(woodflow[[#This Row],[From]],woodstock[#All],4,FALSE)</f>
        <v>2021</v>
      </c>
      <c r="G579" s="5" t="str">
        <f>VLOOKUP(woodflow[[#This Row],[From]],woodstock[#All],5,FALSE)</f>
        <v>Global</v>
      </c>
      <c r="H579" s="151" t="str">
        <f>VLOOKUP(woodflow[[#This Row],[From]],woodstock[#All],7,FALSE)</f>
        <v>7</v>
      </c>
      <c r="I579" s="151" t="str">
        <f>VLOOKUP(woodflow[[#This Row],[to]],woodstock[#All],7,FALSE)</f>
        <v>66</v>
      </c>
      <c r="J579" s="151" t="str">
        <f>VLOOKUP(woodflow[[#This Row],[From]],woodstock[#All],8,FALSE)</f>
        <v>0</v>
      </c>
      <c r="K579" s="151" t="str">
        <f>VLOOKUP(woodflow[[#This Row],[to]],woodstock[#All],8,FALSE)</f>
        <v>0</v>
      </c>
      <c r="L579" s="152" t="str">
        <f>VLOOKUP(woodflow[[#This Row],[From]],woodstock[#All],9,FALSE)</f>
        <v>nan</v>
      </c>
      <c r="M579" s="152" t="str">
        <f>VLOOKUP(woodflow[[#This Row],[to]],woodstock[#All],9,FALSE)</f>
        <v>nan</v>
      </c>
      <c r="N579" s="157">
        <v>0</v>
      </c>
      <c r="O579" s="148" t="s">
        <v>921</v>
      </c>
      <c r="P579" s="148"/>
      <c r="Q579" s="148"/>
    </row>
    <row r="580" spans="1:17" x14ac:dyDescent="0.3">
      <c r="A580" s="5" t="str">
        <f>CONCATENATE("F",IF(B580&lt;&gt;"",COUNTA($B$2:B580),""))</f>
        <v>F365</v>
      </c>
      <c r="B580" s="5" t="s">
        <v>264</v>
      </c>
      <c r="C580" s="5" t="s">
        <v>336</v>
      </c>
      <c r="D58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0" s="148">
        <f>VLOOKUP(woodflow[[#This Row],[From]],woodstock[#All],4,FALSE)</f>
        <v>2021</v>
      </c>
      <c r="G580" s="5" t="str">
        <f>VLOOKUP(woodflow[[#This Row],[From]],woodstock[#All],5,FALSE)</f>
        <v>Global</v>
      </c>
      <c r="H580" s="151" t="str">
        <f>VLOOKUP(woodflow[[#This Row],[From]],woodstock[#All],7,FALSE)</f>
        <v>9</v>
      </c>
      <c r="I580" s="151" t="str">
        <f>VLOOKUP(woodflow[[#This Row],[to]],woodstock[#All],7,FALSE)</f>
        <v>66</v>
      </c>
      <c r="J580" s="151" t="str">
        <f>VLOOKUP(woodflow[[#This Row],[From]],woodstock[#All],8,FALSE)</f>
        <v>0</v>
      </c>
      <c r="K580" s="151" t="str">
        <f>VLOOKUP(woodflow[[#This Row],[to]],woodstock[#All],8,FALSE)</f>
        <v>0</v>
      </c>
      <c r="L580" s="152" t="str">
        <f>VLOOKUP(woodflow[[#This Row],[From]],woodstock[#All],9,FALSE)</f>
        <v>nan</v>
      </c>
      <c r="M580" s="152" t="str">
        <f>VLOOKUP(woodflow[[#This Row],[to]],woodstock[#All],9,FALSE)</f>
        <v>nan</v>
      </c>
      <c r="N580" s="157">
        <v>0</v>
      </c>
      <c r="O580" s="148" t="s">
        <v>921</v>
      </c>
      <c r="P580" s="148"/>
      <c r="Q580" s="148"/>
    </row>
    <row r="581" spans="1:17" x14ac:dyDescent="0.3">
      <c r="A581" s="5" t="str">
        <f>CONCATENATE("F",IF(B581&lt;&gt;"",COUNTA($B$2:B581),""))</f>
        <v>F366</v>
      </c>
      <c r="B581" s="5" t="s">
        <v>266</v>
      </c>
      <c r="C581" s="5" t="s">
        <v>336</v>
      </c>
      <c r="D58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1" s="148">
        <f>VLOOKUP(woodflow[[#This Row],[From]],woodstock[#All],4,FALSE)</f>
        <v>2021</v>
      </c>
      <c r="G581" s="5" t="str">
        <f>VLOOKUP(woodflow[[#This Row],[From]],woodstock[#All],5,FALSE)</f>
        <v>Global</v>
      </c>
      <c r="H581" s="151" t="str">
        <f>VLOOKUP(woodflow[[#This Row],[From]],woodstock[#All],7,FALSE)</f>
        <v>11</v>
      </c>
      <c r="I581" s="151" t="str">
        <f>VLOOKUP(woodflow[[#This Row],[to]],woodstock[#All],7,FALSE)</f>
        <v>66</v>
      </c>
      <c r="J581" s="151" t="str">
        <f>VLOOKUP(woodflow[[#This Row],[From]],woodstock[#All],8,FALSE)</f>
        <v>0</v>
      </c>
      <c r="K581" s="151" t="str">
        <f>VLOOKUP(woodflow[[#This Row],[to]],woodstock[#All],8,FALSE)</f>
        <v>0</v>
      </c>
      <c r="L581" s="152" t="str">
        <f>VLOOKUP(woodflow[[#This Row],[From]],woodstock[#All],9,FALSE)</f>
        <v>nan</v>
      </c>
      <c r="M581" s="152" t="str">
        <f>VLOOKUP(woodflow[[#This Row],[to]],woodstock[#All],9,FALSE)</f>
        <v>nan</v>
      </c>
      <c r="N581" s="157">
        <v>0</v>
      </c>
      <c r="O581" s="148" t="s">
        <v>921</v>
      </c>
      <c r="P581" s="148"/>
      <c r="Q581" s="148"/>
    </row>
    <row r="582" spans="1:17" x14ac:dyDescent="0.3">
      <c r="A582" s="5" t="str">
        <f>CONCATENATE("F",IF(B582&lt;&gt;"",COUNTA($B$2:B582),""))</f>
        <v>F</v>
      </c>
      <c r="B582" s="148"/>
      <c r="C582" s="148"/>
      <c r="D582" s="149"/>
      <c r="E582" s="149"/>
      <c r="F582" s="148"/>
      <c r="G582" s="5"/>
      <c r="H582" s="151"/>
      <c r="I582" s="151"/>
      <c r="J582" s="151"/>
      <c r="K582" s="151"/>
      <c r="L582" s="152"/>
      <c r="M582" s="152"/>
      <c r="N582" s="157"/>
      <c r="O582" s="148"/>
      <c r="P582" s="148"/>
      <c r="Q582" s="148"/>
    </row>
    <row r="583" spans="1:17" x14ac:dyDescent="0.3">
      <c r="A583" s="5" t="str">
        <f>CONCATENATE("F",IF(B583&lt;&gt;"",COUNTA($B$2:B583),""))</f>
        <v>F</v>
      </c>
      <c r="B583" s="5"/>
      <c r="C583" s="5"/>
      <c r="D583" s="149"/>
      <c r="E583" s="149"/>
      <c r="F583" s="148"/>
      <c r="G583" s="5"/>
      <c r="H583" s="151"/>
      <c r="I583" s="151"/>
      <c r="J583" s="151"/>
      <c r="K583" s="151"/>
      <c r="L583" s="152"/>
      <c r="M583" s="152"/>
      <c r="N583" s="157"/>
      <c r="O583" s="148"/>
      <c r="P583" s="148"/>
      <c r="Q583" s="148"/>
    </row>
    <row r="584" spans="1:17" x14ac:dyDescent="0.3">
      <c r="A584" s="5" t="str">
        <f>CONCATENATE("F",IF(B584&lt;&gt;"",COUNTA($B$2:B584),""))</f>
        <v>F367</v>
      </c>
      <c r="B584" s="5" t="s">
        <v>208</v>
      </c>
      <c r="C584" s="5" t="s">
        <v>336</v>
      </c>
      <c r="D58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4" s="148">
        <f>VLOOKUP(woodflow[[#This Row],[From]],woodstock[#All],4,FALSE)</f>
        <v>2021</v>
      </c>
      <c r="G584" s="5" t="str">
        <f>VLOOKUP(woodflow[[#This Row],[From]],woodstock[#All],5,FALSE)</f>
        <v>Global</v>
      </c>
      <c r="H584" s="151" t="str">
        <f>VLOOKUP(woodflow[[#This Row],[From]],woodstock[#All],7,FALSE)</f>
        <v>12</v>
      </c>
      <c r="I584" s="151" t="str">
        <f>VLOOKUP(woodflow[[#This Row],[to]],woodstock[#All],7,FALSE)</f>
        <v>66</v>
      </c>
      <c r="J584" s="151" t="str">
        <f>VLOOKUP(woodflow[[#This Row],[From]],woodstock[#All],8,FALSE)</f>
        <v>0</v>
      </c>
      <c r="K584" s="151" t="str">
        <f>VLOOKUP(woodflow[[#This Row],[to]],woodstock[#All],8,FALSE)</f>
        <v>0</v>
      </c>
      <c r="L584" s="152" t="str">
        <f>VLOOKUP(woodflow[[#This Row],[From]],woodstock[#All],9,FALSE)</f>
        <v>nan</v>
      </c>
      <c r="M584" s="152" t="str">
        <f>VLOOKUP(woodflow[[#This Row],[to]],woodstock[#All],9,FALSE)</f>
        <v>nan</v>
      </c>
      <c r="N584" s="157">
        <v>0</v>
      </c>
      <c r="O584" s="148" t="s">
        <v>921</v>
      </c>
      <c r="P584" s="148"/>
      <c r="Q584" s="148"/>
    </row>
    <row r="585" spans="1:17" x14ac:dyDescent="0.3">
      <c r="A585" s="5" t="str">
        <f>CONCATENATE("F",IF(B585&lt;&gt;"",COUNTA($B$2:B585),""))</f>
        <v>F</v>
      </c>
      <c r="B585" s="5"/>
      <c r="C585" s="5"/>
      <c r="D585" s="149"/>
      <c r="E585" s="149"/>
      <c r="F585" s="148"/>
      <c r="G585" s="5"/>
      <c r="H585" s="151"/>
      <c r="I585" s="151"/>
      <c r="J585" s="151"/>
      <c r="K585" s="151"/>
      <c r="L585" s="152"/>
      <c r="M585" s="152"/>
      <c r="N585" s="157"/>
      <c r="O585" s="148"/>
      <c r="P585" s="148"/>
      <c r="Q585" s="148"/>
    </row>
    <row r="586" spans="1:17" x14ac:dyDescent="0.3">
      <c r="A586" s="5" t="str">
        <f>CONCATENATE("F",IF(B586&lt;&gt;"",COUNTA($B$2:B586),""))</f>
        <v>F</v>
      </c>
      <c r="B586" s="5"/>
      <c r="C586" s="5"/>
      <c r="D586" s="149"/>
      <c r="E586" s="149"/>
      <c r="F586" s="148"/>
      <c r="G586" s="5"/>
      <c r="H586" s="151"/>
      <c r="I586" s="151"/>
      <c r="J586" s="151"/>
      <c r="K586" s="151"/>
      <c r="L586" s="152"/>
      <c r="M586" s="152"/>
      <c r="N586" s="157"/>
      <c r="O586" s="148"/>
      <c r="P586" s="148"/>
      <c r="Q586" s="148"/>
    </row>
    <row r="587" spans="1:17" x14ac:dyDescent="0.3">
      <c r="A587" s="5" t="str">
        <f>CONCATENATE("F",IF(B587&lt;&gt;"",COUNTA($B$2:B587),""))</f>
        <v>F368</v>
      </c>
      <c r="B587" s="5" t="s">
        <v>55</v>
      </c>
      <c r="C587" s="5" t="s">
        <v>336</v>
      </c>
      <c r="D58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7" s="148">
        <f>VLOOKUP(woodflow[[#This Row],[From]],woodstock[#All],4,FALSE)</f>
        <v>2021</v>
      </c>
      <c r="G587" s="5" t="str">
        <f>VLOOKUP(woodflow[[#This Row],[From]],woodstock[#All],5,FALSE)</f>
        <v>Global</v>
      </c>
      <c r="H587" s="151" t="str">
        <f>VLOOKUP(woodflow[[#This Row],[From]],woodstock[#All],7,FALSE)</f>
        <v>13</v>
      </c>
      <c r="I587" s="151" t="str">
        <f>VLOOKUP(woodflow[[#This Row],[to]],woodstock[#All],7,FALSE)</f>
        <v>66</v>
      </c>
      <c r="J587" s="151" t="str">
        <f>VLOOKUP(woodflow[[#This Row],[From]],woodstock[#All],8,FALSE)</f>
        <v>0</v>
      </c>
      <c r="K587" s="151" t="str">
        <f>VLOOKUP(woodflow[[#This Row],[to]],woodstock[#All],8,FALSE)</f>
        <v>0</v>
      </c>
      <c r="L587" s="152" t="str">
        <f>VLOOKUP(woodflow[[#This Row],[From]],woodstock[#All],9,FALSE)</f>
        <v>nan</v>
      </c>
      <c r="M587" s="152" t="str">
        <f>VLOOKUP(woodflow[[#This Row],[to]],woodstock[#All],9,FALSE)</f>
        <v>nan</v>
      </c>
      <c r="N587" s="157">
        <f>'faostat-data'!Q37</f>
        <v>0</v>
      </c>
      <c r="O587" s="148" t="s">
        <v>921</v>
      </c>
      <c r="P587" s="148"/>
      <c r="Q587" s="148"/>
    </row>
    <row r="588" spans="1:17" x14ac:dyDescent="0.3">
      <c r="A588" s="5" t="str">
        <f>CONCATENATE("F",IF(B588&lt;&gt;"",COUNTA($B$2:B588),""))</f>
        <v>F369</v>
      </c>
      <c r="B588" s="5" t="s">
        <v>175</v>
      </c>
      <c r="C588" s="5" t="s">
        <v>336</v>
      </c>
      <c r="D58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8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88" s="148">
        <f>VLOOKUP(woodflow[[#This Row],[From]],woodstock[#All],4,FALSE)</f>
        <v>2021</v>
      </c>
      <c r="G588" s="5" t="str">
        <f>VLOOKUP(woodflow[[#This Row],[From]],woodstock[#All],5,FALSE)</f>
        <v>Global</v>
      </c>
      <c r="H588" s="151" t="str">
        <f>VLOOKUP(woodflow[[#This Row],[From]],woodstock[#All],7,FALSE)</f>
        <v>14</v>
      </c>
      <c r="I588" s="151" t="str">
        <f>VLOOKUP(woodflow[[#This Row],[to]],woodstock[#All],7,FALSE)</f>
        <v>66</v>
      </c>
      <c r="J588" s="151" t="str">
        <f>VLOOKUP(woodflow[[#This Row],[From]],woodstock[#All],8,FALSE)</f>
        <v>0</v>
      </c>
      <c r="K588" s="151" t="str">
        <f>VLOOKUP(woodflow[[#This Row],[to]],woodstock[#All],8,FALSE)</f>
        <v>0</v>
      </c>
      <c r="L588" s="152" t="str">
        <f>VLOOKUP(woodflow[[#This Row],[From]],woodstock[#All],9,FALSE)</f>
        <v>nan</v>
      </c>
      <c r="M588" s="152" t="str">
        <f>VLOOKUP(woodflow[[#This Row],[to]],woodstock[#All],9,FALSE)</f>
        <v>nan</v>
      </c>
      <c r="N588" s="157">
        <v>0</v>
      </c>
      <c r="O588" s="148" t="s">
        <v>921</v>
      </c>
      <c r="P588" s="148"/>
      <c r="Q588" s="148"/>
    </row>
    <row r="589" spans="1:17" x14ac:dyDescent="0.3">
      <c r="A589" s="5" t="str">
        <f>CONCATENATE("F",IF(B589&lt;&gt;"",COUNTA($B$2:B589),""))</f>
        <v>F</v>
      </c>
      <c r="B589" s="148"/>
      <c r="C589" s="148"/>
      <c r="D589" s="149"/>
      <c r="E589" s="149"/>
      <c r="F589" s="148"/>
      <c r="G589" s="5"/>
      <c r="H589" s="151"/>
      <c r="I589" s="151"/>
      <c r="J589" s="151"/>
      <c r="K589" s="151"/>
      <c r="L589" s="152"/>
      <c r="M589" s="152"/>
      <c r="N589" s="157"/>
      <c r="O589" s="148"/>
      <c r="P589" s="148"/>
      <c r="Q589" s="148"/>
    </row>
    <row r="590" spans="1:17" x14ac:dyDescent="0.3">
      <c r="A590" s="5" t="str">
        <f>CONCATENATE("F",IF(B590&lt;&gt;"",COUNTA($B$2:B590),""))</f>
        <v>F</v>
      </c>
      <c r="B590" s="5"/>
      <c r="C590" s="5"/>
      <c r="D590" s="149"/>
      <c r="E590" s="149"/>
      <c r="F590" s="148"/>
      <c r="G590" s="5"/>
      <c r="H590" s="151"/>
      <c r="I590" s="151"/>
      <c r="J590" s="151"/>
      <c r="K590" s="151"/>
      <c r="L590" s="152"/>
      <c r="M590" s="152"/>
      <c r="N590" s="157"/>
      <c r="O590" s="148"/>
      <c r="P590" s="148"/>
      <c r="Q590" s="148"/>
    </row>
    <row r="591" spans="1:17" x14ac:dyDescent="0.3">
      <c r="A591" s="5" t="str">
        <f>CONCATENATE("F",IF(B591&lt;&gt;"",COUNTA($B$2:B591),""))</f>
        <v>F370</v>
      </c>
      <c r="B591" s="5" t="s">
        <v>65</v>
      </c>
      <c r="C591" s="5" t="s">
        <v>336</v>
      </c>
      <c r="D59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9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1" s="148">
        <f>VLOOKUP(woodflow[[#This Row],[From]],woodstock[#All],4,FALSE)</f>
        <v>2021</v>
      </c>
      <c r="G591" s="5" t="str">
        <f>VLOOKUP(woodflow[[#This Row],[From]],woodstock[#All],5,FALSE)</f>
        <v>Global</v>
      </c>
      <c r="H591" s="151" t="str">
        <f>VLOOKUP(woodflow[[#This Row],[From]],woodstock[#All],7,FALSE)</f>
        <v>9</v>
      </c>
      <c r="I591" s="151" t="str">
        <f>VLOOKUP(woodflow[[#This Row],[to]],woodstock[#All],7,FALSE)</f>
        <v>66</v>
      </c>
      <c r="J591" s="151" t="str">
        <f>VLOOKUP(woodflow[[#This Row],[From]],woodstock[#All],8,FALSE)</f>
        <v>1</v>
      </c>
      <c r="K591" s="151" t="str">
        <f>VLOOKUP(woodflow[[#This Row],[to]],woodstock[#All],8,FALSE)</f>
        <v>0</v>
      </c>
      <c r="L591" s="152" t="str">
        <f>VLOOKUP(woodflow[[#This Row],[From]],woodstock[#All],9,FALSE)</f>
        <v>15-16</v>
      </c>
      <c r="M591" s="152" t="str">
        <f>VLOOKUP(woodflow[[#This Row],[to]],woodstock[#All],9,FALSE)</f>
        <v>nan</v>
      </c>
      <c r="N591" s="157">
        <f>SUM(N592:N593)</f>
        <v>0</v>
      </c>
      <c r="O591" s="148" t="s">
        <v>921</v>
      </c>
      <c r="P591" s="148"/>
      <c r="Q591" s="148"/>
    </row>
    <row r="592" spans="1:17" x14ac:dyDescent="0.3">
      <c r="A592" s="5" t="str">
        <f>CONCATENATE("F",IF(B592&lt;&gt;"",COUNTA($B$2:B592),""))</f>
        <v>F371</v>
      </c>
      <c r="B592" s="5" t="s">
        <v>53</v>
      </c>
      <c r="C592" s="5" t="s">
        <v>336</v>
      </c>
      <c r="D59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9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2" s="148">
        <f>VLOOKUP(woodflow[[#This Row],[From]],woodstock[#All],4,FALSE)</f>
        <v>2021</v>
      </c>
      <c r="G592" s="5" t="str">
        <f>VLOOKUP(woodflow[[#This Row],[From]],woodstock[#All],5,FALSE)</f>
        <v>Global</v>
      </c>
      <c r="H592" s="151" t="str">
        <f>VLOOKUP(woodflow[[#This Row],[From]],woodstock[#All],7,FALSE)</f>
        <v>15</v>
      </c>
      <c r="I592" s="151" t="str">
        <f>VLOOKUP(woodflow[[#This Row],[to]],woodstock[#All],7,FALSE)</f>
        <v>66</v>
      </c>
      <c r="J592" s="151" t="str">
        <f>VLOOKUP(woodflow[[#This Row],[From]],woodstock[#All],8,FALSE)</f>
        <v>0</v>
      </c>
      <c r="K592" s="151" t="str">
        <f>VLOOKUP(woodflow[[#This Row],[to]],woodstock[#All],8,FALSE)</f>
        <v>0</v>
      </c>
      <c r="L592" s="152" t="str">
        <f>VLOOKUP(woodflow[[#This Row],[From]],woodstock[#All],9,FALSE)</f>
        <v>nan</v>
      </c>
      <c r="M592" s="152" t="str">
        <f>VLOOKUP(woodflow[[#This Row],[to]],woodstock[#All],9,FALSE)</f>
        <v>nan</v>
      </c>
      <c r="N592" s="157">
        <f>'faostat-data'!Q41</f>
        <v>0</v>
      </c>
      <c r="O592" s="148" t="s">
        <v>921</v>
      </c>
      <c r="P592" s="148"/>
      <c r="Q592" s="148"/>
    </row>
    <row r="593" spans="1:17" x14ac:dyDescent="0.3">
      <c r="A593" s="5" t="str">
        <f>CONCATENATE("F",IF(B593&lt;&gt;"",COUNTA($B$2:B593),""))</f>
        <v>F372</v>
      </c>
      <c r="B593" s="5" t="s">
        <v>54</v>
      </c>
      <c r="C593" s="5" t="s">
        <v>336</v>
      </c>
      <c r="D59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9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3" s="148">
        <f>VLOOKUP(woodflow[[#This Row],[From]],woodstock[#All],4,FALSE)</f>
        <v>2021</v>
      </c>
      <c r="G593" s="5" t="str">
        <f>VLOOKUP(woodflow[[#This Row],[From]],woodstock[#All],5,FALSE)</f>
        <v>Global</v>
      </c>
      <c r="H593" s="151" t="str">
        <f>VLOOKUP(woodflow[[#This Row],[From]],woodstock[#All],7,FALSE)</f>
        <v>16</v>
      </c>
      <c r="I593" s="151" t="str">
        <f>VLOOKUP(woodflow[[#This Row],[to]],woodstock[#All],7,FALSE)</f>
        <v>66</v>
      </c>
      <c r="J593" s="151" t="str">
        <f>VLOOKUP(woodflow[[#This Row],[From]],woodstock[#All],8,FALSE)</f>
        <v>0</v>
      </c>
      <c r="K593" s="151" t="str">
        <f>VLOOKUP(woodflow[[#This Row],[to]],woodstock[#All],8,FALSE)</f>
        <v>0</v>
      </c>
      <c r="L593" s="152" t="str">
        <f>VLOOKUP(woodflow[[#This Row],[From]],woodstock[#All],9,FALSE)</f>
        <v>nan</v>
      </c>
      <c r="M593" s="152" t="str">
        <f>VLOOKUP(woodflow[[#This Row],[to]],woodstock[#All],9,FALSE)</f>
        <v>nan</v>
      </c>
      <c r="N593" s="157">
        <f>'faostat-data'!Q44</f>
        <v>0</v>
      </c>
      <c r="O593" s="148" t="s">
        <v>921</v>
      </c>
      <c r="P593" s="148"/>
      <c r="Q593" s="148"/>
    </row>
    <row r="594" spans="1:17" x14ac:dyDescent="0.3">
      <c r="A594" s="5" t="str">
        <f>CONCATENATE("F",IF(B594&lt;&gt;"",COUNTA($B$2:B594),""))</f>
        <v>F</v>
      </c>
      <c r="B594" s="5"/>
      <c r="C594" s="5"/>
      <c r="D594" s="149"/>
      <c r="E594" s="149"/>
      <c r="F594" s="148"/>
      <c r="G594" s="5"/>
      <c r="H594" s="151"/>
      <c r="I594" s="151"/>
      <c r="J594" s="151"/>
      <c r="K594" s="151"/>
      <c r="L594" s="152"/>
      <c r="M594" s="152"/>
      <c r="N594" s="157"/>
      <c r="O594" s="148"/>
      <c r="P594" s="148"/>
      <c r="Q594" s="148"/>
    </row>
    <row r="595" spans="1:17" x14ac:dyDescent="0.3">
      <c r="A595" s="5" t="str">
        <f>CONCATENATE("F",IF(B595&lt;&gt;"",COUNTA($B$2:B595),""))</f>
        <v>F</v>
      </c>
      <c r="B595" s="148"/>
      <c r="C595" s="148"/>
      <c r="D595" s="149"/>
      <c r="E595" s="149"/>
      <c r="F595" s="148"/>
      <c r="G595" s="5"/>
      <c r="H595" s="151"/>
      <c r="I595" s="151"/>
      <c r="J595" s="151"/>
      <c r="K595" s="151"/>
      <c r="L595" s="152"/>
      <c r="M595" s="152"/>
      <c r="N595" s="157"/>
      <c r="O595" s="148"/>
      <c r="P595" s="148"/>
      <c r="Q595" s="148"/>
    </row>
    <row r="596" spans="1:17" x14ac:dyDescent="0.3">
      <c r="A596" s="5" t="str">
        <f>CONCATENATE("F",IF(B596&lt;&gt;"",COUNTA($B$2:B596),""))</f>
        <v>F373</v>
      </c>
      <c r="B596" s="5" t="s">
        <v>47</v>
      </c>
      <c r="C596" s="5" t="s">
        <v>336</v>
      </c>
      <c r="D59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9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6" s="148">
        <f>VLOOKUP(woodflow[[#This Row],[From]],woodstock[#All],4,FALSE)</f>
        <v>2021</v>
      </c>
      <c r="G596" s="5" t="str">
        <f>VLOOKUP(woodflow[[#This Row],[From]],woodstock[#All],5,FALSE)</f>
        <v>Global</v>
      </c>
      <c r="H596" s="151" t="str">
        <f>VLOOKUP(woodflow[[#This Row],[From]],woodstock[#All],7,FALSE)</f>
        <v>17</v>
      </c>
      <c r="I596" s="151" t="str">
        <f>VLOOKUP(woodflow[[#This Row],[to]],woodstock[#All],7,FALSE)</f>
        <v>66</v>
      </c>
      <c r="J596" s="151" t="str">
        <f>VLOOKUP(woodflow[[#This Row],[From]],woodstock[#All],8,FALSE)</f>
        <v>0</v>
      </c>
      <c r="K596" s="151" t="str">
        <f>VLOOKUP(woodflow[[#This Row],[to]],woodstock[#All],8,FALSE)</f>
        <v>0</v>
      </c>
      <c r="L596" s="152" t="str">
        <f>VLOOKUP(woodflow[[#This Row],[From]],woodstock[#All],9,FALSE)</f>
        <v>nan</v>
      </c>
      <c r="M596" s="152" t="str">
        <f>VLOOKUP(woodflow[[#This Row],[to]],woodstock[#All],9,FALSE)</f>
        <v>nan</v>
      </c>
      <c r="N596" s="157">
        <f>'faostat-data'!Q38+'faostat-data'!Q50</f>
        <v>0</v>
      </c>
      <c r="O596" s="148" t="s">
        <v>921</v>
      </c>
      <c r="P596" s="148"/>
      <c r="Q596" s="148"/>
    </row>
    <row r="597" spans="1:17" x14ac:dyDescent="0.3">
      <c r="A597" s="5" t="str">
        <f>CONCATENATE("F",IF(B597&lt;&gt;"",COUNTA($B$2:B597),""))</f>
        <v>F</v>
      </c>
      <c r="B597" s="5"/>
      <c r="C597" s="5"/>
      <c r="D597" s="149"/>
      <c r="E597" s="149"/>
      <c r="F597" s="148"/>
      <c r="G597" s="5"/>
      <c r="H597" s="151"/>
      <c r="I597" s="151"/>
      <c r="J597" s="151"/>
      <c r="K597" s="151"/>
      <c r="L597" s="152"/>
      <c r="M597" s="152"/>
      <c r="N597" s="157"/>
      <c r="O597" s="148"/>
      <c r="P597" s="148"/>
      <c r="Q597" s="148"/>
    </row>
    <row r="598" spans="1:17" x14ac:dyDescent="0.3">
      <c r="A598" s="5" t="str">
        <f>CONCATENATE("F",IF(B598&lt;&gt;"",COUNTA($B$2:B598),""))</f>
        <v>F</v>
      </c>
      <c r="B598" s="5"/>
      <c r="C598" s="5"/>
      <c r="D598" s="149"/>
      <c r="E598" s="149"/>
      <c r="F598" s="148"/>
      <c r="G598" s="5"/>
      <c r="H598" s="151"/>
      <c r="I598" s="151"/>
      <c r="J598" s="151"/>
      <c r="K598" s="151"/>
      <c r="L598" s="152"/>
      <c r="M598" s="152"/>
      <c r="N598" s="157"/>
      <c r="O598" s="148"/>
      <c r="P598" s="148"/>
      <c r="Q598" s="148"/>
    </row>
    <row r="599" spans="1:17" x14ac:dyDescent="0.3">
      <c r="A599" s="5" t="str">
        <f>CONCATENATE("F",IF(B599&lt;&gt;"",COUNTA($B$2:B599),""))</f>
        <v>F374</v>
      </c>
      <c r="B599" s="5" t="s">
        <v>48</v>
      </c>
      <c r="C599" s="5" t="s">
        <v>336</v>
      </c>
      <c r="D59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59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599" s="148">
        <f>VLOOKUP(woodflow[[#This Row],[From]],woodstock[#All],4,FALSE)</f>
        <v>2021</v>
      </c>
      <c r="G599" s="5" t="str">
        <f>VLOOKUP(woodflow[[#This Row],[From]],woodstock[#All],5,FALSE)</f>
        <v>Global</v>
      </c>
      <c r="H599" s="151" t="str">
        <f>VLOOKUP(woodflow[[#This Row],[From]],woodstock[#All],7,FALSE)</f>
        <v>10</v>
      </c>
      <c r="I599" s="151" t="str">
        <f>VLOOKUP(woodflow[[#This Row],[to]],woodstock[#All],7,FALSE)</f>
        <v>66</v>
      </c>
      <c r="J599" s="151" t="str">
        <f>VLOOKUP(woodflow[[#This Row],[From]],woodstock[#All],8,FALSE)</f>
        <v>1</v>
      </c>
      <c r="K599" s="151" t="str">
        <f>VLOOKUP(woodflow[[#This Row],[to]],woodstock[#All],8,FALSE)</f>
        <v>0</v>
      </c>
      <c r="L599" s="152" t="str">
        <f>VLOOKUP(woodflow[[#This Row],[From]],woodstock[#All],9,FALSE)</f>
        <v>18-19</v>
      </c>
      <c r="M599" s="152" t="str">
        <f>VLOOKUP(woodflow[[#This Row],[to]],woodstock[#All],9,FALSE)</f>
        <v>nan</v>
      </c>
      <c r="N599" s="157">
        <f>SUM(N600:N601)</f>
        <v>0</v>
      </c>
      <c r="O599" s="148" t="s">
        <v>921</v>
      </c>
      <c r="P599" s="148"/>
      <c r="Q599" s="148"/>
    </row>
    <row r="600" spans="1:17" x14ac:dyDescent="0.3">
      <c r="A600" s="5" t="str">
        <f>CONCATENATE("F",IF(B600&lt;&gt;"",COUNTA($B$2:B600),""))</f>
        <v>F375</v>
      </c>
      <c r="B600" s="5" t="s">
        <v>267</v>
      </c>
      <c r="C600" s="5" t="s">
        <v>336</v>
      </c>
      <c r="D60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0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0" s="148">
        <f>VLOOKUP(woodflow[[#This Row],[From]],woodstock[#All],4,FALSE)</f>
        <v>2021</v>
      </c>
      <c r="G600" s="5" t="str">
        <f>VLOOKUP(woodflow[[#This Row],[From]],woodstock[#All],5,FALSE)</f>
        <v>Global</v>
      </c>
      <c r="H600" s="151" t="str">
        <f>VLOOKUP(woodflow[[#This Row],[From]],woodstock[#All],7,FALSE)</f>
        <v>18</v>
      </c>
      <c r="I600" s="151" t="str">
        <f>VLOOKUP(woodflow[[#This Row],[to]],woodstock[#All],7,FALSE)</f>
        <v>66</v>
      </c>
      <c r="J600" s="151" t="str">
        <f>VLOOKUP(woodflow[[#This Row],[From]],woodstock[#All],8,FALSE)</f>
        <v>0</v>
      </c>
      <c r="K600" s="151" t="str">
        <f>VLOOKUP(woodflow[[#This Row],[to]],woodstock[#All],8,FALSE)</f>
        <v>0</v>
      </c>
      <c r="L600" s="152" t="str">
        <f>VLOOKUP(woodflow[[#This Row],[From]],woodstock[#All],9,FALSE)</f>
        <v>nan</v>
      </c>
      <c r="M600" s="152" t="str">
        <f>VLOOKUP(woodflow[[#This Row],[to]],woodstock[#All],9,FALSE)</f>
        <v>nan</v>
      </c>
      <c r="N600" s="157">
        <f>'faostat-data'!Q53</f>
        <v>0</v>
      </c>
      <c r="O600" s="148" t="s">
        <v>921</v>
      </c>
      <c r="P600" s="148"/>
      <c r="Q600" s="148"/>
    </row>
    <row r="601" spans="1:17" x14ac:dyDescent="0.3">
      <c r="A601" s="5" t="str">
        <f>CONCATENATE("F",IF(B601&lt;&gt;"",COUNTA($B$2:B601),""))</f>
        <v>F376</v>
      </c>
      <c r="B601" s="5" t="s">
        <v>268</v>
      </c>
      <c r="C601" s="5" t="s">
        <v>336</v>
      </c>
      <c r="D60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0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1" s="148">
        <f>VLOOKUP(woodflow[[#This Row],[From]],woodstock[#All],4,FALSE)</f>
        <v>2021</v>
      </c>
      <c r="G601" s="5" t="str">
        <f>VLOOKUP(woodflow[[#This Row],[From]],woodstock[#All],5,FALSE)</f>
        <v>Global</v>
      </c>
      <c r="H601" s="151" t="str">
        <f>VLOOKUP(woodflow[[#This Row],[From]],woodstock[#All],7,FALSE)</f>
        <v>19</v>
      </c>
      <c r="I601" s="151" t="str">
        <f>VLOOKUP(woodflow[[#This Row],[to]],woodstock[#All],7,FALSE)</f>
        <v>66</v>
      </c>
      <c r="J601" s="151" t="str">
        <f>VLOOKUP(woodflow[[#This Row],[From]],woodstock[#All],8,FALSE)</f>
        <v>0</v>
      </c>
      <c r="K601" s="151" t="str">
        <f>VLOOKUP(woodflow[[#This Row],[to]],woodstock[#All],8,FALSE)</f>
        <v>0</v>
      </c>
      <c r="L601" s="152" t="str">
        <f>VLOOKUP(woodflow[[#This Row],[From]],woodstock[#All],9,FALSE)</f>
        <v>nan</v>
      </c>
      <c r="M601" s="152" t="str">
        <f>VLOOKUP(woodflow[[#This Row],[to]],woodstock[#All],9,FALSE)</f>
        <v>nan</v>
      </c>
      <c r="N601" s="157">
        <f>'faostat-data'!Q56</f>
        <v>0</v>
      </c>
      <c r="O601" s="148" t="s">
        <v>921</v>
      </c>
      <c r="P601" s="148"/>
      <c r="Q601" s="148"/>
    </row>
    <row r="602" spans="1:17" x14ac:dyDescent="0.3">
      <c r="A602" s="5" t="str">
        <f>CONCATENATE("F",IF(B602&lt;&gt;"",COUNTA($B$2:B602),""))</f>
        <v>F</v>
      </c>
      <c r="B602" s="148"/>
      <c r="C602" s="148"/>
      <c r="D602" s="149"/>
      <c r="E602" s="149"/>
      <c r="F602" s="148"/>
      <c r="G602" s="5"/>
      <c r="H602" s="151"/>
      <c r="I602" s="151"/>
      <c r="J602" s="151"/>
      <c r="K602" s="151"/>
      <c r="L602" s="152"/>
      <c r="M602" s="152"/>
      <c r="N602" s="157"/>
      <c r="O602" s="148"/>
      <c r="P602" s="148"/>
      <c r="Q602" s="148"/>
    </row>
    <row r="603" spans="1:17" x14ac:dyDescent="0.3">
      <c r="A603" s="5" t="str">
        <f>CONCATENATE("F",IF(B603&lt;&gt;"",COUNTA($B$2:B603),""))</f>
        <v>F</v>
      </c>
      <c r="B603" s="5"/>
      <c r="C603" s="5"/>
      <c r="D603" s="149"/>
      <c r="E603" s="149"/>
      <c r="F603" s="148"/>
      <c r="G603" s="5"/>
      <c r="H603" s="151"/>
      <c r="I603" s="151"/>
      <c r="J603" s="151"/>
      <c r="K603" s="151"/>
      <c r="L603" s="152"/>
      <c r="M603" s="152"/>
      <c r="N603" s="157"/>
      <c r="O603" s="148"/>
      <c r="P603" s="148"/>
      <c r="Q603" s="148"/>
    </row>
    <row r="604" spans="1:17" x14ac:dyDescent="0.3">
      <c r="A604" s="5" t="str">
        <f>CONCATENATE("F",IF(B604&lt;&gt;"",COUNTA($B$2:B604),""))</f>
        <v>F377</v>
      </c>
      <c r="B604" s="5" t="s">
        <v>49</v>
      </c>
      <c r="C604" s="5" t="s">
        <v>336</v>
      </c>
      <c r="D60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0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4" s="148">
        <f>VLOOKUP(woodflow[[#This Row],[From]],woodstock[#All],4,FALSE)</f>
        <v>2021</v>
      </c>
      <c r="G604" s="5" t="str">
        <f>VLOOKUP(woodflow[[#This Row],[From]],woodstock[#All],5,FALSE)</f>
        <v>Global</v>
      </c>
      <c r="H604" s="151" t="str">
        <f>VLOOKUP(woodflow[[#This Row],[From]],woodstock[#All],7,FALSE)</f>
        <v>20</v>
      </c>
      <c r="I604" s="151" t="str">
        <f>VLOOKUP(woodflow[[#This Row],[to]],woodstock[#All],7,FALSE)</f>
        <v>66</v>
      </c>
      <c r="J604" s="151" t="str">
        <f>VLOOKUP(woodflow[[#This Row],[From]],woodstock[#All],8,FALSE)</f>
        <v>0</v>
      </c>
      <c r="K604" s="151" t="str">
        <f>VLOOKUP(woodflow[[#This Row],[to]],woodstock[#All],8,FALSE)</f>
        <v>0</v>
      </c>
      <c r="L604" s="152" t="str">
        <f>VLOOKUP(woodflow[[#This Row],[From]],woodstock[#All],9,FALSE)</f>
        <v>nan</v>
      </c>
      <c r="M604" s="152" t="str">
        <f>VLOOKUP(woodflow[[#This Row],[to]],woodstock[#All],9,FALSE)</f>
        <v>nan</v>
      </c>
      <c r="N604" s="157">
        <f>'faostat-data'!Q59</f>
        <v>0</v>
      </c>
      <c r="O604" s="148" t="s">
        <v>921</v>
      </c>
      <c r="P604" s="148"/>
      <c r="Q604" s="148"/>
    </row>
    <row r="605" spans="1:17" x14ac:dyDescent="0.3">
      <c r="A605" s="5" t="str">
        <f>CONCATENATE("F",IF(B605&lt;&gt;"",COUNTA($B$2:B605),""))</f>
        <v>F</v>
      </c>
      <c r="B605" s="148"/>
      <c r="C605" s="148"/>
      <c r="D605" s="149"/>
      <c r="E605" s="149"/>
      <c r="F605" s="148"/>
      <c r="G605" s="5"/>
      <c r="H605" s="151"/>
      <c r="I605" s="151"/>
      <c r="J605" s="151"/>
      <c r="K605" s="151"/>
      <c r="L605" s="152"/>
      <c r="M605" s="152"/>
      <c r="N605" s="157"/>
      <c r="O605" s="148"/>
      <c r="P605" s="148"/>
      <c r="Q605" s="155"/>
    </row>
    <row r="606" spans="1:17" x14ac:dyDescent="0.3">
      <c r="A606" s="5" t="str">
        <f>CONCATENATE("F",IF(B606&lt;&gt;"",COUNTA($B$2:B606),""))</f>
        <v>F</v>
      </c>
      <c r="B606" s="5"/>
      <c r="C606" s="5"/>
      <c r="D606" s="149"/>
      <c r="E606" s="149"/>
      <c r="F606" s="148"/>
      <c r="G606" s="5"/>
      <c r="H606" s="151"/>
      <c r="I606" s="151"/>
      <c r="J606" s="151"/>
      <c r="K606" s="151"/>
      <c r="L606" s="152"/>
      <c r="M606" s="152"/>
      <c r="N606" s="157"/>
      <c r="O606" s="148"/>
      <c r="P606" s="148"/>
      <c r="Q606" s="148"/>
    </row>
    <row r="607" spans="1:17" x14ac:dyDescent="0.3">
      <c r="A607" s="5" t="str">
        <f>CONCATENATE("F",IF(B607&lt;&gt;"",COUNTA($B$2:B607),""))</f>
        <v>F378</v>
      </c>
      <c r="B607" s="5" t="s">
        <v>52</v>
      </c>
      <c r="C607" s="5" t="s">
        <v>336</v>
      </c>
      <c r="D60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0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7" s="148">
        <f>VLOOKUP(woodflow[[#This Row],[From]],woodstock[#All],4,FALSE)</f>
        <v>2021</v>
      </c>
      <c r="G607" s="5" t="str">
        <f>VLOOKUP(woodflow[[#This Row],[From]],woodstock[#All],5,FALSE)</f>
        <v>Global</v>
      </c>
      <c r="H607" s="151" t="str">
        <f>VLOOKUP(woodflow[[#This Row],[From]],woodstock[#All],7,FALSE)</f>
        <v>11</v>
      </c>
      <c r="I607" s="151" t="str">
        <f>VLOOKUP(woodflow[[#This Row],[to]],woodstock[#All],7,FALSE)</f>
        <v>66</v>
      </c>
      <c r="J607" s="151" t="str">
        <f>VLOOKUP(woodflow[[#This Row],[From]],woodstock[#All],8,FALSE)</f>
        <v>1</v>
      </c>
      <c r="K607" s="151" t="str">
        <f>VLOOKUP(woodflow[[#This Row],[to]],woodstock[#All],8,FALSE)</f>
        <v>0</v>
      </c>
      <c r="L607" s="152" t="str">
        <f>VLOOKUP(woodflow[[#This Row],[From]],woodstock[#All],9,FALSE)</f>
        <v>21-22-23-24-25-26</v>
      </c>
      <c r="M607" s="152" t="str">
        <f>VLOOKUP(woodflow[[#This Row],[to]],woodstock[#All],9,FALSE)</f>
        <v>nan</v>
      </c>
      <c r="N607" s="157">
        <f>+SUM(N608:N613)</f>
        <v>0</v>
      </c>
      <c r="O607" s="148" t="s">
        <v>921</v>
      </c>
      <c r="P607" s="148"/>
      <c r="Q607" s="148"/>
    </row>
    <row r="608" spans="1:17" x14ac:dyDescent="0.3">
      <c r="A608" s="5" t="str">
        <f>CONCATENATE("F",IF(B608&lt;&gt;"",COUNTA($B$2:B608),""))</f>
        <v>F379</v>
      </c>
      <c r="B608" s="5" t="s">
        <v>44</v>
      </c>
      <c r="C608" s="5" t="s">
        <v>336</v>
      </c>
      <c r="D60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0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8" s="148">
        <f>VLOOKUP(woodflow[[#This Row],[From]],woodstock[#All],4,FALSE)</f>
        <v>2021</v>
      </c>
      <c r="G608" s="5" t="str">
        <f>VLOOKUP(woodflow[[#This Row],[From]],woodstock[#All],5,FALSE)</f>
        <v>Global</v>
      </c>
      <c r="H608" s="151" t="str">
        <f>VLOOKUP(woodflow[[#This Row],[From]],woodstock[#All],7,FALSE)</f>
        <v>21</v>
      </c>
      <c r="I608" s="151" t="str">
        <f>VLOOKUP(woodflow[[#This Row],[to]],woodstock[#All],7,FALSE)</f>
        <v>66</v>
      </c>
      <c r="J608" s="151" t="str">
        <f>VLOOKUP(woodflow[[#This Row],[From]],woodstock[#All],8,FALSE)</f>
        <v>0</v>
      </c>
      <c r="K608" s="151" t="str">
        <f>VLOOKUP(woodflow[[#This Row],[to]],woodstock[#All],8,FALSE)</f>
        <v>0</v>
      </c>
      <c r="L608" s="152" t="str">
        <f>VLOOKUP(woodflow[[#This Row],[From]],woodstock[#All],9,FALSE)</f>
        <v>nan</v>
      </c>
      <c r="M608" s="152" t="str">
        <f>VLOOKUP(woodflow[[#This Row],[to]],woodstock[#All],9,FALSE)</f>
        <v>nan</v>
      </c>
      <c r="N608" s="157">
        <f>'faostat-data'!Q62</f>
        <v>0</v>
      </c>
      <c r="O608" s="148" t="s">
        <v>921</v>
      </c>
      <c r="P608" s="148"/>
      <c r="Q608" s="148"/>
    </row>
    <row r="609" spans="1:17" x14ac:dyDescent="0.3">
      <c r="A609" s="5" t="str">
        <f>CONCATENATE("F",IF(B609&lt;&gt;"",COUNTA($B$2:B609),""))</f>
        <v>F380</v>
      </c>
      <c r="B609" s="5" t="s">
        <v>45</v>
      </c>
      <c r="C609" s="5" t="s">
        <v>336</v>
      </c>
      <c r="D60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0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09" s="148">
        <f>VLOOKUP(woodflow[[#This Row],[From]],woodstock[#All],4,FALSE)</f>
        <v>2021</v>
      </c>
      <c r="G609" s="5" t="str">
        <f>VLOOKUP(woodflow[[#This Row],[From]],woodstock[#All],5,FALSE)</f>
        <v>Global</v>
      </c>
      <c r="H609" s="151" t="str">
        <f>VLOOKUP(woodflow[[#This Row],[From]],woodstock[#All],7,FALSE)</f>
        <v>22</v>
      </c>
      <c r="I609" s="151" t="str">
        <f>VLOOKUP(woodflow[[#This Row],[to]],woodstock[#All],7,FALSE)</f>
        <v>66</v>
      </c>
      <c r="J609" s="151" t="str">
        <f>VLOOKUP(woodflow[[#This Row],[From]],woodstock[#All],8,FALSE)</f>
        <v>0</v>
      </c>
      <c r="K609" s="151" t="str">
        <f>VLOOKUP(woodflow[[#This Row],[to]],woodstock[#All],8,FALSE)</f>
        <v>0</v>
      </c>
      <c r="L609" s="152" t="str">
        <f>VLOOKUP(woodflow[[#This Row],[From]],woodstock[#All],9,FALSE)</f>
        <v>nan</v>
      </c>
      <c r="M609" s="152" t="str">
        <f>VLOOKUP(woodflow[[#This Row],[to]],woodstock[#All],9,FALSE)</f>
        <v>nan</v>
      </c>
      <c r="N609" s="157">
        <f>'faostat-data'!Q68</f>
        <v>0</v>
      </c>
      <c r="O609" s="148" t="s">
        <v>921</v>
      </c>
      <c r="P609" s="148"/>
      <c r="Q609" s="148"/>
    </row>
    <row r="610" spans="1:17" x14ac:dyDescent="0.3">
      <c r="A610" s="5" t="str">
        <f>CONCATENATE("F",IF(B610&lt;&gt;"",COUNTA($B$2:B610),""))</f>
        <v>F381</v>
      </c>
      <c r="B610" s="5" t="s">
        <v>76</v>
      </c>
      <c r="C610" s="5" t="s">
        <v>336</v>
      </c>
      <c r="D61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1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0" s="148">
        <f>VLOOKUP(woodflow[[#This Row],[From]],woodstock[#All],4,FALSE)</f>
        <v>2021</v>
      </c>
      <c r="G610" s="5" t="str">
        <f>VLOOKUP(woodflow[[#This Row],[From]],woodstock[#All],5,FALSE)</f>
        <v>Global</v>
      </c>
      <c r="H610" s="151" t="str">
        <f>VLOOKUP(woodflow[[#This Row],[From]],woodstock[#All],7,FALSE)</f>
        <v>23</v>
      </c>
      <c r="I610" s="151" t="str">
        <f>VLOOKUP(woodflow[[#This Row],[to]],woodstock[#All],7,FALSE)</f>
        <v>66</v>
      </c>
      <c r="J610" s="151" t="str">
        <f>VLOOKUP(woodflow[[#This Row],[From]],woodstock[#All],8,FALSE)</f>
        <v>0</v>
      </c>
      <c r="K610" s="151" t="str">
        <f>VLOOKUP(woodflow[[#This Row],[to]],woodstock[#All],8,FALSE)</f>
        <v>0</v>
      </c>
      <c r="L610" s="152" t="str">
        <f>VLOOKUP(woodflow[[#This Row],[From]],woodstock[#All],9,FALSE)</f>
        <v>nan</v>
      </c>
      <c r="M610" s="152" t="str">
        <f>VLOOKUP(woodflow[[#This Row],[to]],woodstock[#All],9,FALSE)</f>
        <v>nan</v>
      </c>
      <c r="N610" s="157">
        <f>'faostat-data'!Q71</f>
        <v>0</v>
      </c>
      <c r="O610" s="148" t="s">
        <v>921</v>
      </c>
      <c r="P610" s="148"/>
      <c r="Q610" s="148"/>
    </row>
    <row r="611" spans="1:17" x14ac:dyDescent="0.3">
      <c r="A611" s="5" t="str">
        <f>CONCATENATE("F",IF(B611&lt;&gt;"",COUNTA($B$2:B611),""))</f>
        <v>F382</v>
      </c>
      <c r="B611" s="5" t="s">
        <v>176</v>
      </c>
      <c r="C611" s="5" t="s">
        <v>336</v>
      </c>
      <c r="D61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1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1" s="148">
        <f>VLOOKUP(woodflow[[#This Row],[From]],woodstock[#All],4,FALSE)</f>
        <v>2021</v>
      </c>
      <c r="G611" s="5" t="str">
        <f>VLOOKUP(woodflow[[#This Row],[From]],woodstock[#All],5,FALSE)</f>
        <v>Global</v>
      </c>
      <c r="H611" s="151" t="str">
        <f>VLOOKUP(woodflow[[#This Row],[From]],woodstock[#All],7,FALSE)</f>
        <v>24</v>
      </c>
      <c r="I611" s="151" t="str">
        <f>VLOOKUP(woodflow[[#This Row],[to]],woodstock[#All],7,FALSE)</f>
        <v>66</v>
      </c>
      <c r="J611" s="151" t="str">
        <f>VLOOKUP(woodflow[[#This Row],[From]],woodstock[#All],8,FALSE)</f>
        <v>0</v>
      </c>
      <c r="K611" s="151" t="str">
        <f>VLOOKUP(woodflow[[#This Row],[to]],woodstock[#All],8,FALSE)</f>
        <v>0</v>
      </c>
      <c r="L611" s="152" t="str">
        <f>VLOOKUP(woodflow[[#This Row],[From]],woodstock[#All],9,FALSE)</f>
        <v>nan</v>
      </c>
      <c r="M611" s="152" t="str">
        <f>VLOOKUP(woodflow[[#This Row],[to]],woodstock[#All],9,FALSE)</f>
        <v>nan</v>
      </c>
      <c r="N611" s="157">
        <f>'faostat-data'!Q74</f>
        <v>0</v>
      </c>
      <c r="O611" s="148" t="s">
        <v>921</v>
      </c>
      <c r="P611" s="148"/>
      <c r="Q611" s="148"/>
    </row>
    <row r="612" spans="1:17" x14ac:dyDescent="0.3">
      <c r="A612" s="5" t="str">
        <f>CONCATENATE("F",IF(B612&lt;&gt;"",COUNTA($B$2:B612),""))</f>
        <v>F383</v>
      </c>
      <c r="B612" s="5" t="s">
        <v>205</v>
      </c>
      <c r="C612" s="5" t="s">
        <v>336</v>
      </c>
      <c r="D612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12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2" s="148">
        <f>VLOOKUP(woodflow[[#This Row],[From]],woodstock[#All],4,FALSE)</f>
        <v>2021</v>
      </c>
      <c r="G612" s="5" t="str">
        <f>VLOOKUP(woodflow[[#This Row],[From]],woodstock[#All],5,FALSE)</f>
        <v>Global</v>
      </c>
      <c r="H612" s="151" t="str">
        <f>VLOOKUP(woodflow[[#This Row],[From]],woodstock[#All],7,FALSE)</f>
        <v>25</v>
      </c>
      <c r="I612" s="151" t="str">
        <f>VLOOKUP(woodflow[[#This Row],[to]],woodstock[#All],7,FALSE)</f>
        <v>66</v>
      </c>
      <c r="J612" s="151" t="str">
        <f>VLOOKUP(woodflow[[#This Row],[From]],woodstock[#All],8,FALSE)</f>
        <v>0</v>
      </c>
      <c r="K612" s="151" t="str">
        <f>VLOOKUP(woodflow[[#This Row],[to]],woodstock[#All],8,FALSE)</f>
        <v>0</v>
      </c>
      <c r="L612" s="152" t="str">
        <f>VLOOKUP(woodflow[[#This Row],[From]],woodstock[#All],9,FALSE)</f>
        <v>nan</v>
      </c>
      <c r="M612" s="152" t="str">
        <f>VLOOKUP(woodflow[[#This Row],[to]],woodstock[#All],9,FALSE)</f>
        <v>nan</v>
      </c>
      <c r="N612" s="157">
        <f>'faostat-data'!Q77</f>
        <v>0</v>
      </c>
      <c r="O612" s="148" t="s">
        <v>921</v>
      </c>
      <c r="P612" s="148"/>
      <c r="Q612" s="148"/>
    </row>
    <row r="613" spans="1:17" x14ac:dyDescent="0.3">
      <c r="A613" s="5" t="str">
        <f>CONCATENATE("F",IF(B613&lt;&gt;"",COUNTA($B$2:B613),""))</f>
        <v>F384</v>
      </c>
      <c r="B613" s="5" t="s">
        <v>75</v>
      </c>
      <c r="C613" s="5" t="s">
        <v>336</v>
      </c>
      <c r="D61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1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3" s="148">
        <f>VLOOKUP(woodflow[[#This Row],[From]],woodstock[#All],4,FALSE)</f>
        <v>2021</v>
      </c>
      <c r="G613" s="5" t="str">
        <f>VLOOKUP(woodflow[[#This Row],[From]],woodstock[#All],5,FALSE)</f>
        <v>Global</v>
      </c>
      <c r="H613" s="151" t="str">
        <f>VLOOKUP(woodflow[[#This Row],[From]],woodstock[#All],7,FALSE)</f>
        <v>26</v>
      </c>
      <c r="I613" s="151" t="str">
        <f>VLOOKUP(woodflow[[#This Row],[to]],woodstock[#All],7,FALSE)</f>
        <v>66</v>
      </c>
      <c r="J613" s="151" t="str">
        <f>VLOOKUP(woodflow[[#This Row],[From]],woodstock[#All],8,FALSE)</f>
        <v>0</v>
      </c>
      <c r="K613" s="151" t="str">
        <f>VLOOKUP(woodflow[[#This Row],[to]],woodstock[#All],8,FALSE)</f>
        <v>0</v>
      </c>
      <c r="L613" s="152" t="str">
        <f>VLOOKUP(woodflow[[#This Row],[From]],woodstock[#All],9,FALSE)</f>
        <v>nan</v>
      </c>
      <c r="M613" s="152" t="str">
        <f>VLOOKUP(woodflow[[#This Row],[to]],woodstock[#All],9,FALSE)</f>
        <v>nan</v>
      </c>
      <c r="N613" s="157">
        <f>'faostat-data'!Q80</f>
        <v>0</v>
      </c>
      <c r="O613" s="148" t="s">
        <v>921</v>
      </c>
      <c r="P613" s="148"/>
      <c r="Q613" s="148"/>
    </row>
    <row r="614" spans="1:17" x14ac:dyDescent="0.3">
      <c r="A614" s="5" t="str">
        <f>CONCATENATE("F",IF(B614&lt;&gt;"",COUNTA($B$2:B614),""))</f>
        <v>F</v>
      </c>
      <c r="B614" s="148"/>
      <c r="C614" s="148"/>
      <c r="D614" s="149"/>
      <c r="E614" s="149"/>
      <c r="F614" s="148"/>
      <c r="G614" s="5"/>
      <c r="H614" s="151"/>
      <c r="I614" s="151"/>
      <c r="J614" s="151"/>
      <c r="K614" s="151"/>
      <c r="L614" s="152"/>
      <c r="M614" s="152"/>
      <c r="N614" s="157"/>
      <c r="O614" s="148"/>
      <c r="P614" s="148"/>
      <c r="Q614" s="148"/>
    </row>
    <row r="615" spans="1:17" x14ac:dyDescent="0.3">
      <c r="A615" s="5" t="str">
        <f>CONCATENATE("F",IF(B615&lt;&gt;"",COUNTA($B$2:B615),""))</f>
        <v>F</v>
      </c>
      <c r="B615" s="5"/>
      <c r="C615" s="5"/>
      <c r="D615" s="149"/>
      <c r="E615" s="149"/>
      <c r="F615" s="148"/>
      <c r="G615" s="5"/>
      <c r="H615" s="151"/>
      <c r="I615" s="151"/>
      <c r="J615" s="151"/>
      <c r="K615" s="151"/>
      <c r="L615" s="152"/>
      <c r="M615" s="152"/>
      <c r="N615" s="157"/>
      <c r="O615" s="148"/>
      <c r="P615" s="148"/>
      <c r="Q615" s="148"/>
    </row>
    <row r="616" spans="1:17" x14ac:dyDescent="0.3">
      <c r="A616" s="5" t="str">
        <f>CONCATENATE("F",IF(B616&lt;&gt;"",COUNTA($B$2:B616),""))</f>
        <v>F385</v>
      </c>
      <c r="B616" s="5" t="s">
        <v>42</v>
      </c>
      <c r="C616" s="5" t="s">
        <v>336</v>
      </c>
      <c r="D61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1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6" s="148">
        <f>VLOOKUP(woodflow[[#This Row],[From]],woodstock[#All],4,FALSE)</f>
        <v>2021</v>
      </c>
      <c r="G616" s="5" t="str">
        <f>VLOOKUP(woodflow[[#This Row],[From]],woodstock[#All],5,FALSE)</f>
        <v>Global</v>
      </c>
      <c r="H616" s="151" t="str">
        <f>VLOOKUP(woodflow[[#This Row],[From]],woodstock[#All],7,FALSE)</f>
        <v>13</v>
      </c>
      <c r="I616" s="151" t="str">
        <f>VLOOKUP(woodflow[[#This Row],[to]],woodstock[#All],7,FALSE)</f>
        <v>66</v>
      </c>
      <c r="J616" s="151" t="str">
        <f>VLOOKUP(woodflow[[#This Row],[From]],woodstock[#All],8,FALSE)</f>
        <v>1</v>
      </c>
      <c r="K616" s="151" t="str">
        <f>VLOOKUP(woodflow[[#This Row],[to]],woodstock[#All],8,FALSE)</f>
        <v>0</v>
      </c>
      <c r="L616" s="152" t="str">
        <f>VLOOKUP(woodflow[[#This Row],[From]],woodstock[#All],9,FALSE)</f>
        <v>27-28-29-30</v>
      </c>
      <c r="M616" s="152" t="str">
        <f>VLOOKUP(woodflow[[#This Row],[to]],woodstock[#All],9,FALSE)</f>
        <v>nan</v>
      </c>
      <c r="N616" s="157">
        <f>SUM(N617:N620)</f>
        <v>0</v>
      </c>
      <c r="O616" s="148" t="s">
        <v>921</v>
      </c>
      <c r="P616" s="148"/>
      <c r="Q616" s="148"/>
    </row>
    <row r="617" spans="1:17" x14ac:dyDescent="0.3">
      <c r="A617" s="5" t="str">
        <f>CONCATENATE("F",IF(B617&lt;&gt;"",COUNTA($B$2:B617),""))</f>
        <v>F386</v>
      </c>
      <c r="B617" s="5" t="s">
        <v>70</v>
      </c>
      <c r="C617" s="5" t="s">
        <v>336</v>
      </c>
      <c r="D61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1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7" s="148">
        <f>VLOOKUP(woodflow[[#This Row],[From]],woodstock[#All],4,FALSE)</f>
        <v>2021</v>
      </c>
      <c r="G617" s="5" t="str">
        <f>VLOOKUP(woodflow[[#This Row],[From]],woodstock[#All],5,FALSE)</f>
        <v>Global</v>
      </c>
      <c r="H617" s="151" t="str">
        <f>VLOOKUP(woodflow[[#This Row],[From]],woodstock[#All],7,FALSE)</f>
        <v>27</v>
      </c>
      <c r="I617" s="151" t="str">
        <f>VLOOKUP(woodflow[[#This Row],[to]],woodstock[#All],7,FALSE)</f>
        <v>66</v>
      </c>
      <c r="J617" s="151" t="str">
        <f>VLOOKUP(woodflow[[#This Row],[From]],woodstock[#All],8,FALSE)</f>
        <v>0</v>
      </c>
      <c r="K617" s="151" t="str">
        <f>VLOOKUP(woodflow[[#This Row],[to]],woodstock[#All],8,FALSE)</f>
        <v>0</v>
      </c>
      <c r="L617" s="152" t="str">
        <f>VLOOKUP(woodflow[[#This Row],[From]],woodstock[#All],9,FALSE)</f>
        <v>nan</v>
      </c>
      <c r="M617" s="152" t="str">
        <f>VLOOKUP(woodflow[[#This Row],[to]],woodstock[#All],9,FALSE)</f>
        <v>nan</v>
      </c>
      <c r="N617" s="157">
        <f>'faostat-data'!Q86</f>
        <v>0</v>
      </c>
      <c r="O617" s="148" t="s">
        <v>921</v>
      </c>
      <c r="P617" s="148"/>
      <c r="Q617" s="148"/>
    </row>
    <row r="618" spans="1:17" x14ac:dyDescent="0.3">
      <c r="A618" s="5" t="str">
        <f>CONCATENATE("F",IF(B618&lt;&gt;"",COUNTA($B$2:B618),""))</f>
        <v>F387</v>
      </c>
      <c r="B618" s="5" t="s">
        <v>71</v>
      </c>
      <c r="C618" s="5" t="s">
        <v>336</v>
      </c>
      <c r="D61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1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8" s="148">
        <f>VLOOKUP(woodflow[[#This Row],[From]],woodstock[#All],4,FALSE)</f>
        <v>2021</v>
      </c>
      <c r="G618" s="5" t="str">
        <f>VLOOKUP(woodflow[[#This Row],[From]],woodstock[#All],5,FALSE)</f>
        <v>Global</v>
      </c>
      <c r="H618" s="151" t="str">
        <f>VLOOKUP(woodflow[[#This Row],[From]],woodstock[#All],7,FALSE)</f>
        <v>28</v>
      </c>
      <c r="I618" s="151" t="str">
        <f>VLOOKUP(woodflow[[#This Row],[to]],woodstock[#All],7,FALSE)</f>
        <v>66</v>
      </c>
      <c r="J618" s="151" t="str">
        <f>VLOOKUP(woodflow[[#This Row],[From]],woodstock[#All],8,FALSE)</f>
        <v>0</v>
      </c>
      <c r="K618" s="151" t="str">
        <f>VLOOKUP(woodflow[[#This Row],[to]],woodstock[#All],8,FALSE)</f>
        <v>0</v>
      </c>
      <c r="L618" s="152" t="str">
        <f>VLOOKUP(woodflow[[#This Row],[From]],woodstock[#All],9,FALSE)</f>
        <v>nan</v>
      </c>
      <c r="M618" s="152" t="str">
        <f>VLOOKUP(woodflow[[#This Row],[to]],woodstock[#All],9,FALSE)</f>
        <v>nan</v>
      </c>
      <c r="N618" s="157">
        <f>'faostat-data'!Q95</f>
        <v>0</v>
      </c>
      <c r="O618" s="148" t="s">
        <v>921</v>
      </c>
      <c r="P618" s="148"/>
      <c r="Q618" s="148"/>
    </row>
    <row r="619" spans="1:17" x14ac:dyDescent="0.3">
      <c r="A619" s="5" t="str">
        <f>CONCATENATE("F",IF(B619&lt;&gt;"",COUNTA($B$2:B619),""))</f>
        <v>F388</v>
      </c>
      <c r="B619" s="5" t="s">
        <v>72</v>
      </c>
      <c r="C619" s="5" t="s">
        <v>336</v>
      </c>
      <c r="D61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1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19" s="148">
        <f>VLOOKUP(woodflow[[#This Row],[From]],woodstock[#All],4,FALSE)</f>
        <v>2021</v>
      </c>
      <c r="G619" s="5" t="str">
        <f>VLOOKUP(woodflow[[#This Row],[From]],woodstock[#All],5,FALSE)</f>
        <v>Global</v>
      </c>
      <c r="H619" s="151" t="str">
        <f>VLOOKUP(woodflow[[#This Row],[From]],woodstock[#All],7,FALSE)</f>
        <v>29</v>
      </c>
      <c r="I619" s="151" t="str">
        <f>VLOOKUP(woodflow[[#This Row],[to]],woodstock[#All],7,FALSE)</f>
        <v>66</v>
      </c>
      <c r="J619" s="151" t="str">
        <f>VLOOKUP(woodflow[[#This Row],[From]],woodstock[#All],8,FALSE)</f>
        <v>0</v>
      </c>
      <c r="K619" s="151" t="str">
        <f>VLOOKUP(woodflow[[#This Row],[to]],woodstock[#All],8,FALSE)</f>
        <v>0</v>
      </c>
      <c r="L619" s="152" t="str">
        <f>VLOOKUP(woodflow[[#This Row],[From]],woodstock[#All],9,FALSE)</f>
        <v>nan</v>
      </c>
      <c r="M619" s="152" t="str">
        <f>VLOOKUP(woodflow[[#This Row],[to]],woodstock[#All],9,FALSE)</f>
        <v>nan</v>
      </c>
      <c r="N619" s="157">
        <f>'faostat-data'!Q113</f>
        <v>0</v>
      </c>
      <c r="O619" s="148" t="s">
        <v>921</v>
      </c>
      <c r="P619" s="148"/>
      <c r="Q619" s="148"/>
    </row>
    <row r="620" spans="1:17" x14ac:dyDescent="0.3">
      <c r="A620" s="5" t="str">
        <f>CONCATENATE("F",IF(B620&lt;&gt;"",COUNTA($B$2:B620),""))</f>
        <v>F389</v>
      </c>
      <c r="B620" s="5" t="s">
        <v>77</v>
      </c>
      <c r="C620" s="5" t="s">
        <v>336</v>
      </c>
      <c r="D62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2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0" s="148">
        <f>VLOOKUP(woodflow[[#This Row],[From]],woodstock[#All],4,FALSE)</f>
        <v>2021</v>
      </c>
      <c r="G620" s="5" t="str">
        <f>VLOOKUP(woodflow[[#This Row],[From]],woodstock[#All],5,FALSE)</f>
        <v>Global</v>
      </c>
      <c r="H620" s="151" t="str">
        <f>VLOOKUP(woodflow[[#This Row],[From]],woodstock[#All],7,FALSE)</f>
        <v>30</v>
      </c>
      <c r="I620" s="151" t="str">
        <f>VLOOKUP(woodflow[[#This Row],[to]],woodstock[#All],7,FALSE)</f>
        <v>66</v>
      </c>
      <c r="J620" s="151" t="str">
        <f>VLOOKUP(woodflow[[#This Row],[From]],woodstock[#All],8,FALSE)</f>
        <v>0</v>
      </c>
      <c r="K620" s="151" t="str">
        <f>VLOOKUP(woodflow[[#This Row],[to]],woodstock[#All],8,FALSE)</f>
        <v>0</v>
      </c>
      <c r="L620" s="152" t="str">
        <f>VLOOKUP(woodflow[[#This Row],[From]],woodstock[#All],9,FALSE)</f>
        <v>nan</v>
      </c>
      <c r="M620" s="152" t="str">
        <f>VLOOKUP(woodflow[[#This Row],[to]],woodstock[#All],9,FALSE)</f>
        <v>nan</v>
      </c>
      <c r="N620" s="157">
        <f>'faostat-data'!Q119</f>
        <v>0</v>
      </c>
      <c r="O620" s="148" t="s">
        <v>921</v>
      </c>
      <c r="P620" s="148"/>
      <c r="Q620" s="148"/>
    </row>
    <row r="621" spans="1:17" x14ac:dyDescent="0.3">
      <c r="A621" s="5" t="str">
        <f>CONCATENATE("F",IF(B621&lt;&gt;"",COUNTA($B$2:B621),""))</f>
        <v>F</v>
      </c>
      <c r="B621" s="148"/>
      <c r="C621" s="148"/>
      <c r="D621" s="149"/>
      <c r="E621" s="149"/>
      <c r="F621" s="148"/>
      <c r="G621" s="5"/>
      <c r="H621" s="151"/>
      <c r="I621" s="151"/>
      <c r="J621" s="151"/>
      <c r="K621" s="151"/>
      <c r="L621" s="152"/>
      <c r="M621" s="152"/>
      <c r="N621" s="157"/>
      <c r="O621" s="148"/>
      <c r="P621" s="148"/>
      <c r="Q621" s="148"/>
    </row>
    <row r="622" spans="1:17" x14ac:dyDescent="0.3">
      <c r="A622" s="5" t="str">
        <f>CONCATENATE("F",IF(B622&lt;&gt;"",COUNTA($B$2:B622),""))</f>
        <v>F</v>
      </c>
      <c r="B622" s="5"/>
      <c r="C622" s="5"/>
      <c r="D622" s="149"/>
      <c r="E622" s="149"/>
      <c r="F622" s="148"/>
      <c r="G622" s="5"/>
      <c r="H622" s="151"/>
      <c r="I622" s="151"/>
      <c r="J622" s="151"/>
      <c r="K622" s="151"/>
      <c r="L622" s="152"/>
      <c r="M622" s="152"/>
      <c r="N622" s="157"/>
      <c r="O622" s="148"/>
      <c r="P622" s="148"/>
      <c r="Q622" s="148"/>
    </row>
    <row r="623" spans="1:17" x14ac:dyDescent="0.3">
      <c r="A623" s="5" t="str">
        <f>CONCATENATE("F",IF(B623&lt;&gt;"",COUNTA($B$2:B623),""))</f>
        <v>F390</v>
      </c>
      <c r="B623" s="5" t="s">
        <v>43</v>
      </c>
      <c r="C623" s="5" t="s">
        <v>336</v>
      </c>
      <c r="D62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2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3" s="148">
        <f>VLOOKUP(woodflow[[#This Row],[From]],woodstock[#All],4,FALSE)</f>
        <v>2021</v>
      </c>
      <c r="G623" s="5" t="str">
        <f>VLOOKUP(woodflow[[#This Row],[From]],woodstock[#All],5,FALSE)</f>
        <v>Global</v>
      </c>
      <c r="H623" s="151" t="str">
        <f>VLOOKUP(woodflow[[#This Row],[From]],woodstock[#All],7,FALSE)</f>
        <v>31</v>
      </c>
      <c r="I623" s="151" t="str">
        <f>VLOOKUP(woodflow[[#This Row],[to]],woodstock[#All],7,FALSE)</f>
        <v>66</v>
      </c>
      <c r="J623" s="151" t="str">
        <f>VLOOKUP(woodflow[[#This Row],[From]],woodstock[#All],8,FALSE)</f>
        <v>0</v>
      </c>
      <c r="K623" s="151" t="str">
        <f>VLOOKUP(woodflow[[#This Row],[to]],woodstock[#All],8,FALSE)</f>
        <v>0</v>
      </c>
      <c r="L623" s="152" t="str">
        <f>VLOOKUP(woodflow[[#This Row],[From]],woodstock[#All],9,FALSE)</f>
        <v>nan</v>
      </c>
      <c r="M623" s="152" t="str">
        <f>VLOOKUP(woodflow[[#This Row],[to]],woodstock[#All],9,FALSE)</f>
        <v>nan</v>
      </c>
      <c r="N623" s="157">
        <f>'faostat-data'!Q116</f>
        <v>0</v>
      </c>
      <c r="O623" s="148" t="s">
        <v>921</v>
      </c>
      <c r="P623" s="148"/>
      <c r="Q623" s="148"/>
    </row>
    <row r="624" spans="1:17" x14ac:dyDescent="0.3">
      <c r="A624" s="5" t="str">
        <f>CONCATENATE("F",IF(B624&lt;&gt;"",COUNTA($B$2:B624),""))</f>
        <v>F</v>
      </c>
      <c r="B624" s="148"/>
      <c r="C624" s="148"/>
      <c r="D624" s="149"/>
      <c r="E624" s="149"/>
      <c r="F624" s="148"/>
      <c r="G624" s="5"/>
      <c r="H624" s="151"/>
      <c r="I624" s="151"/>
      <c r="J624" s="151"/>
      <c r="K624" s="151"/>
      <c r="L624" s="152"/>
      <c r="M624" s="152"/>
      <c r="N624" s="157"/>
      <c r="O624" s="148"/>
      <c r="P624" s="148"/>
      <c r="Q624" s="148"/>
    </row>
    <row r="625" spans="1:17" x14ac:dyDescent="0.3">
      <c r="A625" s="5" t="str">
        <f>CONCATENATE("F",IF(B625&lt;&gt;"",COUNTA($B$2:B625),""))</f>
        <v>F</v>
      </c>
      <c r="B625" s="5"/>
      <c r="C625" s="5"/>
      <c r="D625" s="149"/>
      <c r="E625" s="149"/>
      <c r="F625" s="148"/>
      <c r="G625" s="5"/>
      <c r="H625" s="151"/>
      <c r="I625" s="151"/>
      <c r="J625" s="151"/>
      <c r="K625" s="151"/>
      <c r="L625" s="152"/>
      <c r="M625" s="152"/>
      <c r="N625" s="157"/>
      <c r="O625" s="148"/>
      <c r="P625" s="148"/>
      <c r="Q625" s="148"/>
    </row>
    <row r="626" spans="1:17" x14ac:dyDescent="0.3">
      <c r="A626" s="5" t="str">
        <f>CONCATENATE("F",IF(B626&lt;&gt;"",COUNTA($B$2:B626),""))</f>
        <v>F391</v>
      </c>
      <c r="B626" s="5" t="s">
        <v>50</v>
      </c>
      <c r="C626" s="5" t="s">
        <v>336</v>
      </c>
      <c r="D62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2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6" s="148">
        <f>VLOOKUP(woodflow[[#This Row],[From]],woodstock[#All],4,FALSE)</f>
        <v>2021</v>
      </c>
      <c r="G626" s="5" t="str">
        <f>VLOOKUP(woodflow[[#This Row],[From]],woodstock[#All],5,FALSE)</f>
        <v>Global</v>
      </c>
      <c r="H626" s="151" t="str">
        <f>VLOOKUP(woodflow[[#This Row],[From]],woodstock[#All],7,FALSE)</f>
        <v>14</v>
      </c>
      <c r="I626" s="151" t="str">
        <f>VLOOKUP(woodflow[[#This Row],[to]],woodstock[#All],7,FALSE)</f>
        <v>66</v>
      </c>
      <c r="J626" s="151" t="str">
        <f>VLOOKUP(woodflow[[#This Row],[From]],woodstock[#All],8,FALSE)</f>
        <v>1</v>
      </c>
      <c r="K626" s="151" t="str">
        <f>VLOOKUP(woodflow[[#This Row],[to]],woodstock[#All],8,FALSE)</f>
        <v>0</v>
      </c>
      <c r="L626" s="152" t="str">
        <f>VLOOKUP(woodflow[[#This Row],[From]],woodstock[#All],9,FALSE)</f>
        <v>32-33-34-35-36</v>
      </c>
      <c r="M626" s="152" t="str">
        <f>VLOOKUP(woodflow[[#This Row],[to]],woodstock[#All],9,FALSE)</f>
        <v>nan</v>
      </c>
      <c r="N626" s="157">
        <f>SUM(N627:N631)</f>
        <v>0</v>
      </c>
      <c r="O626" s="148" t="s">
        <v>921</v>
      </c>
      <c r="P626" s="148"/>
      <c r="Q626" s="148"/>
    </row>
    <row r="627" spans="1:17" x14ac:dyDescent="0.3">
      <c r="A627" s="5" t="str">
        <f>CONCATENATE("F",IF(B627&lt;&gt;"",COUNTA($B$2:B627),""))</f>
        <v>F392</v>
      </c>
      <c r="B627" s="5" t="s">
        <v>78</v>
      </c>
      <c r="C627" s="5" t="s">
        <v>336</v>
      </c>
      <c r="D62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2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7" s="148">
        <f>VLOOKUP(woodflow[[#This Row],[From]],woodstock[#All],4,FALSE)</f>
        <v>2021</v>
      </c>
      <c r="G627" s="5" t="str">
        <f>VLOOKUP(woodflow[[#This Row],[From]],woodstock[#All],5,FALSE)</f>
        <v>Global</v>
      </c>
      <c r="H627" s="151" t="str">
        <f>VLOOKUP(woodflow[[#This Row],[From]],woodstock[#All],7,FALSE)</f>
        <v>32</v>
      </c>
      <c r="I627" s="151" t="str">
        <f>VLOOKUP(woodflow[[#This Row],[to]],woodstock[#All],7,FALSE)</f>
        <v>66</v>
      </c>
      <c r="J627" s="151" t="str">
        <f>VLOOKUP(woodflow[[#This Row],[From]],woodstock[#All],8,FALSE)</f>
        <v>0</v>
      </c>
      <c r="K627" s="151" t="str">
        <f>VLOOKUP(woodflow[[#This Row],[to]],woodstock[#All],8,FALSE)</f>
        <v>0</v>
      </c>
      <c r="L627" s="152" t="str">
        <f>VLOOKUP(woodflow[[#This Row],[From]],woodstock[#All],9,FALSE)</f>
        <v>nan</v>
      </c>
      <c r="M627" s="152" t="str">
        <f>VLOOKUP(woodflow[[#This Row],[to]],woodstock[#All],9,FALSE)</f>
        <v>nan</v>
      </c>
      <c r="N627" s="157">
        <f>'faostat-data'!Q125</f>
        <v>0</v>
      </c>
      <c r="O627" s="148" t="s">
        <v>921</v>
      </c>
      <c r="P627" s="148"/>
      <c r="Q627" s="148"/>
    </row>
    <row r="628" spans="1:17" x14ac:dyDescent="0.3">
      <c r="A628" s="5" t="str">
        <f>CONCATENATE("F",IF(B628&lt;&gt;"",COUNTA($B$2:B628),""))</f>
        <v>F393</v>
      </c>
      <c r="B628" s="5" t="s">
        <v>79</v>
      </c>
      <c r="C628" s="5" t="s">
        <v>336</v>
      </c>
      <c r="D62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2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8" s="148">
        <f>VLOOKUP(woodflow[[#This Row],[From]],woodstock[#All],4,FALSE)</f>
        <v>2021</v>
      </c>
      <c r="G628" s="5" t="str">
        <f>VLOOKUP(woodflow[[#This Row],[From]],woodstock[#All],5,FALSE)</f>
        <v>Global</v>
      </c>
      <c r="H628" s="151" t="str">
        <f>VLOOKUP(woodflow[[#This Row],[From]],woodstock[#All],7,FALSE)</f>
        <v>33</v>
      </c>
      <c r="I628" s="151" t="str">
        <f>VLOOKUP(woodflow[[#This Row],[to]],woodstock[#All],7,FALSE)</f>
        <v>66</v>
      </c>
      <c r="J628" s="151" t="str">
        <f>VLOOKUP(woodflow[[#This Row],[From]],woodstock[#All],8,FALSE)</f>
        <v>0</v>
      </c>
      <c r="K628" s="151" t="str">
        <f>VLOOKUP(woodflow[[#This Row],[to]],woodstock[#All],8,FALSE)</f>
        <v>0</v>
      </c>
      <c r="L628" s="152" t="str">
        <f>VLOOKUP(woodflow[[#This Row],[From]],woodstock[#All],9,FALSE)</f>
        <v>nan</v>
      </c>
      <c r="M628" s="152" t="str">
        <f>VLOOKUP(woodflow[[#This Row],[to]],woodstock[#All],9,FALSE)</f>
        <v>nan</v>
      </c>
      <c r="N628" s="157">
        <f>'faostat-data'!Q128</f>
        <v>0</v>
      </c>
      <c r="O628" s="148" t="s">
        <v>921</v>
      </c>
      <c r="P628" s="148"/>
      <c r="Q628" s="148"/>
    </row>
    <row r="629" spans="1:17" x14ac:dyDescent="0.3">
      <c r="A629" s="5" t="str">
        <f>CONCATENATE("F",IF(B629&lt;&gt;"",COUNTA($B$2:B629),""))</f>
        <v>F394</v>
      </c>
      <c r="B629" s="5" t="s">
        <v>67</v>
      </c>
      <c r="C629" s="5" t="s">
        <v>336</v>
      </c>
      <c r="D62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2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29" s="148">
        <f>VLOOKUP(woodflow[[#This Row],[From]],woodstock[#All],4,FALSE)</f>
        <v>2021</v>
      </c>
      <c r="G629" s="5" t="str">
        <f>VLOOKUP(woodflow[[#This Row],[From]],woodstock[#All],5,FALSE)</f>
        <v>Global</v>
      </c>
      <c r="H629" s="151" t="str">
        <f>VLOOKUP(woodflow[[#This Row],[From]],woodstock[#All],7,FALSE)</f>
        <v>34</v>
      </c>
      <c r="I629" s="151" t="str">
        <f>VLOOKUP(woodflow[[#This Row],[to]],woodstock[#All],7,FALSE)</f>
        <v>66</v>
      </c>
      <c r="J629" s="151" t="str">
        <f>VLOOKUP(woodflow[[#This Row],[From]],woodstock[#All],8,FALSE)</f>
        <v>0</v>
      </c>
      <c r="K629" s="151" t="str">
        <f>VLOOKUP(woodflow[[#This Row],[to]],woodstock[#All],8,FALSE)</f>
        <v>0</v>
      </c>
      <c r="L629" s="152" t="str">
        <f>VLOOKUP(woodflow[[#This Row],[From]],woodstock[#All],9,FALSE)</f>
        <v>nan</v>
      </c>
      <c r="M629" s="152" t="str">
        <f>VLOOKUP(woodflow[[#This Row],[to]],woodstock[#All],9,FALSE)</f>
        <v>nan</v>
      </c>
      <c r="N629" s="157">
        <f>'faostat-data'!Q143</f>
        <v>0</v>
      </c>
      <c r="O629" s="148" t="s">
        <v>921</v>
      </c>
      <c r="P629" s="148"/>
      <c r="Q629" s="148"/>
    </row>
    <row r="630" spans="1:17" x14ac:dyDescent="0.3">
      <c r="A630" s="5" t="str">
        <f>CONCATENATE("F",IF(B630&lt;&gt;"",COUNTA($B$2:B630),""))</f>
        <v>F395</v>
      </c>
      <c r="B630" s="5" t="s">
        <v>68</v>
      </c>
      <c r="C630" s="5" t="s">
        <v>336</v>
      </c>
      <c r="D63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0" s="148">
        <f>VLOOKUP(woodflow[[#This Row],[From]],woodstock[#All],4,FALSE)</f>
        <v>2021</v>
      </c>
      <c r="G630" s="5" t="str">
        <f>VLOOKUP(woodflow[[#This Row],[From]],woodstock[#All],5,FALSE)</f>
        <v>Global</v>
      </c>
      <c r="H630" s="151" t="str">
        <f>VLOOKUP(woodflow[[#This Row],[From]],woodstock[#All],7,FALSE)</f>
        <v>35</v>
      </c>
      <c r="I630" s="151" t="str">
        <f>VLOOKUP(woodflow[[#This Row],[to]],woodstock[#All],7,FALSE)</f>
        <v>66</v>
      </c>
      <c r="J630" s="151" t="str">
        <f>VLOOKUP(woodflow[[#This Row],[From]],woodstock[#All],8,FALSE)</f>
        <v>0</v>
      </c>
      <c r="K630" s="151" t="str">
        <f>VLOOKUP(woodflow[[#This Row],[to]],woodstock[#All],8,FALSE)</f>
        <v>0</v>
      </c>
      <c r="L630" s="152" t="str">
        <f>VLOOKUP(woodflow[[#This Row],[From]],woodstock[#All],9,FALSE)</f>
        <v>nan</v>
      </c>
      <c r="M630" s="152" t="str">
        <f>VLOOKUP(woodflow[[#This Row],[to]],woodstock[#All],9,FALSE)</f>
        <v>nan</v>
      </c>
      <c r="N630" s="157">
        <f>'faostat-data'!Q149+'faostat-data'!Q152+'faostat-data'!Q155+'faostat-data'!Q158</f>
        <v>0</v>
      </c>
      <c r="O630" s="148" t="s">
        <v>921</v>
      </c>
      <c r="P630" s="148"/>
      <c r="Q630" s="148"/>
    </row>
    <row r="631" spans="1:17" x14ac:dyDescent="0.3">
      <c r="A631" s="5" t="str">
        <f>CONCATENATE("F",IF(B631&lt;&gt;"",COUNTA($B$2:B631),""))</f>
        <v>F396</v>
      </c>
      <c r="B631" s="5" t="s">
        <v>69</v>
      </c>
      <c r="C631" s="5" t="s">
        <v>336</v>
      </c>
      <c r="D631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1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1" s="148">
        <f>VLOOKUP(woodflow[[#This Row],[From]],woodstock[#All],4,FALSE)</f>
        <v>2021</v>
      </c>
      <c r="G631" s="5" t="str">
        <f>VLOOKUP(woodflow[[#This Row],[From]],woodstock[#All],5,FALSE)</f>
        <v>Global</v>
      </c>
      <c r="H631" s="151" t="str">
        <f>VLOOKUP(woodflow[[#This Row],[From]],woodstock[#All],7,FALSE)</f>
        <v>36</v>
      </c>
      <c r="I631" s="151" t="str">
        <f>VLOOKUP(woodflow[[#This Row],[to]],woodstock[#All],7,FALSE)</f>
        <v>66</v>
      </c>
      <c r="J631" s="151" t="str">
        <f>VLOOKUP(woodflow[[#This Row],[From]],woodstock[#All],8,FALSE)</f>
        <v>0</v>
      </c>
      <c r="K631" s="151" t="str">
        <f>VLOOKUP(woodflow[[#This Row],[to]],woodstock[#All],8,FALSE)</f>
        <v>0</v>
      </c>
      <c r="L631" s="152" t="str">
        <f>VLOOKUP(woodflow[[#This Row],[From]],woodstock[#All],9,FALSE)</f>
        <v>nan</v>
      </c>
      <c r="M631" s="152" t="str">
        <f>VLOOKUP(woodflow[[#This Row],[to]],woodstock[#All],9,FALSE)</f>
        <v>nan</v>
      </c>
      <c r="N631" s="157">
        <f>+'faostat-data'!Q161</f>
        <v>0</v>
      </c>
      <c r="O631" s="148" t="s">
        <v>921</v>
      </c>
      <c r="P631" s="148"/>
      <c r="Q631" s="148"/>
    </row>
    <row r="632" spans="1:17" x14ac:dyDescent="0.3">
      <c r="A632" s="5" t="str">
        <f>CONCATENATE("F",IF(B632&lt;&gt;"",COUNTA($B$2:B632),""))</f>
        <v>F</v>
      </c>
      <c r="B632" s="148"/>
      <c r="C632" s="148"/>
      <c r="D632" s="149"/>
      <c r="E632" s="149"/>
      <c r="F632" s="148"/>
      <c r="G632" s="5"/>
      <c r="H632" s="151"/>
      <c r="I632" s="151"/>
      <c r="J632" s="151"/>
      <c r="K632" s="151"/>
      <c r="L632" s="152"/>
      <c r="M632" s="152"/>
      <c r="N632" s="157"/>
      <c r="O632" s="148"/>
      <c r="P632" s="148"/>
      <c r="Q632" s="148"/>
    </row>
    <row r="633" spans="1:17" x14ac:dyDescent="0.3">
      <c r="A633" s="5" t="str">
        <f>CONCATENATE("F",IF(B633&lt;&gt;"",COUNTA($B$2:B633),""))</f>
        <v>F</v>
      </c>
      <c r="B633" s="5"/>
      <c r="C633" s="5"/>
      <c r="D633" s="149"/>
      <c r="E633" s="149"/>
      <c r="F633" s="148"/>
      <c r="G633" s="5"/>
      <c r="H633" s="151"/>
      <c r="I633" s="151"/>
      <c r="J633" s="151"/>
      <c r="K633" s="151"/>
      <c r="L633" s="152"/>
      <c r="M633" s="152"/>
      <c r="N633" s="157"/>
      <c r="O633" s="148"/>
      <c r="P633" s="148"/>
      <c r="Q633" s="148"/>
    </row>
    <row r="634" spans="1:17" x14ac:dyDescent="0.3">
      <c r="A634" s="5" t="str">
        <f>CONCATENATE("F",IF(B634&lt;&gt;"",COUNTA($B$2:B634),""))</f>
        <v>F397</v>
      </c>
      <c r="B634" s="5" t="s">
        <v>51</v>
      </c>
      <c r="C634" s="5" t="s">
        <v>336</v>
      </c>
      <c r="D634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4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4" s="148">
        <f>VLOOKUP(woodflow[[#This Row],[From]],woodstock[#All],4,FALSE)</f>
        <v>2021</v>
      </c>
      <c r="G634" s="5" t="str">
        <f>VLOOKUP(woodflow[[#This Row],[From]],woodstock[#All],5,FALSE)</f>
        <v>Global</v>
      </c>
      <c r="H634" s="151" t="str">
        <f>VLOOKUP(woodflow[[#This Row],[From]],woodstock[#All],7,FALSE)</f>
        <v>15</v>
      </c>
      <c r="I634" s="151" t="str">
        <f>VLOOKUP(woodflow[[#This Row],[to]],woodstock[#All],7,FALSE)</f>
        <v>66</v>
      </c>
      <c r="J634" s="151" t="str">
        <f>VLOOKUP(woodflow[[#This Row],[From]],woodstock[#All],8,FALSE)</f>
        <v>1</v>
      </c>
      <c r="K634" s="151" t="str">
        <f>VLOOKUP(woodflow[[#This Row],[to]],woodstock[#All],8,FALSE)</f>
        <v>0</v>
      </c>
      <c r="L634" s="152" t="str">
        <f>VLOOKUP(woodflow[[#This Row],[From]],woodstock[#All],9,FALSE)</f>
        <v>37-38-39-40-41-42</v>
      </c>
      <c r="M634" s="152" t="str">
        <f>VLOOKUP(woodflow[[#This Row],[to]],woodstock[#All],9,FALSE)</f>
        <v>nan</v>
      </c>
      <c r="N634" s="157">
        <v>0</v>
      </c>
      <c r="O634" s="148" t="s">
        <v>921</v>
      </c>
      <c r="P634" s="148"/>
      <c r="Q634" s="148"/>
    </row>
    <row r="635" spans="1:17" x14ac:dyDescent="0.3">
      <c r="A635" s="5" t="str">
        <f>CONCATENATE("F",IF(B635&lt;&gt;"",COUNTA($B$2:B635),""))</f>
        <v>F398</v>
      </c>
      <c r="B635" s="5" t="s">
        <v>36</v>
      </c>
      <c r="C635" s="5" t="s">
        <v>336</v>
      </c>
      <c r="D635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5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5" s="148">
        <f>VLOOKUP(woodflow[[#This Row],[From]],woodstock[#All],4,FALSE)</f>
        <v>2021</v>
      </c>
      <c r="G635" s="5" t="str">
        <f>VLOOKUP(woodflow[[#This Row],[From]],woodstock[#All],5,FALSE)</f>
        <v>Global</v>
      </c>
      <c r="H635" s="151" t="str">
        <f>VLOOKUP(woodflow[[#This Row],[From]],woodstock[#All],7,FALSE)</f>
        <v>37</v>
      </c>
      <c r="I635" s="151" t="str">
        <f>VLOOKUP(woodflow[[#This Row],[to]],woodstock[#All],7,FALSE)</f>
        <v>66</v>
      </c>
      <c r="J635" s="151" t="str">
        <f>VLOOKUP(woodflow[[#This Row],[From]],woodstock[#All],8,FALSE)</f>
        <v>0</v>
      </c>
      <c r="K635" s="151" t="str">
        <f>VLOOKUP(woodflow[[#This Row],[to]],woodstock[#All],8,FALSE)</f>
        <v>0</v>
      </c>
      <c r="L635" s="152" t="str">
        <f>VLOOKUP(woodflow[[#This Row],[From]],woodstock[#All],9,FALSE)</f>
        <v>nan</v>
      </c>
      <c r="M635" s="152" t="str">
        <f>VLOOKUP(woodflow[[#This Row],[to]],woodstock[#All],9,FALSE)</f>
        <v>nan</v>
      </c>
      <c r="N635" s="157">
        <v>0</v>
      </c>
      <c r="O635" s="148" t="s">
        <v>921</v>
      </c>
      <c r="P635" s="148"/>
      <c r="Q635" s="148"/>
    </row>
    <row r="636" spans="1:17" x14ac:dyDescent="0.3">
      <c r="A636" s="5" t="str">
        <f>CONCATENATE("F",IF(B636&lt;&gt;"",COUNTA($B$2:B636),""))</f>
        <v>F399</v>
      </c>
      <c r="B636" s="5" t="s">
        <v>37</v>
      </c>
      <c r="C636" s="5" t="s">
        <v>336</v>
      </c>
      <c r="D63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6" s="148">
        <f>VLOOKUP(woodflow[[#This Row],[From]],woodstock[#All],4,FALSE)</f>
        <v>2021</v>
      </c>
      <c r="G636" s="5" t="str">
        <f>VLOOKUP(woodflow[[#This Row],[From]],woodstock[#All],5,FALSE)</f>
        <v>Global</v>
      </c>
      <c r="H636" s="151" t="str">
        <f>VLOOKUP(woodflow[[#This Row],[From]],woodstock[#All],7,FALSE)</f>
        <v>38</v>
      </c>
      <c r="I636" s="151" t="str">
        <f>VLOOKUP(woodflow[[#This Row],[to]],woodstock[#All],7,FALSE)</f>
        <v>66</v>
      </c>
      <c r="J636" s="151" t="str">
        <f>VLOOKUP(woodflow[[#This Row],[From]],woodstock[#All],8,FALSE)</f>
        <v>0</v>
      </c>
      <c r="K636" s="151" t="str">
        <f>VLOOKUP(woodflow[[#This Row],[to]],woodstock[#All],8,FALSE)</f>
        <v>0</v>
      </c>
      <c r="L636" s="152" t="str">
        <f>VLOOKUP(woodflow[[#This Row],[From]],woodstock[#All],9,FALSE)</f>
        <v>nan</v>
      </c>
      <c r="M636" s="152" t="str">
        <f>VLOOKUP(woodflow[[#This Row],[to]],woodstock[#All],9,FALSE)</f>
        <v>nan</v>
      </c>
      <c r="N636" s="157">
        <v>0</v>
      </c>
      <c r="O636" s="148" t="s">
        <v>921</v>
      </c>
      <c r="P636" s="148"/>
      <c r="Q636" s="148"/>
    </row>
    <row r="637" spans="1:17" x14ac:dyDescent="0.3">
      <c r="A637" s="5" t="str">
        <f>CONCATENATE("F",IF(B637&lt;&gt;"",COUNTA($B$2:B637),""))</f>
        <v>F400</v>
      </c>
      <c r="B637" s="5" t="s">
        <v>39</v>
      </c>
      <c r="C637" s="5" t="s">
        <v>336</v>
      </c>
      <c r="D637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7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7" s="148">
        <f>VLOOKUP(woodflow[[#This Row],[From]],woodstock[#All],4,FALSE)</f>
        <v>2021</v>
      </c>
      <c r="G637" s="5" t="str">
        <f>VLOOKUP(woodflow[[#This Row],[From]],woodstock[#All],5,FALSE)</f>
        <v>Global</v>
      </c>
      <c r="H637" s="151" t="str">
        <f>VLOOKUP(woodflow[[#This Row],[From]],woodstock[#All],7,FALSE)</f>
        <v>39</v>
      </c>
      <c r="I637" s="151" t="str">
        <f>VLOOKUP(woodflow[[#This Row],[to]],woodstock[#All],7,FALSE)</f>
        <v>66</v>
      </c>
      <c r="J637" s="151" t="str">
        <f>VLOOKUP(woodflow[[#This Row],[From]],woodstock[#All],8,FALSE)</f>
        <v>0</v>
      </c>
      <c r="K637" s="151" t="str">
        <f>VLOOKUP(woodflow[[#This Row],[to]],woodstock[#All],8,FALSE)</f>
        <v>0</v>
      </c>
      <c r="L637" s="152" t="str">
        <f>VLOOKUP(woodflow[[#This Row],[From]],woodstock[#All],9,FALSE)</f>
        <v>nan</v>
      </c>
      <c r="M637" s="152" t="str">
        <f>VLOOKUP(woodflow[[#This Row],[to]],woodstock[#All],9,FALSE)</f>
        <v>nan</v>
      </c>
      <c r="N637" s="157">
        <v>0</v>
      </c>
      <c r="O637" s="148" t="s">
        <v>921</v>
      </c>
      <c r="P637" s="148"/>
      <c r="Q637" s="148"/>
    </row>
    <row r="638" spans="1:17" x14ac:dyDescent="0.3">
      <c r="A638" s="5" t="str">
        <f>CONCATENATE("F",IF(B638&lt;&gt;"",COUNTA($B$2:B638),""))</f>
        <v>F401</v>
      </c>
      <c r="B638" s="5" t="s">
        <v>40</v>
      </c>
      <c r="C638" s="5" t="s">
        <v>336</v>
      </c>
      <c r="D638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8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8" s="148">
        <f>VLOOKUP(woodflow[[#This Row],[From]],woodstock[#All],4,FALSE)</f>
        <v>2021</v>
      </c>
      <c r="G638" s="5" t="str">
        <f>VLOOKUP(woodflow[[#This Row],[From]],woodstock[#All],5,FALSE)</f>
        <v>Global</v>
      </c>
      <c r="H638" s="151" t="str">
        <f>VLOOKUP(woodflow[[#This Row],[From]],woodstock[#All],7,FALSE)</f>
        <v>40</v>
      </c>
      <c r="I638" s="151" t="str">
        <f>VLOOKUP(woodflow[[#This Row],[to]],woodstock[#All],7,FALSE)</f>
        <v>66</v>
      </c>
      <c r="J638" s="151" t="str">
        <f>VLOOKUP(woodflow[[#This Row],[From]],woodstock[#All],8,FALSE)</f>
        <v>0</v>
      </c>
      <c r="K638" s="151" t="str">
        <f>VLOOKUP(woodflow[[#This Row],[to]],woodstock[#All],8,FALSE)</f>
        <v>0</v>
      </c>
      <c r="L638" s="152" t="str">
        <f>VLOOKUP(woodflow[[#This Row],[From]],woodstock[#All],9,FALSE)</f>
        <v>nan</v>
      </c>
      <c r="M638" s="152" t="str">
        <f>VLOOKUP(woodflow[[#This Row],[to]],woodstock[#All],9,FALSE)</f>
        <v>nan</v>
      </c>
      <c r="N638" s="157">
        <v>0</v>
      </c>
      <c r="O638" s="148" t="s">
        <v>921</v>
      </c>
      <c r="P638" s="148"/>
      <c r="Q638" s="148"/>
    </row>
    <row r="639" spans="1:17" x14ac:dyDescent="0.3">
      <c r="A639" s="5" t="str">
        <f>CONCATENATE("F",IF(B639&lt;&gt;"",COUNTA($B$2:B639),""))</f>
        <v>F402</v>
      </c>
      <c r="B639" s="5" t="s">
        <v>41</v>
      </c>
      <c r="C639" s="5" t="s">
        <v>336</v>
      </c>
      <c r="D639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39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39" s="148">
        <f>VLOOKUP(woodflow[[#This Row],[From]],woodstock[#All],4,FALSE)</f>
        <v>2021</v>
      </c>
      <c r="G639" s="5" t="str">
        <f>VLOOKUP(woodflow[[#This Row],[From]],woodstock[#All],5,FALSE)</f>
        <v>Global</v>
      </c>
      <c r="H639" s="151" t="str">
        <f>VLOOKUP(woodflow[[#This Row],[From]],woodstock[#All],7,FALSE)</f>
        <v>41</v>
      </c>
      <c r="I639" s="151" t="str">
        <f>VLOOKUP(woodflow[[#This Row],[to]],woodstock[#All],7,FALSE)</f>
        <v>66</v>
      </c>
      <c r="J639" s="151" t="str">
        <f>VLOOKUP(woodflow[[#This Row],[From]],woodstock[#All],8,FALSE)</f>
        <v>0</v>
      </c>
      <c r="K639" s="151" t="str">
        <f>VLOOKUP(woodflow[[#This Row],[to]],woodstock[#All],8,FALSE)</f>
        <v>0</v>
      </c>
      <c r="L639" s="152" t="str">
        <f>VLOOKUP(woodflow[[#This Row],[From]],woodstock[#All],9,FALSE)</f>
        <v>nan</v>
      </c>
      <c r="M639" s="152" t="str">
        <f>VLOOKUP(woodflow[[#This Row],[to]],woodstock[#All],9,FALSE)</f>
        <v>nan</v>
      </c>
      <c r="N639" s="157">
        <v>0</v>
      </c>
      <c r="O639" s="148" t="s">
        <v>921</v>
      </c>
      <c r="P639" s="148"/>
      <c r="Q639" s="148"/>
    </row>
    <row r="640" spans="1:17" x14ac:dyDescent="0.3">
      <c r="A640" s="5" t="str">
        <f>CONCATENATE("F",IF(B640&lt;&gt;"",COUNTA($B$2:B640),""))</f>
        <v>F403</v>
      </c>
      <c r="B640" s="5" t="s">
        <v>38</v>
      </c>
      <c r="C640" s="5" t="s">
        <v>336</v>
      </c>
      <c r="D640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0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0" s="148">
        <f>VLOOKUP(woodflow[[#This Row],[From]],woodstock[#All],4,FALSE)</f>
        <v>2021</v>
      </c>
      <c r="G640" s="5" t="str">
        <f>VLOOKUP(woodflow[[#This Row],[From]],woodstock[#All],5,FALSE)</f>
        <v>Global</v>
      </c>
      <c r="H640" s="151" t="str">
        <f>VLOOKUP(woodflow[[#This Row],[From]],woodstock[#All],7,FALSE)</f>
        <v>42</v>
      </c>
      <c r="I640" s="151" t="str">
        <f>VLOOKUP(woodflow[[#This Row],[to]],woodstock[#All],7,FALSE)</f>
        <v>66</v>
      </c>
      <c r="J640" s="151" t="str">
        <f>VLOOKUP(woodflow[[#This Row],[From]],woodstock[#All],8,FALSE)</f>
        <v>0</v>
      </c>
      <c r="K640" s="151" t="str">
        <f>VLOOKUP(woodflow[[#This Row],[to]],woodstock[#All],8,FALSE)</f>
        <v>0</v>
      </c>
      <c r="L640" s="152" t="str">
        <f>VLOOKUP(woodflow[[#This Row],[From]],woodstock[#All],9,FALSE)</f>
        <v>nan</v>
      </c>
      <c r="M640" s="152" t="str">
        <f>VLOOKUP(woodflow[[#This Row],[to]],woodstock[#All],9,FALSE)</f>
        <v>nan</v>
      </c>
      <c r="N640" s="157">
        <v>0</v>
      </c>
      <c r="O640" s="148" t="s">
        <v>921</v>
      </c>
      <c r="P640" s="148"/>
      <c r="Q640" s="148"/>
    </row>
    <row r="641" spans="1:17" x14ac:dyDescent="0.3">
      <c r="A641" s="5" t="str">
        <f>CONCATENATE("F",IF(B641&lt;&gt;"",COUNTA($B$2:B641),""))</f>
        <v>F</v>
      </c>
      <c r="B641" s="148"/>
      <c r="C641" s="148"/>
      <c r="D641" s="149"/>
      <c r="E641" s="149"/>
      <c r="F641" s="148"/>
      <c r="G641" s="5"/>
      <c r="H641" s="151"/>
      <c r="I641" s="151"/>
      <c r="J641" s="151"/>
      <c r="K641" s="151"/>
      <c r="L641" s="152"/>
      <c r="M641" s="152"/>
      <c r="N641" s="157"/>
      <c r="O641" s="148"/>
      <c r="P641" s="148"/>
      <c r="Q641" s="148"/>
    </row>
    <row r="642" spans="1:17" x14ac:dyDescent="0.3">
      <c r="A642" s="5" t="str">
        <f>CONCATENATE("F",IF(B642&lt;&gt;"",COUNTA($B$2:B642),""))</f>
        <v>F</v>
      </c>
      <c r="B642" s="148"/>
      <c r="C642" s="148"/>
      <c r="D642" s="149"/>
      <c r="E642" s="149"/>
      <c r="F642" s="148"/>
      <c r="G642" s="5"/>
      <c r="H642" s="151"/>
      <c r="I642" s="151"/>
      <c r="J642" s="151"/>
      <c r="K642" s="151"/>
      <c r="L642" s="152"/>
      <c r="M642" s="152"/>
      <c r="N642" s="157"/>
      <c r="O642" s="148"/>
      <c r="P642" s="148"/>
      <c r="Q642" s="148"/>
    </row>
    <row r="643" spans="1:17" x14ac:dyDescent="0.3">
      <c r="A643" s="5" t="str">
        <f>CONCATENATE("F",IF(B643&lt;&gt;"",COUNTA($B$2:B643),""))</f>
        <v>F404</v>
      </c>
      <c r="B643" s="5" t="s">
        <v>916</v>
      </c>
      <c r="C643" s="5" t="s">
        <v>336</v>
      </c>
      <c r="D643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3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3" s="148">
        <f>VLOOKUP(woodflow[[#This Row],[From]],woodstock[#All],4,FALSE)</f>
        <v>2021</v>
      </c>
      <c r="G643" s="5" t="str">
        <f>VLOOKUP(woodflow[[#This Row],[From]],woodstock[#All],5,FALSE)</f>
        <v>Global</v>
      </c>
      <c r="H643" s="151" t="str">
        <f>VLOOKUP(woodflow[[#This Row],[From]],woodstock[#All],7,FALSE)</f>
        <v>59</v>
      </c>
      <c r="I643" s="151" t="str">
        <f>VLOOKUP(woodflow[[#This Row],[to]],woodstock[#All],7,FALSE)</f>
        <v>66</v>
      </c>
      <c r="J643" s="151" t="str">
        <f>VLOOKUP(woodflow[[#This Row],[From]],woodstock[#All],8,FALSE)</f>
        <v>0</v>
      </c>
      <c r="K643" s="151" t="str">
        <f>VLOOKUP(woodflow[[#This Row],[to]],woodstock[#All],8,FALSE)</f>
        <v>0</v>
      </c>
      <c r="L643" s="152" t="str">
        <f>VLOOKUP(woodflow[[#This Row],[From]],woodstock[#All],9,FALSE)</f>
        <v>nan</v>
      </c>
      <c r="M643" s="152" t="str">
        <f>VLOOKUP(woodflow[[#This Row],[to]],woodstock[#All],9,FALSE)</f>
        <v>nan</v>
      </c>
      <c r="N643" s="157">
        <f>'faostat-data'!Q47</f>
        <v>0</v>
      </c>
      <c r="O643" s="148" t="s">
        <v>921</v>
      </c>
      <c r="P643" s="148"/>
      <c r="Q643" s="148"/>
    </row>
    <row r="644" spans="1:17" x14ac:dyDescent="0.3">
      <c r="A644" s="5" t="str">
        <f>CONCATENATE("F",IF(B644&lt;&gt;"",COUNTA($B$2:B644),""))</f>
        <v>F</v>
      </c>
      <c r="B644" s="148"/>
      <c r="C644" s="148"/>
      <c r="D644" s="149"/>
      <c r="E644" s="149"/>
      <c r="F644" s="148"/>
      <c r="G644" s="5"/>
      <c r="H644" s="151"/>
      <c r="I644" s="151"/>
      <c r="J644" s="151"/>
      <c r="K644" s="151"/>
      <c r="L644" s="152"/>
      <c r="M644" s="152"/>
      <c r="N644" s="157"/>
      <c r="O644" s="148"/>
      <c r="P644" s="148"/>
      <c r="Q644" s="148"/>
    </row>
    <row r="645" spans="1:17" x14ac:dyDescent="0.3">
      <c r="A645" s="5" t="str">
        <f>CONCATENATE("F",IF(B645&lt;&gt;"",COUNTA($B$2:B645),""))</f>
        <v>F</v>
      </c>
      <c r="B645" s="5"/>
      <c r="C645" s="5"/>
      <c r="D645" s="149"/>
      <c r="E645" s="149"/>
      <c r="F645" s="148"/>
      <c r="G645" s="5"/>
      <c r="H645" s="151"/>
      <c r="I645" s="151"/>
      <c r="J645" s="151"/>
      <c r="K645" s="151"/>
      <c r="L645" s="152"/>
      <c r="M645" s="152"/>
      <c r="N645" s="157"/>
      <c r="O645" s="148"/>
      <c r="P645" s="148"/>
      <c r="Q645" s="148"/>
    </row>
    <row r="646" spans="1:17" x14ac:dyDescent="0.3">
      <c r="A646" s="5" t="str">
        <f>CONCATENATE("F",IF(B646&lt;&gt;"",COUNTA($B$2:B646),""))</f>
        <v>F405</v>
      </c>
      <c r="B646" s="148" t="s">
        <v>917</v>
      </c>
      <c r="C646" s="5" t="s">
        <v>336</v>
      </c>
      <c r="D646" s="149">
        <f>IF(woodflow[[#This Row],[data-info]]="Observed",woodflow[[#This Row],[quantity-input (Modmt)]],IF(woodflow[[#This Row],[data-info]]="No Flow",0,IF(woodflow[[#This Row],[data-info]]="Prior","nan",IF(woodflow[[#This Row],[data-info]]="BaMFA","nan"))))</f>
        <v>0</v>
      </c>
      <c r="E646" s="149" t="str">
        <f>IF(woodflow[[#This Row],[data-info]]="Observed","",IF(woodflow[[#This Row],[data-info]]="No Flow","",IF(woodflow[[#This Row],[data-info]]="Prior",woodflow[[#This Row],[quantity-input (Modmt)]],IF(woodflow[[#This Row],[data-info]]="BaMFA",""))))</f>
        <v/>
      </c>
      <c r="F646" s="148">
        <f>VLOOKUP(woodflow[[#This Row],[From]],woodstock[#All],4,FALSE)</f>
        <v>2021</v>
      </c>
      <c r="G646" s="5" t="str">
        <f>VLOOKUP(woodflow[[#This Row],[From]],woodstock[#All],5,FALSE)</f>
        <v>Global</v>
      </c>
      <c r="H646" s="151" t="str">
        <f>VLOOKUP(woodflow[[#This Row],[From]],woodstock[#All],7,FALSE)</f>
        <v>60</v>
      </c>
      <c r="I646" s="151" t="str">
        <f>VLOOKUP(woodflow[[#This Row],[to]],woodstock[#All],7,FALSE)</f>
        <v>66</v>
      </c>
      <c r="J646" s="151" t="str">
        <f>VLOOKUP(woodflow[[#This Row],[From]],woodstock[#All],8,FALSE)</f>
        <v>0</v>
      </c>
      <c r="K646" s="151" t="str">
        <f>VLOOKUP(woodflow[[#This Row],[to]],woodstock[#All],8,FALSE)</f>
        <v>0</v>
      </c>
      <c r="L646" s="152" t="str">
        <f>VLOOKUP(woodflow[[#This Row],[From]],woodstock[#All],9,FALSE)</f>
        <v>nan</v>
      </c>
      <c r="M646" s="152" t="str">
        <f>VLOOKUP(woodflow[[#This Row],[to]],woodstock[#All],9,FALSE)</f>
        <v>nan</v>
      </c>
      <c r="N646" s="157">
        <f>'faostat-data'!Q122</f>
        <v>0</v>
      </c>
      <c r="O646" s="148" t="s">
        <v>921</v>
      </c>
      <c r="P646" s="148"/>
      <c r="Q646" s="148"/>
    </row>
  </sheetData>
  <phoneticPr fontId="1" type="noConversion"/>
  <conditionalFormatting sqref="N2:N646">
    <cfRule type="expression" dxfId="8" priority="1">
      <formula>O2="No Flow"</formula>
    </cfRule>
    <cfRule type="expression" dxfId="7" priority="3">
      <formula>O2="BaMFA"</formula>
    </cfRule>
    <cfRule type="expression" dxfId="6" priority="4">
      <formula>O2="Prior"</formula>
    </cfRule>
    <cfRule type="expression" dxfId="5" priority="5">
      <formula>O2="Observed"</formula>
    </cfRule>
  </conditionalFormatting>
  <conditionalFormatting sqref="O2:O646">
    <cfRule type="containsText" dxfId="4" priority="2" operator="containsText" text="No Flow">
      <formula>NOT(ISERROR(SEARCH("No Flow",O2)))</formula>
    </cfRule>
    <cfRule type="containsText" dxfId="3" priority="6" operator="containsText" text="BaMFA">
      <formula>NOT(ISERROR(SEARCH("BaMFA",O2)))</formula>
    </cfRule>
    <cfRule type="containsText" dxfId="2" priority="7" operator="containsText" text="No Change">
      <formula>NOT(ISERROR(SEARCH("No Change",O2)))</formula>
    </cfRule>
    <cfRule type="containsText" dxfId="1" priority="8" operator="containsText" text="Observed">
      <formula>NOT(ISERROR(SEARCH("Observed",O2)))</formula>
    </cfRule>
    <cfRule type="containsText" dxfId="0" priority="9" operator="containsText" text="Prior">
      <formula>NOT(ISERROR(SEARCH("Prior",O2)))</formula>
    </cfRule>
  </conditionalFormatting>
  <hyperlinks>
    <hyperlink ref="Q46" r:id="rId1" xr:uid="{6F965F2E-0C7F-4434-8AB4-7862722A1041}"/>
  </hyperlinks>
  <pageMargins left="0.7" right="0.7" top="0.75" bottom="0.75" header="0.3" footer="0.3"/>
  <pageSetup orientation="portrait" horizontalDpi="1200" verticalDpi="1200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D5A1-6049-407A-96EB-D787DC1A9D5C}">
  <sheetPr codeName="Sheet8"/>
  <dimension ref="A1:L179"/>
  <sheetViews>
    <sheetView zoomScale="70" zoomScaleNormal="70" workbookViewId="0"/>
  </sheetViews>
  <sheetFormatPr defaultColWidth="32.5546875" defaultRowHeight="14.4" x14ac:dyDescent="0.3"/>
  <cols>
    <col min="1" max="1" width="40.6640625" style="13" bestFit="1" customWidth="1"/>
    <col min="2" max="2" width="52.109375" style="13" bestFit="1" customWidth="1"/>
    <col min="3" max="3" width="24.33203125" style="13" customWidth="1"/>
    <col min="4" max="4" width="22.88671875" style="13" customWidth="1"/>
    <col min="5" max="5" width="36.6640625" style="13" customWidth="1"/>
    <col min="6" max="6" width="29.5546875" style="13" customWidth="1"/>
    <col min="7" max="8" width="30.33203125" style="13" customWidth="1"/>
    <col min="9" max="9" width="8.5546875" style="44" bestFit="1" customWidth="1"/>
    <col min="10" max="10" width="36.33203125" style="13" bestFit="1" customWidth="1"/>
    <col min="11" max="11" width="119.44140625" style="13" bestFit="1" customWidth="1"/>
    <col min="13" max="16384" width="32.5546875" style="13"/>
  </cols>
  <sheetData>
    <row r="1" spans="1:12" x14ac:dyDescent="0.3">
      <c r="A1" s="5" t="s">
        <v>20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164" t="s">
        <v>28</v>
      </c>
      <c r="J1" s="5" t="s">
        <v>212</v>
      </c>
      <c r="K1" s="5" t="s">
        <v>214</v>
      </c>
      <c r="L1" s="13"/>
    </row>
    <row r="2" spans="1:12" x14ac:dyDescent="0.3">
      <c r="A2" s="148" t="s">
        <v>914</v>
      </c>
      <c r="B2" s="5" t="s">
        <v>258</v>
      </c>
      <c r="C2" s="5" t="str">
        <f>VLOOKUP(woodratio[[#This Row],[From_top]],woodstock[#All],7,FALSE)</f>
        <v>2</v>
      </c>
      <c r="D2" s="5" t="str">
        <f>VLOOKUP(woodratio[[#This Row],[To_top]],woodstock[#All],7,FALSE)</f>
        <v>4</v>
      </c>
      <c r="E2" s="148" t="s">
        <v>914</v>
      </c>
      <c r="F2" s="148" t="s">
        <v>61</v>
      </c>
      <c r="G2" s="5" t="str">
        <f>woodratio[[#This Row],[Processnumbersfromtop]]</f>
        <v>2</v>
      </c>
      <c r="H2" s="152" t="str">
        <f>woodflow!M26</f>
        <v>4-5</v>
      </c>
      <c r="I2" s="164">
        <f>woodflow!N27/woodflow!N26</f>
        <v>5.5238153948963899E-2</v>
      </c>
      <c r="K2" s="5"/>
      <c r="L2" s="13"/>
    </row>
    <row r="3" spans="1:12" x14ac:dyDescent="0.3">
      <c r="A3" s="148" t="s">
        <v>914</v>
      </c>
      <c r="B3" s="5" t="s">
        <v>259</v>
      </c>
      <c r="C3" s="5" t="str">
        <f>VLOOKUP(woodratio[[#This Row],[From_top]],woodstock[#All],7,FALSE)</f>
        <v>2</v>
      </c>
      <c r="D3" s="5" t="str">
        <f>VLOOKUP(woodratio[[#This Row],[To_top]],woodstock[#All],7,FALSE)</f>
        <v>5</v>
      </c>
      <c r="E3" s="148" t="s">
        <v>914</v>
      </c>
      <c r="F3" s="148" t="s">
        <v>61</v>
      </c>
      <c r="G3" s="5" t="str">
        <f>woodratio[[#This Row],[Processnumbersfromtop]]</f>
        <v>2</v>
      </c>
      <c r="H3" s="152" t="str">
        <f>H2</f>
        <v>4-5</v>
      </c>
      <c r="I3" s="164">
        <f>woodflow!N28/woodflow!N26</f>
        <v>0.94476184605103619</v>
      </c>
      <c r="J3" s="148" t="s">
        <v>232</v>
      </c>
      <c r="K3" s="5"/>
      <c r="L3" s="13"/>
    </row>
    <row r="4" spans="1:12" x14ac:dyDescent="0.3">
      <c r="A4" s="148"/>
      <c r="B4" s="148"/>
      <c r="C4" s="5"/>
      <c r="D4" s="5"/>
      <c r="E4" s="5"/>
      <c r="F4" s="5"/>
      <c r="G4" s="5"/>
      <c r="H4" s="5"/>
      <c r="I4" s="164"/>
      <c r="J4" s="5"/>
      <c r="K4" s="5"/>
      <c r="L4" s="13"/>
    </row>
    <row r="5" spans="1:12" x14ac:dyDescent="0.3">
      <c r="A5" s="148"/>
      <c r="B5" s="148"/>
      <c r="C5" s="5"/>
      <c r="D5" s="5"/>
      <c r="E5" s="5"/>
      <c r="F5" s="5"/>
      <c r="G5" s="5"/>
      <c r="H5" s="5"/>
      <c r="I5" s="164"/>
      <c r="J5" s="5"/>
      <c r="K5" s="5"/>
      <c r="L5" s="13"/>
    </row>
    <row r="6" spans="1:12" x14ac:dyDescent="0.3">
      <c r="A6" s="148" t="s">
        <v>914</v>
      </c>
      <c r="B6" s="5" t="s">
        <v>260</v>
      </c>
      <c r="C6" s="5" t="str">
        <f>VLOOKUP(woodratio[[#This Row],[From_top]],woodstock[#All],7,FALSE)</f>
        <v>2</v>
      </c>
      <c r="D6" s="5" t="str">
        <f>VLOOKUP(woodratio[[#This Row],[To_top]],woodstock[#All],7,FALSE)</f>
        <v>6</v>
      </c>
      <c r="E6" s="148" t="s">
        <v>914</v>
      </c>
      <c r="F6" s="148" t="s">
        <v>62</v>
      </c>
      <c r="G6" s="5" t="str">
        <f>woodratio[[#This Row],[Processnumbersfromtop]]</f>
        <v>2</v>
      </c>
      <c r="H6" s="152" t="str">
        <f>woodflow!M31</f>
        <v>6-7</v>
      </c>
      <c r="I6" s="164">
        <f>woodflow!N32/woodflow!N31</f>
        <v>0.481117541686996</v>
      </c>
      <c r="J6" s="148" t="s">
        <v>232</v>
      </c>
      <c r="K6" s="5"/>
      <c r="L6" s="13"/>
    </row>
    <row r="7" spans="1:12" x14ac:dyDescent="0.3">
      <c r="A7" s="148" t="s">
        <v>914</v>
      </c>
      <c r="B7" s="5" t="s">
        <v>261</v>
      </c>
      <c r="C7" s="5" t="str">
        <f>VLOOKUP(woodratio[[#This Row],[From_top]],woodstock[#All],7,FALSE)</f>
        <v>2</v>
      </c>
      <c r="D7" s="5" t="str">
        <f>VLOOKUP(woodratio[[#This Row],[To_top]],woodstock[#All],7,FALSE)</f>
        <v>7</v>
      </c>
      <c r="E7" s="148" t="s">
        <v>914</v>
      </c>
      <c r="F7" s="148" t="s">
        <v>62</v>
      </c>
      <c r="G7" s="5" t="str">
        <f>woodratio[[#This Row],[Processnumbersfromtop]]</f>
        <v>2</v>
      </c>
      <c r="H7" s="152" t="str">
        <f>H6</f>
        <v>6-7</v>
      </c>
      <c r="I7" s="164">
        <f>woodflow!N33/woodflow!N31</f>
        <v>0.51888245831300406</v>
      </c>
      <c r="J7" s="148" t="s">
        <v>232</v>
      </c>
      <c r="K7" s="5"/>
      <c r="L7" s="13"/>
    </row>
    <row r="8" spans="1:12" x14ac:dyDescent="0.3">
      <c r="A8" s="148"/>
      <c r="B8" s="148"/>
      <c r="C8" s="5"/>
      <c r="D8" s="5"/>
      <c r="E8" s="5"/>
      <c r="F8" s="5"/>
      <c r="G8" s="5"/>
      <c r="H8" s="5"/>
      <c r="I8" s="164"/>
      <c r="J8" s="5"/>
      <c r="K8" s="5"/>
      <c r="L8" s="13"/>
    </row>
    <row r="9" spans="1:12" x14ac:dyDescent="0.3">
      <c r="A9" s="148"/>
      <c r="B9" s="148"/>
      <c r="C9" s="5"/>
      <c r="D9" s="5"/>
      <c r="E9" s="5"/>
      <c r="F9" s="5"/>
      <c r="G9" s="5"/>
      <c r="H9" s="5"/>
      <c r="I9" s="164"/>
      <c r="J9" s="5"/>
      <c r="K9" s="5"/>
      <c r="L9" s="13"/>
    </row>
    <row r="10" spans="1:12" x14ac:dyDescent="0.3">
      <c r="A10" s="148" t="s">
        <v>914</v>
      </c>
      <c r="B10" s="5" t="s">
        <v>263</v>
      </c>
      <c r="C10" s="5" t="str">
        <f>VLOOKUP(woodratio[[#This Row],[From_top]],woodstock[#All],7,FALSE)</f>
        <v>2</v>
      </c>
      <c r="D10" s="5" t="str">
        <f>VLOOKUP(woodratio[[#This Row],[To_top]],woodstock[#All],7,FALSE)</f>
        <v>8</v>
      </c>
      <c r="E10" s="148" t="s">
        <v>914</v>
      </c>
      <c r="F10" s="148" t="s">
        <v>63</v>
      </c>
      <c r="G10" s="5" t="str">
        <f>woodratio[[#This Row],[Processnumbersfromtop]]</f>
        <v>2</v>
      </c>
      <c r="H10" s="152" t="str">
        <f>woodflow!M36</f>
        <v>8-9</v>
      </c>
      <c r="I10" s="164">
        <f>woodflow!N37/woodflow!N36</f>
        <v>0.35563592746349543</v>
      </c>
      <c r="J10" s="148" t="s">
        <v>232</v>
      </c>
      <c r="K10" s="5"/>
      <c r="L10" s="13"/>
    </row>
    <row r="11" spans="1:12" x14ac:dyDescent="0.3">
      <c r="A11" s="148" t="s">
        <v>914</v>
      </c>
      <c r="B11" s="5" t="s">
        <v>264</v>
      </c>
      <c r="C11" s="5" t="str">
        <f>VLOOKUP(woodratio[[#This Row],[From_top]],woodstock[#All],7,FALSE)</f>
        <v>2</v>
      </c>
      <c r="D11" s="5" t="str">
        <f>VLOOKUP(woodratio[[#This Row],[To_top]],woodstock[#All],7,FALSE)</f>
        <v>9</v>
      </c>
      <c r="E11" s="148" t="s">
        <v>914</v>
      </c>
      <c r="F11" s="148" t="s">
        <v>63</v>
      </c>
      <c r="G11" s="5" t="str">
        <f>woodratio[[#This Row],[Processnumbersfromtop]]</f>
        <v>2</v>
      </c>
      <c r="H11" s="152" t="str">
        <f>H10</f>
        <v>8-9</v>
      </c>
      <c r="I11" s="164">
        <f>woodflow!N38/woodflow!N36</f>
        <v>0.64436407253650463</v>
      </c>
      <c r="J11" s="148" t="s">
        <v>232</v>
      </c>
      <c r="K11" s="5"/>
      <c r="L11" s="13"/>
    </row>
    <row r="12" spans="1:12" x14ac:dyDescent="0.3">
      <c r="A12" s="148"/>
      <c r="B12" s="148"/>
      <c r="C12" s="5"/>
      <c r="D12" s="5"/>
      <c r="E12" s="5"/>
      <c r="F12" s="5"/>
      <c r="G12" s="5"/>
      <c r="H12" s="5"/>
      <c r="I12" s="164"/>
      <c r="J12" s="5"/>
      <c r="K12" s="5"/>
      <c r="L12" s="13"/>
    </row>
    <row r="13" spans="1:12" x14ac:dyDescent="0.3">
      <c r="C13" s="5"/>
      <c r="D13" s="5"/>
      <c r="E13" s="5"/>
      <c r="F13" s="5"/>
      <c r="G13" s="5"/>
      <c r="H13" s="5"/>
      <c r="I13" s="164"/>
      <c r="J13" s="5"/>
      <c r="K13" s="5"/>
      <c r="L13" s="13"/>
    </row>
    <row r="14" spans="1:12" x14ac:dyDescent="0.3">
      <c r="A14" s="148" t="s">
        <v>914</v>
      </c>
      <c r="B14" s="5" t="s">
        <v>265</v>
      </c>
      <c r="C14" s="5" t="str">
        <f>VLOOKUP(woodratio[[#This Row],[From_top]],woodstock[#All],7,FALSE)</f>
        <v>2</v>
      </c>
      <c r="D14" s="5" t="str">
        <f>VLOOKUP(woodratio[[#This Row],[To_top]],woodstock[#All],7,FALSE)</f>
        <v>10</v>
      </c>
      <c r="E14" s="148" t="s">
        <v>914</v>
      </c>
      <c r="F14" s="148" t="s">
        <v>64</v>
      </c>
      <c r="G14" s="5" t="str">
        <f>woodratio[[#This Row],[Processnumbersfromtop]]</f>
        <v>2</v>
      </c>
      <c r="H14" s="152" t="str">
        <f>woodflow!M41</f>
        <v>10-11</v>
      </c>
      <c r="I14" s="164">
        <f>woodflow!N42/woodflow!N41</f>
        <v>0.15925810385782871</v>
      </c>
      <c r="J14" s="148" t="s">
        <v>232</v>
      </c>
      <c r="K14" s="5"/>
      <c r="L14" s="13"/>
    </row>
    <row r="15" spans="1:12" x14ac:dyDescent="0.3">
      <c r="A15" s="148" t="s">
        <v>914</v>
      </c>
      <c r="B15" s="5" t="s">
        <v>266</v>
      </c>
      <c r="C15" s="5" t="str">
        <f>VLOOKUP(woodratio[[#This Row],[From_top]],woodstock[#All],7,FALSE)</f>
        <v>2</v>
      </c>
      <c r="D15" s="5" t="str">
        <f>VLOOKUP(woodratio[[#This Row],[To_top]],woodstock[#All],7,FALSE)</f>
        <v>11</v>
      </c>
      <c r="E15" s="148" t="s">
        <v>914</v>
      </c>
      <c r="F15" s="148" t="s">
        <v>64</v>
      </c>
      <c r="G15" s="5" t="str">
        <f>woodratio[[#This Row],[Processnumbersfromtop]]</f>
        <v>2</v>
      </c>
      <c r="H15" s="152" t="str">
        <f>H14</f>
        <v>10-11</v>
      </c>
      <c r="I15" s="164">
        <f>woodflow!N43/woodflow!N41</f>
        <v>0.84074189614217121</v>
      </c>
      <c r="J15" s="148" t="s">
        <v>232</v>
      </c>
      <c r="K15" s="5"/>
      <c r="L15" s="13"/>
    </row>
    <row r="16" spans="1:12" x14ac:dyDescent="0.3">
      <c r="A16" s="5"/>
      <c r="B16" s="5"/>
      <c r="C16" s="5"/>
      <c r="D16" s="5"/>
      <c r="E16" s="5"/>
      <c r="F16" s="5"/>
      <c r="G16" s="5"/>
      <c r="H16" s="5"/>
      <c r="I16" s="164"/>
      <c r="J16" s="5"/>
      <c r="K16" s="5"/>
      <c r="L16" s="13"/>
    </row>
    <row r="17" spans="1:12" x14ac:dyDescent="0.3">
      <c r="A17" s="5"/>
      <c r="B17" s="5"/>
      <c r="C17" s="5"/>
      <c r="D17" s="5"/>
      <c r="E17" s="5"/>
      <c r="F17" s="5"/>
      <c r="G17" s="5"/>
      <c r="H17" s="5"/>
      <c r="I17" s="164"/>
      <c r="J17" s="5"/>
      <c r="K17" s="5"/>
      <c r="L17" s="13"/>
    </row>
    <row r="18" spans="1:12" x14ac:dyDescent="0.3">
      <c r="A18" s="5" t="s">
        <v>258</v>
      </c>
      <c r="B18" s="148" t="s">
        <v>408</v>
      </c>
      <c r="C18" s="5" t="str">
        <f>VLOOKUP(woodratio[[#This Row],[From_top]],woodstock[#All],7,FALSE)</f>
        <v>4</v>
      </c>
      <c r="D18" s="5" t="str">
        <f>VLOOKUP(woodratio[[#This Row],[To_top]],woodstock[#All],7,FALSE)</f>
        <v>43</v>
      </c>
      <c r="E18" s="148" t="s">
        <v>61</v>
      </c>
      <c r="F18" s="148" t="s">
        <v>408</v>
      </c>
      <c r="G18" s="152" t="str">
        <f>woodflow!L54</f>
        <v>4-5</v>
      </c>
      <c r="H18" s="5" t="str">
        <f>woodratio[[#This Row],[Processnumberstotop]]</f>
        <v>43</v>
      </c>
      <c r="I18" s="164">
        <f>woodflow!N55/woodflow!N54</f>
        <v>8.7544526506671203E-2</v>
      </c>
      <c r="J18" s="148" t="s">
        <v>232</v>
      </c>
      <c r="K18" s="5"/>
      <c r="L18" s="13"/>
    </row>
    <row r="19" spans="1:12" x14ac:dyDescent="0.3">
      <c r="A19" s="5" t="s">
        <v>259</v>
      </c>
      <c r="B19" s="148" t="s">
        <v>408</v>
      </c>
      <c r="C19" s="5" t="str">
        <f>VLOOKUP(woodratio[[#This Row],[From_top]],woodstock[#All],7,FALSE)</f>
        <v>5</v>
      </c>
      <c r="D19" s="5" t="str">
        <f>VLOOKUP(woodratio[[#This Row],[To_top]],woodstock[#All],7,FALSE)</f>
        <v>43</v>
      </c>
      <c r="E19" s="148" t="s">
        <v>61</v>
      </c>
      <c r="F19" s="148" t="s">
        <v>408</v>
      </c>
      <c r="G19" s="152" t="str">
        <f>G18</f>
        <v>4-5</v>
      </c>
      <c r="H19" s="5" t="str">
        <f>woodratio[[#This Row],[Processnumberstotop]]</f>
        <v>43</v>
      </c>
      <c r="I19" s="164">
        <f>woodflow!N56/woodflow!N54</f>
        <v>0.91245472399785099</v>
      </c>
      <c r="J19" s="148" t="s">
        <v>232</v>
      </c>
      <c r="K19" s="5"/>
      <c r="L19" s="13"/>
    </row>
    <row r="20" spans="1:12" x14ac:dyDescent="0.3">
      <c r="A20" s="5"/>
      <c r="B20" s="5"/>
      <c r="C20" s="5"/>
      <c r="D20" s="5"/>
      <c r="E20" s="5"/>
      <c r="F20" s="5"/>
      <c r="G20" s="5"/>
      <c r="H20" s="5"/>
      <c r="I20" s="164"/>
      <c r="J20" s="5"/>
      <c r="K20" s="5"/>
      <c r="L20" s="13"/>
    </row>
    <row r="21" spans="1:12" x14ac:dyDescent="0.3">
      <c r="A21" s="5"/>
      <c r="B21" s="5"/>
      <c r="C21" s="5"/>
      <c r="D21" s="5"/>
      <c r="E21" s="5"/>
      <c r="F21" s="5"/>
      <c r="G21" s="5"/>
      <c r="H21" s="5"/>
      <c r="I21" s="164"/>
      <c r="J21" s="5"/>
      <c r="K21" s="5"/>
      <c r="L21" s="13"/>
    </row>
    <row r="22" spans="1:12" x14ac:dyDescent="0.3">
      <c r="A22" s="5" t="s">
        <v>260</v>
      </c>
      <c r="B22" s="148" t="s">
        <v>49</v>
      </c>
      <c r="C22" s="5" t="str">
        <f>VLOOKUP(woodratio[[#This Row],[From_top]],woodstock[#All],7,FALSE)</f>
        <v>6</v>
      </c>
      <c r="D22" s="5" t="str">
        <f>VLOOKUP(woodratio[[#This Row],[To_top]],woodstock[#All],7,FALSE)</f>
        <v>20</v>
      </c>
      <c r="E22" s="148" t="s">
        <v>62</v>
      </c>
      <c r="F22" s="148" t="s">
        <v>49</v>
      </c>
      <c r="G22" s="152" t="str">
        <f>woodflow!L63</f>
        <v>6-7</v>
      </c>
      <c r="H22" s="5" t="str">
        <f>woodratio[[#This Row],[Processnumberstotop]]</f>
        <v>20</v>
      </c>
      <c r="I22" s="164">
        <f>woodflow!N5/(woodflow!N5+woodflow!N17)</f>
        <v>0.58631457240436091</v>
      </c>
      <c r="J22" s="148" t="s">
        <v>232</v>
      </c>
      <c r="K22" s="5"/>
      <c r="L22" s="13"/>
    </row>
    <row r="23" spans="1:12" x14ac:dyDescent="0.3">
      <c r="A23" s="5" t="s">
        <v>261</v>
      </c>
      <c r="B23" s="148" t="s">
        <v>49</v>
      </c>
      <c r="C23" s="5" t="str">
        <f>VLOOKUP(woodratio[[#This Row],[From_top]],woodstock[#All],7,FALSE)</f>
        <v>7</v>
      </c>
      <c r="D23" s="5" t="str">
        <f>VLOOKUP(woodratio[[#This Row],[To_top]],woodstock[#All],7,FALSE)</f>
        <v>20</v>
      </c>
      <c r="E23" s="148" t="s">
        <v>62</v>
      </c>
      <c r="F23" s="148" t="s">
        <v>49</v>
      </c>
      <c r="G23" s="152" t="str">
        <f>G22</f>
        <v>6-7</v>
      </c>
      <c r="H23" s="5" t="str">
        <f>woodratio[[#This Row],[Processnumberstotop]]</f>
        <v>20</v>
      </c>
      <c r="I23" s="164">
        <f>woodflow!N17/(woodflow!N5+woodflow!N17)</f>
        <v>0.41368542759563909</v>
      </c>
      <c r="J23" s="148" t="s">
        <v>232</v>
      </c>
      <c r="K23" s="5"/>
      <c r="L23" s="13"/>
    </row>
    <row r="24" spans="1:12" x14ac:dyDescent="0.3">
      <c r="A24" s="148"/>
      <c r="B24" s="148"/>
      <c r="C24" s="5"/>
      <c r="D24" s="5"/>
      <c r="E24" s="5"/>
      <c r="F24" s="5"/>
      <c r="G24" s="5"/>
      <c r="H24" s="5"/>
      <c r="I24" s="164"/>
      <c r="J24" s="5"/>
      <c r="K24" s="5"/>
      <c r="L24" s="13"/>
    </row>
    <row r="25" spans="1:12" x14ac:dyDescent="0.3">
      <c r="A25" s="5"/>
      <c r="B25" s="5"/>
      <c r="C25" s="5"/>
      <c r="D25" s="5"/>
      <c r="E25" s="5"/>
      <c r="F25" s="5"/>
      <c r="G25" s="5"/>
      <c r="H25" s="5"/>
      <c r="I25" s="164"/>
      <c r="J25" s="5"/>
      <c r="K25" s="5"/>
      <c r="L25" s="13"/>
    </row>
    <row r="26" spans="1:12" x14ac:dyDescent="0.3">
      <c r="A26" s="5" t="s">
        <v>260</v>
      </c>
      <c r="B26" s="148" t="s">
        <v>44</v>
      </c>
      <c r="C26" s="5" t="str">
        <f>VLOOKUP(woodratio[[#This Row],[From_top]],woodstock[#All],7,FALSE)</f>
        <v>6</v>
      </c>
      <c r="D26" s="5" t="str">
        <f>VLOOKUP(woodratio[[#This Row],[To_top]],woodstock[#All],7,FALSE)</f>
        <v>21</v>
      </c>
      <c r="E26" s="148" t="s">
        <v>62</v>
      </c>
      <c r="F26" s="148" t="s">
        <v>44</v>
      </c>
      <c r="G26" s="152" t="str">
        <f>woodflow!L68</f>
        <v>6-7</v>
      </c>
      <c r="H26" s="5" t="str">
        <f>woodratio[[#This Row],[Processnumberstotop]]</f>
        <v>21</v>
      </c>
      <c r="I26" s="164">
        <f>woodflow!N5/(woodflow!N5+woodflow!N17)</f>
        <v>0.58631457240436091</v>
      </c>
      <c r="J26" s="148" t="s">
        <v>232</v>
      </c>
      <c r="K26" s="5"/>
      <c r="L26" s="13"/>
    </row>
    <row r="27" spans="1:12" x14ac:dyDescent="0.3">
      <c r="A27" s="5" t="s">
        <v>261</v>
      </c>
      <c r="B27" s="148" t="s">
        <v>44</v>
      </c>
      <c r="C27" s="5" t="str">
        <f>VLOOKUP(woodratio[[#This Row],[From_top]],woodstock[#All],7,FALSE)</f>
        <v>7</v>
      </c>
      <c r="D27" s="5" t="str">
        <f>VLOOKUP(woodratio[[#This Row],[To_top]],woodstock[#All],7,FALSE)</f>
        <v>21</v>
      </c>
      <c r="E27" s="148" t="s">
        <v>62</v>
      </c>
      <c r="F27" s="148" t="s">
        <v>44</v>
      </c>
      <c r="G27" s="152" t="str">
        <f>G26</f>
        <v>6-7</v>
      </c>
      <c r="H27" s="5" t="str">
        <f>woodratio[[#This Row],[Processnumberstotop]]</f>
        <v>21</v>
      </c>
      <c r="I27" s="164">
        <f>woodflow!N17/(woodflow!N5+woodflow!N17)</f>
        <v>0.41368542759563909</v>
      </c>
      <c r="J27" s="148" t="s">
        <v>232</v>
      </c>
      <c r="K27" s="5"/>
      <c r="L27" s="13"/>
    </row>
    <row r="28" spans="1:12" x14ac:dyDescent="0.3">
      <c r="A28" s="148"/>
      <c r="B28" s="148"/>
      <c r="C28" s="5"/>
      <c r="D28" s="5"/>
      <c r="E28" s="5"/>
      <c r="F28" s="5"/>
      <c r="G28" s="5"/>
      <c r="H28" s="5"/>
      <c r="I28" s="164"/>
      <c r="J28" s="5"/>
      <c r="K28" s="5"/>
      <c r="L28" s="13"/>
    </row>
    <row r="29" spans="1:12" x14ac:dyDescent="0.3">
      <c r="A29" s="5"/>
      <c r="B29" s="5"/>
      <c r="C29" s="5"/>
      <c r="D29" s="5"/>
      <c r="E29" s="5"/>
      <c r="F29" s="5"/>
      <c r="G29" s="5"/>
      <c r="H29" s="5"/>
      <c r="I29" s="164"/>
      <c r="J29" s="5"/>
      <c r="K29" s="5"/>
      <c r="L29" s="13"/>
    </row>
    <row r="30" spans="1:12" x14ac:dyDescent="0.3">
      <c r="A30" s="5" t="s">
        <v>265</v>
      </c>
      <c r="B30" s="148" t="s">
        <v>175</v>
      </c>
      <c r="C30" s="5" t="str">
        <f>VLOOKUP(woodratio[[#This Row],[From_top]],woodstock[#All],7,FALSE)</f>
        <v>10</v>
      </c>
      <c r="D30" s="5" t="str">
        <f>VLOOKUP(woodratio[[#This Row],[To_top]],woodstock[#All],7,FALSE)</f>
        <v>14</v>
      </c>
      <c r="E30" s="148" t="s">
        <v>64</v>
      </c>
      <c r="F30" s="148" t="s">
        <v>175</v>
      </c>
      <c r="G30" s="152" t="str">
        <f>woodflow!L80</f>
        <v>10-11</v>
      </c>
      <c r="H30" s="5" t="str">
        <f>woodratio[[#This Row],[Processnumberstotop]]</f>
        <v>14</v>
      </c>
      <c r="I30" s="164">
        <f>woodflow!N11/(woodflow!N11+woodflow!N23)</f>
        <v>0.22453310251240893</v>
      </c>
      <c r="J30" s="148" t="s">
        <v>232</v>
      </c>
      <c r="K30" s="5"/>
      <c r="L30" s="13"/>
    </row>
    <row r="31" spans="1:12" x14ac:dyDescent="0.3">
      <c r="A31" s="5" t="s">
        <v>266</v>
      </c>
      <c r="B31" s="148" t="s">
        <v>175</v>
      </c>
      <c r="C31" s="5" t="str">
        <f>VLOOKUP(woodratio[[#This Row],[From_top]],woodstock[#All],7,FALSE)</f>
        <v>11</v>
      </c>
      <c r="D31" s="5" t="str">
        <f>VLOOKUP(woodratio[[#This Row],[To_top]],woodstock[#All],7,FALSE)</f>
        <v>14</v>
      </c>
      <c r="E31" s="148" t="s">
        <v>64</v>
      </c>
      <c r="F31" s="148" t="s">
        <v>175</v>
      </c>
      <c r="G31" s="152" t="str">
        <f>G30</f>
        <v>10-11</v>
      </c>
      <c r="H31" s="5" t="str">
        <f>woodratio[[#This Row],[Processnumberstotop]]</f>
        <v>14</v>
      </c>
      <c r="I31" s="164">
        <f>woodflow!N23/(woodflow!N11+woodflow!N23)</f>
        <v>0.77546689748759112</v>
      </c>
      <c r="J31" s="148" t="s">
        <v>232</v>
      </c>
      <c r="K31" s="5"/>
      <c r="L31" s="13"/>
    </row>
    <row r="32" spans="1:12" x14ac:dyDescent="0.3">
      <c r="A32" s="5"/>
      <c r="B32" s="5"/>
      <c r="C32" s="5"/>
      <c r="D32" s="5"/>
      <c r="E32" s="5"/>
      <c r="F32" s="5"/>
      <c r="G32" s="5"/>
      <c r="H32" s="5"/>
      <c r="I32" s="164"/>
      <c r="J32" s="5"/>
      <c r="K32" s="5"/>
      <c r="L32" s="13"/>
    </row>
    <row r="33" spans="1:12" x14ac:dyDescent="0.3">
      <c r="A33" s="5"/>
      <c r="B33" s="5"/>
      <c r="C33" s="5"/>
      <c r="D33" s="5"/>
      <c r="E33" s="5"/>
      <c r="F33" s="5"/>
      <c r="G33" s="5"/>
      <c r="H33" s="5"/>
      <c r="I33" s="164"/>
      <c r="J33" s="5"/>
      <c r="K33" s="5"/>
      <c r="L33" s="13"/>
    </row>
    <row r="34" spans="1:12" x14ac:dyDescent="0.3">
      <c r="A34" s="148" t="s">
        <v>208</v>
      </c>
      <c r="B34" s="148" t="s">
        <v>37</v>
      </c>
      <c r="C34" s="5" t="str">
        <f>VLOOKUP(woodratio[[#This Row],[From_top]],woodstock[#All],7,FALSE)</f>
        <v>12</v>
      </c>
      <c r="D34" s="5" t="str">
        <f>VLOOKUP(woodratio[[#This Row],[To_top]],woodstock[#All],7,FALSE)</f>
        <v>38</v>
      </c>
      <c r="E34" s="148" t="s">
        <v>208</v>
      </c>
      <c r="F34" s="148" t="s">
        <v>51</v>
      </c>
      <c r="G34" s="5" t="str">
        <f>woodratio[[#This Row],[Processnumbersfromtop]]</f>
        <v>12</v>
      </c>
      <c r="H34" s="152" t="str">
        <f>woodflow!M85</f>
        <v>37-38-39-40-41-42</v>
      </c>
      <c r="I34" s="164">
        <v>0.1</v>
      </c>
      <c r="J34" s="5" t="s">
        <v>997</v>
      </c>
      <c r="K34" s="165" t="s">
        <v>998</v>
      </c>
      <c r="L34" s="13"/>
    </row>
    <row r="35" spans="1:12" x14ac:dyDescent="0.3">
      <c r="A35" s="148" t="s">
        <v>208</v>
      </c>
      <c r="B35" s="148" t="s">
        <v>40</v>
      </c>
      <c r="C35" s="5" t="str">
        <f>VLOOKUP(woodratio[[#This Row],[From_top]],woodstock[#All],7,FALSE)</f>
        <v>12</v>
      </c>
      <c r="D35" s="5" t="str">
        <f>VLOOKUP(woodratio[[#This Row],[To_top]],woodstock[#All],7,FALSE)</f>
        <v>40</v>
      </c>
      <c r="E35" s="148" t="s">
        <v>208</v>
      </c>
      <c r="F35" s="148" t="s">
        <v>51</v>
      </c>
      <c r="G35" s="5" t="str">
        <f>G34</f>
        <v>12</v>
      </c>
      <c r="H35" s="152" t="str">
        <f>H34</f>
        <v>37-38-39-40-41-42</v>
      </c>
      <c r="I35" s="164">
        <v>0.2</v>
      </c>
      <c r="J35" s="5" t="s">
        <v>997</v>
      </c>
      <c r="K35" s="165" t="s">
        <v>998</v>
      </c>
      <c r="L35" s="13"/>
    </row>
    <row r="36" spans="1:12" x14ac:dyDescent="0.3">
      <c r="A36" s="148" t="s">
        <v>208</v>
      </c>
      <c r="B36" s="148" t="s">
        <v>41</v>
      </c>
      <c r="C36" s="5" t="str">
        <f>VLOOKUP(woodratio[[#This Row],[From_top]],woodstock[#All],7,FALSE)</f>
        <v>12</v>
      </c>
      <c r="D36" s="5" t="str">
        <f>VLOOKUP(woodratio[[#This Row],[To_top]],woodstock[#All],7,FALSE)</f>
        <v>41</v>
      </c>
      <c r="E36" s="148" t="s">
        <v>208</v>
      </c>
      <c r="F36" s="148" t="s">
        <v>51</v>
      </c>
      <c r="G36" s="5" t="str">
        <f t="shared" ref="G36:G37" si="0">G35</f>
        <v>12</v>
      </c>
      <c r="H36" s="152" t="str">
        <f t="shared" ref="H36:H37" si="1">H35</f>
        <v>37-38-39-40-41-42</v>
      </c>
      <c r="I36" s="164">
        <v>0.1</v>
      </c>
      <c r="J36" s="5" t="s">
        <v>997</v>
      </c>
      <c r="K36" s="165" t="s">
        <v>998</v>
      </c>
      <c r="L36" s="13"/>
    </row>
    <row r="37" spans="1:12" x14ac:dyDescent="0.3">
      <c r="A37" s="148" t="s">
        <v>208</v>
      </c>
      <c r="B37" s="148" t="s">
        <v>38</v>
      </c>
      <c r="C37" s="5" t="str">
        <f>VLOOKUP(woodratio[[#This Row],[From_top]],woodstock[#All],7,FALSE)</f>
        <v>12</v>
      </c>
      <c r="D37" s="5" t="str">
        <f>VLOOKUP(woodratio[[#This Row],[To_top]],woodstock[#All],7,FALSE)</f>
        <v>42</v>
      </c>
      <c r="E37" s="148" t="s">
        <v>208</v>
      </c>
      <c r="F37" s="148" t="s">
        <v>51</v>
      </c>
      <c r="G37" s="5" t="str">
        <f t="shared" si="0"/>
        <v>12</v>
      </c>
      <c r="H37" s="152" t="str">
        <f t="shared" si="1"/>
        <v>37-38-39-40-41-42</v>
      </c>
      <c r="I37" s="164">
        <v>0.6</v>
      </c>
      <c r="J37" s="5" t="s">
        <v>997</v>
      </c>
      <c r="K37" s="165" t="s">
        <v>998</v>
      </c>
      <c r="L37" s="13"/>
    </row>
    <row r="38" spans="1:12" x14ac:dyDescent="0.3">
      <c r="A38" s="5"/>
      <c r="B38" s="5"/>
      <c r="C38" s="5"/>
      <c r="D38" s="5"/>
      <c r="E38" s="5"/>
      <c r="F38" s="5"/>
      <c r="G38" s="5"/>
      <c r="H38" s="5"/>
      <c r="I38" s="164"/>
      <c r="J38" s="5"/>
      <c r="K38" s="5"/>
      <c r="L38" s="13"/>
    </row>
    <row r="39" spans="1:12" x14ac:dyDescent="0.3">
      <c r="A39" s="5"/>
      <c r="B39" s="5"/>
      <c r="C39" s="5"/>
      <c r="D39" s="5"/>
      <c r="E39" s="5"/>
      <c r="F39" s="5"/>
      <c r="G39" s="5"/>
      <c r="H39" s="5"/>
      <c r="I39" s="164"/>
      <c r="J39" s="5"/>
      <c r="K39" s="5"/>
      <c r="L39" s="13"/>
    </row>
    <row r="40" spans="1:12" x14ac:dyDescent="0.3">
      <c r="A40" s="5" t="s">
        <v>175</v>
      </c>
      <c r="B40" s="5" t="s">
        <v>408</v>
      </c>
      <c r="C40" s="5" t="str">
        <f>VLOOKUP(woodratio[[#This Row],[From_top]],woodstock[#All],7,FALSE)</f>
        <v>14</v>
      </c>
      <c r="D40" s="5" t="str">
        <f>VLOOKUP(woodratio[[#This Row],[To_top]],woodstock[#All],7,FALSE)</f>
        <v>43</v>
      </c>
      <c r="E40" s="5" t="s">
        <v>56</v>
      </c>
      <c r="F40" s="5" t="s">
        <v>59</v>
      </c>
      <c r="G40" s="5" t="str">
        <f>woodratio[[#This Row],[Processnumbersfromtop]]</f>
        <v>14</v>
      </c>
      <c r="H40" s="5" t="str">
        <f>woodflow!M103</f>
        <v>43-44-45-46-47-48-49</v>
      </c>
      <c r="I40" s="164">
        <v>0.1</v>
      </c>
      <c r="J40" s="5" t="s">
        <v>997</v>
      </c>
      <c r="K40" s="165" t="s">
        <v>998</v>
      </c>
      <c r="L40" s="13"/>
    </row>
    <row r="41" spans="1:12" x14ac:dyDescent="0.3">
      <c r="A41" s="5" t="s">
        <v>175</v>
      </c>
      <c r="B41" s="5" t="s">
        <v>33</v>
      </c>
      <c r="C41" s="5" t="str">
        <f>VLOOKUP(woodratio[[#This Row],[From_top]],woodstock[#All],7,FALSE)</f>
        <v>14</v>
      </c>
      <c r="D41" s="5" t="str">
        <f>VLOOKUP(woodratio[[#This Row],[To_top]],woodstock[#All],7,FALSE)</f>
        <v>46</v>
      </c>
      <c r="E41" s="5" t="s">
        <v>56</v>
      </c>
      <c r="F41" s="5" t="s">
        <v>59</v>
      </c>
      <c r="G41" s="5" t="str">
        <f>woodratio[[#This Row],[Processnumbersfromtop]]</f>
        <v>14</v>
      </c>
      <c r="H41" s="5" t="str">
        <f>H40</f>
        <v>43-44-45-46-47-48-49</v>
      </c>
      <c r="I41" s="164">
        <v>0.8</v>
      </c>
      <c r="J41" s="5" t="s">
        <v>997</v>
      </c>
      <c r="K41" s="165" t="s">
        <v>998</v>
      </c>
      <c r="L41" s="13"/>
    </row>
    <row r="42" spans="1:12" x14ac:dyDescent="0.3">
      <c r="A42" s="5" t="s">
        <v>175</v>
      </c>
      <c r="B42" s="5" t="s">
        <v>57</v>
      </c>
      <c r="C42" s="5" t="str">
        <f>VLOOKUP(woodratio[[#This Row],[From_top]],woodstock[#All],7,FALSE)</f>
        <v>14</v>
      </c>
      <c r="D42" s="5" t="str">
        <f>VLOOKUP(woodratio[[#This Row],[To_top]],woodstock[#All],7,FALSE)</f>
        <v>49</v>
      </c>
      <c r="E42" s="5" t="s">
        <v>56</v>
      </c>
      <c r="F42" s="5" t="s">
        <v>59</v>
      </c>
      <c r="G42" s="5" t="str">
        <f>woodratio[[#This Row],[Processnumbersfromtop]]</f>
        <v>14</v>
      </c>
      <c r="H42" s="5" t="str">
        <f>H41</f>
        <v>43-44-45-46-47-48-49</v>
      </c>
      <c r="I42" s="164">
        <v>0.1</v>
      </c>
      <c r="J42" s="5" t="s">
        <v>997</v>
      </c>
      <c r="K42" s="165" t="s">
        <v>998</v>
      </c>
      <c r="L42" s="13"/>
    </row>
    <row r="43" spans="1:12" x14ac:dyDescent="0.3">
      <c r="A43" s="5"/>
      <c r="B43" s="5"/>
      <c r="C43" s="5"/>
      <c r="D43" s="5"/>
      <c r="E43" s="5"/>
      <c r="F43" s="5"/>
      <c r="G43" s="5"/>
      <c r="H43" s="5"/>
      <c r="I43" s="164"/>
      <c r="J43" s="5"/>
      <c r="K43" s="5"/>
      <c r="L43" s="13"/>
    </row>
    <row r="44" spans="1:12" x14ac:dyDescent="0.3">
      <c r="A44" s="5"/>
      <c r="B44" s="5"/>
      <c r="C44" s="5"/>
      <c r="D44" s="5"/>
      <c r="E44" s="5"/>
      <c r="F44" s="5"/>
      <c r="G44" s="5"/>
      <c r="H44" s="5"/>
      <c r="I44" s="164"/>
      <c r="J44" s="5"/>
      <c r="K44" s="5"/>
      <c r="L44" s="13"/>
    </row>
    <row r="45" spans="1:12" x14ac:dyDescent="0.3">
      <c r="A45" s="5" t="s">
        <v>175</v>
      </c>
      <c r="B45" s="5" t="s">
        <v>29</v>
      </c>
      <c r="C45" s="5" t="str">
        <f>VLOOKUP(woodratio[[#This Row],[From_top]],woodstock[#All],7,FALSE)</f>
        <v>14</v>
      </c>
      <c r="D45" s="5" t="str">
        <f>VLOOKUP(woodratio[[#This Row],[To_top]],woodstock[#All],7,FALSE)</f>
        <v>50</v>
      </c>
      <c r="E45" s="5" t="s">
        <v>9</v>
      </c>
      <c r="F45" s="5" t="s">
        <v>58</v>
      </c>
      <c r="G45" s="5" t="str">
        <f>woodratio[[#This Row],[Processnumbersfromtop]]</f>
        <v>14</v>
      </c>
      <c r="H45" s="5" t="str">
        <f>woodflow!M113</f>
        <v>50-51-52-53-54-55</v>
      </c>
      <c r="I45" s="164">
        <f>'production-mass-balance'!B14/SUM('production-mass-balance'!B14:B17)</f>
        <v>0.38948497854077246</v>
      </c>
      <c r="J45" s="148" t="s">
        <v>453</v>
      </c>
      <c r="K45" s="5"/>
      <c r="L45" s="13"/>
    </row>
    <row r="46" spans="1:12" x14ac:dyDescent="0.3">
      <c r="A46" s="5" t="s">
        <v>175</v>
      </c>
      <c r="B46" s="5" t="s">
        <v>73</v>
      </c>
      <c r="C46" s="5" t="str">
        <f>VLOOKUP(woodratio[[#This Row],[From_top]],woodstock[#All],7,FALSE)</f>
        <v>14</v>
      </c>
      <c r="D46" s="5" t="str">
        <f>VLOOKUP(woodratio[[#This Row],[To_top]],woodstock[#All],7,FALSE)</f>
        <v>51</v>
      </c>
      <c r="E46" s="5" t="s">
        <v>9</v>
      </c>
      <c r="F46" s="5" t="s">
        <v>58</v>
      </c>
      <c r="G46" s="5" t="str">
        <f>woodratio[[#This Row],[Processnumbersfromtop]]</f>
        <v>14</v>
      </c>
      <c r="H46" s="5" t="str">
        <f>H45</f>
        <v>50-51-52-53-54-55</v>
      </c>
      <c r="I46" s="164">
        <f>'production-mass-balance'!B15/SUM('production-mass-balance'!B14:B17)</f>
        <v>0.22103004291845518</v>
      </c>
      <c r="J46" s="148" t="s">
        <v>453</v>
      </c>
      <c r="K46" s="5"/>
      <c r="L46" s="13"/>
    </row>
    <row r="47" spans="1:12" x14ac:dyDescent="0.3">
      <c r="A47" s="5" t="s">
        <v>175</v>
      </c>
      <c r="B47" s="5" t="s">
        <v>30</v>
      </c>
      <c r="C47" s="5" t="str">
        <f>VLOOKUP(woodratio[[#This Row],[From_top]],woodstock[#All],7,FALSE)</f>
        <v>14</v>
      </c>
      <c r="D47" s="5" t="str">
        <f>VLOOKUP(woodratio[[#This Row],[To_top]],woodstock[#All],7,FALSE)</f>
        <v>52</v>
      </c>
      <c r="E47" s="5" t="s">
        <v>9</v>
      </c>
      <c r="F47" s="5" t="s">
        <v>58</v>
      </c>
      <c r="G47" s="5" t="str">
        <f>woodratio[[#This Row],[Processnumbersfromtop]]</f>
        <v>14</v>
      </c>
      <c r="H47" s="5" t="str">
        <f t="shared" ref="H47" si="2">H46</f>
        <v>50-51-52-53-54-55</v>
      </c>
      <c r="I47" s="164">
        <f>'production-mass-balance'!B17/SUM('production-mass-balance'!B14:B17)</f>
        <v>0.24785407725321887</v>
      </c>
      <c r="J47" s="148" t="s">
        <v>453</v>
      </c>
      <c r="K47" s="5"/>
      <c r="L47" s="13"/>
    </row>
    <row r="48" spans="1:12" x14ac:dyDescent="0.3">
      <c r="A48" s="5" t="s">
        <v>175</v>
      </c>
      <c r="B48" s="5" t="s">
        <v>74</v>
      </c>
      <c r="C48" s="5" t="str">
        <f>VLOOKUP(woodratio[[#This Row],[From_top]],woodstock[#All],7,FALSE)</f>
        <v>14</v>
      </c>
      <c r="D48" s="5" t="str">
        <f>VLOOKUP(woodratio[[#This Row],[To_top]],woodstock[#All],7,FALSE)</f>
        <v>55</v>
      </c>
      <c r="E48" s="5" t="s">
        <v>9</v>
      </c>
      <c r="F48" s="5" t="s">
        <v>58</v>
      </c>
      <c r="G48" s="5" t="str">
        <f>woodratio[[#This Row],[Processnumbersfromtop]]</f>
        <v>14</v>
      </c>
      <c r="H48" s="5" t="str">
        <f>H47</f>
        <v>50-51-52-53-54-55</v>
      </c>
      <c r="I48" s="164">
        <f>'production-mass-balance'!B16/SUM('production-mass-balance'!B14:B17)</f>
        <v>0.14163090128755335</v>
      </c>
      <c r="J48" s="148" t="s">
        <v>453</v>
      </c>
      <c r="K48" s="5"/>
      <c r="L48" s="13"/>
    </row>
    <row r="49" spans="1:12" x14ac:dyDescent="0.3">
      <c r="A49" s="5"/>
      <c r="B49" s="5"/>
      <c r="C49" s="5"/>
      <c r="D49" s="5"/>
      <c r="E49" s="5"/>
      <c r="F49" s="5"/>
      <c r="G49" s="5"/>
      <c r="H49" s="5"/>
      <c r="I49" s="164"/>
      <c r="J49" s="5"/>
      <c r="K49" s="5"/>
      <c r="L49" s="13"/>
    </row>
    <row r="50" spans="1:12" x14ac:dyDescent="0.3">
      <c r="A50" s="5"/>
      <c r="B50" s="5"/>
      <c r="C50" s="5"/>
      <c r="D50" s="5"/>
      <c r="E50" s="5"/>
      <c r="F50" s="5"/>
      <c r="G50" s="5"/>
      <c r="H50" s="5"/>
      <c r="I50" s="164"/>
      <c r="J50" s="5"/>
      <c r="K50" s="5"/>
      <c r="L50" s="13"/>
    </row>
    <row r="51" spans="1:12" x14ac:dyDescent="0.3">
      <c r="A51" s="5" t="s">
        <v>267</v>
      </c>
      <c r="B51" s="5" t="s">
        <v>36</v>
      </c>
      <c r="C51" s="5" t="str">
        <f>VLOOKUP(woodratio[[#This Row],[From_top]],woodstock[#All],7,FALSE)</f>
        <v>18</v>
      </c>
      <c r="D51" s="5" t="str">
        <f>VLOOKUP(woodratio[[#This Row],[To_top]],woodstock[#All],7,FALSE)</f>
        <v>37</v>
      </c>
      <c r="E51" s="5" t="s">
        <v>48</v>
      </c>
      <c r="F51" s="5" t="s">
        <v>51</v>
      </c>
      <c r="G51" s="5" t="str">
        <f>woodratio[[#This Row],[Processnumbersfromtop]]</f>
        <v>18</v>
      </c>
      <c r="H51" s="5" t="str">
        <f>woodflow!M161</f>
        <v>37-38-39-40-41-42</v>
      </c>
      <c r="I51" s="164">
        <v>0.2036</v>
      </c>
      <c r="J51" s="5" t="s">
        <v>365</v>
      </c>
      <c r="K51" s="165" t="s">
        <v>369</v>
      </c>
      <c r="L51" s="13"/>
    </row>
    <row r="52" spans="1:12" x14ac:dyDescent="0.3">
      <c r="A52" s="5" t="s">
        <v>267</v>
      </c>
      <c r="B52" s="5" t="s">
        <v>37</v>
      </c>
      <c r="C52" s="5" t="str">
        <f>VLOOKUP(woodratio[[#This Row],[From_top]],woodstock[#All],7,FALSE)</f>
        <v>18</v>
      </c>
      <c r="D52" s="5" t="str">
        <f>VLOOKUP(woodratio[[#This Row],[To_top]],woodstock[#All],7,FALSE)</f>
        <v>38</v>
      </c>
      <c r="E52" s="5" t="s">
        <v>48</v>
      </c>
      <c r="F52" s="5" t="s">
        <v>51</v>
      </c>
      <c r="G52" s="5" t="str">
        <f>woodratio[[#This Row],[Processnumbersfromtop]]</f>
        <v>18</v>
      </c>
      <c r="H52" s="5" t="str">
        <f>H51</f>
        <v>37-38-39-40-41-42</v>
      </c>
      <c r="I52" s="164">
        <v>0.19</v>
      </c>
      <c r="J52" s="5" t="s">
        <v>365</v>
      </c>
      <c r="K52" s="165" t="s">
        <v>369</v>
      </c>
      <c r="L52" s="13"/>
    </row>
    <row r="53" spans="1:12" x14ac:dyDescent="0.3">
      <c r="A53" s="5" t="s">
        <v>267</v>
      </c>
      <c r="B53" s="5" t="s">
        <v>39</v>
      </c>
      <c r="C53" s="5" t="str">
        <f>VLOOKUP(woodratio[[#This Row],[From_top]],woodstock[#All],7,FALSE)</f>
        <v>18</v>
      </c>
      <c r="D53" s="5" t="str">
        <f>VLOOKUP(woodratio[[#This Row],[To_top]],woodstock[#All],7,FALSE)</f>
        <v>39</v>
      </c>
      <c r="E53" s="5" t="s">
        <v>48</v>
      </c>
      <c r="F53" s="5" t="s">
        <v>51</v>
      </c>
      <c r="G53" s="5" t="str">
        <f>woodratio[[#This Row],[Processnumbersfromtop]]</f>
        <v>18</v>
      </c>
      <c r="H53" s="5" t="str">
        <f t="shared" ref="H53:H56" si="3">H52</f>
        <v>37-38-39-40-41-42</v>
      </c>
      <c r="I53" s="164">
        <v>2.64E-2</v>
      </c>
      <c r="J53" s="5" t="s">
        <v>365</v>
      </c>
      <c r="K53" s="165" t="s">
        <v>369</v>
      </c>
      <c r="L53" s="13"/>
    </row>
    <row r="54" spans="1:12" x14ac:dyDescent="0.3">
      <c r="A54" s="5" t="s">
        <v>267</v>
      </c>
      <c r="B54" s="5" t="s">
        <v>40</v>
      </c>
      <c r="C54" s="5" t="str">
        <f>VLOOKUP(woodratio[[#This Row],[From_top]],woodstock[#All],7,FALSE)</f>
        <v>18</v>
      </c>
      <c r="D54" s="5" t="str">
        <f>VLOOKUP(woodratio[[#This Row],[To_top]],woodstock[#All],7,FALSE)</f>
        <v>40</v>
      </c>
      <c r="E54" s="5" t="s">
        <v>48</v>
      </c>
      <c r="F54" s="5" t="s">
        <v>51</v>
      </c>
      <c r="G54" s="5" t="str">
        <f>woodratio[[#This Row],[Processnumbersfromtop]]</f>
        <v>18</v>
      </c>
      <c r="H54" s="5" t="str">
        <f>H53</f>
        <v>37-38-39-40-41-42</v>
      </c>
      <c r="I54" s="164">
        <v>0.47</v>
      </c>
      <c r="J54" s="5" t="s">
        <v>365</v>
      </c>
      <c r="K54" s="165" t="s">
        <v>369</v>
      </c>
      <c r="L54" s="13"/>
    </row>
    <row r="55" spans="1:12" x14ac:dyDescent="0.3">
      <c r="A55" s="5" t="s">
        <v>267</v>
      </c>
      <c r="B55" s="5" t="s">
        <v>41</v>
      </c>
      <c r="C55" s="5" t="str">
        <f>VLOOKUP(woodratio[[#This Row],[From_top]],woodstock[#All],7,FALSE)</f>
        <v>18</v>
      </c>
      <c r="D55" s="5" t="str">
        <f>VLOOKUP(woodratio[[#This Row],[To_top]],woodstock[#All],7,FALSE)</f>
        <v>41</v>
      </c>
      <c r="E55" s="5" t="s">
        <v>48</v>
      </c>
      <c r="F55" s="5" t="s">
        <v>51</v>
      </c>
      <c r="G55" s="5" t="str">
        <f>woodratio[[#This Row],[Processnumbersfromtop]]</f>
        <v>18</v>
      </c>
      <c r="H55" s="5" t="str">
        <f t="shared" si="3"/>
        <v>37-38-39-40-41-42</v>
      </c>
      <c r="I55" s="164">
        <v>0.03</v>
      </c>
      <c r="J55" s="5" t="s">
        <v>365</v>
      </c>
      <c r="K55" s="165" t="s">
        <v>369</v>
      </c>
      <c r="L55" s="13"/>
    </row>
    <row r="56" spans="1:12" x14ac:dyDescent="0.3">
      <c r="A56" s="5" t="s">
        <v>267</v>
      </c>
      <c r="B56" s="5" t="s">
        <v>38</v>
      </c>
      <c r="C56" s="5" t="str">
        <f>VLOOKUP(woodratio[[#This Row],[From_top]],woodstock[#All],7,FALSE)</f>
        <v>18</v>
      </c>
      <c r="D56" s="5" t="str">
        <f>VLOOKUP(woodratio[[#This Row],[To_top]],woodstock[#All],7,FALSE)</f>
        <v>42</v>
      </c>
      <c r="E56" s="5" t="s">
        <v>48</v>
      </c>
      <c r="F56" s="5" t="s">
        <v>51</v>
      </c>
      <c r="G56" s="5" t="str">
        <f>woodratio[[#This Row],[Processnumbersfromtop]]</f>
        <v>18</v>
      </c>
      <c r="H56" s="5" t="str">
        <f t="shared" si="3"/>
        <v>37-38-39-40-41-42</v>
      </c>
      <c r="I56" s="164">
        <v>0.08</v>
      </c>
      <c r="J56" s="5" t="s">
        <v>365</v>
      </c>
      <c r="K56" s="165" t="s">
        <v>369</v>
      </c>
      <c r="L56" s="13"/>
    </row>
    <row r="57" spans="1:12" x14ac:dyDescent="0.3">
      <c r="A57" s="5"/>
      <c r="B57" s="5"/>
      <c r="C57" s="5"/>
      <c r="D57" s="5"/>
      <c r="E57" s="5"/>
      <c r="F57" s="5"/>
      <c r="G57" s="5"/>
      <c r="H57" s="5"/>
      <c r="I57" s="164"/>
      <c r="J57" s="5"/>
      <c r="K57" s="5"/>
      <c r="L57" s="13"/>
    </row>
    <row r="58" spans="1:12" x14ac:dyDescent="0.3">
      <c r="A58" s="5"/>
      <c r="B58" s="5"/>
      <c r="C58" s="5"/>
      <c r="D58" s="5"/>
      <c r="E58" s="5"/>
      <c r="F58" s="5"/>
      <c r="G58" s="5"/>
      <c r="H58" s="5"/>
      <c r="I58" s="164"/>
      <c r="J58" s="5"/>
      <c r="K58" s="5"/>
      <c r="L58" s="13"/>
    </row>
    <row r="59" spans="1:12" x14ac:dyDescent="0.3">
      <c r="A59" s="5" t="s">
        <v>268</v>
      </c>
      <c r="B59" s="5" t="s">
        <v>36</v>
      </c>
      <c r="C59" s="5" t="str">
        <f>VLOOKUP(woodratio[[#This Row],[From_top]],woodstock[#All],7,FALSE)</f>
        <v>19</v>
      </c>
      <c r="D59" s="5" t="str">
        <f>VLOOKUP(woodratio[[#This Row],[To_top]],woodstock[#All],7,FALSE)</f>
        <v>37</v>
      </c>
      <c r="E59" s="5" t="s">
        <v>48</v>
      </c>
      <c r="F59" s="5" t="s">
        <v>51</v>
      </c>
      <c r="G59" s="5" t="str">
        <f>woodratio[[#This Row],[Processnumbersfromtop]]</f>
        <v>19</v>
      </c>
      <c r="H59" s="152" t="str">
        <f>woodflow!M170</f>
        <v>37-38-39-40-41-42</v>
      </c>
      <c r="I59" s="164">
        <v>0.2036</v>
      </c>
      <c r="J59" s="5" t="s">
        <v>365</v>
      </c>
      <c r="K59" s="165" t="s">
        <v>369</v>
      </c>
      <c r="L59" s="13"/>
    </row>
    <row r="60" spans="1:12" x14ac:dyDescent="0.3">
      <c r="A60" s="5" t="s">
        <v>268</v>
      </c>
      <c r="B60" s="5" t="s">
        <v>37</v>
      </c>
      <c r="C60" s="5" t="str">
        <f>VLOOKUP(woodratio[[#This Row],[From_top]],woodstock[#All],7,FALSE)</f>
        <v>19</v>
      </c>
      <c r="D60" s="5" t="str">
        <f>VLOOKUP(woodratio[[#This Row],[To_top]],woodstock[#All],7,FALSE)</f>
        <v>38</v>
      </c>
      <c r="E60" s="5" t="s">
        <v>48</v>
      </c>
      <c r="F60" s="5" t="s">
        <v>51</v>
      </c>
      <c r="G60" s="5" t="str">
        <f>woodratio[[#This Row],[Processnumbersfromtop]]</f>
        <v>19</v>
      </c>
      <c r="H60" s="5" t="str">
        <f>H59</f>
        <v>37-38-39-40-41-42</v>
      </c>
      <c r="I60" s="164">
        <v>0.19</v>
      </c>
      <c r="J60" s="5" t="s">
        <v>365</v>
      </c>
      <c r="K60" s="165" t="s">
        <v>369</v>
      </c>
      <c r="L60" s="13"/>
    </row>
    <row r="61" spans="1:12" x14ac:dyDescent="0.3">
      <c r="A61" s="5" t="s">
        <v>268</v>
      </c>
      <c r="B61" s="5" t="s">
        <v>39</v>
      </c>
      <c r="C61" s="5" t="str">
        <f>VLOOKUP(woodratio[[#This Row],[From_top]],woodstock[#All],7,FALSE)</f>
        <v>19</v>
      </c>
      <c r="D61" s="5" t="str">
        <f>VLOOKUP(woodratio[[#This Row],[To_top]],woodstock[#All],7,FALSE)</f>
        <v>39</v>
      </c>
      <c r="E61" s="5" t="s">
        <v>48</v>
      </c>
      <c r="F61" s="5" t="s">
        <v>51</v>
      </c>
      <c r="G61" s="5" t="str">
        <f>woodratio[[#This Row],[Processnumbersfromtop]]</f>
        <v>19</v>
      </c>
      <c r="H61" s="5" t="str">
        <f t="shared" ref="H61:H64" si="4">H60</f>
        <v>37-38-39-40-41-42</v>
      </c>
      <c r="I61" s="164">
        <v>2.64E-2</v>
      </c>
      <c r="J61" s="5" t="s">
        <v>365</v>
      </c>
      <c r="K61" s="165" t="s">
        <v>369</v>
      </c>
      <c r="L61" s="13"/>
    </row>
    <row r="62" spans="1:12" x14ac:dyDescent="0.3">
      <c r="A62" s="5" t="s">
        <v>268</v>
      </c>
      <c r="B62" s="5" t="s">
        <v>40</v>
      </c>
      <c r="C62" s="5" t="str">
        <f>VLOOKUP(woodratio[[#This Row],[From_top]],woodstock[#All],7,FALSE)</f>
        <v>19</v>
      </c>
      <c r="D62" s="5" t="str">
        <f>VLOOKUP(woodratio[[#This Row],[To_top]],woodstock[#All],7,FALSE)</f>
        <v>40</v>
      </c>
      <c r="E62" s="5" t="s">
        <v>48</v>
      </c>
      <c r="F62" s="5" t="s">
        <v>51</v>
      </c>
      <c r="G62" s="5" t="str">
        <f>woodratio[[#This Row],[Processnumbersfromtop]]</f>
        <v>19</v>
      </c>
      <c r="H62" s="5" t="str">
        <f>H61</f>
        <v>37-38-39-40-41-42</v>
      </c>
      <c r="I62" s="164">
        <v>0.47</v>
      </c>
      <c r="J62" s="5" t="s">
        <v>365</v>
      </c>
      <c r="K62" s="165" t="s">
        <v>369</v>
      </c>
      <c r="L62" s="13"/>
    </row>
    <row r="63" spans="1:12" x14ac:dyDescent="0.3">
      <c r="A63" s="5" t="s">
        <v>268</v>
      </c>
      <c r="B63" s="5" t="s">
        <v>41</v>
      </c>
      <c r="C63" s="5" t="str">
        <f>VLOOKUP(woodratio[[#This Row],[From_top]],woodstock[#All],7,FALSE)</f>
        <v>19</v>
      </c>
      <c r="D63" s="5" t="str">
        <f>VLOOKUP(woodratio[[#This Row],[To_top]],woodstock[#All],7,FALSE)</f>
        <v>41</v>
      </c>
      <c r="E63" s="5" t="s">
        <v>48</v>
      </c>
      <c r="F63" s="5" t="s">
        <v>51</v>
      </c>
      <c r="G63" s="5" t="str">
        <f>woodratio[[#This Row],[Processnumbersfromtop]]</f>
        <v>19</v>
      </c>
      <c r="H63" s="5" t="str">
        <f t="shared" si="4"/>
        <v>37-38-39-40-41-42</v>
      </c>
      <c r="I63" s="164">
        <v>0.03</v>
      </c>
      <c r="J63" s="5" t="s">
        <v>365</v>
      </c>
      <c r="K63" s="165" t="s">
        <v>369</v>
      </c>
      <c r="L63" s="13"/>
    </row>
    <row r="64" spans="1:12" x14ac:dyDescent="0.3">
      <c r="A64" s="5" t="s">
        <v>268</v>
      </c>
      <c r="B64" s="5" t="s">
        <v>38</v>
      </c>
      <c r="C64" s="5" t="str">
        <f>VLOOKUP(woodratio[[#This Row],[From_top]],woodstock[#All],7,FALSE)</f>
        <v>19</v>
      </c>
      <c r="D64" s="5" t="str">
        <f>VLOOKUP(woodratio[[#This Row],[To_top]],woodstock[#All],7,FALSE)</f>
        <v>42</v>
      </c>
      <c r="E64" s="5" t="s">
        <v>48</v>
      </c>
      <c r="F64" s="5" t="s">
        <v>51</v>
      </c>
      <c r="G64" s="5" t="str">
        <f>woodratio[[#This Row],[Processnumbersfromtop]]</f>
        <v>19</v>
      </c>
      <c r="H64" s="5" t="str">
        <f t="shared" si="4"/>
        <v>37-38-39-40-41-42</v>
      </c>
      <c r="I64" s="164">
        <v>0.08</v>
      </c>
      <c r="J64" s="5" t="s">
        <v>365</v>
      </c>
      <c r="K64" s="165" t="s">
        <v>369</v>
      </c>
      <c r="L64" s="13"/>
    </row>
    <row r="65" spans="1:12" x14ac:dyDescent="0.3">
      <c r="A65" s="5"/>
      <c r="B65" s="5"/>
      <c r="C65" s="5"/>
      <c r="D65" s="5"/>
      <c r="E65" s="5"/>
      <c r="F65" s="5"/>
      <c r="G65" s="5"/>
      <c r="H65" s="5"/>
      <c r="I65" s="164"/>
      <c r="J65" s="5"/>
      <c r="K65" s="5"/>
      <c r="L65" s="13"/>
    </row>
    <row r="66" spans="1:12" x14ac:dyDescent="0.3">
      <c r="A66" s="5"/>
      <c r="B66" s="5"/>
      <c r="C66" s="5"/>
      <c r="D66" s="5"/>
      <c r="E66" s="5"/>
      <c r="F66" s="5"/>
      <c r="G66" s="5"/>
      <c r="H66" s="5"/>
      <c r="I66" s="164"/>
      <c r="J66" s="5"/>
      <c r="K66" s="5"/>
      <c r="L66" s="13"/>
    </row>
    <row r="67" spans="1:12" x14ac:dyDescent="0.3">
      <c r="A67" s="5" t="s">
        <v>267</v>
      </c>
      <c r="B67" s="5" t="s">
        <v>29</v>
      </c>
      <c r="C67" s="5" t="str">
        <f>VLOOKUP(woodratio[[#This Row],[From_top]],woodstock[#All],7,FALSE)</f>
        <v>18</v>
      </c>
      <c r="D67" s="5" t="str">
        <f>VLOOKUP(woodratio[[#This Row],[To_top]],woodstock[#All],7,FALSE)</f>
        <v>50</v>
      </c>
      <c r="E67" s="5" t="s">
        <v>48</v>
      </c>
      <c r="F67" s="5" t="s">
        <v>58</v>
      </c>
      <c r="G67" s="5" t="str">
        <f>woodratio[[#This Row],[Processnumbersfromtop]]</f>
        <v>18</v>
      </c>
      <c r="H67" s="5" t="str">
        <f>woodflow!M179</f>
        <v>50-51-52-53-54-55</v>
      </c>
      <c r="I67" s="164">
        <f>'production-mass-balance'!B22/SUM('production-mass-balance'!B22:B25)</f>
        <v>0.57148817906132898</v>
      </c>
      <c r="J67" s="148" t="s">
        <v>453</v>
      </c>
      <c r="K67" s="5"/>
      <c r="L67" s="13"/>
    </row>
    <row r="68" spans="1:12" x14ac:dyDescent="0.3">
      <c r="A68" s="5" t="s">
        <v>267</v>
      </c>
      <c r="B68" s="5" t="s">
        <v>73</v>
      </c>
      <c r="C68" s="5" t="str">
        <f>VLOOKUP(woodratio[[#This Row],[From_top]],woodstock[#All],7,FALSE)</f>
        <v>18</v>
      </c>
      <c r="D68" s="5" t="str">
        <f>VLOOKUP(woodratio[[#This Row],[To_top]],woodstock[#All],7,FALSE)</f>
        <v>51</v>
      </c>
      <c r="E68" s="5" t="s">
        <v>48</v>
      </c>
      <c r="F68" s="5" t="s">
        <v>58</v>
      </c>
      <c r="G68" s="5" t="str">
        <f>woodratio[[#This Row],[Processnumbersfromtop]]</f>
        <v>18</v>
      </c>
      <c r="H68" s="5" t="str">
        <f>H67</f>
        <v>50-51-52-53-54-55</v>
      </c>
      <c r="I68" s="164">
        <f>'production-mass-balance'!B23/SUM('production-mass-balance'!B22:B25)</f>
        <v>0.20544515725238621</v>
      </c>
      <c r="J68" s="148" t="s">
        <v>453</v>
      </c>
      <c r="K68" s="5"/>
      <c r="L68" s="13"/>
    </row>
    <row r="69" spans="1:12" x14ac:dyDescent="0.3">
      <c r="A69" s="5" t="s">
        <v>267</v>
      </c>
      <c r="B69" s="5" t="s">
        <v>30</v>
      </c>
      <c r="C69" s="5" t="str">
        <f>VLOOKUP(woodratio[[#This Row],[From_top]],woodstock[#All],7,FALSE)</f>
        <v>18</v>
      </c>
      <c r="D69" s="5" t="str">
        <f>VLOOKUP(woodratio[[#This Row],[To_top]],woodstock[#All],7,FALSE)</f>
        <v>52</v>
      </c>
      <c r="E69" s="5" t="s">
        <v>48</v>
      </c>
      <c r="F69" s="5" t="s">
        <v>58</v>
      </c>
      <c r="G69" s="5" t="str">
        <f>woodratio[[#This Row],[Processnumbersfromtop]]</f>
        <v>18</v>
      </c>
      <c r="H69" s="5" t="str">
        <f t="shared" ref="H69" si="5">H68</f>
        <v>50-51-52-53-54-55</v>
      </c>
      <c r="I69" s="164">
        <f>'production-mass-balance'!B25/SUM('production-mass-balance'!B22:B25)</f>
        <v>0.14238773274917857</v>
      </c>
      <c r="J69" s="148" t="s">
        <v>453</v>
      </c>
      <c r="K69" s="5"/>
      <c r="L69" s="13"/>
    </row>
    <row r="70" spans="1:12" x14ac:dyDescent="0.3">
      <c r="A70" s="5" t="s">
        <v>267</v>
      </c>
      <c r="B70" s="5" t="s">
        <v>74</v>
      </c>
      <c r="C70" s="5" t="str">
        <f>VLOOKUP(woodratio[[#This Row],[From_top]],woodstock[#All],7,FALSE)</f>
        <v>18</v>
      </c>
      <c r="D70" s="5" t="str">
        <f>VLOOKUP(woodratio[[#This Row],[To_top]],woodstock[#All],7,FALSE)</f>
        <v>55</v>
      </c>
      <c r="E70" s="5" t="s">
        <v>48</v>
      </c>
      <c r="F70" s="5" t="s">
        <v>58</v>
      </c>
      <c r="G70" s="5" t="str">
        <f>woodratio[[#This Row],[Processnumbersfromtop]]</f>
        <v>18</v>
      </c>
      <c r="H70" s="5" t="str">
        <f>H69</f>
        <v>50-51-52-53-54-55</v>
      </c>
      <c r="I70" s="164">
        <f>'production-mass-balance'!B24/SUM('production-mass-balance'!B22:B25)</f>
        <v>8.0678930937106333E-2</v>
      </c>
      <c r="J70" s="148" t="s">
        <v>453</v>
      </c>
      <c r="K70" s="5"/>
      <c r="L70" s="13"/>
    </row>
    <row r="71" spans="1:12" x14ac:dyDescent="0.3">
      <c r="A71" s="5"/>
      <c r="B71" s="5"/>
      <c r="C71" s="5"/>
      <c r="D71" s="5"/>
      <c r="E71" s="5"/>
      <c r="F71" s="5"/>
      <c r="G71" s="5"/>
      <c r="H71" s="5"/>
      <c r="I71" s="164"/>
      <c r="J71" s="5"/>
      <c r="K71" s="5"/>
      <c r="L71" s="13"/>
    </row>
    <row r="72" spans="1:12" x14ac:dyDescent="0.3">
      <c r="A72" s="5"/>
      <c r="B72" s="5"/>
      <c r="C72" s="5"/>
      <c r="D72" s="5"/>
      <c r="E72" s="5"/>
      <c r="F72" s="5"/>
      <c r="G72" s="5"/>
      <c r="H72" s="5"/>
      <c r="I72" s="164"/>
      <c r="J72" s="5"/>
      <c r="K72" s="5"/>
      <c r="L72" s="13"/>
    </row>
    <row r="73" spans="1:12" x14ac:dyDescent="0.3">
      <c r="A73" s="5" t="s">
        <v>268</v>
      </c>
      <c r="B73" s="5" t="s">
        <v>29</v>
      </c>
      <c r="C73" s="5" t="str">
        <f>VLOOKUP(woodratio[[#This Row],[From_top]],woodstock[#All],7,FALSE)</f>
        <v>19</v>
      </c>
      <c r="D73" s="5" t="str">
        <f>VLOOKUP(woodratio[[#This Row],[To_top]],woodstock[#All],7,FALSE)</f>
        <v>50</v>
      </c>
      <c r="E73" s="5" t="s">
        <v>48</v>
      </c>
      <c r="F73" s="5" t="s">
        <v>58</v>
      </c>
      <c r="G73" s="5" t="str">
        <f>woodratio[[#This Row],[Processnumbersfromtop]]</f>
        <v>19</v>
      </c>
      <c r="H73" s="152" t="str">
        <f>woodflow!M188</f>
        <v>50-51-52-53-54-55</v>
      </c>
      <c r="I73" s="164">
        <f>'production-mass-balance'!B30/SUM('production-mass-balance'!B30:B33)</f>
        <v>0.57114800928405662</v>
      </c>
      <c r="J73" s="148" t="s">
        <v>453</v>
      </c>
      <c r="K73" s="5"/>
      <c r="L73" s="13"/>
    </row>
    <row r="74" spans="1:12" x14ac:dyDescent="0.3">
      <c r="A74" s="5" t="s">
        <v>268</v>
      </c>
      <c r="B74" s="5" t="s">
        <v>73</v>
      </c>
      <c r="C74" s="5" t="str">
        <f>VLOOKUP(woodratio[[#This Row],[From_top]],woodstock[#All],7,FALSE)</f>
        <v>19</v>
      </c>
      <c r="D74" s="5" t="str">
        <f>VLOOKUP(woodratio[[#This Row],[To_top]],woodstock[#All],7,FALSE)</f>
        <v>51</v>
      </c>
      <c r="E74" s="5" t="s">
        <v>48</v>
      </c>
      <c r="F74" s="5" t="s">
        <v>58</v>
      </c>
      <c r="G74" s="5" t="str">
        <f>woodratio[[#This Row],[Processnumbersfromtop]]</f>
        <v>19</v>
      </c>
      <c r="H74" s="5" t="str">
        <f>H73</f>
        <v>50-51-52-53-54-55</v>
      </c>
      <c r="I74" s="164">
        <f>'production-mass-balance'!B31/SUM('production-mass-balance'!B30:B33)</f>
        <v>0.20796286377432607</v>
      </c>
      <c r="J74" s="148" t="s">
        <v>453</v>
      </c>
      <c r="K74" s="5"/>
      <c r="L74" s="13"/>
    </row>
    <row r="75" spans="1:12" x14ac:dyDescent="0.3">
      <c r="A75" s="5" t="s">
        <v>268</v>
      </c>
      <c r="B75" s="5" t="s">
        <v>30</v>
      </c>
      <c r="C75" s="5" t="str">
        <f>VLOOKUP(woodratio[[#This Row],[From_top]],woodstock[#All],7,FALSE)</f>
        <v>19</v>
      </c>
      <c r="D75" s="5" t="str">
        <f>VLOOKUP(woodratio[[#This Row],[To_top]],woodstock[#All],7,FALSE)</f>
        <v>52</v>
      </c>
      <c r="E75" s="5" t="s">
        <v>48</v>
      </c>
      <c r="F75" s="5" t="s">
        <v>58</v>
      </c>
      <c r="G75" s="5" t="str">
        <f>woodratio[[#This Row],[Processnumbersfromtop]]</f>
        <v>19</v>
      </c>
      <c r="H75" s="5" t="str">
        <f t="shared" ref="H75" si="6">H74</f>
        <v>50-51-52-53-54-55</v>
      </c>
      <c r="I75" s="164">
        <f>'production-mass-balance'!B33/SUM('production-mass-balance'!B30:B33)</f>
        <v>0.13997500446348871</v>
      </c>
      <c r="J75" s="148" t="s">
        <v>453</v>
      </c>
      <c r="K75" s="5"/>
      <c r="L75" s="13"/>
    </row>
    <row r="76" spans="1:12" x14ac:dyDescent="0.3">
      <c r="A76" s="5" t="s">
        <v>268</v>
      </c>
      <c r="B76" s="5" t="s">
        <v>74</v>
      </c>
      <c r="C76" s="5" t="str">
        <f>VLOOKUP(woodratio[[#This Row],[From_top]],woodstock[#All],7,FALSE)</f>
        <v>19</v>
      </c>
      <c r="D76" s="5" t="str">
        <f>VLOOKUP(woodratio[[#This Row],[To_top]],woodstock[#All],7,FALSE)</f>
        <v>55</v>
      </c>
      <c r="E76" s="5" t="s">
        <v>48</v>
      </c>
      <c r="F76" s="5" t="s">
        <v>58</v>
      </c>
      <c r="G76" s="5" t="str">
        <f>woodratio[[#This Row],[Processnumbersfromtop]]</f>
        <v>19</v>
      </c>
      <c r="H76" s="5" t="str">
        <f>H75</f>
        <v>50-51-52-53-54-55</v>
      </c>
      <c r="I76" s="164">
        <f>'production-mass-balance'!B32/SUM('production-mass-balance'!B30:B33)</f>
        <v>8.0914122478128736E-2</v>
      </c>
      <c r="J76" s="148" t="s">
        <v>453</v>
      </c>
      <c r="K76" s="5"/>
      <c r="L76" s="13"/>
    </row>
    <row r="77" spans="1:12" x14ac:dyDescent="0.3">
      <c r="A77" s="5"/>
      <c r="B77" s="5"/>
      <c r="C77" s="5"/>
      <c r="D77" s="5"/>
      <c r="E77" s="5"/>
      <c r="F77" s="5"/>
      <c r="G77" s="5"/>
      <c r="H77" s="5"/>
      <c r="I77" s="164"/>
      <c r="J77" s="5"/>
      <c r="K77" s="5"/>
      <c r="L77" s="13"/>
    </row>
    <row r="78" spans="1:12" x14ac:dyDescent="0.3">
      <c r="A78" s="5"/>
      <c r="B78" s="5"/>
      <c r="C78" s="5"/>
      <c r="D78" s="5"/>
      <c r="E78" s="5"/>
      <c r="F78" s="5"/>
      <c r="G78" s="5"/>
      <c r="H78" s="5"/>
      <c r="I78" s="164"/>
      <c r="J78" s="5"/>
      <c r="K78" s="5"/>
      <c r="L78" s="13"/>
    </row>
    <row r="79" spans="1:12" x14ac:dyDescent="0.3">
      <c r="A79" s="5" t="s">
        <v>49</v>
      </c>
      <c r="B79" s="5" t="s">
        <v>37</v>
      </c>
      <c r="C79" s="5" t="str">
        <f>VLOOKUP(woodratio[[#This Row],[From_top]],woodstock[#All],7,FALSE)</f>
        <v>20</v>
      </c>
      <c r="D79" s="5" t="str">
        <f>VLOOKUP(woodratio[[#This Row],[To_top]],woodstock[#All],7,FALSE)</f>
        <v>38</v>
      </c>
      <c r="E79" s="5" t="s">
        <v>49</v>
      </c>
      <c r="F79" s="5" t="s">
        <v>51</v>
      </c>
      <c r="G79" s="5" t="str">
        <f>woodratio[[#This Row],[Processnumbersfromtop]]</f>
        <v>20</v>
      </c>
      <c r="H79" s="5" t="str">
        <f>woodflow!M200</f>
        <v>37-38-39-40-41-42</v>
      </c>
      <c r="I79" s="164">
        <v>0.2</v>
      </c>
      <c r="J79" s="5" t="s">
        <v>997</v>
      </c>
      <c r="K79" s="165" t="s">
        <v>998</v>
      </c>
      <c r="L79" s="13"/>
    </row>
    <row r="80" spans="1:12" x14ac:dyDescent="0.3">
      <c r="A80" s="5" t="s">
        <v>49</v>
      </c>
      <c r="B80" s="5" t="s">
        <v>39</v>
      </c>
      <c r="C80" s="5" t="str">
        <f>VLOOKUP(woodratio[[#This Row],[From_top]],woodstock[#All],7,FALSE)</f>
        <v>20</v>
      </c>
      <c r="D80" s="5" t="str">
        <f>VLOOKUP(woodratio[[#This Row],[To_top]],woodstock[#All],7,FALSE)</f>
        <v>39</v>
      </c>
      <c r="E80" s="5" t="s">
        <v>49</v>
      </c>
      <c r="F80" s="5" t="s">
        <v>51</v>
      </c>
      <c r="G80" s="5" t="str">
        <f t="shared" ref="G80:G83" si="7">G79</f>
        <v>20</v>
      </c>
      <c r="H80" s="5" t="str">
        <f t="shared" ref="H80:H83" si="8">H79</f>
        <v>37-38-39-40-41-42</v>
      </c>
      <c r="I80" s="164">
        <v>0.05</v>
      </c>
      <c r="J80" s="5" t="s">
        <v>997</v>
      </c>
      <c r="K80" s="165" t="s">
        <v>998</v>
      </c>
      <c r="L80" s="13"/>
    </row>
    <row r="81" spans="1:12" x14ac:dyDescent="0.3">
      <c r="A81" s="5" t="s">
        <v>49</v>
      </c>
      <c r="B81" s="5" t="s">
        <v>40</v>
      </c>
      <c r="C81" s="5" t="str">
        <f>VLOOKUP(woodratio[[#This Row],[From_top]],woodstock[#All],7,FALSE)</f>
        <v>20</v>
      </c>
      <c r="D81" s="5" t="str">
        <f>VLOOKUP(woodratio[[#This Row],[To_top]],woodstock[#All],7,FALSE)</f>
        <v>40</v>
      </c>
      <c r="E81" s="5" t="s">
        <v>49</v>
      </c>
      <c r="F81" s="5" t="s">
        <v>51</v>
      </c>
      <c r="G81" s="5" t="str">
        <f t="shared" si="7"/>
        <v>20</v>
      </c>
      <c r="H81" s="5" t="str">
        <f t="shared" si="8"/>
        <v>37-38-39-40-41-42</v>
      </c>
      <c r="I81" s="164">
        <v>0.35</v>
      </c>
      <c r="J81" s="5" t="s">
        <v>997</v>
      </c>
      <c r="K81" s="165" t="s">
        <v>998</v>
      </c>
      <c r="L81" s="13"/>
    </row>
    <row r="82" spans="1:12" x14ac:dyDescent="0.3">
      <c r="A82" s="5" t="s">
        <v>49</v>
      </c>
      <c r="B82" s="5" t="s">
        <v>41</v>
      </c>
      <c r="C82" s="5" t="str">
        <f>VLOOKUP(woodratio[[#This Row],[From_top]],woodstock[#All],7,FALSE)</f>
        <v>20</v>
      </c>
      <c r="D82" s="5" t="str">
        <f>VLOOKUP(woodratio[[#This Row],[To_top]],woodstock[#All],7,FALSE)</f>
        <v>41</v>
      </c>
      <c r="E82" s="5" t="s">
        <v>49</v>
      </c>
      <c r="F82" s="5" t="s">
        <v>51</v>
      </c>
      <c r="G82" s="5" t="str">
        <f t="shared" si="7"/>
        <v>20</v>
      </c>
      <c r="H82" s="5" t="str">
        <f t="shared" si="8"/>
        <v>37-38-39-40-41-42</v>
      </c>
      <c r="I82" s="164">
        <v>0.2</v>
      </c>
      <c r="J82" s="5" t="s">
        <v>997</v>
      </c>
      <c r="K82" s="165" t="s">
        <v>998</v>
      </c>
      <c r="L82" s="13"/>
    </row>
    <row r="83" spans="1:12" x14ac:dyDescent="0.3">
      <c r="A83" s="5" t="s">
        <v>49</v>
      </c>
      <c r="B83" s="5" t="s">
        <v>38</v>
      </c>
      <c r="C83" s="5" t="str">
        <f>VLOOKUP(woodratio[[#This Row],[From_top]],woodstock[#All],7,FALSE)</f>
        <v>20</v>
      </c>
      <c r="D83" s="5" t="str">
        <f>VLOOKUP(woodratio[[#This Row],[To_top]],woodstock[#All],7,FALSE)</f>
        <v>42</v>
      </c>
      <c r="E83" s="5" t="s">
        <v>49</v>
      </c>
      <c r="F83" s="5" t="s">
        <v>51</v>
      </c>
      <c r="G83" s="5" t="str">
        <f t="shared" si="7"/>
        <v>20</v>
      </c>
      <c r="H83" s="5" t="str">
        <f t="shared" si="8"/>
        <v>37-38-39-40-41-42</v>
      </c>
      <c r="I83" s="164">
        <v>0.2</v>
      </c>
      <c r="J83" s="5" t="s">
        <v>997</v>
      </c>
      <c r="K83" s="165" t="s">
        <v>998</v>
      </c>
      <c r="L83" s="13"/>
    </row>
    <row r="84" spans="1:12" x14ac:dyDescent="0.3">
      <c r="A84" s="5"/>
      <c r="B84" s="5"/>
      <c r="C84" s="5"/>
      <c r="D84" s="5"/>
      <c r="E84" s="5"/>
      <c r="F84" s="5"/>
      <c r="G84" s="5"/>
      <c r="H84" s="5"/>
      <c r="I84" s="164"/>
      <c r="J84" s="5"/>
      <c r="K84" s="5"/>
      <c r="L84" s="13"/>
    </row>
    <row r="85" spans="1:12" x14ac:dyDescent="0.3">
      <c r="A85" s="5"/>
      <c r="B85" s="5"/>
      <c r="C85" s="5"/>
      <c r="D85" s="5"/>
      <c r="E85" s="5"/>
      <c r="F85" s="5"/>
      <c r="G85" s="5"/>
      <c r="H85" s="5"/>
      <c r="I85" s="164"/>
      <c r="J85" s="5"/>
      <c r="K85" s="5"/>
      <c r="L85" s="13"/>
    </row>
    <row r="86" spans="1:12" x14ac:dyDescent="0.3">
      <c r="A86" s="5" t="s">
        <v>44</v>
      </c>
      <c r="B86" s="5" t="s">
        <v>37</v>
      </c>
      <c r="C86" s="5" t="str">
        <f>VLOOKUP(woodratio[[#This Row],[From_top]],woodstock[#All],7,FALSE)</f>
        <v>21</v>
      </c>
      <c r="D86" s="5" t="str">
        <f>VLOOKUP(woodratio[[#This Row],[To_top]],woodstock[#All],7,FALSE)</f>
        <v>38</v>
      </c>
      <c r="E86" s="5" t="s">
        <v>44</v>
      </c>
      <c r="F86" s="5" t="s">
        <v>51</v>
      </c>
      <c r="G86" s="5" t="str">
        <f>woodratio[[#This Row],[Processnumbersfromtop]]</f>
        <v>21</v>
      </c>
      <c r="H86" s="5" t="str">
        <f>woodflow!M212</f>
        <v>37-38-39-40-41-42</v>
      </c>
      <c r="I86" s="164">
        <v>0.08</v>
      </c>
      <c r="J86" s="5" t="s">
        <v>365</v>
      </c>
      <c r="K86" s="165" t="s">
        <v>236</v>
      </c>
      <c r="L86" s="13"/>
    </row>
    <row r="87" spans="1:12" x14ac:dyDescent="0.3">
      <c r="A87" s="5" t="s">
        <v>44</v>
      </c>
      <c r="B87" s="5" t="s">
        <v>39</v>
      </c>
      <c r="C87" s="5" t="str">
        <f>VLOOKUP(woodratio[[#This Row],[From_top]],woodstock[#All],7,FALSE)</f>
        <v>21</v>
      </c>
      <c r="D87" s="5" t="str">
        <f>VLOOKUP(woodratio[[#This Row],[To_top]],woodstock[#All],7,FALSE)</f>
        <v>39</v>
      </c>
      <c r="E87" s="5" t="s">
        <v>44</v>
      </c>
      <c r="F87" s="5" t="s">
        <v>51</v>
      </c>
      <c r="G87" s="5" t="str">
        <f>woodratio[[#This Row],[Processnumbersfromtop]]</f>
        <v>21</v>
      </c>
      <c r="H87" s="5" t="str">
        <f t="shared" ref="H87:H90" si="9">H86</f>
        <v>37-38-39-40-41-42</v>
      </c>
      <c r="I87" s="164">
        <v>2E-3</v>
      </c>
      <c r="J87" s="5" t="s">
        <v>365</v>
      </c>
      <c r="K87" s="165" t="s">
        <v>236</v>
      </c>
      <c r="L87" s="13"/>
    </row>
    <row r="88" spans="1:12" x14ac:dyDescent="0.3">
      <c r="A88" s="5" t="s">
        <v>44</v>
      </c>
      <c r="B88" s="5" t="s">
        <v>40</v>
      </c>
      <c r="C88" s="5" t="str">
        <f>VLOOKUP(woodratio[[#This Row],[From_top]],woodstock[#All],7,FALSE)</f>
        <v>21</v>
      </c>
      <c r="D88" s="5" t="str">
        <f>VLOOKUP(woodratio[[#This Row],[To_top]],woodstock[#All],7,FALSE)</f>
        <v>40</v>
      </c>
      <c r="E88" s="5" t="s">
        <v>44</v>
      </c>
      <c r="F88" s="5" t="s">
        <v>51</v>
      </c>
      <c r="G88" s="5" t="str">
        <f>woodratio[[#This Row],[Processnumbersfromtop]]</f>
        <v>21</v>
      </c>
      <c r="H88" s="5" t="str">
        <f t="shared" si="9"/>
        <v>37-38-39-40-41-42</v>
      </c>
      <c r="I88" s="164">
        <v>0.4</v>
      </c>
      <c r="J88" s="5" t="s">
        <v>365</v>
      </c>
      <c r="K88" s="165" t="s">
        <v>236</v>
      </c>
      <c r="L88" s="13"/>
    </row>
    <row r="89" spans="1:12" x14ac:dyDescent="0.3">
      <c r="A89" s="5" t="s">
        <v>44</v>
      </c>
      <c r="B89" s="5" t="s">
        <v>41</v>
      </c>
      <c r="C89" s="5" t="str">
        <f>VLOOKUP(woodratio[[#This Row],[From_top]],woodstock[#All],7,FALSE)</f>
        <v>21</v>
      </c>
      <c r="D89" s="5" t="str">
        <f>VLOOKUP(woodratio[[#This Row],[To_top]],woodstock[#All],7,FALSE)</f>
        <v>41</v>
      </c>
      <c r="E89" s="5" t="s">
        <v>44</v>
      </c>
      <c r="F89" s="5" t="s">
        <v>51</v>
      </c>
      <c r="G89" s="5" t="str">
        <f>woodratio[[#This Row],[Processnumbersfromtop]]</f>
        <v>21</v>
      </c>
      <c r="H89" s="5" t="str">
        <f t="shared" si="9"/>
        <v>37-38-39-40-41-42</v>
      </c>
      <c r="I89" s="164">
        <v>0.26800000000000002</v>
      </c>
      <c r="J89" s="5" t="s">
        <v>365</v>
      </c>
      <c r="K89" s="165" t="s">
        <v>236</v>
      </c>
      <c r="L89" s="13"/>
    </row>
    <row r="90" spans="1:12" x14ac:dyDescent="0.3">
      <c r="A90" s="5" t="s">
        <v>44</v>
      </c>
      <c r="B90" s="5" t="s">
        <v>38</v>
      </c>
      <c r="C90" s="5" t="str">
        <f>VLOOKUP(woodratio[[#This Row],[From_top]],woodstock[#All],7,FALSE)</f>
        <v>21</v>
      </c>
      <c r="D90" s="5" t="str">
        <f>VLOOKUP(woodratio[[#This Row],[To_top]],woodstock[#All],7,FALSE)</f>
        <v>42</v>
      </c>
      <c r="E90" s="5" t="s">
        <v>44</v>
      </c>
      <c r="F90" s="5" t="s">
        <v>51</v>
      </c>
      <c r="G90" s="5" t="str">
        <f>woodratio[[#This Row],[Processnumbersfromtop]]</f>
        <v>21</v>
      </c>
      <c r="H90" s="5" t="str">
        <f t="shared" si="9"/>
        <v>37-38-39-40-41-42</v>
      </c>
      <c r="I90" s="164">
        <v>0.25</v>
      </c>
      <c r="J90" s="5" t="s">
        <v>365</v>
      </c>
      <c r="K90" s="165" t="s">
        <v>236</v>
      </c>
      <c r="L90" s="13"/>
    </row>
    <row r="91" spans="1:12" x14ac:dyDescent="0.3">
      <c r="A91" s="5"/>
      <c r="B91" s="5"/>
      <c r="C91" s="5"/>
      <c r="D91" s="5"/>
      <c r="E91" s="5"/>
      <c r="F91" s="5"/>
      <c r="G91" s="5"/>
      <c r="H91" s="5"/>
      <c r="I91" s="164"/>
      <c r="J91" s="5"/>
      <c r="K91" s="5"/>
      <c r="L91" s="13"/>
    </row>
    <row r="92" spans="1:12" x14ac:dyDescent="0.3">
      <c r="A92" s="5"/>
      <c r="B92" s="5"/>
      <c r="C92" s="5"/>
      <c r="D92" s="5"/>
      <c r="E92" s="5"/>
      <c r="F92" s="5"/>
      <c r="G92" s="5"/>
      <c r="H92" s="5"/>
      <c r="I92" s="164"/>
      <c r="J92" s="5"/>
      <c r="K92" s="5"/>
      <c r="L92" s="13"/>
    </row>
    <row r="93" spans="1:12" x14ac:dyDescent="0.3">
      <c r="A93" s="5" t="s">
        <v>44</v>
      </c>
      <c r="B93" s="5" t="s">
        <v>29</v>
      </c>
      <c r="C93" s="5" t="str">
        <f>VLOOKUP(woodratio[[#This Row],[From_top]],woodstock[#All],7,FALSE)</f>
        <v>21</v>
      </c>
      <c r="D93" s="5" t="str">
        <f>VLOOKUP(woodratio[[#This Row],[To_top]],woodstock[#All],7,FALSE)</f>
        <v>50</v>
      </c>
      <c r="E93" s="5" t="s">
        <v>44</v>
      </c>
      <c r="F93" s="5" t="s">
        <v>58</v>
      </c>
      <c r="G93" s="5" t="str">
        <f>woodratio[[#This Row],[Processnumbersfromtop]]</f>
        <v>21</v>
      </c>
      <c r="H93" s="5" t="str">
        <f>woodflow!M179</f>
        <v>50-51-52-53-54-55</v>
      </c>
      <c r="I93" s="164">
        <f>'production-mass-balance'!B38/SUM('production-mass-balance'!B38:B41)</f>
        <v>0.7400000000000001</v>
      </c>
      <c r="J93" s="148" t="s">
        <v>453</v>
      </c>
      <c r="K93" s="5"/>
      <c r="L93" s="13"/>
    </row>
    <row r="94" spans="1:12" x14ac:dyDescent="0.3">
      <c r="A94" s="5" t="s">
        <v>44</v>
      </c>
      <c r="B94" s="5" t="s">
        <v>73</v>
      </c>
      <c r="C94" s="5" t="str">
        <f>VLOOKUP(woodratio[[#This Row],[From_top]],woodstock[#All],7,FALSE)</f>
        <v>21</v>
      </c>
      <c r="D94" s="5" t="str">
        <f>VLOOKUP(woodratio[[#This Row],[To_top]],woodstock[#All],7,FALSE)</f>
        <v>51</v>
      </c>
      <c r="E94" s="5" t="s">
        <v>44</v>
      </c>
      <c r="F94" s="5" t="s">
        <v>58</v>
      </c>
      <c r="G94" s="5" t="str">
        <f>woodratio[[#This Row],[Processnumbersfromtop]]</f>
        <v>21</v>
      </c>
      <c r="H94" s="5" t="str">
        <f>H93</f>
        <v>50-51-52-53-54-55</v>
      </c>
      <c r="I94" s="164">
        <f>'production-mass-balance'!B39/SUM('production-mass-balance'!B38:B41)</f>
        <v>6.0000000000000005E-2</v>
      </c>
      <c r="J94" s="148" t="s">
        <v>453</v>
      </c>
      <c r="K94" s="5"/>
      <c r="L94" s="13"/>
    </row>
    <row r="95" spans="1:12" x14ac:dyDescent="0.3">
      <c r="A95" s="5" t="s">
        <v>44</v>
      </c>
      <c r="B95" s="5" t="s">
        <v>30</v>
      </c>
      <c r="C95" s="5" t="str">
        <f>VLOOKUP(woodratio[[#This Row],[From_top]],woodstock[#All],7,FALSE)</f>
        <v>21</v>
      </c>
      <c r="D95" s="5" t="str">
        <f>VLOOKUP(woodratio[[#This Row],[To_top]],woodstock[#All],7,FALSE)</f>
        <v>52</v>
      </c>
      <c r="E95" s="5" t="s">
        <v>44</v>
      </c>
      <c r="F95" s="5" t="s">
        <v>58</v>
      </c>
      <c r="G95" s="5" t="str">
        <f>woodratio[[#This Row],[Processnumbersfromtop]]</f>
        <v>21</v>
      </c>
      <c r="H95" s="5" t="str">
        <f t="shared" ref="H95" si="10">H94</f>
        <v>50-51-52-53-54-55</v>
      </c>
      <c r="I95" s="164">
        <f>'production-mass-balance'!B41/SUM('production-mass-balance'!B38:B41)</f>
        <v>0.14000000000000004</v>
      </c>
      <c r="J95" s="148" t="s">
        <v>453</v>
      </c>
      <c r="K95" s="5"/>
      <c r="L95" s="13"/>
    </row>
    <row r="96" spans="1:12" x14ac:dyDescent="0.3">
      <c r="A96" s="5" t="s">
        <v>44</v>
      </c>
      <c r="B96" s="5" t="s">
        <v>74</v>
      </c>
      <c r="C96" s="5" t="str">
        <f>VLOOKUP(woodratio[[#This Row],[From_top]],woodstock[#All],7,FALSE)</f>
        <v>21</v>
      </c>
      <c r="D96" s="5" t="str">
        <f>VLOOKUP(woodratio[[#This Row],[To_top]],woodstock[#All],7,FALSE)</f>
        <v>55</v>
      </c>
      <c r="E96" s="5" t="s">
        <v>44</v>
      </c>
      <c r="F96" s="5" t="s">
        <v>58</v>
      </c>
      <c r="G96" s="5" t="str">
        <f>woodratio[[#This Row],[Processnumbersfromtop]]</f>
        <v>21</v>
      </c>
      <c r="H96" s="5" t="str">
        <f>H95</f>
        <v>50-51-52-53-54-55</v>
      </c>
      <c r="I96" s="164">
        <f>'production-mass-balance'!B40/SUM('production-mass-balance'!B38:B41)</f>
        <v>5.9999999999999838E-2</v>
      </c>
      <c r="J96" s="148" t="s">
        <v>453</v>
      </c>
      <c r="K96" s="5"/>
      <c r="L96" s="13"/>
    </row>
    <row r="97" spans="1:12" x14ac:dyDescent="0.3">
      <c r="A97" s="5"/>
      <c r="B97" s="5"/>
      <c r="C97" s="5"/>
      <c r="D97" s="5"/>
      <c r="E97" s="5"/>
      <c r="F97" s="5"/>
      <c r="G97" s="5"/>
      <c r="H97" s="5"/>
      <c r="I97" s="164"/>
      <c r="J97" s="5"/>
      <c r="K97" s="5"/>
      <c r="L97" s="13"/>
    </row>
    <row r="98" spans="1:12" x14ac:dyDescent="0.3">
      <c r="A98" s="5"/>
      <c r="B98" s="5"/>
      <c r="C98" s="5"/>
      <c r="D98" s="5"/>
      <c r="E98" s="5"/>
      <c r="F98" s="5"/>
      <c r="G98" s="5"/>
      <c r="H98" s="5"/>
      <c r="I98" s="164"/>
      <c r="J98" s="5"/>
      <c r="K98" s="5"/>
      <c r="L98" s="13"/>
    </row>
    <row r="99" spans="1:12" x14ac:dyDescent="0.3">
      <c r="A99" s="5" t="s">
        <v>45</v>
      </c>
      <c r="B99" s="5" t="s">
        <v>37</v>
      </c>
      <c r="C99" s="5" t="str">
        <f>VLOOKUP(woodratio[[#This Row],[From_top]],woodstock[#All],7,FALSE)</f>
        <v>22</v>
      </c>
      <c r="D99" s="5" t="str">
        <f>VLOOKUP(woodratio[[#This Row],[To_top]],woodstock[#All],7,FALSE)</f>
        <v>38</v>
      </c>
      <c r="E99" s="5" t="s">
        <v>45</v>
      </c>
      <c r="F99" s="5" t="s">
        <v>51</v>
      </c>
      <c r="G99" s="5" t="str">
        <f>woodratio[[#This Row],[Processnumbersfromtop]]</f>
        <v>22</v>
      </c>
      <c r="H99" s="5" t="str">
        <f>woodflow!M230</f>
        <v>37-38-39-40-41-42</v>
      </c>
      <c r="I99" s="164">
        <v>0.02</v>
      </c>
      <c r="J99" s="5" t="s">
        <v>365</v>
      </c>
      <c r="K99" s="165" t="s">
        <v>238</v>
      </c>
      <c r="L99" s="13"/>
    </row>
    <row r="100" spans="1:12" x14ac:dyDescent="0.3">
      <c r="A100" s="5" t="s">
        <v>45</v>
      </c>
      <c r="B100" s="5" t="s">
        <v>40</v>
      </c>
      <c r="C100" s="5" t="str">
        <f>VLOOKUP(woodratio[[#This Row],[From_top]],woodstock[#All],7,FALSE)</f>
        <v>22</v>
      </c>
      <c r="D100" s="5" t="str">
        <f>VLOOKUP(woodratio[[#This Row],[To_top]],woodstock[#All],7,FALSE)</f>
        <v>40</v>
      </c>
      <c r="E100" s="5" t="s">
        <v>45</v>
      </c>
      <c r="F100" s="5" t="s">
        <v>51</v>
      </c>
      <c r="G100" s="5" t="str">
        <f>woodratio[[#This Row],[Processnumbersfromtop]]</f>
        <v>22</v>
      </c>
      <c r="H100" s="5" t="str">
        <f>H99</f>
        <v>37-38-39-40-41-42</v>
      </c>
      <c r="I100" s="164">
        <v>0.27</v>
      </c>
      <c r="J100" s="5" t="s">
        <v>365</v>
      </c>
      <c r="K100" s="165" t="s">
        <v>238</v>
      </c>
      <c r="L100" s="13"/>
    </row>
    <row r="101" spans="1:12" x14ac:dyDescent="0.3">
      <c r="A101" s="5" t="s">
        <v>45</v>
      </c>
      <c r="B101" s="5" t="s">
        <v>41</v>
      </c>
      <c r="C101" s="5" t="str">
        <f>VLOOKUP(woodratio[[#This Row],[From_top]],woodstock[#All],7,FALSE)</f>
        <v>22</v>
      </c>
      <c r="D101" s="5" t="str">
        <f>VLOOKUP(woodratio[[#This Row],[To_top]],woodstock[#All],7,FALSE)</f>
        <v>41</v>
      </c>
      <c r="E101" s="5" t="s">
        <v>45</v>
      </c>
      <c r="F101" s="5" t="s">
        <v>51</v>
      </c>
      <c r="G101" s="5" t="str">
        <f>woodratio[[#This Row],[Processnumbersfromtop]]</f>
        <v>22</v>
      </c>
      <c r="H101" s="5" t="str">
        <f t="shared" ref="H101:H102" si="11">H100</f>
        <v>37-38-39-40-41-42</v>
      </c>
      <c r="I101" s="164">
        <v>0.66</v>
      </c>
      <c r="J101" s="5" t="s">
        <v>365</v>
      </c>
      <c r="K101" s="165" t="s">
        <v>238</v>
      </c>
      <c r="L101" s="13"/>
    </row>
    <row r="102" spans="1:12" x14ac:dyDescent="0.3">
      <c r="A102" s="5" t="s">
        <v>45</v>
      </c>
      <c r="B102" s="5" t="s">
        <v>38</v>
      </c>
      <c r="C102" s="5" t="str">
        <f>VLOOKUP(woodratio[[#This Row],[From_top]],woodstock[#All],7,FALSE)</f>
        <v>22</v>
      </c>
      <c r="D102" s="5" t="str">
        <f>VLOOKUP(woodratio[[#This Row],[To_top]],woodstock[#All],7,FALSE)</f>
        <v>42</v>
      </c>
      <c r="E102" s="5" t="s">
        <v>45</v>
      </c>
      <c r="F102" s="5" t="s">
        <v>51</v>
      </c>
      <c r="G102" s="5" t="str">
        <f>woodratio[[#This Row],[Processnumbersfromtop]]</f>
        <v>22</v>
      </c>
      <c r="H102" s="5" t="str">
        <f t="shared" si="11"/>
        <v>37-38-39-40-41-42</v>
      </c>
      <c r="I102" s="164">
        <v>0.05</v>
      </c>
      <c r="J102" s="5" t="s">
        <v>365</v>
      </c>
      <c r="K102" s="165" t="s">
        <v>238</v>
      </c>
      <c r="L102" s="13"/>
    </row>
    <row r="103" spans="1:12" x14ac:dyDescent="0.3">
      <c r="A103" s="5"/>
      <c r="B103" s="5"/>
      <c r="C103" s="5"/>
      <c r="D103" s="5"/>
      <c r="E103" s="5"/>
      <c r="F103" s="5"/>
      <c r="G103" s="5"/>
      <c r="H103" s="5"/>
      <c r="I103" s="164"/>
      <c r="J103" s="5"/>
      <c r="K103" s="5"/>
      <c r="L103" s="13"/>
    </row>
    <row r="104" spans="1:12" x14ac:dyDescent="0.3">
      <c r="A104" s="5"/>
      <c r="B104" s="5"/>
      <c r="C104" s="5"/>
      <c r="D104" s="5"/>
      <c r="E104" s="5"/>
      <c r="F104" s="5"/>
      <c r="G104" s="5"/>
      <c r="H104" s="5"/>
      <c r="I104" s="164"/>
      <c r="J104" s="5"/>
      <c r="K104" s="5"/>
      <c r="L104" s="13"/>
    </row>
    <row r="105" spans="1:12" x14ac:dyDescent="0.3">
      <c r="A105" s="5" t="s">
        <v>46</v>
      </c>
      <c r="B105" s="5" t="s">
        <v>37</v>
      </c>
      <c r="C105" s="5" t="str">
        <f>VLOOKUP(woodratio[[#This Row],[From_top]],woodstock[#All],7,FALSE)</f>
        <v>23</v>
      </c>
      <c r="D105" s="5" t="str">
        <f>VLOOKUP(woodratio[[#This Row],[To_top]],woodstock[#All],7,FALSE)</f>
        <v>38</v>
      </c>
      <c r="E105" s="5" t="s">
        <v>46</v>
      </c>
      <c r="F105" s="5" t="s">
        <v>51</v>
      </c>
      <c r="G105" s="5" t="str">
        <f>woodratio[[#This Row],[Processnumbersfromtop]]</f>
        <v>23</v>
      </c>
      <c r="H105" s="5" t="str">
        <f>woodflow!M239</f>
        <v>37-38-39-40-41-42</v>
      </c>
      <c r="I105" s="164">
        <v>0.06</v>
      </c>
      <c r="J105" s="5" t="s">
        <v>365</v>
      </c>
      <c r="K105" s="165" t="s">
        <v>240</v>
      </c>
      <c r="L105" s="13"/>
    </row>
    <row r="106" spans="1:12" x14ac:dyDescent="0.3">
      <c r="A106" s="5" t="s">
        <v>46</v>
      </c>
      <c r="B106" s="5" t="s">
        <v>39</v>
      </c>
      <c r="C106" s="5" t="str">
        <f>VLOOKUP(woodratio[[#This Row],[From_top]],woodstock[#All],7,FALSE)</f>
        <v>23</v>
      </c>
      <c r="D106" s="5" t="str">
        <f>VLOOKUP(woodratio[[#This Row],[To_top]],woodstock[#All],7,FALSE)</f>
        <v>39</v>
      </c>
      <c r="E106" s="5" t="s">
        <v>46</v>
      </c>
      <c r="F106" s="5" t="s">
        <v>51</v>
      </c>
      <c r="G106" s="5" t="str">
        <f>woodratio[[#This Row],[Processnumbersfromtop]]</f>
        <v>23</v>
      </c>
      <c r="H106" s="5" t="str">
        <f t="shared" ref="H106:H109" si="12">H105</f>
        <v>37-38-39-40-41-42</v>
      </c>
      <c r="I106" s="164">
        <v>1E-3</v>
      </c>
      <c r="J106" s="5" t="s">
        <v>365</v>
      </c>
      <c r="K106" s="165" t="s">
        <v>240</v>
      </c>
      <c r="L106" s="13"/>
    </row>
    <row r="107" spans="1:12" x14ac:dyDescent="0.3">
      <c r="A107" s="5" t="s">
        <v>46</v>
      </c>
      <c r="B107" s="5" t="s">
        <v>40</v>
      </c>
      <c r="C107" s="5" t="str">
        <f>VLOOKUP(woodratio[[#This Row],[From_top]],woodstock[#All],7,FALSE)</f>
        <v>23</v>
      </c>
      <c r="D107" s="5" t="str">
        <f>VLOOKUP(woodratio[[#This Row],[To_top]],woodstock[#All],7,FALSE)</f>
        <v>40</v>
      </c>
      <c r="E107" s="5" t="s">
        <v>46</v>
      </c>
      <c r="F107" s="5" t="s">
        <v>51</v>
      </c>
      <c r="G107" s="5" t="str">
        <f>woodratio[[#This Row],[Processnumbersfromtop]]</f>
        <v>23</v>
      </c>
      <c r="H107" s="5" t="str">
        <f t="shared" si="12"/>
        <v>37-38-39-40-41-42</v>
      </c>
      <c r="I107" s="164">
        <v>0.84899999999999998</v>
      </c>
      <c r="J107" s="5" t="s">
        <v>365</v>
      </c>
      <c r="K107" s="165" t="s">
        <v>240</v>
      </c>
      <c r="L107" s="13"/>
    </row>
    <row r="108" spans="1:12" x14ac:dyDescent="0.3">
      <c r="A108" s="5" t="s">
        <v>46</v>
      </c>
      <c r="B108" s="5" t="s">
        <v>41</v>
      </c>
      <c r="C108" s="5" t="str">
        <f>VLOOKUP(woodratio[[#This Row],[From_top]],woodstock[#All],7,FALSE)</f>
        <v>23</v>
      </c>
      <c r="D108" s="5" t="str">
        <f>VLOOKUP(woodratio[[#This Row],[To_top]],woodstock[#All],7,FALSE)</f>
        <v>41</v>
      </c>
      <c r="E108" s="5" t="s">
        <v>46</v>
      </c>
      <c r="F108" s="5" t="s">
        <v>51</v>
      </c>
      <c r="G108" s="5" t="str">
        <f>woodratio[[#This Row],[Processnumbersfromtop]]</f>
        <v>23</v>
      </c>
      <c r="H108" s="5" t="str">
        <f t="shared" si="12"/>
        <v>37-38-39-40-41-42</v>
      </c>
      <c r="I108" s="164">
        <v>0.03</v>
      </c>
      <c r="J108" s="5" t="s">
        <v>365</v>
      </c>
      <c r="K108" s="165" t="s">
        <v>240</v>
      </c>
      <c r="L108" s="13"/>
    </row>
    <row r="109" spans="1:12" x14ac:dyDescent="0.3">
      <c r="A109" s="5" t="s">
        <v>46</v>
      </c>
      <c r="B109" s="5" t="s">
        <v>38</v>
      </c>
      <c r="C109" s="5" t="str">
        <f>VLOOKUP(woodratio[[#This Row],[From_top]],woodstock[#All],7,FALSE)</f>
        <v>23</v>
      </c>
      <c r="D109" s="5" t="str">
        <f>VLOOKUP(woodratio[[#This Row],[To_top]],woodstock[#All],7,FALSE)</f>
        <v>42</v>
      </c>
      <c r="E109" s="5" t="s">
        <v>46</v>
      </c>
      <c r="F109" s="5" t="s">
        <v>51</v>
      </c>
      <c r="G109" s="5" t="str">
        <f>woodratio[[#This Row],[Processnumbersfromtop]]</f>
        <v>23</v>
      </c>
      <c r="H109" s="5" t="str">
        <f t="shared" si="12"/>
        <v>37-38-39-40-41-42</v>
      </c>
      <c r="I109" s="164">
        <v>0.06</v>
      </c>
      <c r="J109" s="5" t="s">
        <v>365</v>
      </c>
      <c r="K109" s="165" t="s">
        <v>240</v>
      </c>
      <c r="L109" s="13"/>
    </row>
    <row r="110" spans="1:12" x14ac:dyDescent="0.3">
      <c r="A110" s="5"/>
      <c r="B110" s="5"/>
      <c r="C110" s="5"/>
      <c r="D110" s="5"/>
      <c r="E110" s="5"/>
      <c r="F110" s="5"/>
      <c r="G110" s="5"/>
      <c r="H110" s="5"/>
      <c r="I110" s="164"/>
      <c r="J110" s="5"/>
      <c r="K110" s="5"/>
      <c r="L110" s="13"/>
    </row>
    <row r="111" spans="1:12" x14ac:dyDescent="0.3">
      <c r="A111" s="5"/>
      <c r="B111" s="5"/>
      <c r="C111" s="5"/>
      <c r="D111" s="5"/>
      <c r="E111" s="5"/>
      <c r="F111" s="5"/>
      <c r="G111" s="5"/>
      <c r="H111" s="5"/>
      <c r="I111" s="164"/>
      <c r="J111" s="5"/>
      <c r="K111" s="5"/>
      <c r="L111" s="13"/>
    </row>
    <row r="112" spans="1:12" x14ac:dyDescent="0.3">
      <c r="A112" s="5" t="s">
        <v>176</v>
      </c>
      <c r="B112" s="5" t="s">
        <v>37</v>
      </c>
      <c r="C112" s="5" t="str">
        <f>VLOOKUP(woodratio[[#This Row],[From_top]],woodstock[#All],7,FALSE)</f>
        <v>24</v>
      </c>
      <c r="D112" s="5" t="str">
        <f>VLOOKUP(woodratio[[#This Row],[To_top]],woodstock[#All],7,FALSE)</f>
        <v>38</v>
      </c>
      <c r="E112" s="5" t="s">
        <v>176</v>
      </c>
      <c r="F112" s="5" t="s">
        <v>51</v>
      </c>
      <c r="G112" s="5" t="str">
        <f>woodratio[[#This Row],[Processnumbersfromtop]]</f>
        <v>24</v>
      </c>
      <c r="H112" s="5" t="str">
        <f>woodflow!M251</f>
        <v>37-38-39-40-41-42</v>
      </c>
      <c r="I112" s="164">
        <v>0.25</v>
      </c>
      <c r="J112" s="5" t="s">
        <v>365</v>
      </c>
      <c r="K112" s="165" t="s">
        <v>237</v>
      </c>
      <c r="L112" s="13"/>
    </row>
    <row r="113" spans="1:12" x14ac:dyDescent="0.3">
      <c r="A113" s="5" t="s">
        <v>176</v>
      </c>
      <c r="B113" s="5" t="s">
        <v>40</v>
      </c>
      <c r="C113" s="5" t="str">
        <f>VLOOKUP(woodratio[[#This Row],[From_top]],woodstock[#All],7,FALSE)</f>
        <v>24</v>
      </c>
      <c r="D113" s="5" t="str">
        <f>VLOOKUP(woodratio[[#This Row],[To_top]],woodstock[#All],7,FALSE)</f>
        <v>40</v>
      </c>
      <c r="E113" s="5" t="s">
        <v>176</v>
      </c>
      <c r="F113" s="5" t="s">
        <v>51</v>
      </c>
      <c r="G113" s="5" t="str">
        <f>woodratio[[#This Row],[Processnumbersfromtop]]</f>
        <v>24</v>
      </c>
      <c r="H113" s="5" t="str">
        <f>H112</f>
        <v>37-38-39-40-41-42</v>
      </c>
      <c r="I113" s="164">
        <v>0.1</v>
      </c>
      <c r="J113" s="5" t="s">
        <v>365</v>
      </c>
      <c r="K113" s="165" t="s">
        <v>237</v>
      </c>
      <c r="L113" s="13"/>
    </row>
    <row r="114" spans="1:12" x14ac:dyDescent="0.3">
      <c r="A114" s="5" t="s">
        <v>176</v>
      </c>
      <c r="B114" s="5" t="s">
        <v>41</v>
      </c>
      <c r="C114" s="5" t="str">
        <f>VLOOKUP(woodratio[[#This Row],[From_top]],woodstock[#All],7,FALSE)</f>
        <v>24</v>
      </c>
      <c r="D114" s="5" t="str">
        <f>VLOOKUP(woodratio[[#This Row],[To_top]],woodstock[#All],7,FALSE)</f>
        <v>41</v>
      </c>
      <c r="E114" s="5" t="s">
        <v>176</v>
      </c>
      <c r="F114" s="5" t="s">
        <v>51</v>
      </c>
      <c r="G114" s="5" t="str">
        <f>woodratio[[#This Row],[Processnumbersfromtop]]</f>
        <v>24</v>
      </c>
      <c r="H114" s="5" t="str">
        <f t="shared" ref="H114:H115" si="13">H113</f>
        <v>37-38-39-40-41-42</v>
      </c>
      <c r="I114" s="164">
        <v>0.15</v>
      </c>
      <c r="J114" s="5" t="s">
        <v>365</v>
      </c>
      <c r="K114" s="165" t="s">
        <v>237</v>
      </c>
      <c r="L114" s="13"/>
    </row>
    <row r="115" spans="1:12" x14ac:dyDescent="0.3">
      <c r="A115" s="5" t="s">
        <v>176</v>
      </c>
      <c r="B115" s="5" t="s">
        <v>38</v>
      </c>
      <c r="C115" s="5" t="str">
        <f>VLOOKUP(woodratio[[#This Row],[From_top]],woodstock[#All],7,FALSE)</f>
        <v>24</v>
      </c>
      <c r="D115" s="5" t="str">
        <f>VLOOKUP(woodratio[[#This Row],[To_top]],woodstock[#All],7,FALSE)</f>
        <v>42</v>
      </c>
      <c r="E115" s="5" t="s">
        <v>176</v>
      </c>
      <c r="F115" s="5" t="s">
        <v>51</v>
      </c>
      <c r="G115" s="5" t="str">
        <f>woodratio[[#This Row],[Processnumbersfromtop]]</f>
        <v>24</v>
      </c>
      <c r="H115" s="5" t="str">
        <f t="shared" si="13"/>
        <v>37-38-39-40-41-42</v>
      </c>
      <c r="I115" s="164">
        <v>0.5</v>
      </c>
      <c r="J115" s="5" t="s">
        <v>365</v>
      </c>
      <c r="K115" s="165" t="s">
        <v>237</v>
      </c>
      <c r="L115" s="13"/>
    </row>
    <row r="116" spans="1:12" x14ac:dyDescent="0.3">
      <c r="A116" s="5"/>
      <c r="B116" s="5"/>
      <c r="C116" s="5"/>
      <c r="D116" s="5"/>
      <c r="E116" s="5"/>
      <c r="F116" s="5"/>
      <c r="G116" s="5"/>
      <c r="H116" s="5"/>
      <c r="I116" s="164"/>
      <c r="J116" s="5"/>
      <c r="K116" s="165"/>
      <c r="L116" s="13"/>
    </row>
    <row r="117" spans="1:12" x14ac:dyDescent="0.3">
      <c r="A117" s="5"/>
      <c r="B117" s="5"/>
      <c r="C117" s="5"/>
      <c r="D117" s="5"/>
      <c r="E117" s="5"/>
      <c r="F117" s="5"/>
      <c r="G117" s="5"/>
      <c r="H117" s="5"/>
      <c r="I117" s="164"/>
      <c r="J117" s="5"/>
      <c r="K117" s="5"/>
      <c r="L117" s="13"/>
    </row>
    <row r="118" spans="1:12" x14ac:dyDescent="0.3">
      <c r="A118" s="5" t="s">
        <v>205</v>
      </c>
      <c r="B118" s="5" t="s">
        <v>37</v>
      </c>
      <c r="C118" s="5" t="str">
        <f>VLOOKUP(woodratio[[#This Row],[From_top]],woodstock[#All],7,FALSE)</f>
        <v>25</v>
      </c>
      <c r="D118" s="5" t="str">
        <f>VLOOKUP(woodratio[[#This Row],[To_top]],woodstock[#All],7,FALSE)</f>
        <v>38</v>
      </c>
      <c r="E118" s="5" t="s">
        <v>205</v>
      </c>
      <c r="F118" s="5" t="s">
        <v>51</v>
      </c>
      <c r="G118" s="5" t="str">
        <f>woodratio[[#This Row],[Processnumbersfromtop]]</f>
        <v>25</v>
      </c>
      <c r="H118" s="5" t="str">
        <f>woodflow!M260</f>
        <v>37-38-39-40-41-42</v>
      </c>
      <c r="I118" s="164">
        <v>0.06</v>
      </c>
      <c r="J118" s="5" t="s">
        <v>365</v>
      </c>
      <c r="K118" s="165" t="s">
        <v>239</v>
      </c>
      <c r="L118" s="13"/>
    </row>
    <row r="119" spans="1:12" x14ac:dyDescent="0.3">
      <c r="A119" s="5" t="s">
        <v>205</v>
      </c>
      <c r="B119" s="5" t="s">
        <v>40</v>
      </c>
      <c r="C119" s="5" t="str">
        <f>VLOOKUP(woodratio[[#This Row],[From_top]],woodstock[#All],7,FALSE)</f>
        <v>25</v>
      </c>
      <c r="D119" s="5" t="str">
        <f>VLOOKUP(woodratio[[#This Row],[To_top]],woodstock[#All],7,FALSE)</f>
        <v>40</v>
      </c>
      <c r="E119" s="5" t="s">
        <v>205</v>
      </c>
      <c r="F119" s="5" t="s">
        <v>51</v>
      </c>
      <c r="G119" s="5" t="str">
        <f>woodratio[[#This Row],[Processnumbersfromtop]]</f>
        <v>25</v>
      </c>
      <c r="H119" s="5" t="str">
        <f>H118</f>
        <v>37-38-39-40-41-42</v>
      </c>
      <c r="I119" s="164">
        <v>0.3</v>
      </c>
      <c r="J119" s="5" t="s">
        <v>365</v>
      </c>
      <c r="K119" s="165" t="s">
        <v>239</v>
      </c>
      <c r="L119" s="13"/>
    </row>
    <row r="120" spans="1:12" x14ac:dyDescent="0.3">
      <c r="A120" s="5" t="s">
        <v>205</v>
      </c>
      <c r="B120" s="5" t="s">
        <v>41</v>
      </c>
      <c r="C120" s="5" t="str">
        <f>VLOOKUP(woodratio[[#This Row],[From_top]],woodstock[#All],7,FALSE)</f>
        <v>25</v>
      </c>
      <c r="D120" s="5" t="str">
        <f>VLOOKUP(woodratio[[#This Row],[To_top]],woodstock[#All],7,FALSE)</f>
        <v>41</v>
      </c>
      <c r="E120" s="5" t="s">
        <v>205</v>
      </c>
      <c r="F120" s="5" t="s">
        <v>51</v>
      </c>
      <c r="G120" s="5" t="str">
        <f>woodratio[[#This Row],[Processnumbersfromtop]]</f>
        <v>25</v>
      </c>
      <c r="H120" s="5" t="str">
        <f t="shared" ref="H120:H121" si="14">H119</f>
        <v>37-38-39-40-41-42</v>
      </c>
      <c r="I120" s="164">
        <v>0.56999999999999995</v>
      </c>
      <c r="J120" s="5" t="s">
        <v>365</v>
      </c>
      <c r="K120" s="165" t="s">
        <v>239</v>
      </c>
      <c r="L120" s="13"/>
    </row>
    <row r="121" spans="1:12" x14ac:dyDescent="0.3">
      <c r="A121" s="5" t="s">
        <v>205</v>
      </c>
      <c r="B121" s="5" t="s">
        <v>38</v>
      </c>
      <c r="C121" s="5" t="str">
        <f>VLOOKUP(woodratio[[#This Row],[From_top]],woodstock[#All],7,FALSE)</f>
        <v>25</v>
      </c>
      <c r="D121" s="5" t="str">
        <f>VLOOKUP(woodratio[[#This Row],[To_top]],woodstock[#All],7,FALSE)</f>
        <v>42</v>
      </c>
      <c r="E121" s="5" t="s">
        <v>205</v>
      </c>
      <c r="F121" s="5" t="s">
        <v>51</v>
      </c>
      <c r="G121" s="5" t="str">
        <f>woodratio[[#This Row],[Processnumbersfromtop]]</f>
        <v>25</v>
      </c>
      <c r="H121" s="5" t="str">
        <f t="shared" si="14"/>
        <v>37-38-39-40-41-42</v>
      </c>
      <c r="I121" s="164">
        <v>7.0000000000000007E-2</v>
      </c>
      <c r="J121" s="5" t="s">
        <v>365</v>
      </c>
      <c r="K121" s="165" t="s">
        <v>239</v>
      </c>
      <c r="L121" s="13"/>
    </row>
    <row r="122" spans="1:12" x14ac:dyDescent="0.3">
      <c r="A122" s="5"/>
      <c r="B122" s="5"/>
      <c r="C122" s="5"/>
      <c r="D122" s="5"/>
      <c r="E122" s="5"/>
      <c r="F122" s="5"/>
      <c r="G122" s="5"/>
      <c r="H122" s="5"/>
      <c r="I122" s="164"/>
      <c r="J122" s="5"/>
      <c r="K122" s="5"/>
      <c r="L122" s="13"/>
    </row>
    <row r="123" spans="1:12" x14ac:dyDescent="0.3">
      <c r="A123" s="5"/>
      <c r="B123" s="5"/>
      <c r="C123" s="5"/>
      <c r="D123" s="5"/>
      <c r="E123" s="5"/>
      <c r="F123" s="5"/>
      <c r="G123" s="5"/>
      <c r="H123" s="5"/>
      <c r="I123" s="164"/>
      <c r="J123" s="5"/>
      <c r="K123" s="5"/>
      <c r="L123" s="13"/>
    </row>
    <row r="124" spans="1:12" x14ac:dyDescent="0.3">
      <c r="A124" s="5" t="s">
        <v>78</v>
      </c>
      <c r="B124" s="5" t="s">
        <v>31</v>
      </c>
      <c r="C124" s="5" t="str">
        <f>VLOOKUP(woodratio[[#This Row],[From_top]],woodstock[#All],7,FALSE)</f>
        <v>32</v>
      </c>
      <c r="D124" s="5" t="str">
        <f>VLOOKUP(woodratio[[#This Row],[To_top]],woodstock[#All],7,FALSE)</f>
        <v>44</v>
      </c>
      <c r="E124" s="5" t="s">
        <v>50</v>
      </c>
      <c r="F124" s="5" t="s">
        <v>31</v>
      </c>
      <c r="G124" s="5" t="str">
        <f>woodflow!L314</f>
        <v>32-33-34-35-36</v>
      </c>
      <c r="H124" s="5" t="str">
        <f>woodratio[[#This Row],[Processnumberstotop]]</f>
        <v>44</v>
      </c>
      <c r="I124" s="164">
        <f>woodflow!N315/woodflow!$N$314</f>
        <v>9.1806221596582971E-2</v>
      </c>
      <c r="J124" s="148" t="s">
        <v>232</v>
      </c>
      <c r="K124" s="5"/>
      <c r="L124" s="13"/>
    </row>
    <row r="125" spans="1:12" x14ac:dyDescent="0.3">
      <c r="A125" s="5" t="s">
        <v>79</v>
      </c>
      <c r="B125" s="5" t="s">
        <v>31</v>
      </c>
      <c r="C125" s="5" t="str">
        <f>VLOOKUP(woodratio[[#This Row],[From_top]],woodstock[#All],7,FALSE)</f>
        <v>33</v>
      </c>
      <c r="D125" s="5" t="str">
        <f>VLOOKUP(woodratio[[#This Row],[To_top]],woodstock[#All],7,FALSE)</f>
        <v>44</v>
      </c>
      <c r="E125" s="5" t="s">
        <v>50</v>
      </c>
      <c r="F125" s="5" t="s">
        <v>31</v>
      </c>
      <c r="G125" s="5" t="str">
        <f>G124</f>
        <v>32-33-34-35-36</v>
      </c>
      <c r="H125" s="5" t="str">
        <f>woodratio[[#This Row],[Processnumberstotop]]</f>
        <v>44</v>
      </c>
      <c r="I125" s="164">
        <f>woodflow!N316/woodflow!$N$314</f>
        <v>0.53536163476151766</v>
      </c>
      <c r="J125" s="148" t="s">
        <v>232</v>
      </c>
      <c r="K125" s="5"/>
      <c r="L125" s="13"/>
    </row>
    <row r="126" spans="1:12" x14ac:dyDescent="0.3">
      <c r="A126" s="5" t="s">
        <v>67</v>
      </c>
      <c r="B126" s="5" t="s">
        <v>31</v>
      </c>
      <c r="C126" s="5" t="str">
        <f>VLOOKUP(woodratio[[#This Row],[From_top]],woodstock[#All],7,FALSE)</f>
        <v>34</v>
      </c>
      <c r="D126" s="5" t="str">
        <f>VLOOKUP(woodratio[[#This Row],[To_top]],woodstock[#All],7,FALSE)</f>
        <v>44</v>
      </c>
      <c r="E126" s="5" t="s">
        <v>50</v>
      </c>
      <c r="F126" s="5" t="s">
        <v>31</v>
      </c>
      <c r="G126" s="5" t="str">
        <f t="shared" ref="G126" si="15">G125</f>
        <v>32-33-34-35-36</v>
      </c>
      <c r="H126" s="5" t="str">
        <f>woodratio[[#This Row],[Processnumberstotop]]</f>
        <v>44</v>
      </c>
      <c r="I126" s="164">
        <f>woodflow!N317/woodflow!$N$314</f>
        <v>0.24670131881720012</v>
      </c>
      <c r="J126" s="148" t="s">
        <v>232</v>
      </c>
      <c r="K126" s="5"/>
      <c r="L126" s="13"/>
    </row>
    <row r="127" spans="1:12" x14ac:dyDescent="0.3">
      <c r="A127" s="5" t="s">
        <v>69</v>
      </c>
      <c r="B127" s="5" t="s">
        <v>31</v>
      </c>
      <c r="C127" s="5" t="str">
        <f>VLOOKUP(woodratio[[#This Row],[From_top]],woodstock[#All],7,FALSE)</f>
        <v>36</v>
      </c>
      <c r="D127" s="5" t="str">
        <f>VLOOKUP(woodratio[[#This Row],[To_top]],woodstock[#All],7,FALSE)</f>
        <v>44</v>
      </c>
      <c r="E127" s="5" t="s">
        <v>50</v>
      </c>
      <c r="F127" s="5" t="s">
        <v>31</v>
      </c>
      <c r="G127" s="5" t="str">
        <f>G126</f>
        <v>32-33-34-35-36</v>
      </c>
      <c r="H127" s="5" t="str">
        <f>woodratio[[#This Row],[Processnumberstotop]]</f>
        <v>44</v>
      </c>
      <c r="I127" s="164">
        <f>woodflow!N319/woodflow!$N$314</f>
        <v>0.12613082482469931</v>
      </c>
      <c r="J127" s="148" t="s">
        <v>232</v>
      </c>
      <c r="K127" s="5"/>
      <c r="L127" s="13"/>
    </row>
    <row r="128" spans="1:12" x14ac:dyDescent="0.3">
      <c r="A128" s="5"/>
      <c r="B128" s="5"/>
      <c r="C128" s="5"/>
      <c r="D128" s="5"/>
      <c r="E128" s="5"/>
      <c r="F128" s="5"/>
      <c r="G128" s="5"/>
      <c r="H128" s="5"/>
      <c r="I128" s="164"/>
      <c r="J128" s="5"/>
      <c r="K128" s="5"/>
      <c r="L128" s="13"/>
    </row>
    <row r="129" spans="1:12" x14ac:dyDescent="0.3">
      <c r="A129" s="5"/>
      <c r="B129" s="5"/>
      <c r="C129" s="5"/>
      <c r="D129" s="5"/>
      <c r="E129" s="5"/>
      <c r="F129" s="5"/>
      <c r="G129" s="5"/>
      <c r="H129" s="5"/>
      <c r="I129" s="164"/>
      <c r="J129" s="5"/>
      <c r="K129" s="5"/>
      <c r="L129" s="13"/>
    </row>
    <row r="130" spans="1:12" x14ac:dyDescent="0.3">
      <c r="A130" s="5" t="s">
        <v>36</v>
      </c>
      <c r="B130" s="5" t="s">
        <v>32</v>
      </c>
      <c r="C130" s="5" t="str">
        <f>VLOOKUP(woodratio[[#This Row],[From_top]],woodstock[#All],7,FALSE)</f>
        <v>37</v>
      </c>
      <c r="D130" s="5" t="str">
        <f>VLOOKUP(woodratio[[#This Row],[To_top]],woodstock[#All],7,FALSE)</f>
        <v>45</v>
      </c>
      <c r="E130" s="5" t="s">
        <v>36</v>
      </c>
      <c r="F130" s="5" t="s">
        <v>59</v>
      </c>
      <c r="G130" s="5" t="str">
        <f>woodratio[[#This Row],[Processnumbersfromtop]]</f>
        <v>37</v>
      </c>
      <c r="H130" s="5" t="str">
        <f>woodflow!M333</f>
        <v>43-44-45-46-47-48-49</v>
      </c>
      <c r="I130" s="164">
        <v>0.2</v>
      </c>
      <c r="J130" s="5" t="s">
        <v>997</v>
      </c>
      <c r="K130" s="165" t="s">
        <v>998</v>
      </c>
      <c r="L130" s="13"/>
    </row>
    <row r="131" spans="1:12" x14ac:dyDescent="0.3">
      <c r="A131" s="5" t="s">
        <v>36</v>
      </c>
      <c r="B131" s="5" t="s">
        <v>33</v>
      </c>
      <c r="C131" s="5" t="str">
        <f>VLOOKUP(woodratio[[#This Row],[From_top]],woodstock[#All],7,FALSE)</f>
        <v>37</v>
      </c>
      <c r="D131" s="5" t="str">
        <f>VLOOKUP(woodratio[[#This Row],[To_top]],woodstock[#All],7,FALSE)</f>
        <v>46</v>
      </c>
      <c r="E131" s="5" t="s">
        <v>36</v>
      </c>
      <c r="F131" s="5" t="s">
        <v>59</v>
      </c>
      <c r="G131" s="5" t="str">
        <f>woodratio[[#This Row],[Processnumbersfromtop]]</f>
        <v>37</v>
      </c>
      <c r="H131" s="5" t="str">
        <f t="shared" ref="H131:H132" si="16">H130</f>
        <v>43-44-45-46-47-48-49</v>
      </c>
      <c r="I131" s="164">
        <v>0.4</v>
      </c>
      <c r="J131" s="5" t="s">
        <v>997</v>
      </c>
      <c r="K131" s="165" t="s">
        <v>998</v>
      </c>
      <c r="L131" s="13"/>
    </row>
    <row r="132" spans="1:12" x14ac:dyDescent="0.3">
      <c r="A132" s="5" t="s">
        <v>36</v>
      </c>
      <c r="B132" s="5" t="s">
        <v>34</v>
      </c>
      <c r="C132" s="5" t="str">
        <f>VLOOKUP(woodratio[[#This Row],[From_top]],woodstock[#All],7,FALSE)</f>
        <v>37</v>
      </c>
      <c r="D132" s="5" t="str">
        <f>VLOOKUP(woodratio[[#This Row],[To_top]],woodstock[#All],7,FALSE)</f>
        <v>47</v>
      </c>
      <c r="E132" s="5" t="s">
        <v>36</v>
      </c>
      <c r="F132" s="5" t="s">
        <v>59</v>
      </c>
      <c r="G132" s="5" t="str">
        <f>woodratio[[#This Row],[Processnumbersfromtop]]</f>
        <v>37</v>
      </c>
      <c r="H132" s="5" t="str">
        <f t="shared" si="16"/>
        <v>43-44-45-46-47-48-49</v>
      </c>
      <c r="I132" s="164">
        <v>0.2</v>
      </c>
      <c r="J132" s="5" t="s">
        <v>997</v>
      </c>
      <c r="K132" s="165" t="s">
        <v>998</v>
      </c>
      <c r="L132" s="13"/>
    </row>
    <row r="133" spans="1:12" x14ac:dyDescent="0.3">
      <c r="A133" s="5" t="s">
        <v>36</v>
      </c>
      <c r="B133" s="5" t="s">
        <v>57</v>
      </c>
      <c r="C133" s="5" t="str">
        <f>VLOOKUP(woodratio[[#This Row],[From_top]],woodstock[#All],7,FALSE)</f>
        <v>37</v>
      </c>
      <c r="D133" s="5" t="str">
        <f>VLOOKUP(woodratio[[#This Row],[To_top]],woodstock[#All],7,FALSE)</f>
        <v>49</v>
      </c>
      <c r="E133" s="5" t="s">
        <v>36</v>
      </c>
      <c r="F133" s="5" t="s">
        <v>59</v>
      </c>
      <c r="G133" s="5" t="str">
        <f>woodratio[[#This Row],[Processnumbersfromtop]]</f>
        <v>37</v>
      </c>
      <c r="H133" s="5" t="str">
        <f>H132</f>
        <v>43-44-45-46-47-48-49</v>
      </c>
      <c r="I133" s="164">
        <v>0.2</v>
      </c>
      <c r="J133" s="5" t="s">
        <v>997</v>
      </c>
      <c r="K133" s="165" t="s">
        <v>998</v>
      </c>
      <c r="L133" s="13"/>
    </row>
    <row r="134" spans="1:12" x14ac:dyDescent="0.3">
      <c r="A134" s="5"/>
      <c r="B134" s="5"/>
      <c r="C134" s="5"/>
      <c r="D134" s="5"/>
      <c r="E134" s="5"/>
      <c r="F134" s="5"/>
      <c r="G134" s="5"/>
      <c r="H134" s="5"/>
      <c r="I134" s="164"/>
      <c r="J134" s="5"/>
      <c r="K134" s="5"/>
      <c r="L134" s="13"/>
    </row>
    <row r="135" spans="1:12" x14ac:dyDescent="0.3">
      <c r="A135" s="5"/>
      <c r="B135" s="5"/>
      <c r="C135" s="5"/>
      <c r="D135" s="5"/>
      <c r="E135" s="5"/>
      <c r="F135" s="5"/>
      <c r="G135" s="5"/>
      <c r="H135" s="5"/>
      <c r="I135" s="164"/>
      <c r="J135" s="5"/>
      <c r="K135" s="5"/>
      <c r="L135" s="13"/>
    </row>
    <row r="136" spans="1:12" x14ac:dyDescent="0.3">
      <c r="A136" s="5" t="s">
        <v>32</v>
      </c>
      <c r="B136" s="5" t="s">
        <v>371</v>
      </c>
      <c r="C136" s="5" t="str">
        <f>VLOOKUP(woodratio[[#This Row],[From_top]],woodstock[#All],7,FALSE)</f>
        <v>45</v>
      </c>
      <c r="D136" s="5" t="str">
        <f>VLOOKUP(woodratio[[#This Row],[To_top]],woodstock[#All],7,FALSE)</f>
        <v>56</v>
      </c>
      <c r="E136" s="5" t="s">
        <v>59</v>
      </c>
      <c r="F136" s="5" t="s">
        <v>371</v>
      </c>
      <c r="G136" s="152" t="str">
        <f>woodflow!L376</f>
        <v>43-44-45-46-47-48-49</v>
      </c>
      <c r="H136" s="5" t="str">
        <f>woodratio[[#This Row],[Processnumberstotop]]</f>
        <v>56</v>
      </c>
      <c r="I136" s="164">
        <v>0.19700000000000001</v>
      </c>
      <c r="J136" s="73" t="s">
        <v>365</v>
      </c>
      <c r="K136" s="68" t="s">
        <v>448</v>
      </c>
      <c r="L136" s="13"/>
    </row>
    <row r="137" spans="1:12" x14ac:dyDescent="0.3">
      <c r="A137" s="5" t="s">
        <v>33</v>
      </c>
      <c r="B137" s="5" t="s">
        <v>371</v>
      </c>
      <c r="C137" s="5" t="str">
        <f>VLOOKUP(woodratio[[#This Row],[From_top]],woodstock[#All],7,FALSE)</f>
        <v>46</v>
      </c>
      <c r="D137" s="5" t="str">
        <f>VLOOKUP(woodratio[[#This Row],[To_top]],woodstock[#All],7,FALSE)</f>
        <v>56</v>
      </c>
      <c r="E137" s="5" t="s">
        <v>59</v>
      </c>
      <c r="F137" s="5" t="s">
        <v>371</v>
      </c>
      <c r="G137" s="152" t="str">
        <f>G136</f>
        <v>43-44-45-46-47-48-49</v>
      </c>
      <c r="H137" s="5" t="str">
        <f>woodratio[[#This Row],[Processnumberstotop]]</f>
        <v>56</v>
      </c>
      <c r="I137" s="164">
        <v>0.69299999999999995</v>
      </c>
      <c r="J137" s="73" t="s">
        <v>365</v>
      </c>
      <c r="K137" s="68" t="s">
        <v>448</v>
      </c>
      <c r="L137" s="13"/>
    </row>
    <row r="138" spans="1:12" x14ac:dyDescent="0.3">
      <c r="A138" s="5" t="s">
        <v>34</v>
      </c>
      <c r="B138" s="5" t="s">
        <v>371</v>
      </c>
      <c r="C138" s="5" t="str">
        <f>VLOOKUP(woodratio[[#This Row],[From_top]],woodstock[#All],7,FALSE)</f>
        <v>47</v>
      </c>
      <c r="D138" s="5" t="str">
        <f>VLOOKUP(woodratio[[#This Row],[To_top]],woodstock[#All],7,FALSE)</f>
        <v>56</v>
      </c>
      <c r="E138" s="5" t="s">
        <v>59</v>
      </c>
      <c r="F138" s="5" t="s">
        <v>371</v>
      </c>
      <c r="G138" s="152" t="str">
        <f t="shared" ref="G138:G139" si="17">G137</f>
        <v>43-44-45-46-47-48-49</v>
      </c>
      <c r="H138" s="5" t="str">
        <f>woodratio[[#This Row],[Processnumberstotop]]</f>
        <v>56</v>
      </c>
      <c r="I138" s="164">
        <v>5.5E-2</v>
      </c>
      <c r="J138" s="73" t="s">
        <v>365</v>
      </c>
      <c r="K138" s="68" t="s">
        <v>448</v>
      </c>
      <c r="L138" s="13"/>
    </row>
    <row r="139" spans="1:12" x14ac:dyDescent="0.3">
      <c r="A139" s="5" t="s">
        <v>57</v>
      </c>
      <c r="B139" s="5" t="s">
        <v>371</v>
      </c>
      <c r="C139" s="5" t="str">
        <f>VLOOKUP(woodratio[[#This Row],[From_top]],woodstock[#All],7,FALSE)</f>
        <v>49</v>
      </c>
      <c r="D139" s="5" t="str">
        <f>VLOOKUP(woodratio[[#This Row],[To_top]],woodstock[#All],7,FALSE)</f>
        <v>56</v>
      </c>
      <c r="E139" s="5" t="s">
        <v>59</v>
      </c>
      <c r="F139" s="5" t="s">
        <v>371</v>
      </c>
      <c r="G139" s="152" t="str">
        <f t="shared" si="17"/>
        <v>43-44-45-46-47-48-49</v>
      </c>
      <c r="H139" s="5" t="str">
        <f>woodratio[[#This Row],[Processnumberstotop]]</f>
        <v>56</v>
      </c>
      <c r="I139" s="164">
        <v>5.5E-2</v>
      </c>
      <c r="J139" s="78" t="s">
        <v>365</v>
      </c>
      <c r="K139" s="79" t="s">
        <v>448</v>
      </c>
      <c r="L139" s="13"/>
    </row>
    <row r="140" spans="1:12" x14ac:dyDescent="0.3">
      <c r="A140" s="5"/>
      <c r="B140" s="5"/>
      <c r="C140" s="5"/>
      <c r="D140" s="5"/>
      <c r="E140" s="5"/>
      <c r="F140" s="5"/>
      <c r="G140" s="5"/>
      <c r="H140" s="5"/>
      <c r="I140" s="164"/>
      <c r="J140" s="5"/>
      <c r="K140" s="5"/>
      <c r="L140" s="13"/>
    </row>
    <row r="141" spans="1:12" x14ac:dyDescent="0.3">
      <c r="A141" s="5"/>
      <c r="B141" s="5"/>
      <c r="C141" s="5"/>
      <c r="D141" s="5"/>
      <c r="E141" s="5"/>
      <c r="F141" s="5"/>
      <c r="G141" s="5"/>
      <c r="H141" s="5"/>
      <c r="I141" s="164"/>
      <c r="J141" s="5"/>
      <c r="K141" s="5"/>
      <c r="L141" s="13"/>
    </row>
    <row r="142" spans="1:12" x14ac:dyDescent="0.3">
      <c r="A142" s="5" t="s">
        <v>371</v>
      </c>
      <c r="B142" s="5" t="s">
        <v>351</v>
      </c>
      <c r="C142" s="5" t="str">
        <f>VLOOKUP(woodratio[[#This Row],[From_top]],woodstock[#All],7,FALSE)</f>
        <v>56</v>
      </c>
      <c r="D142" s="5" t="str">
        <f>VLOOKUP(woodratio[[#This Row],[To_top]],woodstock[#All],7,FALSE)</f>
        <v>58</v>
      </c>
      <c r="E142" s="5" t="s">
        <v>371</v>
      </c>
      <c r="F142" s="5" t="s">
        <v>350</v>
      </c>
      <c r="G142" s="5" t="str">
        <f>woodratio[[#This Row],[Processnumbersfromtop]]</f>
        <v>56</v>
      </c>
      <c r="H142" s="152" t="str">
        <f>woodflow!M404</f>
        <v>58-59-60-61-62-63-64</v>
      </c>
      <c r="I142" s="164">
        <f>'supporting-percentages'!B67</f>
        <v>0.2144681645757586</v>
      </c>
      <c r="J142" s="148" t="s">
        <v>456</v>
      </c>
      <c r="K142" s="5"/>
      <c r="L142" s="13"/>
    </row>
    <row r="143" spans="1:12" x14ac:dyDescent="0.3">
      <c r="A143" s="5" t="s">
        <v>371</v>
      </c>
      <c r="B143" s="5" t="s">
        <v>916</v>
      </c>
      <c r="C143" s="5" t="str">
        <f>VLOOKUP(woodratio[[#This Row],[From_top]],woodstock[#All],7,FALSE)</f>
        <v>56</v>
      </c>
      <c r="D143" s="5" t="str">
        <f>VLOOKUP(woodratio[[#This Row],[To_top]],woodstock[#All],7,FALSE)</f>
        <v>59</v>
      </c>
      <c r="E143" s="5" t="s">
        <v>371</v>
      </c>
      <c r="F143" s="5" t="s">
        <v>350</v>
      </c>
      <c r="G143" s="5" t="str">
        <f>woodratio[[#This Row],[Processnumbersfromtop]]</f>
        <v>56</v>
      </c>
      <c r="H143" s="152" t="str">
        <f>H142</f>
        <v>58-59-60-61-62-63-64</v>
      </c>
      <c r="I143" s="164">
        <f>'supporting-percentages'!B68</f>
        <v>9.9838628336991087E-2</v>
      </c>
      <c r="J143" s="148" t="s">
        <v>456</v>
      </c>
      <c r="K143" s="5"/>
      <c r="L143" s="13"/>
    </row>
    <row r="144" spans="1:12" x14ac:dyDescent="0.3">
      <c r="A144" s="5" t="s">
        <v>371</v>
      </c>
      <c r="B144" s="5" t="s">
        <v>391</v>
      </c>
      <c r="C144" s="5" t="str">
        <f>VLOOKUP(woodratio[[#This Row],[From_top]],woodstock[#All],7,FALSE)</f>
        <v>56</v>
      </c>
      <c r="D144" s="5" t="str">
        <f>VLOOKUP(woodratio[[#This Row],[To_top]],woodstock[#All],7,FALSE)</f>
        <v>61</v>
      </c>
      <c r="E144" s="5" t="s">
        <v>371</v>
      </c>
      <c r="F144" s="5" t="s">
        <v>350</v>
      </c>
      <c r="G144" s="5" t="str">
        <f>woodratio[[#This Row],[Processnumbersfromtop]]</f>
        <v>56</v>
      </c>
      <c r="H144" s="152" t="str">
        <f>H143</f>
        <v>58-59-60-61-62-63-64</v>
      </c>
      <c r="I144" s="164">
        <f>'supporting-percentages'!B69</f>
        <v>5.5465904631661705E-2</v>
      </c>
      <c r="J144" s="148" t="s">
        <v>456</v>
      </c>
      <c r="K144" s="5"/>
      <c r="L144" s="13"/>
    </row>
    <row r="145" spans="1:12" x14ac:dyDescent="0.3">
      <c r="A145" s="5" t="s">
        <v>371</v>
      </c>
      <c r="B145" s="5" t="s">
        <v>406</v>
      </c>
      <c r="C145" s="5" t="str">
        <f>VLOOKUP(woodratio[[#This Row],[From_top]],woodstock[#All],7,FALSE)</f>
        <v>56</v>
      </c>
      <c r="D145" s="5" t="str">
        <f>VLOOKUP(woodratio[[#This Row],[To_top]],woodstock[#All],7,FALSE)</f>
        <v>62</v>
      </c>
      <c r="E145" s="5" t="s">
        <v>371</v>
      </c>
      <c r="F145" s="5" t="s">
        <v>350</v>
      </c>
      <c r="G145" s="5" t="str">
        <f>woodratio[[#This Row],[Processnumbersfromtop]]</f>
        <v>56</v>
      </c>
      <c r="H145" s="152" t="str">
        <f t="shared" ref="H145:H147" si="18">H144</f>
        <v>58-59-60-61-62-63-64</v>
      </c>
      <c r="I145" s="164">
        <f>'supporting-percentages'!B71</f>
        <v>0.15373166574333971</v>
      </c>
      <c r="J145" s="148" t="s">
        <v>456</v>
      </c>
      <c r="K145" s="5"/>
      <c r="L145" s="13"/>
    </row>
    <row r="146" spans="1:12" x14ac:dyDescent="0.3">
      <c r="A146" s="5" t="s">
        <v>371</v>
      </c>
      <c r="B146" s="5" t="s">
        <v>352</v>
      </c>
      <c r="C146" s="5" t="str">
        <f>VLOOKUP(woodratio[[#This Row],[From_top]],woodstock[#All],7,FALSE)</f>
        <v>56</v>
      </c>
      <c r="D146" s="5" t="str">
        <f>VLOOKUP(woodratio[[#This Row],[To_top]],woodstock[#All],7,FALSE)</f>
        <v>63</v>
      </c>
      <c r="E146" s="5" t="s">
        <v>371</v>
      </c>
      <c r="F146" s="5" t="s">
        <v>350</v>
      </c>
      <c r="G146" s="5" t="str">
        <f>woodratio[[#This Row],[Processnumbersfromtop]]</f>
        <v>56</v>
      </c>
      <c r="H146" s="152" t="str">
        <f t="shared" si="18"/>
        <v>58-59-60-61-62-63-64</v>
      </c>
      <c r="I146" s="164">
        <f>'supporting-percentages'!B72</f>
        <v>0.35531939159721976</v>
      </c>
      <c r="J146" s="148" t="s">
        <v>456</v>
      </c>
      <c r="K146" s="5"/>
      <c r="L146" s="13"/>
    </row>
    <row r="147" spans="1:12" x14ac:dyDescent="0.3">
      <c r="A147" s="5" t="s">
        <v>371</v>
      </c>
      <c r="B147" s="5" t="s">
        <v>373</v>
      </c>
      <c r="C147" s="5" t="str">
        <f>VLOOKUP(woodratio[[#This Row],[From_top]],woodstock[#All],7,FALSE)</f>
        <v>56</v>
      </c>
      <c r="D147" s="5" t="str">
        <f>VLOOKUP(woodratio[[#This Row],[To_top]],woodstock[#All],7,FALSE)</f>
        <v>64</v>
      </c>
      <c r="E147" s="5" t="s">
        <v>371</v>
      </c>
      <c r="F147" s="5" t="s">
        <v>350</v>
      </c>
      <c r="G147" s="5" t="str">
        <f>woodratio[[#This Row],[Processnumbersfromtop]]</f>
        <v>56</v>
      </c>
      <c r="H147" s="152" t="str">
        <f t="shared" si="18"/>
        <v>58-59-60-61-62-63-64</v>
      </c>
      <c r="I147" s="164">
        <f>'supporting-percentages'!B73</f>
        <v>0.12117624511502915</v>
      </c>
      <c r="J147" s="148" t="s">
        <v>456</v>
      </c>
      <c r="K147" s="5"/>
      <c r="L147" s="13"/>
    </row>
    <row r="148" spans="1:12" x14ac:dyDescent="0.3">
      <c r="A148" s="5"/>
      <c r="B148" s="5"/>
      <c r="C148" s="5"/>
      <c r="D148" s="5"/>
      <c r="E148" s="5"/>
      <c r="F148" s="5"/>
      <c r="G148" s="5"/>
      <c r="H148" s="5"/>
      <c r="I148" s="164"/>
      <c r="J148" s="5"/>
      <c r="K148" s="5"/>
      <c r="L148" s="13"/>
    </row>
    <row r="149" spans="1:12" x14ac:dyDescent="0.3">
      <c r="A149" s="5"/>
      <c r="B149" s="5"/>
      <c r="C149" s="5"/>
      <c r="D149" s="5"/>
      <c r="E149" s="5"/>
      <c r="F149" s="5"/>
      <c r="G149" s="5"/>
      <c r="H149" s="5"/>
      <c r="I149" s="164"/>
      <c r="J149" s="5"/>
      <c r="K149" s="5"/>
      <c r="L149" s="13"/>
    </row>
    <row r="150" spans="1:12" x14ac:dyDescent="0.3">
      <c r="A150" s="5" t="s">
        <v>372</v>
      </c>
      <c r="B150" s="5" t="s">
        <v>351</v>
      </c>
      <c r="C150" s="5" t="str">
        <f>VLOOKUP(woodratio[[#This Row],[From_top]],woodstock[#All],7,FALSE)</f>
        <v>57</v>
      </c>
      <c r="D150" s="5" t="str">
        <f>VLOOKUP(woodratio[[#This Row],[To_top]],woodstock[#All],7,FALSE)</f>
        <v>58</v>
      </c>
      <c r="E150" s="5" t="s">
        <v>372</v>
      </c>
      <c r="F150" s="5" t="s">
        <v>350</v>
      </c>
      <c r="G150" s="5" t="str">
        <f>woodratio[[#This Row],[Processnumbersfromtop]]</f>
        <v>57</v>
      </c>
      <c r="H150" s="152" t="str">
        <f>woodflow!M404</f>
        <v>58-59-60-61-62-63-64</v>
      </c>
      <c r="I150" s="164">
        <f>'supporting-percentages'!B79</f>
        <v>7.4280715883604548E-2</v>
      </c>
      <c r="J150" s="148" t="s">
        <v>456</v>
      </c>
      <c r="K150" s="5"/>
      <c r="L150" s="13"/>
    </row>
    <row r="151" spans="1:12" x14ac:dyDescent="0.3">
      <c r="A151" s="5" t="s">
        <v>372</v>
      </c>
      <c r="B151" s="5" t="s">
        <v>917</v>
      </c>
      <c r="C151" s="5" t="str">
        <f>VLOOKUP(woodratio[[#This Row],[From_top]],woodstock[#All],7,FALSE)</f>
        <v>57</v>
      </c>
      <c r="D151" s="5" t="str">
        <f>VLOOKUP(woodratio[[#This Row],[To_top]],woodstock[#All],7,FALSE)</f>
        <v>60</v>
      </c>
      <c r="E151" s="5" t="s">
        <v>372</v>
      </c>
      <c r="F151" s="5" t="s">
        <v>350</v>
      </c>
      <c r="G151" s="5" t="str">
        <f>G150</f>
        <v>57</v>
      </c>
      <c r="H151" s="152" t="str">
        <f>H150</f>
        <v>58-59-60-61-62-63-64</v>
      </c>
      <c r="I151" s="164">
        <f>'supporting-percentages'!B80</f>
        <v>0.53434551938580543</v>
      </c>
      <c r="J151" s="148" t="s">
        <v>456</v>
      </c>
      <c r="K151" s="5"/>
      <c r="L151" s="13"/>
    </row>
    <row r="152" spans="1:12" x14ac:dyDescent="0.3">
      <c r="A152" s="5" t="s">
        <v>372</v>
      </c>
      <c r="B152" s="5" t="s">
        <v>391</v>
      </c>
      <c r="C152" s="5" t="str">
        <f>VLOOKUP(woodratio[[#This Row],[From_top]],woodstock[#All],7,FALSE)</f>
        <v>57</v>
      </c>
      <c r="D152" s="5" t="str">
        <f>VLOOKUP(woodratio[[#This Row],[To_top]],woodstock[#All],7,FALSE)</f>
        <v>61</v>
      </c>
      <c r="E152" s="5" t="s">
        <v>372</v>
      </c>
      <c r="F152" s="5" t="s">
        <v>350</v>
      </c>
      <c r="G152" s="5" t="str">
        <f>G151</f>
        <v>57</v>
      </c>
      <c r="H152" s="152" t="str">
        <f>H151</f>
        <v>58-59-60-61-62-63-64</v>
      </c>
      <c r="I152" s="164">
        <f>'supporting-percentages'!B81</f>
        <v>3.0631778934286993E-2</v>
      </c>
      <c r="J152" s="148" t="s">
        <v>456</v>
      </c>
      <c r="K152" s="5"/>
      <c r="L152" s="13"/>
    </row>
    <row r="153" spans="1:12" x14ac:dyDescent="0.3">
      <c r="A153" s="5" t="s">
        <v>372</v>
      </c>
      <c r="B153" s="5" t="s">
        <v>406</v>
      </c>
      <c r="C153" s="5" t="str">
        <f>VLOOKUP(woodratio[[#This Row],[From_top]],woodstock[#All],7,FALSE)</f>
        <v>57</v>
      </c>
      <c r="D153" s="5" t="str">
        <f>VLOOKUP(woodratio[[#This Row],[To_top]],woodstock[#All],7,FALSE)</f>
        <v>62</v>
      </c>
      <c r="E153" s="5" t="s">
        <v>372</v>
      </c>
      <c r="F153" s="5" t="s">
        <v>350</v>
      </c>
      <c r="G153" s="5" t="str">
        <f t="shared" ref="G153:G155" si="19">G152</f>
        <v>57</v>
      </c>
      <c r="H153" s="152" t="str">
        <f t="shared" ref="H153:H155" si="20">H152</f>
        <v>58-59-60-61-62-63-64</v>
      </c>
      <c r="I153" s="164">
        <f>'supporting-percentages'!B83</f>
        <v>3.1834592521544809E-2</v>
      </c>
      <c r="J153" s="148" t="s">
        <v>456</v>
      </c>
      <c r="K153" s="5"/>
      <c r="L153" s="13"/>
    </row>
    <row r="154" spans="1:12" x14ac:dyDescent="0.3">
      <c r="A154" s="5" t="s">
        <v>372</v>
      </c>
      <c r="B154" s="5" t="s">
        <v>352</v>
      </c>
      <c r="C154" s="5" t="str">
        <f>VLOOKUP(woodratio[[#This Row],[From_top]],woodstock[#All],7,FALSE)</f>
        <v>57</v>
      </c>
      <c r="D154" s="5" t="str">
        <f>VLOOKUP(woodratio[[#This Row],[To_top]],woodstock[#All],7,FALSE)</f>
        <v>63</v>
      </c>
      <c r="E154" s="5" t="s">
        <v>372</v>
      </c>
      <c r="F154" s="5" t="s">
        <v>350</v>
      </c>
      <c r="G154" s="5" t="str">
        <f t="shared" si="19"/>
        <v>57</v>
      </c>
      <c r="H154" s="152" t="str">
        <f t="shared" si="20"/>
        <v>58-59-60-61-62-63-64</v>
      </c>
      <c r="I154" s="164">
        <f>'supporting-percentages'!B84</f>
        <v>0.24526389302655779</v>
      </c>
      <c r="J154" s="148" t="s">
        <v>456</v>
      </c>
      <c r="K154" s="5"/>
      <c r="L154" s="13"/>
    </row>
    <row r="155" spans="1:12" x14ac:dyDescent="0.3">
      <c r="A155" s="5" t="s">
        <v>372</v>
      </c>
      <c r="B155" s="5" t="s">
        <v>373</v>
      </c>
      <c r="C155" s="5" t="str">
        <f>VLOOKUP(woodratio[[#This Row],[From_top]],woodstock[#All],7,FALSE)</f>
        <v>57</v>
      </c>
      <c r="D155" s="5" t="str">
        <f>VLOOKUP(woodratio[[#This Row],[To_top]],woodstock[#All],7,FALSE)</f>
        <v>64</v>
      </c>
      <c r="E155" s="5" t="s">
        <v>372</v>
      </c>
      <c r="F155" s="5" t="s">
        <v>350</v>
      </c>
      <c r="G155" s="5" t="str">
        <f t="shared" si="19"/>
        <v>57</v>
      </c>
      <c r="H155" s="152" t="str">
        <f t="shared" si="20"/>
        <v>58-59-60-61-62-63-64</v>
      </c>
      <c r="I155" s="164">
        <f>'supporting-percentages'!B85</f>
        <v>8.3643500248200373E-2</v>
      </c>
      <c r="J155" s="148" t="s">
        <v>456</v>
      </c>
      <c r="K155" s="5"/>
      <c r="L155" s="13"/>
    </row>
    <row r="156" spans="1:12" x14ac:dyDescent="0.3">
      <c r="A156" s="5"/>
      <c r="B156" s="5"/>
      <c r="C156" s="5"/>
      <c r="D156" s="5"/>
      <c r="E156" s="5"/>
      <c r="F156" s="5"/>
      <c r="G156" s="5"/>
      <c r="H156" s="5"/>
      <c r="I156" s="164"/>
      <c r="J156" s="5"/>
      <c r="K156" s="5"/>
      <c r="L156" s="13"/>
    </row>
    <row r="157" spans="1:12" x14ac:dyDescent="0.3">
      <c r="A157" s="5"/>
      <c r="B157" s="5"/>
      <c r="C157" s="5"/>
      <c r="D157" s="5"/>
      <c r="E157" s="5"/>
      <c r="F157" s="5"/>
      <c r="G157" s="5"/>
      <c r="H157" s="5"/>
      <c r="I157" s="164"/>
      <c r="J157" s="5"/>
      <c r="K157" s="5"/>
      <c r="L157" s="13"/>
    </row>
    <row r="158" spans="1:12" x14ac:dyDescent="0.3">
      <c r="A158" s="148" t="s">
        <v>29</v>
      </c>
      <c r="B158" s="5" t="s">
        <v>351</v>
      </c>
      <c r="C158" s="5" t="str">
        <f>VLOOKUP(woodratio[[#This Row],[From_top]],woodstock[#All],7,FALSE)</f>
        <v>50</v>
      </c>
      <c r="D158" s="5" t="str">
        <f>VLOOKUP(woodratio[[#This Row],[To_top]],woodstock[#All],7,FALSE)</f>
        <v>58</v>
      </c>
      <c r="E158" s="148" t="str">
        <f>woodratio[[#This Row],[From_top]]</f>
        <v>pw-wood-chips-and-particles</v>
      </c>
      <c r="F158" s="5" t="s">
        <v>350</v>
      </c>
      <c r="G158" s="5" t="str">
        <f>woodratio[[#This Row],[Processnumbersfromtop]]</f>
        <v>50</v>
      </c>
      <c r="H158" s="152" t="str">
        <f>woodflow!M419</f>
        <v>58-59-60-61-62-63-64</v>
      </c>
      <c r="I158" s="164">
        <f>'supporting-percentages'!B39</f>
        <v>0.76923076923076916</v>
      </c>
      <c r="J158" s="148" t="s">
        <v>456</v>
      </c>
      <c r="K158" s="5"/>
      <c r="L158" s="13"/>
    </row>
    <row r="159" spans="1:12" x14ac:dyDescent="0.3">
      <c r="A159" s="148" t="s">
        <v>29</v>
      </c>
      <c r="B159" s="5" t="s">
        <v>391</v>
      </c>
      <c r="C159" s="5" t="str">
        <f>VLOOKUP(woodratio[[#This Row],[From_top]],woodstock[#All],7,FALSE)</f>
        <v>50</v>
      </c>
      <c r="D159" s="5" t="str">
        <f>VLOOKUP(woodratio[[#This Row],[To_top]],woodstock[#All],7,FALSE)</f>
        <v>61</v>
      </c>
      <c r="E159" s="148" t="str">
        <f>woodratio[[#This Row],[From_top]]</f>
        <v>pw-wood-chips-and-particles</v>
      </c>
      <c r="F159" s="5" t="s">
        <v>350</v>
      </c>
      <c r="G159" s="5" t="str">
        <f>woodratio[[#This Row],[Processnumbersfromtop]]</f>
        <v>50</v>
      </c>
      <c r="H159" s="152" t="str">
        <f>H158</f>
        <v>58-59-60-61-62-63-64</v>
      </c>
      <c r="I159" s="164">
        <f>'supporting-percentages'!B40</f>
        <v>7.6923076923076927E-2</v>
      </c>
      <c r="J159" s="148" t="s">
        <v>456</v>
      </c>
      <c r="K159" s="5"/>
      <c r="L159" s="13"/>
    </row>
    <row r="160" spans="1:12" x14ac:dyDescent="0.3">
      <c r="A160" s="148" t="s">
        <v>29</v>
      </c>
      <c r="B160" s="5" t="s">
        <v>406</v>
      </c>
      <c r="C160" s="5" t="str">
        <f>VLOOKUP(woodratio[[#This Row],[From_top]],woodstock[#All],7,FALSE)</f>
        <v>50</v>
      </c>
      <c r="D160" s="5" t="str">
        <f>VLOOKUP(woodratio[[#This Row],[To_top]],woodstock[#All],7,FALSE)</f>
        <v>62</v>
      </c>
      <c r="E160" s="148" t="str">
        <f>woodratio[[#This Row],[From_top]]</f>
        <v>pw-wood-chips-and-particles</v>
      </c>
      <c r="F160" s="5" t="s">
        <v>350</v>
      </c>
      <c r="G160" s="5" t="str">
        <f>woodratio[[#This Row],[Processnumbersfromtop]]</f>
        <v>50</v>
      </c>
      <c r="H160" s="152" t="str">
        <f t="shared" ref="H160:H161" si="21">H159</f>
        <v>58-59-60-61-62-63-64</v>
      </c>
      <c r="I160" s="164">
        <f>'supporting-percentages'!B41</f>
        <v>7.6923076923076927E-2</v>
      </c>
      <c r="J160" s="148" t="s">
        <v>456</v>
      </c>
      <c r="K160" s="5"/>
      <c r="L160" s="13"/>
    </row>
    <row r="161" spans="1:12" x14ac:dyDescent="0.3">
      <c r="A161" s="148" t="s">
        <v>29</v>
      </c>
      <c r="B161" s="5" t="s">
        <v>352</v>
      </c>
      <c r="C161" s="5" t="str">
        <f>VLOOKUP(woodratio[[#This Row],[From_top]],woodstock[#All],7,FALSE)</f>
        <v>50</v>
      </c>
      <c r="D161" s="5" t="str">
        <f>VLOOKUP(woodratio[[#This Row],[To_top]],woodstock[#All],7,FALSE)</f>
        <v>63</v>
      </c>
      <c r="E161" s="148" t="str">
        <f>woodratio[[#This Row],[From_top]]</f>
        <v>pw-wood-chips-and-particles</v>
      </c>
      <c r="F161" s="5" t="s">
        <v>350</v>
      </c>
      <c r="G161" s="5" t="str">
        <f>woodratio[[#This Row],[Processnumbersfromtop]]</f>
        <v>50</v>
      </c>
      <c r="H161" s="152" t="str">
        <f t="shared" si="21"/>
        <v>58-59-60-61-62-63-64</v>
      </c>
      <c r="I161" s="164">
        <f>'supporting-percentages'!B42</f>
        <v>7.6923076923076927E-2</v>
      </c>
      <c r="J161" s="148" t="s">
        <v>456</v>
      </c>
      <c r="K161" s="5"/>
      <c r="L161" s="13"/>
    </row>
    <row r="162" spans="1:12" x14ac:dyDescent="0.3">
      <c r="A162" s="5"/>
      <c r="B162" s="5"/>
      <c r="C162" s="5"/>
      <c r="D162" s="5"/>
      <c r="E162" s="5"/>
      <c r="F162" s="5"/>
      <c r="G162" s="5"/>
      <c r="H162" s="5"/>
      <c r="I162" s="164"/>
      <c r="J162" s="5"/>
      <c r="K162" s="5"/>
      <c r="L162" s="13"/>
    </row>
    <row r="163" spans="1:12" x14ac:dyDescent="0.3">
      <c r="A163" s="5"/>
      <c r="B163" s="5"/>
      <c r="C163" s="5"/>
      <c r="D163" s="5"/>
      <c r="E163" s="5"/>
      <c r="F163" s="5"/>
      <c r="G163" s="5"/>
      <c r="H163" s="5"/>
      <c r="I163" s="164"/>
      <c r="J163" s="5"/>
      <c r="K163" s="5"/>
      <c r="L163" s="13"/>
    </row>
    <row r="164" spans="1:12" x14ac:dyDescent="0.3">
      <c r="A164" s="148" t="s">
        <v>73</v>
      </c>
      <c r="B164" s="5" t="s">
        <v>351</v>
      </c>
      <c r="C164" s="5" t="str">
        <f>VLOOKUP(woodratio[[#This Row],[From_top]],woodstock[#All],7,FALSE)</f>
        <v>51</v>
      </c>
      <c r="D164" s="5" t="str">
        <f>VLOOKUP(woodratio[[#This Row],[To_top]],woodstock[#All],7,FALSE)</f>
        <v>58</v>
      </c>
      <c r="E164" s="148" t="str">
        <f>woodratio[[#This Row],[From_top]]</f>
        <v>pw-sanding-and-sawdust</v>
      </c>
      <c r="F164" s="5" t="s">
        <v>350</v>
      </c>
      <c r="G164" s="5" t="str">
        <f>woodratio[[#This Row],[Processnumbersfromtop]]</f>
        <v>51</v>
      </c>
      <c r="H164" s="152" t="str">
        <f>woodflow!M434</f>
        <v>58-59-60-61-62-63-64</v>
      </c>
      <c r="I164" s="164">
        <f>'supporting-percentages'!B48</f>
        <v>0.76923076923076916</v>
      </c>
      <c r="J164" s="148" t="s">
        <v>456</v>
      </c>
      <c r="K164" s="5"/>
      <c r="L164" s="13"/>
    </row>
    <row r="165" spans="1:12" x14ac:dyDescent="0.3">
      <c r="A165" s="148" t="s">
        <v>73</v>
      </c>
      <c r="B165" s="5" t="s">
        <v>391</v>
      </c>
      <c r="C165" s="5" t="str">
        <f>VLOOKUP(woodratio[[#This Row],[From_top]],woodstock[#All],7,FALSE)</f>
        <v>51</v>
      </c>
      <c r="D165" s="5" t="str">
        <f>VLOOKUP(woodratio[[#This Row],[To_top]],woodstock[#All],7,FALSE)</f>
        <v>61</v>
      </c>
      <c r="E165" s="148" t="str">
        <f>woodratio[[#This Row],[From_top]]</f>
        <v>pw-sanding-and-sawdust</v>
      </c>
      <c r="F165" s="5" t="s">
        <v>350</v>
      </c>
      <c r="G165" s="5" t="str">
        <f>woodratio[[#This Row],[Processnumbersfromtop]]</f>
        <v>51</v>
      </c>
      <c r="H165" s="152" t="str">
        <f>H164</f>
        <v>58-59-60-61-62-63-64</v>
      </c>
      <c r="I165" s="164">
        <f>'supporting-percentages'!B49</f>
        <v>7.6923076923076927E-2</v>
      </c>
      <c r="J165" s="148" t="s">
        <v>456</v>
      </c>
      <c r="K165" s="5"/>
      <c r="L165" s="13"/>
    </row>
    <row r="166" spans="1:12" x14ac:dyDescent="0.3">
      <c r="A166" s="148" t="s">
        <v>73</v>
      </c>
      <c r="B166" s="5" t="s">
        <v>406</v>
      </c>
      <c r="C166" s="5" t="str">
        <f>VLOOKUP(woodratio[[#This Row],[From_top]],woodstock[#All],7,FALSE)</f>
        <v>51</v>
      </c>
      <c r="D166" s="5" t="str">
        <f>VLOOKUP(woodratio[[#This Row],[To_top]],woodstock[#All],7,FALSE)</f>
        <v>62</v>
      </c>
      <c r="E166" s="148" t="str">
        <f>woodratio[[#This Row],[From_top]]</f>
        <v>pw-sanding-and-sawdust</v>
      </c>
      <c r="F166" s="5" t="s">
        <v>350</v>
      </c>
      <c r="G166" s="5" t="str">
        <f>woodratio[[#This Row],[Processnumbersfromtop]]</f>
        <v>51</v>
      </c>
      <c r="H166" s="152" t="str">
        <f t="shared" ref="H166:H167" si="22">H165</f>
        <v>58-59-60-61-62-63-64</v>
      </c>
      <c r="I166" s="164">
        <f>'supporting-percentages'!B50</f>
        <v>7.6923076923076927E-2</v>
      </c>
      <c r="J166" s="148" t="s">
        <v>456</v>
      </c>
      <c r="K166" s="5"/>
      <c r="L166" s="13"/>
    </row>
    <row r="167" spans="1:12" x14ac:dyDescent="0.3">
      <c r="A167" s="148" t="s">
        <v>73</v>
      </c>
      <c r="B167" s="5" t="s">
        <v>352</v>
      </c>
      <c r="C167" s="5" t="str">
        <f>VLOOKUP(woodratio[[#This Row],[From_top]],woodstock[#All],7,FALSE)</f>
        <v>51</v>
      </c>
      <c r="D167" s="5" t="str">
        <f>VLOOKUP(woodratio[[#This Row],[To_top]],woodstock[#All],7,FALSE)</f>
        <v>63</v>
      </c>
      <c r="E167" s="148" t="str">
        <f>woodratio[[#This Row],[From_top]]</f>
        <v>pw-sanding-and-sawdust</v>
      </c>
      <c r="F167" s="5" t="s">
        <v>350</v>
      </c>
      <c r="G167" s="5" t="str">
        <f>woodratio[[#This Row],[Processnumbersfromtop]]</f>
        <v>51</v>
      </c>
      <c r="H167" s="152" t="str">
        <f t="shared" si="22"/>
        <v>58-59-60-61-62-63-64</v>
      </c>
      <c r="I167" s="164">
        <f>'supporting-percentages'!B51</f>
        <v>7.6923076923076927E-2</v>
      </c>
      <c r="J167" s="148" t="s">
        <v>456</v>
      </c>
      <c r="K167" s="5"/>
      <c r="L167" s="13"/>
    </row>
    <row r="168" spans="1:12" x14ac:dyDescent="0.3">
      <c r="A168" s="5"/>
      <c r="B168" s="5"/>
      <c r="C168" s="5"/>
      <c r="D168" s="5"/>
      <c r="E168" s="5"/>
      <c r="F168" s="5"/>
      <c r="G168" s="5"/>
      <c r="H168" s="5"/>
      <c r="I168" s="164"/>
      <c r="J168" s="5"/>
      <c r="K168" s="5"/>
      <c r="L168" s="13"/>
    </row>
    <row r="169" spans="1:12" x14ac:dyDescent="0.3">
      <c r="A169" s="5"/>
      <c r="B169" s="5"/>
      <c r="C169" s="5"/>
      <c r="D169" s="5"/>
      <c r="E169" s="5"/>
      <c r="F169" s="5"/>
      <c r="G169" s="5"/>
      <c r="H169" s="5"/>
      <c r="I169" s="164"/>
      <c r="J169" s="5"/>
      <c r="K169" s="5"/>
      <c r="L169" s="13"/>
    </row>
    <row r="170" spans="1:12" x14ac:dyDescent="0.3">
      <c r="A170" s="148" t="s">
        <v>30</v>
      </c>
      <c r="B170" s="5" t="s">
        <v>351</v>
      </c>
      <c r="C170" s="5" t="str">
        <f>VLOOKUP(woodratio[[#This Row],[From_top]],woodstock[#All],7,FALSE)</f>
        <v>52</v>
      </c>
      <c r="D170" s="5" t="str">
        <f>VLOOKUP(woodratio[[#This Row],[To_top]],woodstock[#All],7,FALSE)</f>
        <v>58</v>
      </c>
      <c r="E170" s="148" t="str">
        <f>woodratio[[#This Row],[From_top]]</f>
        <v>pw-bark</v>
      </c>
      <c r="F170" s="5" t="s">
        <v>350</v>
      </c>
      <c r="G170" s="5" t="str">
        <f>woodratio[[#This Row],[Processnumbersfromtop]]</f>
        <v>52</v>
      </c>
      <c r="H170" s="152" t="str">
        <f>woodflow!M449</f>
        <v>58-59-60-61-62-63-64</v>
      </c>
      <c r="I170" s="164">
        <f>'supporting-percentages'!B57</f>
        <v>0.83333333333333337</v>
      </c>
      <c r="J170" s="148" t="s">
        <v>456</v>
      </c>
      <c r="K170" s="5"/>
      <c r="L170" s="13"/>
    </row>
    <row r="171" spans="1:12" x14ac:dyDescent="0.3">
      <c r="A171" s="148" t="s">
        <v>30</v>
      </c>
      <c r="B171" s="5" t="s">
        <v>391</v>
      </c>
      <c r="C171" s="5" t="str">
        <f>VLOOKUP(woodratio[[#This Row],[From_top]],woodstock[#All],7,FALSE)</f>
        <v>52</v>
      </c>
      <c r="D171" s="5" t="str">
        <f>VLOOKUP(woodratio[[#This Row],[To_top]],woodstock[#All],7,FALSE)</f>
        <v>61</v>
      </c>
      <c r="E171" s="148" t="str">
        <f>woodratio[[#This Row],[From_top]]</f>
        <v>pw-bark</v>
      </c>
      <c r="F171" s="5" t="s">
        <v>350</v>
      </c>
      <c r="G171" s="5" t="str">
        <f>woodratio[[#This Row],[Processnumbersfromtop]]</f>
        <v>52</v>
      </c>
      <c r="H171" s="152" t="str">
        <f>H170</f>
        <v>58-59-60-61-62-63-64</v>
      </c>
      <c r="I171" s="164">
        <f>'supporting-percentages'!B58</f>
        <v>5.5555555555555559E-2</v>
      </c>
      <c r="J171" s="148" t="s">
        <v>456</v>
      </c>
      <c r="K171" s="5"/>
      <c r="L171" s="13"/>
    </row>
    <row r="172" spans="1:12" x14ac:dyDescent="0.3">
      <c r="A172" s="148" t="s">
        <v>30</v>
      </c>
      <c r="B172" s="5" t="s">
        <v>406</v>
      </c>
      <c r="C172" s="5" t="str">
        <f>VLOOKUP(woodratio[[#This Row],[From_top]],woodstock[#All],7,FALSE)</f>
        <v>52</v>
      </c>
      <c r="D172" s="5" t="str">
        <f>VLOOKUP(woodratio[[#This Row],[To_top]],woodstock[#All],7,FALSE)</f>
        <v>62</v>
      </c>
      <c r="E172" s="148" t="str">
        <f>woodratio[[#This Row],[From_top]]</f>
        <v>pw-bark</v>
      </c>
      <c r="F172" s="5" t="s">
        <v>350</v>
      </c>
      <c r="G172" s="5" t="str">
        <f>woodratio[[#This Row],[Processnumbersfromtop]]</f>
        <v>52</v>
      </c>
      <c r="H172" s="152" t="str">
        <f t="shared" ref="H172:H173" si="23">H171</f>
        <v>58-59-60-61-62-63-64</v>
      </c>
      <c r="I172" s="164">
        <f>'supporting-percentages'!B59</f>
        <v>5.5555555555555559E-2</v>
      </c>
      <c r="J172" s="148" t="s">
        <v>456</v>
      </c>
      <c r="K172" s="5"/>
      <c r="L172" s="13"/>
    </row>
    <row r="173" spans="1:12" x14ac:dyDescent="0.3">
      <c r="A173" s="148" t="s">
        <v>30</v>
      </c>
      <c r="B173" s="5" t="s">
        <v>352</v>
      </c>
      <c r="C173" s="5" t="str">
        <f>VLOOKUP(woodratio[[#This Row],[From_top]],woodstock[#All],7,FALSE)</f>
        <v>52</v>
      </c>
      <c r="D173" s="5" t="str">
        <f>VLOOKUP(woodratio[[#This Row],[To_top]],woodstock[#All],7,FALSE)</f>
        <v>63</v>
      </c>
      <c r="E173" s="148" t="str">
        <f>woodratio[[#This Row],[From_top]]</f>
        <v>pw-bark</v>
      </c>
      <c r="F173" s="5" t="s">
        <v>350</v>
      </c>
      <c r="G173" s="5" t="str">
        <f>woodratio[[#This Row],[Processnumbersfromtop]]</f>
        <v>52</v>
      </c>
      <c r="H173" s="152" t="str">
        <f t="shared" si="23"/>
        <v>58-59-60-61-62-63-64</v>
      </c>
      <c r="I173" s="164">
        <f>'supporting-percentages'!B60</f>
        <v>5.5555555555555559E-2</v>
      </c>
      <c r="J173" s="148" t="s">
        <v>456</v>
      </c>
      <c r="K173" s="5"/>
      <c r="L173" s="13"/>
    </row>
    <row r="174" spans="1:12" x14ac:dyDescent="0.3">
      <c r="A174" s="5"/>
      <c r="B174" s="5"/>
      <c r="C174" s="5"/>
      <c r="D174" s="5"/>
      <c r="E174" s="5"/>
      <c r="F174" s="5"/>
      <c r="G174" s="5"/>
      <c r="H174" s="5"/>
      <c r="I174" s="164"/>
      <c r="J174" s="5"/>
      <c r="K174" s="5"/>
      <c r="L174" s="13"/>
    </row>
    <row r="175" spans="1:12" x14ac:dyDescent="0.3">
      <c r="A175" s="5"/>
      <c r="B175" s="5"/>
      <c r="C175" s="5"/>
      <c r="D175" s="5"/>
      <c r="E175" s="5"/>
      <c r="F175" s="5"/>
      <c r="G175" s="5"/>
      <c r="H175" s="5"/>
      <c r="I175" s="164"/>
      <c r="J175" s="5"/>
      <c r="K175" s="5"/>
      <c r="L175" s="13"/>
    </row>
    <row r="176" spans="1:12" x14ac:dyDescent="0.3">
      <c r="A176" s="148" t="s">
        <v>80</v>
      </c>
      <c r="B176" s="5" t="s">
        <v>351</v>
      </c>
      <c r="C176" s="5" t="str">
        <f>VLOOKUP(woodratio[[#This Row],[From_top]],woodstock[#All],7,FALSE)</f>
        <v>53</v>
      </c>
      <c r="D176" s="5" t="str">
        <f>VLOOKUP(woodratio[[#This Row],[To_top]],woodstock[#All],7,FALSE)</f>
        <v>58</v>
      </c>
      <c r="E176" s="148" t="str">
        <f>woodratio[[#This Row],[From_top]]</f>
        <v>pw-pulp-waste</v>
      </c>
      <c r="F176" s="5" t="s">
        <v>350</v>
      </c>
      <c r="G176" s="5" t="str">
        <f>woodratio[[#This Row],[Processnumbersfromtop]]</f>
        <v>53</v>
      </c>
      <c r="H176" s="152" t="str">
        <f>woodflow!M461</f>
        <v>58-59-60-61-62-63-64</v>
      </c>
      <c r="I176" s="164">
        <f>158/206</f>
        <v>0.76699029126213591</v>
      </c>
      <c r="J176" s="73" t="s">
        <v>365</v>
      </c>
      <c r="K176" s="68" t="s">
        <v>442</v>
      </c>
      <c r="L176" s="13"/>
    </row>
    <row r="177" spans="1:12" x14ac:dyDescent="0.3">
      <c r="A177" s="148" t="s">
        <v>80</v>
      </c>
      <c r="B177" s="5" t="s">
        <v>391</v>
      </c>
      <c r="C177" s="5" t="str">
        <f>VLOOKUP(woodratio[[#This Row],[From_top]],woodstock[#All],7,FALSE)</f>
        <v>53</v>
      </c>
      <c r="D177" s="5" t="str">
        <f>VLOOKUP(woodratio[[#This Row],[To_top]],woodstock[#All],7,FALSE)</f>
        <v>61</v>
      </c>
      <c r="E177" s="148" t="str">
        <f>woodratio[[#This Row],[From_top]]</f>
        <v>pw-pulp-waste</v>
      </c>
      <c r="F177" s="5" t="s">
        <v>350</v>
      </c>
      <c r="G177" s="5" t="str">
        <f>woodratio[[#This Row],[Processnumbersfromtop]]</f>
        <v>53</v>
      </c>
      <c r="H177" s="152" t="str">
        <f t="shared" ref="H177" si="24">H176</f>
        <v>58-59-60-61-62-63-64</v>
      </c>
      <c r="I177" s="164">
        <f>24/206</f>
        <v>0.11650485436893204</v>
      </c>
      <c r="J177" s="73" t="s">
        <v>365</v>
      </c>
      <c r="K177" s="68" t="s">
        <v>222</v>
      </c>
      <c r="L177" s="13"/>
    </row>
    <row r="178" spans="1:12" x14ac:dyDescent="0.3">
      <c r="A178" s="148" t="s">
        <v>80</v>
      </c>
      <c r="B178" s="5" t="s">
        <v>352</v>
      </c>
      <c r="C178" s="5" t="str">
        <f>VLOOKUP(woodratio[[#This Row],[From_top]],woodstock[#All],7,FALSE)</f>
        <v>53</v>
      </c>
      <c r="D178" s="5" t="str">
        <f>VLOOKUP(woodratio[[#This Row],[To_top]],woodstock[#All],7,FALSE)</f>
        <v>63</v>
      </c>
      <c r="E178" s="148" t="str">
        <f>woodratio[[#This Row],[From_top]]</f>
        <v>pw-pulp-waste</v>
      </c>
      <c r="F178" s="5" t="s">
        <v>350</v>
      </c>
      <c r="G178" s="5" t="str">
        <f>woodratio[[#This Row],[Processnumbersfromtop]]</f>
        <v>53</v>
      </c>
      <c r="H178" s="152" t="str">
        <f>H177</f>
        <v>58-59-60-61-62-63-64</v>
      </c>
      <c r="I178" s="164">
        <f>24/206</f>
        <v>0.11650485436893204</v>
      </c>
      <c r="J178" s="73" t="s">
        <v>365</v>
      </c>
      <c r="K178" s="68" t="s">
        <v>222</v>
      </c>
      <c r="L178" s="13"/>
    </row>
    <row r="179" spans="1:12" x14ac:dyDescent="0.3">
      <c r="L179" s="13"/>
    </row>
  </sheetData>
  <phoneticPr fontId="1" type="noConversion"/>
  <hyperlinks>
    <hyperlink ref="K86" r:id="rId1" xr:uid="{ABEF3E76-493A-4676-8EFE-C28248525C67}"/>
    <hyperlink ref="K87:K90" r:id="rId2" display="https://europanels.org/the-wood-based-panel-industry/types-of-wood-based-panels-economic-impact/plywood/" xr:uid="{7D7BF0CB-7391-494C-9989-35B7B35032AC}"/>
    <hyperlink ref="K99" r:id="rId3" xr:uid="{F2028453-A141-4DB8-8184-A0B6D043AA74}"/>
    <hyperlink ref="K100:K102" r:id="rId4" display="https://europanels.org/the-wood-based-panel-industry/types-of-wood-based-panels-economic-impact/particleboard/" xr:uid="{9E77FCA4-BFFD-4B06-8FA7-E71272C3D0DB}"/>
    <hyperlink ref="K118" r:id="rId5" xr:uid="{FAA1FFEE-E85B-4ABC-906B-65F061BEA62A}"/>
    <hyperlink ref="K119:K121" r:id="rId6" display="https://europanels.org/the-wood-based-panel-industry/types-of-wood-based-panels-economic-impact/medium-density-fibreboard/" xr:uid="{09609EE5-4FC5-47B6-8A89-E64DBAA25952}"/>
    <hyperlink ref="K112" r:id="rId7" xr:uid="{C45E12DF-F89A-49B5-8351-57C18739D166}"/>
    <hyperlink ref="K113:K116" r:id="rId8" display="https://europanels.org/the-wood-based-panel-industry/types-of-wood-based-panels-economic-impact/hardboard/" xr:uid="{C2D644A1-FB23-4F31-9DB9-BA63047DBD2F}"/>
    <hyperlink ref="K59" r:id="rId9" xr:uid="{71A03AB4-6BC4-4587-941F-BE661A648612}"/>
    <hyperlink ref="K60:K64" r:id="rId10" display="https://woodforgrowth.eu/facts-figures/" xr:uid="{83AEC9E2-2914-441E-A095-71D4C7AC9867}"/>
    <hyperlink ref="K51" r:id="rId11" xr:uid="{C133761E-2E29-4042-A151-9FE7BE97CB2F}"/>
    <hyperlink ref="K52:K56" r:id="rId12" display="https://woodforgrowth.eu/facts-figures/" xr:uid="{B8F3144B-2877-47C9-AB59-D235CBF41A7F}"/>
    <hyperlink ref="K178" r:id="rId13" xr:uid="{9009E0E9-42B7-4852-B669-694C59FB6D49}"/>
    <hyperlink ref="K177" r:id="rId14" xr:uid="{19721FF1-3E8E-4BAC-BD35-9D64C7B93F34}"/>
    <hyperlink ref="K176" r:id="rId15" display="https://doi.org/10.1111/jiec.12613" xr:uid="{08E3ADC3-7B34-449D-BEDA-69DA9DDA1ACD}"/>
    <hyperlink ref="K136" r:id="rId16" xr:uid="{25E2A2AD-850D-47FA-8AEE-4DDC6E173FA4}"/>
    <hyperlink ref="K137" r:id="rId17" xr:uid="{1B750C4D-0D42-4872-AE23-57903A289C0F}"/>
    <hyperlink ref="K138" r:id="rId18" xr:uid="{DF74F118-DC99-4A1B-9129-513724542461}"/>
    <hyperlink ref="K139" r:id="rId19" xr:uid="{E6DF9B1B-0AA3-4771-A20F-E7D2CF5163FA}"/>
    <hyperlink ref="K34" r:id="rId20" xr:uid="{87D2255C-EF8F-43E9-B4C0-A3B1D9FCA42D}"/>
    <hyperlink ref="K35" r:id="rId21" xr:uid="{D8E514A9-AB53-4DEA-8A12-4B131FE55FBD}"/>
    <hyperlink ref="K36" r:id="rId22" xr:uid="{51FD681F-470C-4F59-AADD-BC94043DCADC}"/>
    <hyperlink ref="K37" r:id="rId23" xr:uid="{1E834983-05C4-45B3-9F1F-F81DEA85EB10}"/>
    <hyperlink ref="K40" r:id="rId24" xr:uid="{7F2DBF50-D305-4D8D-BCD6-B8BC23C84032}"/>
    <hyperlink ref="K41" r:id="rId25" xr:uid="{6CF20344-3EA6-48AF-BE9A-88E0C10D8EB7}"/>
    <hyperlink ref="K42" r:id="rId26" xr:uid="{8021070E-54C3-45D9-98EE-79008D409C02}"/>
    <hyperlink ref="K79" r:id="rId27" xr:uid="{9350063E-05F1-42C1-BAE2-9BFE78002D11}"/>
    <hyperlink ref="K80" r:id="rId28" xr:uid="{ACB6BBB6-5DA4-467D-AA7F-F70AEF905469}"/>
    <hyperlink ref="K81" r:id="rId29" xr:uid="{C4B9F347-3E15-4A94-A280-93053D9A7500}"/>
    <hyperlink ref="K82" r:id="rId30" xr:uid="{AE492E39-2F06-4FD7-AEEF-F84074C3D6D0}"/>
    <hyperlink ref="K83" r:id="rId31" xr:uid="{32B7B442-4CCC-4321-90C1-9AFDE70E89AB}"/>
    <hyperlink ref="K130" r:id="rId32" xr:uid="{10602378-5BA9-44F3-8BA6-B4F7585468B5}"/>
    <hyperlink ref="K131" r:id="rId33" xr:uid="{E8A23824-AFD9-40F6-8BDC-78B027DFC2CF}"/>
    <hyperlink ref="K132" r:id="rId34" xr:uid="{E03E1A96-EB18-43BD-8DE6-16F16B8A9C12}"/>
    <hyperlink ref="K133" r:id="rId35" xr:uid="{8C8A792A-0805-4017-8EC3-AFAA3327B97B}"/>
  </hyperlinks>
  <pageMargins left="0.7" right="0.7" top="0.75" bottom="0.75" header="0.3" footer="0.3"/>
  <pageSetup orientation="portrait" horizontalDpi="1200" verticalDpi="1200" r:id="rId36"/>
  <tableParts count="1">
    <tablePart r:id="rId3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5082-045A-439C-822F-D83FC4618CC3}">
  <sheetPr codeName="Sheet9"/>
  <dimension ref="A1:H91"/>
  <sheetViews>
    <sheetView zoomScale="70" zoomScaleNormal="70" workbookViewId="0"/>
  </sheetViews>
  <sheetFormatPr defaultColWidth="8.88671875" defaultRowHeight="14.4" x14ac:dyDescent="0.3"/>
  <cols>
    <col min="1" max="1" width="8.88671875" style="13"/>
    <col min="2" max="2" width="12.6640625" style="13" bestFit="1" customWidth="1"/>
    <col min="3" max="16384" width="8.88671875" style="13"/>
  </cols>
  <sheetData>
    <row r="1" spans="1:8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5</v>
      </c>
      <c r="F1" s="13" t="s">
        <v>6</v>
      </c>
      <c r="G1" s="13" t="s">
        <v>7</v>
      </c>
      <c r="H1" s="13" t="s">
        <v>8</v>
      </c>
    </row>
    <row r="2" spans="1:8" x14ac:dyDescent="0.3">
      <c r="A2" s="13" t="s">
        <v>911</v>
      </c>
      <c r="B2" s="13">
        <v>-265.37391003993451</v>
      </c>
      <c r="C2" s="13">
        <v>2021</v>
      </c>
      <c r="D2" s="13" t="s">
        <v>395</v>
      </c>
      <c r="E2" s="13" t="s">
        <v>18</v>
      </c>
      <c r="F2" s="13" t="s">
        <v>262</v>
      </c>
      <c r="G2" s="13" t="s">
        <v>18</v>
      </c>
      <c r="H2" s="13" t="s">
        <v>206</v>
      </c>
    </row>
    <row r="3" spans="1:8" x14ac:dyDescent="0.3">
      <c r="A3" s="13" t="s">
        <v>912</v>
      </c>
      <c r="B3" s="13">
        <v>-60.474115599649998</v>
      </c>
      <c r="C3" s="13">
        <v>2021</v>
      </c>
      <c r="D3" s="13" t="s">
        <v>395</v>
      </c>
      <c r="E3" s="13" t="s">
        <v>18</v>
      </c>
      <c r="F3" s="13" t="s">
        <v>262</v>
      </c>
      <c r="G3" s="13" t="s">
        <v>262</v>
      </c>
      <c r="H3" s="13" t="s">
        <v>3</v>
      </c>
    </row>
    <row r="4" spans="1:8" x14ac:dyDescent="0.3">
      <c r="A4" s="13" t="s">
        <v>913</v>
      </c>
      <c r="B4" s="13">
        <v>-162.89062794834956</v>
      </c>
      <c r="C4" s="13">
        <v>2021</v>
      </c>
      <c r="D4" s="13" t="s">
        <v>395</v>
      </c>
      <c r="E4" s="13" t="s">
        <v>18</v>
      </c>
      <c r="F4" s="13" t="s">
        <v>18</v>
      </c>
      <c r="G4" s="13" t="s">
        <v>262</v>
      </c>
      <c r="H4" s="13" t="s">
        <v>3</v>
      </c>
    </row>
    <row r="5" spans="1:8" x14ac:dyDescent="0.3">
      <c r="A5" s="13" t="s">
        <v>914</v>
      </c>
      <c r="B5" s="13">
        <v>-42.009166491935019</v>
      </c>
      <c r="C5" s="13">
        <v>2021</v>
      </c>
      <c r="D5" s="13" t="s">
        <v>395</v>
      </c>
      <c r="E5" s="13" t="s">
        <v>18</v>
      </c>
      <c r="F5" s="13" t="s">
        <v>269</v>
      </c>
      <c r="G5" s="13" t="s">
        <v>262</v>
      </c>
      <c r="H5" s="13" t="s">
        <v>3</v>
      </c>
    </row>
    <row r="6" spans="1:8" x14ac:dyDescent="0.3">
      <c r="A6" s="13" t="s">
        <v>915</v>
      </c>
      <c r="B6" s="13">
        <v>-2.0100000000000003E-2</v>
      </c>
      <c r="C6" s="13">
        <v>2021</v>
      </c>
      <c r="D6" s="13" t="s">
        <v>395</v>
      </c>
      <c r="E6" s="13" t="s">
        <v>18</v>
      </c>
      <c r="F6" s="13" t="s">
        <v>270</v>
      </c>
      <c r="G6" s="13" t="s">
        <v>262</v>
      </c>
      <c r="H6" s="13" t="s">
        <v>3</v>
      </c>
    </row>
    <row r="7" spans="1:8" x14ac:dyDescent="0.3">
      <c r="A7" s="13" t="s">
        <v>207</v>
      </c>
      <c r="B7" s="13">
        <v>0</v>
      </c>
      <c r="C7" s="13">
        <v>2021</v>
      </c>
      <c r="D7" s="13" t="s">
        <v>395</v>
      </c>
      <c r="E7" s="13" t="s">
        <v>18</v>
      </c>
      <c r="F7" s="13" t="s">
        <v>18</v>
      </c>
      <c r="G7" s="13" t="s">
        <v>18</v>
      </c>
      <c r="H7" s="13" t="s">
        <v>331</v>
      </c>
    </row>
    <row r="8" spans="1:8" x14ac:dyDescent="0.3">
      <c r="A8" s="13" t="s">
        <v>61</v>
      </c>
      <c r="B8" s="13">
        <v>0</v>
      </c>
      <c r="C8" s="13">
        <v>2021</v>
      </c>
      <c r="D8" s="13" t="s">
        <v>395</v>
      </c>
      <c r="E8" s="13" t="s">
        <v>18</v>
      </c>
      <c r="F8" s="13" t="s">
        <v>269</v>
      </c>
      <c r="G8" s="13" t="s">
        <v>18</v>
      </c>
      <c r="H8" s="13" t="s">
        <v>327</v>
      </c>
    </row>
    <row r="9" spans="1:8" x14ac:dyDescent="0.3">
      <c r="A9" s="13" t="s">
        <v>258</v>
      </c>
      <c r="B9" s="13">
        <v>0</v>
      </c>
      <c r="C9" s="13">
        <v>2021</v>
      </c>
      <c r="D9" s="13" t="s">
        <v>395</v>
      </c>
      <c r="E9" s="13" t="s">
        <v>18</v>
      </c>
      <c r="F9" s="13" t="s">
        <v>271</v>
      </c>
      <c r="G9" s="13" t="s">
        <v>262</v>
      </c>
      <c r="H9" s="13" t="s">
        <v>3</v>
      </c>
    </row>
    <row r="10" spans="1:8" x14ac:dyDescent="0.3">
      <c r="A10" s="13" t="s">
        <v>259</v>
      </c>
      <c r="B10" s="13">
        <v>0</v>
      </c>
      <c r="C10" s="13">
        <v>2021</v>
      </c>
      <c r="D10" s="13" t="s">
        <v>395</v>
      </c>
      <c r="E10" s="13" t="s">
        <v>18</v>
      </c>
      <c r="F10" s="13" t="s">
        <v>272</v>
      </c>
      <c r="G10" s="13" t="s">
        <v>262</v>
      </c>
      <c r="H10" s="13" t="s">
        <v>3</v>
      </c>
    </row>
    <row r="11" spans="1:8" x14ac:dyDescent="0.3">
      <c r="A11" s="13" t="s">
        <v>343</v>
      </c>
      <c r="B11" s="13">
        <v>0</v>
      </c>
      <c r="C11" s="13">
        <v>2021</v>
      </c>
      <c r="D11" s="13" t="s">
        <v>395</v>
      </c>
      <c r="E11" s="13" t="s">
        <v>18</v>
      </c>
      <c r="F11" s="13" t="s">
        <v>270</v>
      </c>
      <c r="G11" s="13" t="s">
        <v>18</v>
      </c>
      <c r="H11" s="13" t="s">
        <v>345</v>
      </c>
    </row>
    <row r="12" spans="1:8" x14ac:dyDescent="0.3">
      <c r="A12" s="13" t="s">
        <v>344</v>
      </c>
      <c r="B12" s="13">
        <v>0</v>
      </c>
      <c r="C12" s="13">
        <v>2021</v>
      </c>
      <c r="D12" s="13" t="s">
        <v>395</v>
      </c>
      <c r="E12" s="13" t="s">
        <v>18</v>
      </c>
      <c r="F12" s="13" t="s">
        <v>271</v>
      </c>
      <c r="G12" s="13" t="s">
        <v>18</v>
      </c>
      <c r="H12" s="13" t="s">
        <v>346</v>
      </c>
    </row>
    <row r="13" spans="1:8" x14ac:dyDescent="0.3">
      <c r="A13" s="13" t="s">
        <v>62</v>
      </c>
      <c r="B13" s="13">
        <v>0</v>
      </c>
      <c r="C13" s="13">
        <v>2021</v>
      </c>
      <c r="D13" s="13" t="s">
        <v>395</v>
      </c>
      <c r="E13" s="13" t="s">
        <v>18</v>
      </c>
      <c r="F13" s="13" t="s">
        <v>272</v>
      </c>
      <c r="G13" s="13" t="s">
        <v>18</v>
      </c>
      <c r="H13" s="13" t="s">
        <v>328</v>
      </c>
    </row>
    <row r="14" spans="1:8" x14ac:dyDescent="0.3">
      <c r="A14" s="13" t="s">
        <v>260</v>
      </c>
      <c r="B14" s="13">
        <v>0</v>
      </c>
      <c r="C14" s="13">
        <v>2021</v>
      </c>
      <c r="D14" s="13" t="s">
        <v>395</v>
      </c>
      <c r="E14" s="13" t="s">
        <v>18</v>
      </c>
      <c r="F14" s="13" t="s">
        <v>273</v>
      </c>
      <c r="G14" s="13" t="s">
        <v>262</v>
      </c>
      <c r="H14" s="13" t="s">
        <v>3</v>
      </c>
    </row>
    <row r="15" spans="1:8" x14ac:dyDescent="0.3">
      <c r="A15" s="13" t="s">
        <v>261</v>
      </c>
      <c r="B15" s="13">
        <v>0</v>
      </c>
      <c r="C15" s="13">
        <v>2021</v>
      </c>
      <c r="D15" s="13" t="s">
        <v>395</v>
      </c>
      <c r="E15" s="13" t="s">
        <v>18</v>
      </c>
      <c r="F15" s="13" t="s">
        <v>276</v>
      </c>
      <c r="G15" s="13" t="s">
        <v>262</v>
      </c>
      <c r="H15" s="13" t="s">
        <v>3</v>
      </c>
    </row>
    <row r="16" spans="1:8" x14ac:dyDescent="0.3">
      <c r="A16" s="13" t="s">
        <v>63</v>
      </c>
      <c r="B16" s="13">
        <v>0</v>
      </c>
      <c r="C16" s="13">
        <v>2021</v>
      </c>
      <c r="D16" s="13" t="s">
        <v>395</v>
      </c>
      <c r="E16" s="13" t="s">
        <v>18</v>
      </c>
      <c r="F16" s="13" t="s">
        <v>273</v>
      </c>
      <c r="G16" s="13" t="s">
        <v>18</v>
      </c>
      <c r="H16" s="13" t="s">
        <v>329</v>
      </c>
    </row>
    <row r="17" spans="1:8" x14ac:dyDescent="0.3">
      <c r="A17" s="13" t="s">
        <v>263</v>
      </c>
      <c r="B17" s="13">
        <v>0</v>
      </c>
      <c r="C17" s="13">
        <v>2021</v>
      </c>
      <c r="D17" s="13" t="s">
        <v>395</v>
      </c>
      <c r="E17" s="13" t="s">
        <v>18</v>
      </c>
      <c r="F17" s="13" t="s">
        <v>277</v>
      </c>
      <c r="G17" s="13" t="s">
        <v>262</v>
      </c>
      <c r="H17" s="13" t="s">
        <v>3</v>
      </c>
    </row>
    <row r="18" spans="1:8" x14ac:dyDescent="0.3">
      <c r="A18" s="13" t="s">
        <v>264</v>
      </c>
      <c r="B18" s="13">
        <v>0</v>
      </c>
      <c r="C18" s="13">
        <v>2021</v>
      </c>
      <c r="D18" s="13" t="s">
        <v>395</v>
      </c>
      <c r="E18" s="13" t="s">
        <v>18</v>
      </c>
      <c r="F18" s="13" t="s">
        <v>278</v>
      </c>
      <c r="G18" s="13" t="s">
        <v>262</v>
      </c>
      <c r="H18" s="13" t="s">
        <v>3</v>
      </c>
    </row>
    <row r="19" spans="1:8" x14ac:dyDescent="0.3">
      <c r="A19" s="13" t="s">
        <v>64</v>
      </c>
      <c r="B19" s="13">
        <v>0</v>
      </c>
      <c r="C19" s="13">
        <v>2021</v>
      </c>
      <c r="D19" s="13" t="s">
        <v>395</v>
      </c>
      <c r="E19" s="13" t="s">
        <v>18</v>
      </c>
      <c r="F19" s="13" t="s">
        <v>276</v>
      </c>
      <c r="G19" s="13" t="s">
        <v>18</v>
      </c>
      <c r="H19" s="13" t="s">
        <v>330</v>
      </c>
    </row>
    <row r="20" spans="1:8" x14ac:dyDescent="0.3">
      <c r="A20" s="13" t="s">
        <v>265</v>
      </c>
      <c r="B20" s="13">
        <v>0</v>
      </c>
      <c r="C20" s="13">
        <v>2021</v>
      </c>
      <c r="D20" s="13" t="s">
        <v>395</v>
      </c>
      <c r="E20" s="13" t="s">
        <v>18</v>
      </c>
      <c r="F20" s="13" t="s">
        <v>279</v>
      </c>
      <c r="G20" s="13" t="s">
        <v>262</v>
      </c>
      <c r="H20" s="13" t="s">
        <v>3</v>
      </c>
    </row>
    <row r="21" spans="1:8" x14ac:dyDescent="0.3">
      <c r="A21" s="13" t="s">
        <v>266</v>
      </c>
      <c r="B21" s="13">
        <v>0</v>
      </c>
      <c r="C21" s="13">
        <v>2021</v>
      </c>
      <c r="D21" s="13" t="s">
        <v>395</v>
      </c>
      <c r="E21" s="13" t="s">
        <v>18</v>
      </c>
      <c r="F21" s="13" t="s">
        <v>280</v>
      </c>
      <c r="G21" s="13" t="s">
        <v>262</v>
      </c>
      <c r="H21" s="13" t="s">
        <v>3</v>
      </c>
    </row>
    <row r="22" spans="1:8" x14ac:dyDescent="0.3">
      <c r="A22" s="13" t="s">
        <v>208</v>
      </c>
      <c r="B22" s="13">
        <v>0</v>
      </c>
      <c r="C22" s="13">
        <v>2021</v>
      </c>
      <c r="D22" s="13" t="s">
        <v>395</v>
      </c>
      <c r="E22" s="13" t="s">
        <v>18</v>
      </c>
      <c r="F22" s="13" t="s">
        <v>281</v>
      </c>
      <c r="G22" s="13" t="s">
        <v>262</v>
      </c>
      <c r="H22" s="13" t="s">
        <v>3</v>
      </c>
    </row>
    <row r="23" spans="1:8" x14ac:dyDescent="0.3">
      <c r="A23" s="13" t="s">
        <v>66</v>
      </c>
      <c r="B23" s="13">
        <v>0</v>
      </c>
      <c r="C23" s="13">
        <v>2021</v>
      </c>
      <c r="D23" s="13" t="s">
        <v>395</v>
      </c>
      <c r="E23" s="13" t="s">
        <v>18</v>
      </c>
      <c r="F23" s="13" t="s">
        <v>277</v>
      </c>
      <c r="G23" s="13" t="s">
        <v>18</v>
      </c>
      <c r="H23" s="13" t="s">
        <v>229</v>
      </c>
    </row>
    <row r="24" spans="1:8" x14ac:dyDescent="0.3">
      <c r="A24" s="13" t="s">
        <v>55</v>
      </c>
      <c r="B24" s="13">
        <v>0</v>
      </c>
      <c r="C24" s="13">
        <v>2021</v>
      </c>
      <c r="D24" s="13" t="s">
        <v>395</v>
      </c>
      <c r="E24" s="13" t="s">
        <v>18</v>
      </c>
      <c r="F24" s="13" t="s">
        <v>282</v>
      </c>
      <c r="G24" s="13" t="s">
        <v>262</v>
      </c>
      <c r="H24" s="13" t="s">
        <v>3</v>
      </c>
    </row>
    <row r="25" spans="1:8" x14ac:dyDescent="0.3">
      <c r="A25" s="13" t="s">
        <v>175</v>
      </c>
      <c r="B25" s="13">
        <v>0</v>
      </c>
      <c r="C25" s="13">
        <v>2021</v>
      </c>
      <c r="D25" s="13" t="s">
        <v>395</v>
      </c>
      <c r="E25" s="13" t="s">
        <v>18</v>
      </c>
      <c r="F25" s="13" t="s">
        <v>283</v>
      </c>
      <c r="G25" s="13" t="s">
        <v>262</v>
      </c>
      <c r="H25" s="13" t="s">
        <v>3</v>
      </c>
    </row>
    <row r="26" spans="1:8" x14ac:dyDescent="0.3">
      <c r="A26" s="13" t="s">
        <v>65</v>
      </c>
      <c r="B26" s="13">
        <v>0</v>
      </c>
      <c r="C26" s="13">
        <v>2021</v>
      </c>
      <c r="D26" s="13" t="s">
        <v>395</v>
      </c>
      <c r="E26" s="13" t="s">
        <v>18</v>
      </c>
      <c r="F26" s="13" t="s">
        <v>278</v>
      </c>
      <c r="G26" s="13" t="s">
        <v>18</v>
      </c>
      <c r="H26" s="13" t="s">
        <v>334</v>
      </c>
    </row>
    <row r="27" spans="1:8" x14ac:dyDescent="0.3">
      <c r="A27" s="13" t="s">
        <v>53</v>
      </c>
      <c r="B27" s="13">
        <v>0</v>
      </c>
      <c r="C27" s="13">
        <v>2021</v>
      </c>
      <c r="D27" s="13" t="s">
        <v>395</v>
      </c>
      <c r="E27" s="13" t="s">
        <v>18</v>
      </c>
      <c r="F27" s="13" t="s">
        <v>284</v>
      </c>
      <c r="G27" s="13" t="s">
        <v>262</v>
      </c>
      <c r="H27" s="13" t="s">
        <v>3</v>
      </c>
    </row>
    <row r="28" spans="1:8" x14ac:dyDescent="0.3">
      <c r="A28" s="13" t="s">
        <v>54</v>
      </c>
      <c r="B28" s="13">
        <v>0</v>
      </c>
      <c r="C28" s="13">
        <v>2021</v>
      </c>
      <c r="D28" s="13" t="s">
        <v>395</v>
      </c>
      <c r="E28" s="13" t="s">
        <v>18</v>
      </c>
      <c r="F28" s="13" t="s">
        <v>285</v>
      </c>
      <c r="G28" s="13" t="s">
        <v>262</v>
      </c>
      <c r="H28" s="13" t="s">
        <v>3</v>
      </c>
    </row>
    <row r="29" spans="1:8" x14ac:dyDescent="0.3">
      <c r="A29" s="13" t="s">
        <v>47</v>
      </c>
      <c r="B29" s="13">
        <v>0</v>
      </c>
      <c r="C29" s="13">
        <v>2021</v>
      </c>
      <c r="D29" s="13" t="s">
        <v>395</v>
      </c>
      <c r="E29" s="13" t="s">
        <v>18</v>
      </c>
      <c r="F29" s="13" t="s">
        <v>286</v>
      </c>
      <c r="G29" s="13" t="s">
        <v>262</v>
      </c>
      <c r="H29" s="13" t="s">
        <v>3</v>
      </c>
    </row>
    <row r="30" spans="1:8" x14ac:dyDescent="0.3">
      <c r="A30" s="13" t="s">
        <v>48</v>
      </c>
      <c r="B30" s="13">
        <v>0</v>
      </c>
      <c r="C30" s="13">
        <v>2021</v>
      </c>
      <c r="D30" s="13" t="s">
        <v>395</v>
      </c>
      <c r="E30" s="13" t="s">
        <v>18</v>
      </c>
      <c r="F30" s="13" t="s">
        <v>279</v>
      </c>
      <c r="G30" s="13" t="s">
        <v>18</v>
      </c>
      <c r="H30" s="13" t="s">
        <v>355</v>
      </c>
    </row>
    <row r="31" spans="1:8" x14ac:dyDescent="0.3">
      <c r="A31" s="13" t="s">
        <v>267</v>
      </c>
      <c r="B31" s="13">
        <v>0</v>
      </c>
      <c r="C31" s="13">
        <v>2021</v>
      </c>
      <c r="D31" s="13" t="s">
        <v>395</v>
      </c>
      <c r="E31" s="13" t="s">
        <v>18</v>
      </c>
      <c r="F31" s="13" t="s">
        <v>287</v>
      </c>
      <c r="G31" s="13" t="s">
        <v>262</v>
      </c>
      <c r="H31" s="13" t="s">
        <v>3</v>
      </c>
    </row>
    <row r="32" spans="1:8" x14ac:dyDescent="0.3">
      <c r="A32" s="13" t="s">
        <v>268</v>
      </c>
      <c r="B32" s="13">
        <v>0</v>
      </c>
      <c r="C32" s="13">
        <v>2021</v>
      </c>
      <c r="D32" s="13" t="s">
        <v>395</v>
      </c>
      <c r="E32" s="13" t="s">
        <v>18</v>
      </c>
      <c r="F32" s="13" t="s">
        <v>288</v>
      </c>
      <c r="G32" s="13" t="s">
        <v>262</v>
      </c>
      <c r="H32" s="13" t="s">
        <v>3</v>
      </c>
    </row>
    <row r="33" spans="1:8" x14ac:dyDescent="0.3">
      <c r="A33" s="13" t="s">
        <v>49</v>
      </c>
      <c r="B33" s="13">
        <v>0</v>
      </c>
      <c r="C33" s="13">
        <v>2021</v>
      </c>
      <c r="D33" s="13" t="s">
        <v>395</v>
      </c>
      <c r="E33" s="13" t="s">
        <v>18</v>
      </c>
      <c r="F33" s="13" t="s">
        <v>289</v>
      </c>
      <c r="G33" s="13" t="s">
        <v>262</v>
      </c>
      <c r="H33" s="13" t="s">
        <v>3</v>
      </c>
    </row>
    <row r="34" spans="1:8" x14ac:dyDescent="0.3">
      <c r="A34" s="13" t="s">
        <v>52</v>
      </c>
      <c r="B34" s="13">
        <v>0</v>
      </c>
      <c r="C34" s="13">
        <v>2021</v>
      </c>
      <c r="D34" s="13" t="s">
        <v>395</v>
      </c>
      <c r="E34" s="13" t="s">
        <v>18</v>
      </c>
      <c r="F34" s="13" t="s">
        <v>280</v>
      </c>
      <c r="G34" s="13" t="s">
        <v>18</v>
      </c>
      <c r="H34" s="13" t="s">
        <v>356</v>
      </c>
    </row>
    <row r="35" spans="1:8" x14ac:dyDescent="0.3">
      <c r="A35" s="13" t="s">
        <v>44</v>
      </c>
      <c r="B35" s="13">
        <v>0</v>
      </c>
      <c r="C35" s="13">
        <v>2021</v>
      </c>
      <c r="D35" s="13" t="s">
        <v>395</v>
      </c>
      <c r="E35" s="13" t="s">
        <v>18</v>
      </c>
      <c r="F35" s="13" t="s">
        <v>290</v>
      </c>
      <c r="G35" s="13" t="s">
        <v>262</v>
      </c>
      <c r="H35" s="13" t="s">
        <v>3</v>
      </c>
    </row>
    <row r="36" spans="1:8" x14ac:dyDescent="0.3">
      <c r="A36" s="13" t="s">
        <v>45</v>
      </c>
      <c r="B36" s="13">
        <v>0</v>
      </c>
      <c r="C36" s="13">
        <v>2021</v>
      </c>
      <c r="D36" s="13" t="s">
        <v>395</v>
      </c>
      <c r="E36" s="13" t="s">
        <v>18</v>
      </c>
      <c r="F36" s="13" t="s">
        <v>291</v>
      </c>
      <c r="G36" s="13" t="s">
        <v>262</v>
      </c>
      <c r="H36" s="13" t="s">
        <v>3</v>
      </c>
    </row>
    <row r="37" spans="1:8" x14ac:dyDescent="0.3">
      <c r="A37" s="13" t="s">
        <v>76</v>
      </c>
      <c r="B37" s="13">
        <v>0</v>
      </c>
      <c r="C37" s="13">
        <v>2021</v>
      </c>
      <c r="D37" s="13" t="s">
        <v>395</v>
      </c>
      <c r="E37" s="13" t="s">
        <v>18</v>
      </c>
      <c r="F37" s="13" t="s">
        <v>292</v>
      </c>
      <c r="G37" s="13" t="s">
        <v>262</v>
      </c>
      <c r="H37" s="13" t="s">
        <v>3</v>
      </c>
    </row>
    <row r="38" spans="1:8" x14ac:dyDescent="0.3">
      <c r="A38" s="13" t="s">
        <v>274</v>
      </c>
      <c r="B38" s="13">
        <v>0</v>
      </c>
      <c r="C38" s="13">
        <v>2021</v>
      </c>
      <c r="D38" s="13" t="s">
        <v>395</v>
      </c>
      <c r="E38" s="13" t="s">
        <v>18</v>
      </c>
      <c r="F38" s="13" t="s">
        <v>281</v>
      </c>
      <c r="G38" s="13" t="s">
        <v>18</v>
      </c>
      <c r="H38" s="13" t="s">
        <v>357</v>
      </c>
    </row>
    <row r="39" spans="1:8" x14ac:dyDescent="0.3">
      <c r="A39" s="13" t="s">
        <v>176</v>
      </c>
      <c r="B39" s="13">
        <v>0</v>
      </c>
      <c r="C39" s="13">
        <v>2021</v>
      </c>
      <c r="D39" s="13" t="s">
        <v>395</v>
      </c>
      <c r="E39" s="13" t="s">
        <v>18</v>
      </c>
      <c r="F39" s="13" t="s">
        <v>293</v>
      </c>
      <c r="G39" s="13" t="s">
        <v>262</v>
      </c>
      <c r="H39" s="13" t="s">
        <v>3</v>
      </c>
    </row>
    <row r="40" spans="1:8" x14ac:dyDescent="0.3">
      <c r="A40" s="13" t="s">
        <v>205</v>
      </c>
      <c r="B40" s="13">
        <v>0</v>
      </c>
      <c r="C40" s="13">
        <v>2021</v>
      </c>
      <c r="D40" s="13" t="s">
        <v>395</v>
      </c>
      <c r="E40" s="13" t="s">
        <v>18</v>
      </c>
      <c r="F40" s="13" t="s">
        <v>294</v>
      </c>
      <c r="G40" s="13" t="s">
        <v>262</v>
      </c>
      <c r="H40" s="13" t="s">
        <v>3</v>
      </c>
    </row>
    <row r="41" spans="1:8" x14ac:dyDescent="0.3">
      <c r="A41" s="13" t="s">
        <v>75</v>
      </c>
      <c r="B41" s="13">
        <v>0</v>
      </c>
      <c r="C41" s="13">
        <v>2021</v>
      </c>
      <c r="D41" s="13" t="s">
        <v>395</v>
      </c>
      <c r="E41" s="13" t="s">
        <v>18</v>
      </c>
      <c r="F41" s="13" t="s">
        <v>295</v>
      </c>
      <c r="G41" s="13" t="s">
        <v>262</v>
      </c>
      <c r="H41" s="13" t="s">
        <v>3</v>
      </c>
    </row>
    <row r="42" spans="1:8" x14ac:dyDescent="0.3">
      <c r="A42" s="13" t="s">
        <v>42</v>
      </c>
      <c r="B42" s="13">
        <v>0</v>
      </c>
      <c r="C42" s="13">
        <v>2021</v>
      </c>
      <c r="D42" s="13" t="s">
        <v>395</v>
      </c>
      <c r="E42" s="13" t="s">
        <v>18</v>
      </c>
      <c r="F42" s="13" t="s">
        <v>282</v>
      </c>
      <c r="G42" s="13" t="s">
        <v>18</v>
      </c>
      <c r="H42" s="13" t="s">
        <v>358</v>
      </c>
    </row>
    <row r="43" spans="1:8" x14ac:dyDescent="0.3">
      <c r="A43" s="13" t="s">
        <v>70</v>
      </c>
      <c r="B43" s="13">
        <v>0</v>
      </c>
      <c r="C43" s="13">
        <v>2021</v>
      </c>
      <c r="D43" s="13" t="s">
        <v>395</v>
      </c>
      <c r="E43" s="13" t="s">
        <v>18</v>
      </c>
      <c r="F43" s="13" t="s">
        <v>296</v>
      </c>
      <c r="G43" s="13" t="s">
        <v>262</v>
      </c>
      <c r="H43" s="13" t="s">
        <v>3</v>
      </c>
    </row>
    <row r="44" spans="1:8" x14ac:dyDescent="0.3">
      <c r="A44" s="13" t="s">
        <v>71</v>
      </c>
      <c r="B44" s="13">
        <v>0</v>
      </c>
      <c r="C44" s="13">
        <v>2021</v>
      </c>
      <c r="D44" s="13" t="s">
        <v>395</v>
      </c>
      <c r="E44" s="13" t="s">
        <v>18</v>
      </c>
      <c r="F44" s="13" t="s">
        <v>297</v>
      </c>
      <c r="G44" s="13" t="s">
        <v>262</v>
      </c>
      <c r="H44" s="13" t="s">
        <v>3</v>
      </c>
    </row>
    <row r="45" spans="1:8" x14ac:dyDescent="0.3">
      <c r="A45" s="13" t="s">
        <v>72</v>
      </c>
      <c r="B45" s="13">
        <v>0</v>
      </c>
      <c r="C45" s="13">
        <v>2021</v>
      </c>
      <c r="D45" s="13" t="s">
        <v>395</v>
      </c>
      <c r="E45" s="13" t="s">
        <v>18</v>
      </c>
      <c r="F45" s="13" t="s">
        <v>298</v>
      </c>
      <c r="G45" s="13" t="s">
        <v>262</v>
      </c>
      <c r="H45" s="13" t="s">
        <v>3</v>
      </c>
    </row>
    <row r="46" spans="1:8" x14ac:dyDescent="0.3">
      <c r="A46" s="13" t="s">
        <v>77</v>
      </c>
      <c r="B46" s="13">
        <v>0</v>
      </c>
      <c r="C46" s="13">
        <v>2021</v>
      </c>
      <c r="D46" s="13" t="s">
        <v>395</v>
      </c>
      <c r="E46" s="13" t="s">
        <v>18</v>
      </c>
      <c r="F46" s="13" t="s">
        <v>299</v>
      </c>
      <c r="G46" s="13" t="s">
        <v>262</v>
      </c>
      <c r="H46" s="13" t="s">
        <v>3</v>
      </c>
    </row>
    <row r="47" spans="1:8" x14ac:dyDescent="0.3">
      <c r="A47" s="13" t="s">
        <v>43</v>
      </c>
      <c r="B47" s="13">
        <v>-5.6865574580000011</v>
      </c>
      <c r="C47" s="13">
        <v>2021</v>
      </c>
      <c r="D47" s="13" t="s">
        <v>395</v>
      </c>
      <c r="E47" s="13" t="s">
        <v>18</v>
      </c>
      <c r="F47" s="13" t="s">
        <v>300</v>
      </c>
      <c r="G47" s="13" t="s">
        <v>262</v>
      </c>
      <c r="H47" s="13" t="s">
        <v>3</v>
      </c>
    </row>
    <row r="48" spans="1:8" x14ac:dyDescent="0.3">
      <c r="A48" s="13" t="s">
        <v>50</v>
      </c>
      <c r="B48" s="13">
        <v>0</v>
      </c>
      <c r="C48" s="13">
        <v>2021</v>
      </c>
      <c r="D48" s="13" t="s">
        <v>395</v>
      </c>
      <c r="E48" s="13" t="s">
        <v>18</v>
      </c>
      <c r="F48" s="13" t="s">
        <v>283</v>
      </c>
      <c r="G48" s="13" t="s">
        <v>18</v>
      </c>
      <c r="H48" s="13" t="s">
        <v>359</v>
      </c>
    </row>
    <row r="49" spans="1:8" x14ac:dyDescent="0.3">
      <c r="A49" s="13" t="s">
        <v>78</v>
      </c>
      <c r="B49" s="13">
        <v>0</v>
      </c>
      <c r="C49" s="13">
        <v>2021</v>
      </c>
      <c r="D49" s="13" t="s">
        <v>395</v>
      </c>
      <c r="E49" s="13" t="s">
        <v>18</v>
      </c>
      <c r="F49" s="13" t="s">
        <v>301</v>
      </c>
      <c r="G49" s="13" t="s">
        <v>262</v>
      </c>
      <c r="H49" s="13" t="s">
        <v>3</v>
      </c>
    </row>
    <row r="50" spans="1:8" x14ac:dyDescent="0.3">
      <c r="A50" s="13" t="s">
        <v>79</v>
      </c>
      <c r="B50" s="13">
        <v>0</v>
      </c>
      <c r="C50" s="13">
        <v>2021</v>
      </c>
      <c r="D50" s="13" t="s">
        <v>395</v>
      </c>
      <c r="E50" s="13" t="s">
        <v>18</v>
      </c>
      <c r="F50" s="13" t="s">
        <v>302</v>
      </c>
      <c r="G50" s="13" t="s">
        <v>262</v>
      </c>
      <c r="H50" s="13" t="s">
        <v>3</v>
      </c>
    </row>
    <row r="51" spans="1:8" x14ac:dyDescent="0.3">
      <c r="A51" s="13" t="s">
        <v>67</v>
      </c>
      <c r="B51" s="13">
        <v>0</v>
      </c>
      <c r="C51" s="13">
        <v>2021</v>
      </c>
      <c r="D51" s="13" t="s">
        <v>395</v>
      </c>
      <c r="E51" s="13" t="s">
        <v>18</v>
      </c>
      <c r="F51" s="13" t="s">
        <v>303</v>
      </c>
      <c r="G51" s="13" t="s">
        <v>262</v>
      </c>
      <c r="H51" s="13" t="s">
        <v>3</v>
      </c>
    </row>
    <row r="52" spans="1:8" x14ac:dyDescent="0.3">
      <c r="A52" s="13" t="s">
        <v>68</v>
      </c>
      <c r="B52" s="13">
        <v>0</v>
      </c>
      <c r="C52" s="13">
        <v>2021</v>
      </c>
      <c r="D52" s="13" t="s">
        <v>395</v>
      </c>
      <c r="E52" s="13" t="s">
        <v>18</v>
      </c>
      <c r="F52" s="13" t="s">
        <v>304</v>
      </c>
      <c r="G52" s="13" t="s">
        <v>262</v>
      </c>
      <c r="H52" s="13" t="s">
        <v>3</v>
      </c>
    </row>
    <row r="53" spans="1:8" x14ac:dyDescent="0.3">
      <c r="A53" s="13" t="s">
        <v>69</v>
      </c>
      <c r="B53" s="13">
        <v>0</v>
      </c>
      <c r="C53" s="13">
        <v>2021</v>
      </c>
      <c r="D53" s="13" t="s">
        <v>395</v>
      </c>
      <c r="E53" s="13" t="s">
        <v>18</v>
      </c>
      <c r="F53" s="13" t="s">
        <v>305</v>
      </c>
      <c r="G53" s="13" t="s">
        <v>262</v>
      </c>
      <c r="H53" s="13" t="s">
        <v>3</v>
      </c>
    </row>
    <row r="54" spans="1:8" x14ac:dyDescent="0.3">
      <c r="A54" s="13" t="s">
        <v>51</v>
      </c>
      <c r="B54" s="13">
        <v>0</v>
      </c>
      <c r="C54" s="13">
        <v>2021</v>
      </c>
      <c r="D54" s="13" t="s">
        <v>395</v>
      </c>
      <c r="E54" s="13" t="s">
        <v>18</v>
      </c>
      <c r="F54" s="13" t="s">
        <v>284</v>
      </c>
      <c r="G54" s="13" t="s">
        <v>18</v>
      </c>
      <c r="H54" s="13" t="s">
        <v>360</v>
      </c>
    </row>
    <row r="55" spans="1:8" x14ac:dyDescent="0.3">
      <c r="A55" s="13" t="s">
        <v>36</v>
      </c>
      <c r="B55" s="13">
        <v>0</v>
      </c>
      <c r="C55" s="13">
        <v>2021</v>
      </c>
      <c r="D55" s="13" t="s">
        <v>395</v>
      </c>
      <c r="E55" s="13" t="s">
        <v>18</v>
      </c>
      <c r="F55" s="13" t="s">
        <v>306</v>
      </c>
      <c r="G55" s="13" t="s">
        <v>262</v>
      </c>
      <c r="H55" s="13" t="s">
        <v>3</v>
      </c>
    </row>
    <row r="56" spans="1:8" x14ac:dyDescent="0.3">
      <c r="A56" s="13" t="s">
        <v>37</v>
      </c>
      <c r="B56" s="13">
        <v>0</v>
      </c>
      <c r="C56" s="13">
        <v>2021</v>
      </c>
      <c r="D56" s="13" t="s">
        <v>395</v>
      </c>
      <c r="E56" s="13" t="s">
        <v>18</v>
      </c>
      <c r="F56" s="13" t="s">
        <v>307</v>
      </c>
      <c r="G56" s="13" t="s">
        <v>262</v>
      </c>
      <c r="H56" s="13" t="s">
        <v>3</v>
      </c>
    </row>
    <row r="57" spans="1:8" x14ac:dyDescent="0.3">
      <c r="A57" s="13" t="s">
        <v>275</v>
      </c>
      <c r="B57" s="13">
        <v>0</v>
      </c>
      <c r="C57" s="13">
        <v>2021</v>
      </c>
      <c r="D57" s="13" t="s">
        <v>395</v>
      </c>
      <c r="E57" s="13" t="s">
        <v>18</v>
      </c>
      <c r="F57" s="13" t="s">
        <v>285</v>
      </c>
      <c r="G57" s="13" t="s">
        <v>18</v>
      </c>
      <c r="H57" s="13" t="s">
        <v>363</v>
      </c>
    </row>
    <row r="58" spans="1:8" x14ac:dyDescent="0.3">
      <c r="A58" s="13" t="s">
        <v>39</v>
      </c>
      <c r="B58" s="13">
        <v>0</v>
      </c>
      <c r="C58" s="13">
        <v>2021</v>
      </c>
      <c r="D58" s="13" t="s">
        <v>395</v>
      </c>
      <c r="E58" s="13" t="s">
        <v>18</v>
      </c>
      <c r="F58" s="13" t="s">
        <v>308</v>
      </c>
      <c r="G58" s="13" t="s">
        <v>262</v>
      </c>
      <c r="H58" s="13" t="s">
        <v>3</v>
      </c>
    </row>
    <row r="59" spans="1:8" x14ac:dyDescent="0.3">
      <c r="A59" s="13" t="s">
        <v>40</v>
      </c>
      <c r="B59" s="13">
        <v>0</v>
      </c>
      <c r="C59" s="13">
        <v>2021</v>
      </c>
      <c r="D59" s="13" t="s">
        <v>395</v>
      </c>
      <c r="E59" s="13" t="s">
        <v>18</v>
      </c>
      <c r="F59" s="13" t="s">
        <v>309</v>
      </c>
      <c r="G59" s="13" t="s">
        <v>262</v>
      </c>
      <c r="H59" s="13" t="s">
        <v>3</v>
      </c>
    </row>
    <row r="60" spans="1:8" x14ac:dyDescent="0.3">
      <c r="A60" s="13" t="s">
        <v>41</v>
      </c>
      <c r="B60" s="13">
        <v>0</v>
      </c>
      <c r="C60" s="13">
        <v>2021</v>
      </c>
      <c r="D60" s="13" t="s">
        <v>395</v>
      </c>
      <c r="E60" s="13" t="s">
        <v>18</v>
      </c>
      <c r="F60" s="13" t="s">
        <v>310</v>
      </c>
      <c r="G60" s="13" t="s">
        <v>262</v>
      </c>
      <c r="H60" s="13" t="s">
        <v>3</v>
      </c>
    </row>
    <row r="61" spans="1:8" x14ac:dyDescent="0.3">
      <c r="A61" s="13" t="s">
        <v>38</v>
      </c>
      <c r="B61" s="13">
        <v>0</v>
      </c>
      <c r="C61" s="13">
        <v>2021</v>
      </c>
      <c r="D61" s="13" t="s">
        <v>395</v>
      </c>
      <c r="E61" s="13" t="s">
        <v>18</v>
      </c>
      <c r="F61" s="13" t="s">
        <v>311</v>
      </c>
      <c r="G61" s="13" t="s">
        <v>262</v>
      </c>
      <c r="H61" s="13" t="s">
        <v>3</v>
      </c>
    </row>
    <row r="62" spans="1:8" x14ac:dyDescent="0.3">
      <c r="A62" s="13" t="s">
        <v>59</v>
      </c>
      <c r="B62" s="13" t="s">
        <v>3</v>
      </c>
      <c r="C62" s="13">
        <v>2021</v>
      </c>
      <c r="D62" s="13" t="s">
        <v>395</v>
      </c>
      <c r="E62" s="13" t="s">
        <v>18</v>
      </c>
      <c r="F62" s="13" t="s">
        <v>286</v>
      </c>
      <c r="G62" s="13" t="s">
        <v>18</v>
      </c>
      <c r="H62" s="13" t="s">
        <v>361</v>
      </c>
    </row>
    <row r="63" spans="1:8" x14ac:dyDescent="0.3">
      <c r="A63" s="13" t="s">
        <v>408</v>
      </c>
      <c r="B63" s="13" t="s">
        <v>3</v>
      </c>
      <c r="C63" s="13">
        <v>2021</v>
      </c>
      <c r="D63" s="13" t="s">
        <v>395</v>
      </c>
      <c r="E63" s="13" t="s">
        <v>18</v>
      </c>
      <c r="F63" s="13" t="s">
        <v>312</v>
      </c>
      <c r="G63" s="13" t="s">
        <v>262</v>
      </c>
      <c r="H63" s="13" t="s">
        <v>3</v>
      </c>
    </row>
    <row r="64" spans="1:8" x14ac:dyDescent="0.3">
      <c r="A64" s="13" t="s">
        <v>31</v>
      </c>
      <c r="B64" s="13">
        <v>1.31001886755</v>
      </c>
      <c r="C64" s="13">
        <v>2021</v>
      </c>
      <c r="D64" s="13" t="s">
        <v>395</v>
      </c>
      <c r="E64" s="13" t="s">
        <v>18</v>
      </c>
      <c r="F64" s="13" t="s">
        <v>313</v>
      </c>
      <c r="G64" s="13" t="s">
        <v>262</v>
      </c>
      <c r="H64" s="13" t="s">
        <v>3</v>
      </c>
    </row>
    <row r="65" spans="1:8" x14ac:dyDescent="0.3">
      <c r="A65" s="13" t="s">
        <v>32</v>
      </c>
      <c r="B65" s="13" t="s">
        <v>3</v>
      </c>
      <c r="C65" s="13">
        <v>2021</v>
      </c>
      <c r="D65" s="13" t="s">
        <v>395</v>
      </c>
      <c r="E65" s="13" t="s">
        <v>18</v>
      </c>
      <c r="F65" s="13" t="s">
        <v>314</v>
      </c>
      <c r="G65" s="13" t="s">
        <v>262</v>
      </c>
      <c r="H65" s="13" t="s">
        <v>3</v>
      </c>
    </row>
    <row r="66" spans="1:8" x14ac:dyDescent="0.3">
      <c r="A66" s="13" t="s">
        <v>33</v>
      </c>
      <c r="B66" s="13" t="s">
        <v>3</v>
      </c>
      <c r="C66" s="13">
        <v>2021</v>
      </c>
      <c r="D66" s="13" t="s">
        <v>395</v>
      </c>
      <c r="E66" s="13" t="s">
        <v>18</v>
      </c>
      <c r="F66" s="13" t="s">
        <v>315</v>
      </c>
      <c r="G66" s="13" t="s">
        <v>262</v>
      </c>
      <c r="H66" s="13" t="s">
        <v>3</v>
      </c>
    </row>
    <row r="67" spans="1:8" x14ac:dyDescent="0.3">
      <c r="A67" s="13" t="s">
        <v>34</v>
      </c>
      <c r="B67" s="13" t="s">
        <v>3</v>
      </c>
      <c r="C67" s="13">
        <v>2021</v>
      </c>
      <c r="D67" s="13" t="s">
        <v>395</v>
      </c>
      <c r="E67" s="13" t="s">
        <v>18</v>
      </c>
      <c r="F67" s="13" t="s">
        <v>316</v>
      </c>
      <c r="G67" s="13" t="s">
        <v>262</v>
      </c>
      <c r="H67" s="13" t="s">
        <v>3</v>
      </c>
    </row>
    <row r="68" spans="1:8" x14ac:dyDescent="0.3">
      <c r="A68" s="13" t="s">
        <v>35</v>
      </c>
      <c r="B68" s="13" t="s">
        <v>3</v>
      </c>
      <c r="C68" s="13">
        <v>2021</v>
      </c>
      <c r="D68" s="13" t="s">
        <v>395</v>
      </c>
      <c r="E68" s="13" t="s">
        <v>18</v>
      </c>
      <c r="F68" s="13" t="s">
        <v>317</v>
      </c>
      <c r="G68" s="13" t="s">
        <v>262</v>
      </c>
      <c r="H68" s="13" t="s">
        <v>3</v>
      </c>
    </row>
    <row r="69" spans="1:8" x14ac:dyDescent="0.3">
      <c r="A69" s="13" t="s">
        <v>57</v>
      </c>
      <c r="B69" s="13" t="s">
        <v>3</v>
      </c>
      <c r="C69" s="13">
        <v>2021</v>
      </c>
      <c r="D69" s="13" t="s">
        <v>395</v>
      </c>
      <c r="E69" s="13" t="s">
        <v>18</v>
      </c>
      <c r="F69" s="13" t="s">
        <v>318</v>
      </c>
      <c r="G69" s="13" t="s">
        <v>262</v>
      </c>
      <c r="H69" s="13" t="s">
        <v>3</v>
      </c>
    </row>
    <row r="70" spans="1:8" x14ac:dyDescent="0.3">
      <c r="A70" s="13" t="s">
        <v>58</v>
      </c>
      <c r="B70" s="13" t="s">
        <v>3</v>
      </c>
      <c r="C70" s="13">
        <v>2021</v>
      </c>
      <c r="D70" s="13" t="s">
        <v>395</v>
      </c>
      <c r="E70" s="13" t="s">
        <v>18</v>
      </c>
      <c r="F70" s="13" t="s">
        <v>287</v>
      </c>
      <c r="G70" s="13" t="s">
        <v>18</v>
      </c>
      <c r="H70" s="13" t="s">
        <v>362</v>
      </c>
    </row>
    <row r="71" spans="1:8" x14ac:dyDescent="0.3">
      <c r="A71" s="13" t="s">
        <v>29</v>
      </c>
      <c r="B71" s="13">
        <v>0</v>
      </c>
      <c r="C71" s="13" t="s">
        <v>19</v>
      </c>
      <c r="D71" s="13" t="s">
        <v>395</v>
      </c>
      <c r="E71" s="13" t="s">
        <v>18</v>
      </c>
      <c r="F71" s="13" t="s">
        <v>319</v>
      </c>
      <c r="G71" s="13" t="s">
        <v>262</v>
      </c>
      <c r="H71" s="13" t="s">
        <v>3</v>
      </c>
    </row>
    <row r="72" spans="1:8" x14ac:dyDescent="0.3">
      <c r="A72" s="13" t="s">
        <v>73</v>
      </c>
      <c r="B72" s="13">
        <v>0</v>
      </c>
      <c r="C72" s="13" t="s">
        <v>19</v>
      </c>
      <c r="D72" s="13" t="s">
        <v>395</v>
      </c>
      <c r="E72" s="13" t="s">
        <v>18</v>
      </c>
      <c r="F72" s="13" t="s">
        <v>320</v>
      </c>
      <c r="G72" s="13" t="s">
        <v>262</v>
      </c>
      <c r="H72" s="13" t="s">
        <v>3</v>
      </c>
    </row>
    <row r="73" spans="1:8" x14ac:dyDescent="0.3">
      <c r="A73" s="13" t="s">
        <v>30</v>
      </c>
      <c r="B73" s="13">
        <v>0</v>
      </c>
      <c r="C73" s="13" t="s">
        <v>19</v>
      </c>
      <c r="D73" s="13" t="s">
        <v>395</v>
      </c>
      <c r="E73" s="13" t="s">
        <v>18</v>
      </c>
      <c r="F73" s="13" t="s">
        <v>321</v>
      </c>
      <c r="G73" s="13" t="s">
        <v>262</v>
      </c>
      <c r="H73" s="13" t="s">
        <v>3</v>
      </c>
    </row>
    <row r="74" spans="1:8" x14ac:dyDescent="0.3">
      <c r="A74" s="13" t="s">
        <v>80</v>
      </c>
      <c r="B74" s="13">
        <v>0</v>
      </c>
      <c r="C74" s="13" t="s">
        <v>19</v>
      </c>
      <c r="D74" s="13" t="s">
        <v>395</v>
      </c>
      <c r="E74" s="13" t="s">
        <v>18</v>
      </c>
      <c r="F74" s="13" t="s">
        <v>322</v>
      </c>
      <c r="G74" s="13" t="s">
        <v>262</v>
      </c>
      <c r="H74" s="13" t="s">
        <v>3</v>
      </c>
    </row>
    <row r="75" spans="1:8" x14ac:dyDescent="0.3">
      <c r="A75" s="13" t="s">
        <v>235</v>
      </c>
      <c r="B75" s="13">
        <v>0</v>
      </c>
      <c r="C75" s="13">
        <v>2021</v>
      </c>
      <c r="D75" s="13" t="s">
        <v>395</v>
      </c>
      <c r="E75" s="13" t="s">
        <v>18</v>
      </c>
      <c r="F75" s="13" t="s">
        <v>323</v>
      </c>
      <c r="G75" s="13" t="s">
        <v>262</v>
      </c>
      <c r="H75" s="13" t="s">
        <v>3</v>
      </c>
    </row>
    <row r="76" spans="1:8" x14ac:dyDescent="0.3">
      <c r="A76" s="13" t="s">
        <v>74</v>
      </c>
      <c r="B76" s="13" t="s">
        <v>3</v>
      </c>
      <c r="C76" s="13" t="s">
        <v>19</v>
      </c>
      <c r="D76" s="13" t="s">
        <v>395</v>
      </c>
      <c r="E76" s="13" t="s">
        <v>18</v>
      </c>
      <c r="F76" s="13" t="s">
        <v>324</v>
      </c>
      <c r="G76" s="13" t="s">
        <v>262</v>
      </c>
      <c r="H76" s="13" t="s">
        <v>3</v>
      </c>
    </row>
    <row r="77" spans="1:8" x14ac:dyDescent="0.3">
      <c r="A77" s="13" t="s">
        <v>60</v>
      </c>
      <c r="B77" s="13">
        <v>0</v>
      </c>
      <c r="C77" s="13">
        <v>2021</v>
      </c>
      <c r="D77" s="13" t="s">
        <v>395</v>
      </c>
      <c r="E77" s="13" t="s">
        <v>18</v>
      </c>
      <c r="F77" s="13" t="s">
        <v>288</v>
      </c>
      <c r="G77" s="13" t="s">
        <v>18</v>
      </c>
      <c r="H77" s="13" t="s">
        <v>374</v>
      </c>
    </row>
    <row r="78" spans="1:8" x14ac:dyDescent="0.3">
      <c r="A78" s="13" t="s">
        <v>371</v>
      </c>
      <c r="B78" s="13">
        <v>0</v>
      </c>
      <c r="C78" s="13">
        <v>2021</v>
      </c>
      <c r="D78" s="13" t="s">
        <v>395</v>
      </c>
      <c r="E78" s="13">
        <v>1</v>
      </c>
      <c r="F78" s="13" t="s">
        <v>325</v>
      </c>
      <c r="G78" s="13" t="s">
        <v>262</v>
      </c>
      <c r="H78" s="13" t="s">
        <v>3</v>
      </c>
    </row>
    <row r="79" spans="1:8" x14ac:dyDescent="0.3">
      <c r="A79" s="13" t="s">
        <v>372</v>
      </c>
      <c r="B79" s="13">
        <v>0</v>
      </c>
      <c r="C79" s="13">
        <v>2021</v>
      </c>
      <c r="D79" s="13" t="s">
        <v>395</v>
      </c>
      <c r="E79" s="13">
        <v>1</v>
      </c>
      <c r="F79" s="13" t="s">
        <v>326</v>
      </c>
      <c r="G79" s="13" t="s">
        <v>262</v>
      </c>
      <c r="H79" s="13" t="s">
        <v>3</v>
      </c>
    </row>
    <row r="80" spans="1:8" x14ac:dyDescent="0.3">
      <c r="A80" s="13" t="s">
        <v>350</v>
      </c>
      <c r="B80" s="13" t="s">
        <v>3</v>
      </c>
      <c r="C80" s="13">
        <v>2021</v>
      </c>
      <c r="D80" s="13" t="s">
        <v>395</v>
      </c>
      <c r="E80" s="13" t="s">
        <v>18</v>
      </c>
      <c r="F80" s="13" t="s">
        <v>289</v>
      </c>
      <c r="G80" s="13" t="s">
        <v>18</v>
      </c>
      <c r="H80" s="13" t="s">
        <v>405</v>
      </c>
    </row>
    <row r="81" spans="1:8" x14ac:dyDescent="0.3">
      <c r="A81" s="13" t="s">
        <v>392</v>
      </c>
      <c r="B81" s="13" t="s">
        <v>3</v>
      </c>
      <c r="C81" s="13">
        <v>2021</v>
      </c>
      <c r="D81" s="13" t="s">
        <v>395</v>
      </c>
      <c r="E81" s="13" t="s">
        <v>18</v>
      </c>
      <c r="F81" s="13" t="s">
        <v>290</v>
      </c>
      <c r="G81" s="13" t="s">
        <v>18</v>
      </c>
      <c r="H81" s="13" t="s">
        <v>404</v>
      </c>
    </row>
    <row r="82" spans="1:8" x14ac:dyDescent="0.3">
      <c r="A82" s="13" t="s">
        <v>351</v>
      </c>
      <c r="B82" s="13">
        <v>0</v>
      </c>
      <c r="C82" s="13">
        <v>2021</v>
      </c>
      <c r="D82" s="13" t="s">
        <v>395</v>
      </c>
      <c r="E82" s="13" t="s">
        <v>18</v>
      </c>
      <c r="F82" s="13" t="s">
        <v>332</v>
      </c>
      <c r="G82" s="13" t="s">
        <v>262</v>
      </c>
      <c r="H82" s="13" t="s">
        <v>3</v>
      </c>
    </row>
    <row r="83" spans="1:8" x14ac:dyDescent="0.3">
      <c r="A83" s="13" t="s">
        <v>916</v>
      </c>
      <c r="B83" s="13">
        <v>0</v>
      </c>
      <c r="C83" s="13">
        <v>2021</v>
      </c>
      <c r="D83" s="13" t="s">
        <v>395</v>
      </c>
      <c r="E83" s="13" t="s">
        <v>18</v>
      </c>
      <c r="F83" s="13" t="s">
        <v>333</v>
      </c>
      <c r="G83" s="13" t="s">
        <v>262</v>
      </c>
      <c r="H83" s="13" t="s">
        <v>3</v>
      </c>
    </row>
    <row r="84" spans="1:8" x14ac:dyDescent="0.3">
      <c r="A84" s="13" t="s">
        <v>917</v>
      </c>
      <c r="B84" s="13">
        <v>0</v>
      </c>
      <c r="C84" s="13">
        <v>2021</v>
      </c>
      <c r="D84" s="13" t="s">
        <v>395</v>
      </c>
      <c r="E84" s="13" t="s">
        <v>18</v>
      </c>
      <c r="F84" s="13" t="s">
        <v>337</v>
      </c>
      <c r="G84" s="13" t="s">
        <v>262</v>
      </c>
      <c r="H84" s="13" t="s">
        <v>3</v>
      </c>
    </row>
    <row r="85" spans="1:8" x14ac:dyDescent="0.3">
      <c r="A85" s="13" t="s">
        <v>391</v>
      </c>
      <c r="B85" s="13" t="s">
        <v>3</v>
      </c>
      <c r="C85" s="13">
        <v>2021</v>
      </c>
      <c r="D85" s="13" t="s">
        <v>395</v>
      </c>
      <c r="E85" s="13" t="s">
        <v>18</v>
      </c>
      <c r="F85" s="13" t="s">
        <v>338</v>
      </c>
      <c r="G85" s="13" t="s">
        <v>262</v>
      </c>
      <c r="H85" s="13" t="s">
        <v>3</v>
      </c>
    </row>
    <row r="86" spans="1:8" x14ac:dyDescent="0.3">
      <c r="A86" s="13" t="s">
        <v>403</v>
      </c>
      <c r="B86" s="13" t="s">
        <v>3</v>
      </c>
      <c r="C86" s="13">
        <v>2021</v>
      </c>
      <c r="D86" s="13" t="s">
        <v>395</v>
      </c>
      <c r="E86" s="13" t="s">
        <v>18</v>
      </c>
      <c r="F86" s="13" t="s">
        <v>291</v>
      </c>
      <c r="G86" s="13" t="s">
        <v>18</v>
      </c>
      <c r="H86" s="13" t="s">
        <v>407</v>
      </c>
    </row>
    <row r="87" spans="1:8" x14ac:dyDescent="0.3">
      <c r="A87" s="13" t="s">
        <v>406</v>
      </c>
      <c r="B87" s="13" t="s">
        <v>3</v>
      </c>
      <c r="C87" s="13">
        <v>2021</v>
      </c>
      <c r="D87" s="13" t="s">
        <v>395</v>
      </c>
      <c r="E87" s="13" t="s">
        <v>18</v>
      </c>
      <c r="F87" s="13" t="s">
        <v>349</v>
      </c>
      <c r="G87" s="13" t="s">
        <v>262</v>
      </c>
      <c r="H87" s="13" t="s">
        <v>3</v>
      </c>
    </row>
    <row r="88" spans="1:8" x14ac:dyDescent="0.3">
      <c r="A88" s="13" t="s">
        <v>352</v>
      </c>
      <c r="B88" s="13" t="s">
        <v>3</v>
      </c>
      <c r="C88" s="13">
        <v>2021</v>
      </c>
      <c r="D88" s="13" t="s">
        <v>395</v>
      </c>
      <c r="E88" s="13" t="s">
        <v>18</v>
      </c>
      <c r="F88" s="13" t="s">
        <v>353</v>
      </c>
      <c r="G88" s="13" t="s">
        <v>262</v>
      </c>
      <c r="H88" s="13" t="s">
        <v>3</v>
      </c>
    </row>
    <row r="89" spans="1:8" x14ac:dyDescent="0.3">
      <c r="A89" s="13" t="s">
        <v>373</v>
      </c>
      <c r="B89" s="13" t="s">
        <v>3</v>
      </c>
      <c r="C89" s="13">
        <v>2021</v>
      </c>
      <c r="D89" s="13" t="s">
        <v>395</v>
      </c>
      <c r="E89" s="13" t="s">
        <v>18</v>
      </c>
      <c r="F89" s="13" t="s">
        <v>354</v>
      </c>
      <c r="G89" s="13" t="s">
        <v>262</v>
      </c>
      <c r="H89" s="13" t="s">
        <v>3</v>
      </c>
    </row>
    <row r="90" spans="1:8" x14ac:dyDescent="0.3">
      <c r="A90" s="13" t="s">
        <v>335</v>
      </c>
      <c r="B90" s="13">
        <v>0</v>
      </c>
      <c r="C90" s="13">
        <v>2021</v>
      </c>
      <c r="D90" s="13" t="s">
        <v>395</v>
      </c>
      <c r="E90" s="13" t="s">
        <v>18</v>
      </c>
      <c r="F90" s="13" t="s">
        <v>364</v>
      </c>
      <c r="G90" s="13" t="s">
        <v>262</v>
      </c>
      <c r="H90" s="13" t="s">
        <v>3</v>
      </c>
    </row>
    <row r="91" spans="1:8" x14ac:dyDescent="0.3">
      <c r="A91" s="13" t="s">
        <v>336</v>
      </c>
      <c r="B91" s="13">
        <v>0</v>
      </c>
      <c r="C91" s="13">
        <v>2021</v>
      </c>
      <c r="D91" s="13" t="s">
        <v>395</v>
      </c>
      <c r="E91" s="13" t="s">
        <v>18</v>
      </c>
      <c r="F91" s="13" t="s">
        <v>368</v>
      </c>
      <c r="G91" s="13" t="s">
        <v>262</v>
      </c>
      <c r="H91" s="13" t="s">
        <v>3</v>
      </c>
    </row>
  </sheetData>
  <autoFilter ref="A1:Q91" xr:uid="{9BAF5082-045A-439C-822F-D83FC4618CC3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49B5-7B2A-49B9-BB30-1BDC8440F825}">
  <sheetPr codeName="Sheet10"/>
  <dimension ref="A1:H17"/>
  <sheetViews>
    <sheetView zoomScale="70" zoomScaleNormal="70" workbookViewId="0"/>
  </sheetViews>
  <sheetFormatPr defaultColWidth="9.109375" defaultRowHeight="14.4" x14ac:dyDescent="0.3"/>
  <cols>
    <col min="1" max="1" width="22" style="13" customWidth="1"/>
    <col min="2" max="16384" width="9.109375" style="13"/>
  </cols>
  <sheetData>
    <row r="1" spans="1:8" x14ac:dyDescent="0.3">
      <c r="A1" s="13" t="s">
        <v>4</v>
      </c>
      <c r="B1" s="13" t="s">
        <v>0</v>
      </c>
      <c r="C1" s="13" t="s">
        <v>1</v>
      </c>
      <c r="D1" s="13" t="s">
        <v>2</v>
      </c>
      <c r="E1" s="13" t="s">
        <v>5</v>
      </c>
      <c r="F1" s="13" t="s">
        <v>6</v>
      </c>
      <c r="G1" s="13" t="s">
        <v>7</v>
      </c>
      <c r="H1" s="13" t="s">
        <v>8</v>
      </c>
    </row>
    <row r="2" spans="1:8" x14ac:dyDescent="0.3">
      <c r="A2" s="13" t="s">
        <v>59</v>
      </c>
      <c r="B2" s="13">
        <v>226.46920515473937</v>
      </c>
      <c r="C2" s="13">
        <v>2021</v>
      </c>
      <c r="D2" s="13" t="s">
        <v>395</v>
      </c>
      <c r="E2" s="13" t="s">
        <v>18</v>
      </c>
      <c r="F2" s="13" t="s">
        <v>286</v>
      </c>
      <c r="G2" s="13" t="s">
        <v>18</v>
      </c>
      <c r="H2" s="13" t="s">
        <v>361</v>
      </c>
    </row>
    <row r="3" spans="1:8" x14ac:dyDescent="0.3">
      <c r="A3" s="13" t="s">
        <v>408</v>
      </c>
      <c r="B3" s="13">
        <v>188.12987612296331</v>
      </c>
      <c r="C3" s="13">
        <v>2021</v>
      </c>
      <c r="D3" s="13" t="s">
        <v>395</v>
      </c>
      <c r="E3" s="13" t="s">
        <v>18</v>
      </c>
      <c r="F3" s="13" t="s">
        <v>312</v>
      </c>
      <c r="G3" s="13" t="s">
        <v>262</v>
      </c>
      <c r="H3" s="13" t="s">
        <v>3</v>
      </c>
    </row>
    <row r="4" spans="1:8" x14ac:dyDescent="0.3">
      <c r="A4" s="13" t="s">
        <v>32</v>
      </c>
      <c r="B4" s="13">
        <v>5.7391807171688072</v>
      </c>
      <c r="C4" s="13">
        <v>2021</v>
      </c>
      <c r="D4" s="13" t="s">
        <v>395</v>
      </c>
      <c r="E4" s="13" t="s">
        <v>18</v>
      </c>
      <c r="F4" s="13" t="s">
        <v>314</v>
      </c>
      <c r="G4" s="13" t="s">
        <v>262</v>
      </c>
      <c r="H4" s="13" t="s">
        <v>3</v>
      </c>
    </row>
    <row r="5" spans="1:8" x14ac:dyDescent="0.3">
      <c r="A5" s="13" t="s">
        <v>33</v>
      </c>
      <c r="B5" s="13">
        <v>15.287860903073307</v>
      </c>
      <c r="C5" s="13">
        <v>2021</v>
      </c>
      <c r="D5" s="13" t="s">
        <v>395</v>
      </c>
      <c r="E5" s="13" t="s">
        <v>18</v>
      </c>
      <c r="F5" s="13" t="s">
        <v>315</v>
      </c>
      <c r="G5" s="13" t="s">
        <v>262</v>
      </c>
      <c r="H5" s="13" t="s">
        <v>3</v>
      </c>
    </row>
    <row r="6" spans="1:8" x14ac:dyDescent="0.3">
      <c r="A6" s="13" t="s">
        <v>34</v>
      </c>
      <c r="B6" s="13">
        <v>9.7168146508918145</v>
      </c>
      <c r="C6" s="13">
        <v>2021</v>
      </c>
      <c r="D6" s="13" t="s">
        <v>395</v>
      </c>
      <c r="E6" s="13" t="s">
        <v>18</v>
      </c>
      <c r="F6" s="13" t="s">
        <v>316</v>
      </c>
      <c r="G6" s="13" t="s">
        <v>262</v>
      </c>
      <c r="H6" s="13" t="s">
        <v>3</v>
      </c>
    </row>
    <row r="7" spans="1:8" x14ac:dyDescent="0.3">
      <c r="A7" s="13" t="s">
        <v>35</v>
      </c>
      <c r="B7" s="13">
        <v>0.82747592999999997</v>
      </c>
      <c r="C7" s="13">
        <v>2021</v>
      </c>
      <c r="D7" s="13" t="s">
        <v>395</v>
      </c>
      <c r="E7" s="13" t="s">
        <v>18</v>
      </c>
      <c r="F7" s="13" t="s">
        <v>317</v>
      </c>
      <c r="G7" s="13" t="s">
        <v>262</v>
      </c>
      <c r="H7" s="13" t="s">
        <v>3</v>
      </c>
    </row>
    <row r="8" spans="1:8" x14ac:dyDescent="0.3">
      <c r="A8" s="13" t="s">
        <v>57</v>
      </c>
      <c r="B8" s="13">
        <v>5.4579779630921035</v>
      </c>
      <c r="C8" s="13">
        <v>2021</v>
      </c>
      <c r="D8" s="13" t="s">
        <v>395</v>
      </c>
      <c r="E8" s="13" t="s">
        <v>18</v>
      </c>
      <c r="F8" s="13" t="s">
        <v>318</v>
      </c>
      <c r="G8" s="13" t="s">
        <v>262</v>
      </c>
      <c r="H8" s="13" t="s">
        <v>3</v>
      </c>
    </row>
    <row r="9" spans="1:8" x14ac:dyDescent="0.3">
      <c r="A9" s="13" t="s">
        <v>58</v>
      </c>
      <c r="B9" s="13">
        <v>15.506510827539755</v>
      </c>
      <c r="C9" s="13">
        <v>2021</v>
      </c>
      <c r="D9" s="13" t="s">
        <v>395</v>
      </c>
      <c r="E9" s="13" t="s">
        <v>18</v>
      </c>
      <c r="F9" s="13" t="s">
        <v>287</v>
      </c>
      <c r="G9" s="13" t="s">
        <v>18</v>
      </c>
      <c r="H9" s="13" t="s">
        <v>362</v>
      </c>
    </row>
    <row r="10" spans="1:8" x14ac:dyDescent="0.3">
      <c r="A10" s="13" t="s">
        <v>74</v>
      </c>
      <c r="B10" s="13">
        <v>15.506510827539755</v>
      </c>
      <c r="C10" s="13" t="s">
        <v>19</v>
      </c>
      <c r="D10" s="13" t="s">
        <v>395</v>
      </c>
      <c r="E10" s="13" t="s">
        <v>18</v>
      </c>
      <c r="F10" s="13" t="s">
        <v>324</v>
      </c>
      <c r="G10" s="13" t="s">
        <v>262</v>
      </c>
      <c r="H10" s="13" t="s">
        <v>3</v>
      </c>
    </row>
    <row r="11" spans="1:8" x14ac:dyDescent="0.3">
      <c r="A11" s="13" t="s">
        <v>350</v>
      </c>
      <c r="B11" s="13">
        <v>36.560534668710453</v>
      </c>
      <c r="C11" s="13">
        <v>2021</v>
      </c>
      <c r="D11" s="13" t="s">
        <v>395</v>
      </c>
      <c r="E11" s="13" t="s">
        <v>18</v>
      </c>
      <c r="F11" s="13" t="s">
        <v>289</v>
      </c>
      <c r="G11" s="13" t="s">
        <v>18</v>
      </c>
      <c r="H11" s="13" t="s">
        <v>405</v>
      </c>
    </row>
    <row r="12" spans="1:8" x14ac:dyDescent="0.3">
      <c r="A12" s="13" t="s">
        <v>392</v>
      </c>
      <c r="B12" s="13">
        <v>6.5451863499746512</v>
      </c>
      <c r="C12" s="13">
        <v>2021</v>
      </c>
      <c r="D12" s="13" t="s">
        <v>395</v>
      </c>
      <c r="E12" s="13" t="s">
        <v>18</v>
      </c>
      <c r="F12" s="13" t="s">
        <v>290</v>
      </c>
      <c r="G12" s="13" t="s">
        <v>18</v>
      </c>
      <c r="H12" s="13" t="s">
        <v>404</v>
      </c>
    </row>
    <row r="13" spans="1:8" x14ac:dyDescent="0.3">
      <c r="A13" s="13" t="s">
        <v>391</v>
      </c>
      <c r="B13" s="13">
        <v>6.5451863499746512</v>
      </c>
      <c r="C13" s="13">
        <v>2021</v>
      </c>
      <c r="D13" s="13" t="s">
        <v>395</v>
      </c>
      <c r="E13" s="13" t="s">
        <v>18</v>
      </c>
      <c r="F13" s="13" t="s">
        <v>338</v>
      </c>
      <c r="G13" s="13" t="s">
        <v>262</v>
      </c>
      <c r="H13" s="13" t="s">
        <v>3</v>
      </c>
    </row>
    <row r="14" spans="1:8" x14ac:dyDescent="0.3">
      <c r="A14" s="13" t="s">
        <v>403</v>
      </c>
      <c r="B14" s="13">
        <v>30.015348318735803</v>
      </c>
      <c r="C14" s="13">
        <v>2021</v>
      </c>
      <c r="D14" s="13" t="s">
        <v>395</v>
      </c>
      <c r="E14" s="13" t="s">
        <v>18</v>
      </c>
      <c r="F14" s="13" t="s">
        <v>291</v>
      </c>
      <c r="G14" s="13" t="s">
        <v>18</v>
      </c>
      <c r="H14" s="13" t="s">
        <v>407</v>
      </c>
    </row>
    <row r="15" spans="1:8" x14ac:dyDescent="0.3">
      <c r="A15" s="13" t="s">
        <v>406</v>
      </c>
      <c r="B15" s="13">
        <v>5.679488531956931</v>
      </c>
      <c r="C15" s="13">
        <v>2021</v>
      </c>
      <c r="D15" s="13" t="s">
        <v>395</v>
      </c>
      <c r="E15" s="13" t="s">
        <v>18</v>
      </c>
      <c r="F15" s="13" t="s">
        <v>349</v>
      </c>
      <c r="G15" s="13" t="s">
        <v>262</v>
      </c>
      <c r="H15" s="13" t="s">
        <v>3</v>
      </c>
    </row>
    <row r="16" spans="1:8" x14ac:dyDescent="0.3">
      <c r="A16" s="13" t="s">
        <v>352</v>
      </c>
      <c r="B16" s="13">
        <v>19.294724072682293</v>
      </c>
      <c r="C16" s="13">
        <v>2021</v>
      </c>
      <c r="D16" s="13" t="s">
        <v>395</v>
      </c>
      <c r="E16" s="13" t="s">
        <v>18</v>
      </c>
      <c r="F16" s="13" t="s">
        <v>353</v>
      </c>
      <c r="G16" s="13" t="s">
        <v>262</v>
      </c>
      <c r="H16" s="13" t="s">
        <v>3</v>
      </c>
    </row>
    <row r="17" spans="1:8" x14ac:dyDescent="0.3">
      <c r="A17" s="13" t="s">
        <v>373</v>
      </c>
      <c r="B17" s="13">
        <v>5.0411357140965771</v>
      </c>
      <c r="C17" s="13">
        <v>2021</v>
      </c>
      <c r="D17" s="13" t="s">
        <v>395</v>
      </c>
      <c r="E17" s="13" t="s">
        <v>18</v>
      </c>
      <c r="F17" s="13" t="s">
        <v>354</v>
      </c>
      <c r="G17" s="13" t="s">
        <v>262</v>
      </c>
      <c r="H17" s="13" t="s">
        <v>3</v>
      </c>
    </row>
  </sheetData>
  <autoFilter ref="A1:P17" xr:uid="{B3D449B5-7B2A-49B9-BB30-1BDC8440F825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B43A-2260-43D5-BB77-1CD93A118B86}">
  <sheetPr codeName="Sheet11"/>
  <dimension ref="A1:K406"/>
  <sheetViews>
    <sheetView zoomScale="70" zoomScaleNormal="70" workbookViewId="0"/>
  </sheetViews>
  <sheetFormatPr defaultColWidth="8.88671875" defaultRowHeight="14.4" x14ac:dyDescent="0.3"/>
  <cols>
    <col min="1" max="1" width="8.77734375" style="13" customWidth="1"/>
    <col min="2" max="16384" width="8.88671875" style="13"/>
  </cols>
  <sheetData>
    <row r="1" spans="1:11" x14ac:dyDescent="0.3">
      <c r="A1" s="13" t="s">
        <v>10</v>
      </c>
      <c r="B1" s="13" t="s">
        <v>11</v>
      </c>
      <c r="C1" s="13" t="s">
        <v>0</v>
      </c>
      <c r="D1" s="13" t="s">
        <v>1</v>
      </c>
      <c r="E1" s="13" t="s">
        <v>2</v>
      </c>
      <c r="F1" s="13" t="s">
        <v>12</v>
      </c>
      <c r="G1" s="13" t="s">
        <v>13</v>
      </c>
      <c r="H1" s="13" t="s">
        <v>14</v>
      </c>
      <c r="I1" s="13" t="s">
        <v>15</v>
      </c>
      <c r="J1" s="13" t="s">
        <v>16</v>
      </c>
      <c r="K1" s="13" t="s">
        <v>17</v>
      </c>
    </row>
    <row r="2" spans="1:11" x14ac:dyDescent="0.3">
      <c r="A2" s="13" t="s">
        <v>912</v>
      </c>
      <c r="B2" s="13" t="s">
        <v>258</v>
      </c>
      <c r="C2" s="13">
        <v>10.284447225150004</v>
      </c>
      <c r="D2" s="13">
        <v>2021</v>
      </c>
      <c r="E2" s="13" t="s">
        <v>395</v>
      </c>
      <c r="F2" s="13" t="s">
        <v>262</v>
      </c>
      <c r="G2" s="13" t="s">
        <v>271</v>
      </c>
      <c r="H2" s="13" t="s">
        <v>262</v>
      </c>
      <c r="I2" s="13" t="s">
        <v>262</v>
      </c>
      <c r="J2" s="13" t="s">
        <v>3</v>
      </c>
      <c r="K2" s="13" t="s">
        <v>3</v>
      </c>
    </row>
    <row r="3" spans="1:11" x14ac:dyDescent="0.3">
      <c r="A3" s="13" t="s">
        <v>912</v>
      </c>
      <c r="B3" s="13" t="s">
        <v>260</v>
      </c>
      <c r="C3" s="13" t="s">
        <v>3</v>
      </c>
      <c r="D3" s="13">
        <v>2021</v>
      </c>
      <c r="E3" s="13" t="s">
        <v>395</v>
      </c>
      <c r="F3" s="13" t="s">
        <v>262</v>
      </c>
      <c r="G3" s="13" t="s">
        <v>273</v>
      </c>
      <c r="H3" s="13" t="s">
        <v>262</v>
      </c>
      <c r="I3" s="13" t="s">
        <v>262</v>
      </c>
      <c r="J3" s="13" t="s">
        <v>3</v>
      </c>
      <c r="K3" s="13" t="s">
        <v>3</v>
      </c>
    </row>
    <row r="4" spans="1:11" x14ac:dyDescent="0.3">
      <c r="A4" s="13" t="s">
        <v>912</v>
      </c>
      <c r="B4" s="13" t="s">
        <v>263</v>
      </c>
      <c r="C4" s="13" t="s">
        <v>3</v>
      </c>
      <c r="D4" s="13">
        <v>2021</v>
      </c>
      <c r="E4" s="13" t="s">
        <v>395</v>
      </c>
      <c r="F4" s="13" t="s">
        <v>262</v>
      </c>
      <c r="G4" s="13" t="s">
        <v>277</v>
      </c>
      <c r="H4" s="13" t="s">
        <v>262</v>
      </c>
      <c r="I4" s="13" t="s">
        <v>262</v>
      </c>
      <c r="J4" s="13" t="s">
        <v>3</v>
      </c>
      <c r="K4" s="13" t="s">
        <v>3</v>
      </c>
    </row>
    <row r="5" spans="1:11" x14ac:dyDescent="0.3">
      <c r="A5" s="13" t="s">
        <v>912</v>
      </c>
      <c r="B5" s="13" t="s">
        <v>265</v>
      </c>
      <c r="C5" s="13" t="s">
        <v>3</v>
      </c>
      <c r="D5" s="13">
        <v>2021</v>
      </c>
      <c r="E5" s="13" t="s">
        <v>395</v>
      </c>
      <c r="F5" s="13" t="s">
        <v>262</v>
      </c>
      <c r="G5" s="13" t="s">
        <v>279</v>
      </c>
      <c r="H5" s="13" t="s">
        <v>262</v>
      </c>
      <c r="I5" s="13" t="s">
        <v>262</v>
      </c>
      <c r="J5" s="13" t="s">
        <v>3</v>
      </c>
      <c r="K5" s="13" t="s">
        <v>3</v>
      </c>
    </row>
    <row r="6" spans="1:11" x14ac:dyDescent="0.3">
      <c r="A6" s="13" t="s">
        <v>913</v>
      </c>
      <c r="B6" s="13" t="s">
        <v>259</v>
      </c>
      <c r="C6" s="13">
        <v>115.076297719046</v>
      </c>
      <c r="D6" s="13">
        <v>2021</v>
      </c>
      <c r="E6" s="13" t="s">
        <v>395</v>
      </c>
      <c r="F6" s="13" t="s">
        <v>18</v>
      </c>
      <c r="G6" s="13" t="s">
        <v>272</v>
      </c>
      <c r="H6" s="13" t="s">
        <v>262</v>
      </c>
      <c r="I6" s="13" t="s">
        <v>262</v>
      </c>
      <c r="J6" s="13" t="s">
        <v>3</v>
      </c>
      <c r="K6" s="13" t="s">
        <v>3</v>
      </c>
    </row>
    <row r="7" spans="1:11" x14ac:dyDescent="0.3">
      <c r="A7" s="13" t="s">
        <v>913</v>
      </c>
      <c r="B7" s="13" t="s">
        <v>261</v>
      </c>
      <c r="C7" s="13" t="s">
        <v>3</v>
      </c>
      <c r="D7" s="13">
        <v>2021</v>
      </c>
      <c r="E7" s="13" t="s">
        <v>395</v>
      </c>
      <c r="F7" s="13" t="s">
        <v>18</v>
      </c>
      <c r="G7" s="13" t="s">
        <v>276</v>
      </c>
      <c r="H7" s="13" t="s">
        <v>262</v>
      </c>
      <c r="I7" s="13" t="s">
        <v>262</v>
      </c>
      <c r="J7" s="13" t="s">
        <v>3</v>
      </c>
      <c r="K7" s="13" t="s">
        <v>3</v>
      </c>
    </row>
    <row r="8" spans="1:11" x14ac:dyDescent="0.3">
      <c r="A8" s="13" t="s">
        <v>913</v>
      </c>
      <c r="B8" s="13" t="s">
        <v>264</v>
      </c>
      <c r="C8" s="13" t="s">
        <v>3</v>
      </c>
      <c r="D8" s="13">
        <v>2021</v>
      </c>
      <c r="E8" s="13" t="s">
        <v>395</v>
      </c>
      <c r="F8" s="13" t="s">
        <v>18</v>
      </c>
      <c r="G8" s="13" t="s">
        <v>278</v>
      </c>
      <c r="H8" s="13" t="s">
        <v>262</v>
      </c>
      <c r="I8" s="13" t="s">
        <v>262</v>
      </c>
      <c r="J8" s="13" t="s">
        <v>3</v>
      </c>
      <c r="K8" s="13" t="s">
        <v>3</v>
      </c>
    </row>
    <row r="9" spans="1:11" x14ac:dyDescent="0.3">
      <c r="A9" s="13" t="s">
        <v>913</v>
      </c>
      <c r="B9" s="13" t="s">
        <v>266</v>
      </c>
      <c r="C9" s="13" t="s">
        <v>3</v>
      </c>
      <c r="D9" s="13">
        <v>2021</v>
      </c>
      <c r="E9" s="13" t="s">
        <v>395</v>
      </c>
      <c r="F9" s="13" t="s">
        <v>18</v>
      </c>
      <c r="G9" s="13" t="s">
        <v>280</v>
      </c>
      <c r="H9" s="13" t="s">
        <v>262</v>
      </c>
      <c r="I9" s="13" t="s">
        <v>262</v>
      </c>
      <c r="J9" s="13" t="s">
        <v>3</v>
      </c>
      <c r="K9" s="13" t="s">
        <v>3</v>
      </c>
    </row>
    <row r="10" spans="1:11" x14ac:dyDescent="0.3">
      <c r="A10" s="13" t="s">
        <v>914</v>
      </c>
      <c r="B10" s="13" t="s">
        <v>61</v>
      </c>
      <c r="C10" s="13">
        <v>25.274445487516154</v>
      </c>
      <c r="D10" s="13">
        <v>2021</v>
      </c>
      <c r="E10" s="13" t="s">
        <v>395</v>
      </c>
      <c r="F10" s="13" t="s">
        <v>269</v>
      </c>
      <c r="G10" s="13" t="s">
        <v>269</v>
      </c>
      <c r="H10" s="13" t="s">
        <v>262</v>
      </c>
      <c r="I10" s="13" t="s">
        <v>18</v>
      </c>
      <c r="J10" s="13" t="s">
        <v>3</v>
      </c>
      <c r="K10" s="13" t="s">
        <v>327</v>
      </c>
    </row>
    <row r="11" spans="1:11" x14ac:dyDescent="0.3">
      <c r="A11" s="13" t="s">
        <v>914</v>
      </c>
      <c r="B11" s="13" t="s">
        <v>258</v>
      </c>
      <c r="C11" s="13" t="s">
        <v>3</v>
      </c>
      <c r="D11" s="13">
        <v>2021</v>
      </c>
      <c r="E11" s="13" t="s">
        <v>395</v>
      </c>
      <c r="F11" s="13" t="s">
        <v>269</v>
      </c>
      <c r="G11" s="13" t="s">
        <v>271</v>
      </c>
      <c r="H11" s="13" t="s">
        <v>262</v>
      </c>
      <c r="I11" s="13" t="s">
        <v>262</v>
      </c>
      <c r="J11" s="13" t="s">
        <v>3</v>
      </c>
      <c r="K11" s="13" t="s">
        <v>3</v>
      </c>
    </row>
    <row r="12" spans="1:11" x14ac:dyDescent="0.3">
      <c r="A12" s="13" t="s">
        <v>914</v>
      </c>
      <c r="B12" s="13" t="s">
        <v>259</v>
      </c>
      <c r="C12" s="13" t="s">
        <v>3</v>
      </c>
      <c r="D12" s="13">
        <v>2021</v>
      </c>
      <c r="E12" s="13" t="s">
        <v>395</v>
      </c>
      <c r="F12" s="13" t="s">
        <v>269</v>
      </c>
      <c r="G12" s="13" t="s">
        <v>272</v>
      </c>
      <c r="H12" s="13" t="s">
        <v>262</v>
      </c>
      <c r="I12" s="13" t="s">
        <v>262</v>
      </c>
      <c r="J12" s="13" t="s">
        <v>3</v>
      </c>
      <c r="K12" s="13" t="s">
        <v>3</v>
      </c>
    </row>
    <row r="13" spans="1:11" x14ac:dyDescent="0.3">
      <c r="A13" s="13" t="s">
        <v>914</v>
      </c>
      <c r="B13" s="13" t="s">
        <v>62</v>
      </c>
      <c r="C13" s="13">
        <v>9.3797853995502116</v>
      </c>
      <c r="D13" s="13">
        <v>2021</v>
      </c>
      <c r="E13" s="13" t="s">
        <v>395</v>
      </c>
      <c r="F13" s="13" t="s">
        <v>269</v>
      </c>
      <c r="G13" s="13" t="s">
        <v>272</v>
      </c>
      <c r="H13" s="13" t="s">
        <v>262</v>
      </c>
      <c r="I13" s="13" t="s">
        <v>18</v>
      </c>
      <c r="J13" s="13" t="s">
        <v>3</v>
      </c>
      <c r="K13" s="13" t="s">
        <v>328</v>
      </c>
    </row>
    <row r="14" spans="1:11" x14ac:dyDescent="0.3">
      <c r="A14" s="13" t="s">
        <v>914</v>
      </c>
      <c r="B14" s="13" t="s">
        <v>260</v>
      </c>
      <c r="C14" s="13" t="s">
        <v>3</v>
      </c>
      <c r="D14" s="13">
        <v>2021</v>
      </c>
      <c r="E14" s="13" t="s">
        <v>395</v>
      </c>
      <c r="F14" s="13" t="s">
        <v>269</v>
      </c>
      <c r="G14" s="13" t="s">
        <v>273</v>
      </c>
      <c r="H14" s="13" t="s">
        <v>262</v>
      </c>
      <c r="I14" s="13" t="s">
        <v>262</v>
      </c>
      <c r="J14" s="13" t="s">
        <v>3</v>
      </c>
      <c r="K14" s="13" t="s">
        <v>3</v>
      </c>
    </row>
    <row r="15" spans="1:11" x14ac:dyDescent="0.3">
      <c r="A15" s="13" t="s">
        <v>914</v>
      </c>
      <c r="B15" s="13" t="s">
        <v>261</v>
      </c>
      <c r="C15" s="13" t="s">
        <v>3</v>
      </c>
      <c r="D15" s="13">
        <v>2021</v>
      </c>
      <c r="E15" s="13" t="s">
        <v>395</v>
      </c>
      <c r="F15" s="13" t="s">
        <v>269</v>
      </c>
      <c r="G15" s="13" t="s">
        <v>276</v>
      </c>
      <c r="H15" s="13" t="s">
        <v>262</v>
      </c>
      <c r="I15" s="13" t="s">
        <v>262</v>
      </c>
      <c r="J15" s="13" t="s">
        <v>3</v>
      </c>
      <c r="K15" s="13" t="s">
        <v>3</v>
      </c>
    </row>
    <row r="16" spans="1:11" x14ac:dyDescent="0.3">
      <c r="A16" s="13" t="s">
        <v>914</v>
      </c>
      <c r="B16" s="13" t="s">
        <v>63</v>
      </c>
      <c r="C16" s="13">
        <v>5.7498095747039493</v>
      </c>
      <c r="D16" s="13">
        <v>2021</v>
      </c>
      <c r="E16" s="13" t="s">
        <v>395</v>
      </c>
      <c r="F16" s="13" t="s">
        <v>269</v>
      </c>
      <c r="G16" s="13" t="s">
        <v>273</v>
      </c>
      <c r="H16" s="13" t="s">
        <v>262</v>
      </c>
      <c r="I16" s="13" t="s">
        <v>18</v>
      </c>
      <c r="J16" s="13" t="s">
        <v>3</v>
      </c>
      <c r="K16" s="13" t="s">
        <v>329</v>
      </c>
    </row>
    <row r="17" spans="1:11" x14ac:dyDescent="0.3">
      <c r="A17" s="13" t="s">
        <v>914</v>
      </c>
      <c r="B17" s="13" t="s">
        <v>263</v>
      </c>
      <c r="C17" s="13" t="s">
        <v>3</v>
      </c>
      <c r="D17" s="13">
        <v>2021</v>
      </c>
      <c r="E17" s="13" t="s">
        <v>395</v>
      </c>
      <c r="F17" s="13" t="s">
        <v>269</v>
      </c>
      <c r="G17" s="13" t="s">
        <v>277</v>
      </c>
      <c r="H17" s="13" t="s">
        <v>262</v>
      </c>
      <c r="I17" s="13" t="s">
        <v>262</v>
      </c>
      <c r="J17" s="13" t="s">
        <v>3</v>
      </c>
      <c r="K17" s="13" t="s">
        <v>3</v>
      </c>
    </row>
    <row r="18" spans="1:11" x14ac:dyDescent="0.3">
      <c r="A18" s="13" t="s">
        <v>914</v>
      </c>
      <c r="B18" s="13" t="s">
        <v>264</v>
      </c>
      <c r="C18" s="13" t="s">
        <v>3</v>
      </c>
      <c r="D18" s="13">
        <v>2021</v>
      </c>
      <c r="E18" s="13" t="s">
        <v>395</v>
      </c>
      <c r="F18" s="13" t="s">
        <v>269</v>
      </c>
      <c r="G18" s="13" t="s">
        <v>278</v>
      </c>
      <c r="H18" s="13" t="s">
        <v>262</v>
      </c>
      <c r="I18" s="13" t="s">
        <v>262</v>
      </c>
      <c r="J18" s="13" t="s">
        <v>3</v>
      </c>
      <c r="K18" s="13" t="s">
        <v>3</v>
      </c>
    </row>
    <row r="19" spans="1:11" x14ac:dyDescent="0.3">
      <c r="A19" s="13" t="s">
        <v>914</v>
      </c>
      <c r="B19" s="13" t="s">
        <v>64</v>
      </c>
      <c r="C19" s="13">
        <v>1.6051260301647057</v>
      </c>
      <c r="D19" s="13">
        <v>2021</v>
      </c>
      <c r="E19" s="13" t="s">
        <v>395</v>
      </c>
      <c r="F19" s="13" t="s">
        <v>269</v>
      </c>
      <c r="G19" s="13" t="s">
        <v>276</v>
      </c>
      <c r="H19" s="13" t="s">
        <v>262</v>
      </c>
      <c r="I19" s="13" t="s">
        <v>18</v>
      </c>
      <c r="J19" s="13" t="s">
        <v>3</v>
      </c>
      <c r="K19" s="13" t="s">
        <v>330</v>
      </c>
    </row>
    <row r="20" spans="1:11" x14ac:dyDescent="0.3">
      <c r="A20" s="13" t="s">
        <v>914</v>
      </c>
      <c r="B20" s="13" t="s">
        <v>265</v>
      </c>
      <c r="C20" s="13" t="s">
        <v>3</v>
      </c>
      <c r="D20" s="13">
        <v>2021</v>
      </c>
      <c r="E20" s="13" t="s">
        <v>395</v>
      </c>
      <c r="F20" s="13" t="s">
        <v>269</v>
      </c>
      <c r="G20" s="13" t="s">
        <v>279</v>
      </c>
      <c r="H20" s="13" t="s">
        <v>262</v>
      </c>
      <c r="I20" s="13" t="s">
        <v>262</v>
      </c>
      <c r="J20" s="13" t="s">
        <v>3</v>
      </c>
      <c r="K20" s="13" t="s">
        <v>3</v>
      </c>
    </row>
    <row r="21" spans="1:11" x14ac:dyDescent="0.3">
      <c r="A21" s="13" t="s">
        <v>914</v>
      </c>
      <c r="B21" s="13" t="s">
        <v>266</v>
      </c>
      <c r="C21" s="13" t="s">
        <v>3</v>
      </c>
      <c r="D21" s="13">
        <v>2021</v>
      </c>
      <c r="E21" s="13" t="s">
        <v>395</v>
      </c>
      <c r="F21" s="13" t="s">
        <v>269</v>
      </c>
      <c r="G21" s="13" t="s">
        <v>280</v>
      </c>
      <c r="H21" s="13" t="s">
        <v>262</v>
      </c>
      <c r="I21" s="13" t="s">
        <v>262</v>
      </c>
      <c r="J21" s="13" t="s">
        <v>3</v>
      </c>
      <c r="K21" s="13" t="s">
        <v>3</v>
      </c>
    </row>
    <row r="22" spans="1:11" x14ac:dyDescent="0.3">
      <c r="A22" s="13" t="s">
        <v>915</v>
      </c>
      <c r="B22" s="13" t="s">
        <v>208</v>
      </c>
      <c r="C22" s="13">
        <v>2.0100000000000003E-2</v>
      </c>
      <c r="D22" s="13">
        <v>2021</v>
      </c>
      <c r="E22" s="13" t="s">
        <v>395</v>
      </c>
      <c r="F22" s="13" t="s">
        <v>270</v>
      </c>
      <c r="G22" s="13" t="s">
        <v>281</v>
      </c>
      <c r="H22" s="13" t="s">
        <v>262</v>
      </c>
      <c r="I22" s="13" t="s">
        <v>262</v>
      </c>
      <c r="J22" s="13" t="s">
        <v>3</v>
      </c>
      <c r="K22" s="13" t="s">
        <v>3</v>
      </c>
    </row>
    <row r="23" spans="1:11" x14ac:dyDescent="0.3">
      <c r="A23" s="13" t="s">
        <v>61</v>
      </c>
      <c r="B23" s="13" t="s">
        <v>55</v>
      </c>
      <c r="C23" s="13">
        <v>17.212103894439881</v>
      </c>
      <c r="D23" s="13">
        <v>2021</v>
      </c>
      <c r="E23" s="13" t="s">
        <v>395</v>
      </c>
      <c r="F23" s="13" t="s">
        <v>269</v>
      </c>
      <c r="G23" s="13" t="s">
        <v>282</v>
      </c>
      <c r="H23" s="13" t="s">
        <v>18</v>
      </c>
      <c r="I23" s="13" t="s">
        <v>262</v>
      </c>
      <c r="J23" s="13" t="s">
        <v>327</v>
      </c>
      <c r="K23" s="13" t="s">
        <v>3</v>
      </c>
    </row>
    <row r="24" spans="1:11" x14ac:dyDescent="0.3">
      <c r="A24" s="13" t="s">
        <v>258</v>
      </c>
      <c r="B24" s="13" t="s">
        <v>55</v>
      </c>
      <c r="C24" s="13" t="s">
        <v>3</v>
      </c>
      <c r="D24" s="13">
        <v>2021</v>
      </c>
      <c r="E24" s="13" t="s">
        <v>395</v>
      </c>
      <c r="F24" s="13" t="s">
        <v>271</v>
      </c>
      <c r="G24" s="13" t="s">
        <v>282</v>
      </c>
      <c r="H24" s="13" t="s">
        <v>262</v>
      </c>
      <c r="I24" s="13" t="s">
        <v>262</v>
      </c>
      <c r="J24" s="13" t="s">
        <v>3</v>
      </c>
      <c r="K24" s="13" t="s">
        <v>3</v>
      </c>
    </row>
    <row r="25" spans="1:11" x14ac:dyDescent="0.3">
      <c r="A25" s="13" t="s">
        <v>259</v>
      </c>
      <c r="B25" s="13" t="s">
        <v>55</v>
      </c>
      <c r="C25" s="13" t="s">
        <v>3</v>
      </c>
      <c r="D25" s="13">
        <v>2021</v>
      </c>
      <c r="E25" s="13" t="s">
        <v>395</v>
      </c>
      <c r="F25" s="13" t="s">
        <v>272</v>
      </c>
      <c r="G25" s="13" t="s">
        <v>282</v>
      </c>
      <c r="H25" s="13" t="s">
        <v>262</v>
      </c>
      <c r="I25" s="13" t="s">
        <v>262</v>
      </c>
      <c r="J25" s="13" t="s">
        <v>3</v>
      </c>
      <c r="K25" s="13" t="s">
        <v>3</v>
      </c>
    </row>
    <row r="26" spans="1:11" x14ac:dyDescent="0.3">
      <c r="A26" s="13" t="s">
        <v>61</v>
      </c>
      <c r="B26" s="13" t="s">
        <v>408</v>
      </c>
      <c r="C26" s="13">
        <v>133.42308653727227</v>
      </c>
      <c r="D26" s="13">
        <v>2021</v>
      </c>
      <c r="E26" s="13" t="s">
        <v>395</v>
      </c>
      <c r="F26" s="13" t="s">
        <v>269</v>
      </c>
      <c r="G26" s="13" t="s">
        <v>312</v>
      </c>
      <c r="H26" s="13" t="s">
        <v>18</v>
      </c>
      <c r="I26" s="13" t="s">
        <v>262</v>
      </c>
      <c r="J26" s="13" t="s">
        <v>327</v>
      </c>
      <c r="K26" s="13" t="s">
        <v>3</v>
      </c>
    </row>
    <row r="27" spans="1:11" x14ac:dyDescent="0.3">
      <c r="A27" s="13" t="s">
        <v>258</v>
      </c>
      <c r="B27" s="13" t="s">
        <v>408</v>
      </c>
      <c r="C27" s="13" t="s">
        <v>3</v>
      </c>
      <c r="D27" s="13">
        <v>2021</v>
      </c>
      <c r="E27" s="13" t="s">
        <v>395</v>
      </c>
      <c r="F27" s="13" t="s">
        <v>271</v>
      </c>
      <c r="G27" s="13" t="s">
        <v>312</v>
      </c>
      <c r="H27" s="13" t="s">
        <v>262</v>
      </c>
      <c r="I27" s="13" t="s">
        <v>262</v>
      </c>
      <c r="J27" s="13" t="s">
        <v>3</v>
      </c>
      <c r="K27" s="13" t="s">
        <v>3</v>
      </c>
    </row>
    <row r="28" spans="1:11" x14ac:dyDescent="0.3">
      <c r="A28" s="13" t="s">
        <v>259</v>
      </c>
      <c r="B28" s="13" t="s">
        <v>408</v>
      </c>
      <c r="C28" s="13" t="s">
        <v>3</v>
      </c>
      <c r="D28" s="13">
        <v>2021</v>
      </c>
      <c r="E28" s="13" t="s">
        <v>395</v>
      </c>
      <c r="F28" s="13" t="s">
        <v>272</v>
      </c>
      <c r="G28" s="13" t="s">
        <v>312</v>
      </c>
      <c r="H28" s="13" t="s">
        <v>262</v>
      </c>
      <c r="I28" s="13" t="s">
        <v>262</v>
      </c>
      <c r="J28" s="13" t="s">
        <v>3</v>
      </c>
      <c r="K28" s="13" t="s">
        <v>3</v>
      </c>
    </row>
    <row r="29" spans="1:11" x14ac:dyDescent="0.3">
      <c r="A29" s="13" t="s">
        <v>260</v>
      </c>
      <c r="B29" s="13" t="s">
        <v>267</v>
      </c>
      <c r="C29" s="13">
        <v>33.398878259253671</v>
      </c>
      <c r="D29" s="13">
        <v>2021</v>
      </c>
      <c r="E29" s="13" t="s">
        <v>395</v>
      </c>
      <c r="F29" s="13" t="s">
        <v>273</v>
      </c>
      <c r="G29" s="13" t="s">
        <v>287</v>
      </c>
      <c r="H29" s="13" t="s">
        <v>262</v>
      </c>
      <c r="I29" s="13" t="s">
        <v>262</v>
      </c>
      <c r="J29" s="13" t="s">
        <v>3</v>
      </c>
      <c r="K29" s="13" t="s">
        <v>3</v>
      </c>
    </row>
    <row r="30" spans="1:11" x14ac:dyDescent="0.3">
      <c r="A30" s="13" t="s">
        <v>261</v>
      </c>
      <c r="B30" s="13" t="s">
        <v>268</v>
      </c>
      <c r="C30" s="13">
        <v>18.48257214828466</v>
      </c>
      <c r="D30" s="13">
        <v>2021</v>
      </c>
      <c r="E30" s="13" t="s">
        <v>395</v>
      </c>
      <c r="F30" s="13" t="s">
        <v>276</v>
      </c>
      <c r="G30" s="13" t="s">
        <v>288</v>
      </c>
      <c r="H30" s="13" t="s">
        <v>262</v>
      </c>
      <c r="I30" s="13" t="s">
        <v>262</v>
      </c>
      <c r="J30" s="13" t="s">
        <v>3</v>
      </c>
      <c r="K30" s="13" t="s">
        <v>3</v>
      </c>
    </row>
    <row r="31" spans="1:11" x14ac:dyDescent="0.3">
      <c r="A31" s="13" t="s">
        <v>62</v>
      </c>
      <c r="B31" s="13" t="s">
        <v>49</v>
      </c>
      <c r="C31" s="13">
        <v>2.0872847728052828</v>
      </c>
      <c r="D31" s="13">
        <v>2021</v>
      </c>
      <c r="E31" s="13" t="s">
        <v>395</v>
      </c>
      <c r="F31" s="13" t="s">
        <v>272</v>
      </c>
      <c r="G31" s="13" t="s">
        <v>289</v>
      </c>
      <c r="H31" s="13" t="s">
        <v>18</v>
      </c>
      <c r="I31" s="13" t="s">
        <v>262</v>
      </c>
      <c r="J31" s="13" t="s">
        <v>328</v>
      </c>
      <c r="K31" s="13" t="s">
        <v>3</v>
      </c>
    </row>
    <row r="32" spans="1:11" x14ac:dyDescent="0.3">
      <c r="A32" s="13" t="s">
        <v>260</v>
      </c>
      <c r="B32" s="13" t="s">
        <v>49</v>
      </c>
      <c r="C32" s="13" t="s">
        <v>3</v>
      </c>
      <c r="D32" s="13">
        <v>2021</v>
      </c>
      <c r="E32" s="13" t="s">
        <v>395</v>
      </c>
      <c r="F32" s="13" t="s">
        <v>273</v>
      </c>
      <c r="G32" s="13" t="s">
        <v>289</v>
      </c>
      <c r="H32" s="13" t="s">
        <v>262</v>
      </c>
      <c r="I32" s="13" t="s">
        <v>262</v>
      </c>
      <c r="J32" s="13" t="s">
        <v>3</v>
      </c>
      <c r="K32" s="13" t="s">
        <v>3</v>
      </c>
    </row>
    <row r="33" spans="1:11" x14ac:dyDescent="0.3">
      <c r="A33" s="13" t="s">
        <v>261</v>
      </c>
      <c r="B33" s="13" t="s">
        <v>49</v>
      </c>
      <c r="C33" s="13" t="s">
        <v>3</v>
      </c>
      <c r="D33" s="13">
        <v>2021</v>
      </c>
      <c r="E33" s="13" t="s">
        <v>395</v>
      </c>
      <c r="F33" s="13" t="s">
        <v>276</v>
      </c>
      <c r="G33" s="13" t="s">
        <v>289</v>
      </c>
      <c r="H33" s="13" t="s">
        <v>262</v>
      </c>
      <c r="I33" s="13" t="s">
        <v>262</v>
      </c>
      <c r="J33" s="13" t="s">
        <v>3</v>
      </c>
      <c r="K33" s="13" t="s">
        <v>3</v>
      </c>
    </row>
    <row r="34" spans="1:11" x14ac:dyDescent="0.3">
      <c r="A34" s="13" t="s">
        <v>62</v>
      </c>
      <c r="B34" s="13" t="s">
        <v>44</v>
      </c>
      <c r="C34" s="13">
        <v>14.563223285500696</v>
      </c>
      <c r="D34" s="13">
        <v>2021</v>
      </c>
      <c r="E34" s="13" t="s">
        <v>395</v>
      </c>
      <c r="F34" s="13" t="s">
        <v>272</v>
      </c>
      <c r="G34" s="13" t="s">
        <v>290</v>
      </c>
      <c r="H34" s="13" t="s">
        <v>18</v>
      </c>
      <c r="I34" s="13" t="s">
        <v>262</v>
      </c>
      <c r="J34" s="13" t="s">
        <v>328</v>
      </c>
      <c r="K34" s="13" t="s">
        <v>3</v>
      </c>
    </row>
    <row r="35" spans="1:11" x14ac:dyDescent="0.3">
      <c r="A35" s="13" t="s">
        <v>260</v>
      </c>
      <c r="B35" s="13" t="s">
        <v>44</v>
      </c>
      <c r="C35" s="13" t="s">
        <v>3</v>
      </c>
      <c r="D35" s="13">
        <v>2021</v>
      </c>
      <c r="E35" s="13" t="s">
        <v>395</v>
      </c>
      <c r="F35" s="13" t="s">
        <v>273</v>
      </c>
      <c r="G35" s="13" t="s">
        <v>290</v>
      </c>
      <c r="H35" s="13" t="s">
        <v>262</v>
      </c>
      <c r="I35" s="13" t="s">
        <v>262</v>
      </c>
      <c r="J35" s="13" t="s">
        <v>3</v>
      </c>
      <c r="K35" s="13" t="s">
        <v>3</v>
      </c>
    </row>
    <row r="36" spans="1:11" x14ac:dyDescent="0.3">
      <c r="A36" s="13" t="s">
        <v>261</v>
      </c>
      <c r="B36" s="13" t="s">
        <v>44</v>
      </c>
      <c r="C36" s="13" t="s">
        <v>3</v>
      </c>
      <c r="D36" s="13">
        <v>2021</v>
      </c>
      <c r="E36" s="13" t="s">
        <v>395</v>
      </c>
      <c r="F36" s="13" t="s">
        <v>276</v>
      </c>
      <c r="G36" s="13" t="s">
        <v>290</v>
      </c>
      <c r="H36" s="13" t="s">
        <v>262</v>
      </c>
      <c r="I36" s="13" t="s">
        <v>262</v>
      </c>
      <c r="J36" s="13" t="s">
        <v>3</v>
      </c>
      <c r="K36" s="13" t="s">
        <v>3</v>
      </c>
    </row>
    <row r="37" spans="1:11" x14ac:dyDescent="0.3">
      <c r="A37" s="13" t="s">
        <v>63</v>
      </c>
      <c r="B37" s="13" t="s">
        <v>65</v>
      </c>
      <c r="C37" s="13" t="s">
        <v>3</v>
      </c>
      <c r="D37" s="13">
        <v>2021</v>
      </c>
      <c r="E37" s="13" t="s">
        <v>395</v>
      </c>
      <c r="F37" s="13" t="s">
        <v>273</v>
      </c>
      <c r="G37" s="13" t="s">
        <v>278</v>
      </c>
      <c r="H37" s="13" t="s">
        <v>18</v>
      </c>
      <c r="I37" s="13" t="s">
        <v>18</v>
      </c>
      <c r="J37" s="13" t="s">
        <v>329</v>
      </c>
      <c r="K37" s="13" t="s">
        <v>334</v>
      </c>
    </row>
    <row r="38" spans="1:11" x14ac:dyDescent="0.3">
      <c r="A38" s="13" t="s">
        <v>263</v>
      </c>
      <c r="B38" s="13" t="s">
        <v>53</v>
      </c>
      <c r="C38" s="13" t="s">
        <v>3</v>
      </c>
      <c r="D38" s="13">
        <v>2021</v>
      </c>
      <c r="E38" s="13" t="s">
        <v>395</v>
      </c>
      <c r="F38" s="13" t="s">
        <v>277</v>
      </c>
      <c r="G38" s="13" t="s">
        <v>284</v>
      </c>
      <c r="H38" s="13" t="s">
        <v>262</v>
      </c>
      <c r="I38" s="13" t="s">
        <v>262</v>
      </c>
      <c r="J38" s="13" t="s">
        <v>3</v>
      </c>
      <c r="K38" s="13" t="s">
        <v>3</v>
      </c>
    </row>
    <row r="39" spans="1:11" x14ac:dyDescent="0.3">
      <c r="A39" s="13" t="s">
        <v>263</v>
      </c>
      <c r="B39" s="13" t="s">
        <v>54</v>
      </c>
      <c r="C39" s="13" t="s">
        <v>3</v>
      </c>
      <c r="D39" s="13">
        <v>2021</v>
      </c>
      <c r="E39" s="13" t="s">
        <v>395</v>
      </c>
      <c r="F39" s="13" t="s">
        <v>277</v>
      </c>
      <c r="G39" s="13" t="s">
        <v>285</v>
      </c>
      <c r="H39" s="13" t="s">
        <v>262</v>
      </c>
      <c r="I39" s="13" t="s">
        <v>262</v>
      </c>
      <c r="J39" s="13" t="s">
        <v>3</v>
      </c>
      <c r="K39" s="13" t="s">
        <v>3</v>
      </c>
    </row>
    <row r="40" spans="1:11" x14ac:dyDescent="0.3">
      <c r="A40" s="13" t="s">
        <v>264</v>
      </c>
      <c r="B40" s="13" t="s">
        <v>53</v>
      </c>
      <c r="C40" s="13" t="s">
        <v>3</v>
      </c>
      <c r="D40" s="13">
        <v>2021</v>
      </c>
      <c r="E40" s="13" t="s">
        <v>395</v>
      </c>
      <c r="F40" s="13" t="s">
        <v>278</v>
      </c>
      <c r="G40" s="13" t="s">
        <v>284</v>
      </c>
      <c r="H40" s="13" t="s">
        <v>262</v>
      </c>
      <c r="I40" s="13" t="s">
        <v>262</v>
      </c>
      <c r="J40" s="13" t="s">
        <v>3</v>
      </c>
      <c r="K40" s="13" t="s">
        <v>3</v>
      </c>
    </row>
    <row r="41" spans="1:11" x14ac:dyDescent="0.3">
      <c r="A41" s="13" t="s">
        <v>264</v>
      </c>
      <c r="B41" s="13" t="s">
        <v>54</v>
      </c>
      <c r="C41" s="13" t="s">
        <v>3</v>
      </c>
      <c r="D41" s="13">
        <v>2021</v>
      </c>
      <c r="E41" s="13" t="s">
        <v>395</v>
      </c>
      <c r="F41" s="13" t="s">
        <v>278</v>
      </c>
      <c r="G41" s="13" t="s">
        <v>285</v>
      </c>
      <c r="H41" s="13" t="s">
        <v>262</v>
      </c>
      <c r="I41" s="13" t="s">
        <v>262</v>
      </c>
      <c r="J41" s="13" t="s">
        <v>3</v>
      </c>
      <c r="K41" s="13" t="s">
        <v>3</v>
      </c>
    </row>
    <row r="42" spans="1:11" x14ac:dyDescent="0.3">
      <c r="A42" s="13" t="s">
        <v>64</v>
      </c>
      <c r="B42" s="13" t="s">
        <v>175</v>
      </c>
      <c r="C42" s="13">
        <v>9.9918135672325636</v>
      </c>
      <c r="D42" s="13">
        <v>2021</v>
      </c>
      <c r="E42" s="13" t="s">
        <v>395</v>
      </c>
      <c r="F42" s="13" t="s">
        <v>276</v>
      </c>
      <c r="G42" s="13" t="s">
        <v>283</v>
      </c>
      <c r="H42" s="13" t="s">
        <v>18</v>
      </c>
      <c r="I42" s="13" t="s">
        <v>262</v>
      </c>
      <c r="J42" s="13" t="s">
        <v>330</v>
      </c>
      <c r="K42" s="13" t="s">
        <v>3</v>
      </c>
    </row>
    <row r="43" spans="1:11" x14ac:dyDescent="0.3">
      <c r="A43" s="13" t="s">
        <v>265</v>
      </c>
      <c r="B43" s="13" t="s">
        <v>175</v>
      </c>
      <c r="C43" s="13" t="s">
        <v>3</v>
      </c>
      <c r="D43" s="13">
        <v>2021</v>
      </c>
      <c r="E43" s="13" t="s">
        <v>395</v>
      </c>
      <c r="F43" s="13" t="s">
        <v>279</v>
      </c>
      <c r="G43" s="13" t="s">
        <v>283</v>
      </c>
      <c r="H43" s="13" t="s">
        <v>262</v>
      </c>
      <c r="I43" s="13" t="s">
        <v>262</v>
      </c>
      <c r="J43" s="13" t="s">
        <v>3</v>
      </c>
      <c r="K43" s="13" t="s">
        <v>3</v>
      </c>
    </row>
    <row r="44" spans="1:11" x14ac:dyDescent="0.3">
      <c r="A44" s="13" t="s">
        <v>266</v>
      </c>
      <c r="B44" s="13" t="s">
        <v>175</v>
      </c>
      <c r="C44" s="13" t="s">
        <v>3</v>
      </c>
      <c r="D44" s="13">
        <v>2021</v>
      </c>
      <c r="E44" s="13" t="s">
        <v>395</v>
      </c>
      <c r="F44" s="13" t="s">
        <v>280</v>
      </c>
      <c r="G44" s="13" t="s">
        <v>283</v>
      </c>
      <c r="H44" s="13" t="s">
        <v>262</v>
      </c>
      <c r="I44" s="13" t="s">
        <v>262</v>
      </c>
      <c r="J44" s="13" t="s">
        <v>3</v>
      </c>
      <c r="K44" s="13" t="s">
        <v>3</v>
      </c>
    </row>
    <row r="45" spans="1:11" x14ac:dyDescent="0.3">
      <c r="A45" s="13" t="s">
        <v>208</v>
      </c>
      <c r="B45" s="13" t="s">
        <v>51</v>
      </c>
      <c r="C45" s="13">
        <v>2.0100000000000003E-2</v>
      </c>
      <c r="D45" s="13">
        <v>2021</v>
      </c>
      <c r="E45" s="13" t="s">
        <v>395</v>
      </c>
      <c r="F45" s="13" t="s">
        <v>281</v>
      </c>
      <c r="G45" s="13" t="s">
        <v>284</v>
      </c>
      <c r="H45" s="13" t="s">
        <v>262</v>
      </c>
      <c r="I45" s="13" t="s">
        <v>18</v>
      </c>
      <c r="J45" s="13" t="s">
        <v>3</v>
      </c>
      <c r="K45" s="13" t="s">
        <v>360</v>
      </c>
    </row>
    <row r="46" spans="1:11" x14ac:dyDescent="0.3">
      <c r="A46" s="13" t="s">
        <v>208</v>
      </c>
      <c r="B46" s="13" t="s">
        <v>36</v>
      </c>
      <c r="C46" s="13">
        <v>0</v>
      </c>
      <c r="D46" s="13">
        <v>2021</v>
      </c>
      <c r="E46" s="13" t="s">
        <v>395</v>
      </c>
      <c r="F46" s="13" t="s">
        <v>281</v>
      </c>
      <c r="G46" s="13" t="s">
        <v>306</v>
      </c>
      <c r="H46" s="13" t="s">
        <v>262</v>
      </c>
      <c r="I46" s="13" t="s">
        <v>262</v>
      </c>
      <c r="J46" s="13" t="s">
        <v>3</v>
      </c>
      <c r="K46" s="13" t="s">
        <v>3</v>
      </c>
    </row>
    <row r="47" spans="1:11" x14ac:dyDescent="0.3">
      <c r="A47" s="13" t="s">
        <v>208</v>
      </c>
      <c r="B47" s="13" t="s">
        <v>37</v>
      </c>
      <c r="C47" s="13">
        <v>2.0100000000000005E-3</v>
      </c>
      <c r="D47" s="13">
        <v>2021</v>
      </c>
      <c r="E47" s="13" t="s">
        <v>395</v>
      </c>
      <c r="F47" s="13" t="s">
        <v>281</v>
      </c>
      <c r="G47" s="13" t="s">
        <v>307</v>
      </c>
      <c r="H47" s="13" t="s">
        <v>262</v>
      </c>
      <c r="I47" s="13" t="s">
        <v>262</v>
      </c>
      <c r="J47" s="13" t="s">
        <v>3</v>
      </c>
      <c r="K47" s="13" t="s">
        <v>3</v>
      </c>
    </row>
    <row r="48" spans="1:11" x14ac:dyDescent="0.3">
      <c r="A48" s="13" t="s">
        <v>208</v>
      </c>
      <c r="B48" s="13" t="s">
        <v>39</v>
      </c>
      <c r="C48" s="13">
        <v>0</v>
      </c>
      <c r="D48" s="13">
        <v>2021</v>
      </c>
      <c r="E48" s="13" t="s">
        <v>395</v>
      </c>
      <c r="F48" s="13" t="s">
        <v>281</v>
      </c>
      <c r="G48" s="13" t="s">
        <v>308</v>
      </c>
      <c r="H48" s="13" t="s">
        <v>262</v>
      </c>
      <c r="I48" s="13" t="s">
        <v>262</v>
      </c>
      <c r="J48" s="13" t="s">
        <v>3</v>
      </c>
      <c r="K48" s="13" t="s">
        <v>3</v>
      </c>
    </row>
    <row r="49" spans="1:11" x14ac:dyDescent="0.3">
      <c r="A49" s="13" t="s">
        <v>208</v>
      </c>
      <c r="B49" s="13" t="s">
        <v>40</v>
      </c>
      <c r="C49" s="13">
        <v>4.020000000000001E-3</v>
      </c>
      <c r="D49" s="13">
        <v>2021</v>
      </c>
      <c r="E49" s="13" t="s">
        <v>395</v>
      </c>
      <c r="F49" s="13" t="s">
        <v>281</v>
      </c>
      <c r="G49" s="13" t="s">
        <v>309</v>
      </c>
      <c r="H49" s="13" t="s">
        <v>262</v>
      </c>
      <c r="I49" s="13" t="s">
        <v>262</v>
      </c>
      <c r="J49" s="13" t="s">
        <v>3</v>
      </c>
      <c r="K49" s="13" t="s">
        <v>3</v>
      </c>
    </row>
    <row r="50" spans="1:11" x14ac:dyDescent="0.3">
      <c r="A50" s="13" t="s">
        <v>208</v>
      </c>
      <c r="B50" s="13" t="s">
        <v>41</v>
      </c>
      <c r="C50" s="13">
        <v>2.0100000000000005E-3</v>
      </c>
      <c r="D50" s="13">
        <v>2021</v>
      </c>
      <c r="E50" s="13" t="s">
        <v>395</v>
      </c>
      <c r="F50" s="13" t="s">
        <v>281</v>
      </c>
      <c r="G50" s="13" t="s">
        <v>310</v>
      </c>
      <c r="H50" s="13" t="s">
        <v>262</v>
      </c>
      <c r="I50" s="13" t="s">
        <v>262</v>
      </c>
      <c r="J50" s="13" t="s">
        <v>3</v>
      </c>
      <c r="K50" s="13" t="s">
        <v>3</v>
      </c>
    </row>
    <row r="51" spans="1:11" x14ac:dyDescent="0.3">
      <c r="A51" s="13" t="s">
        <v>208</v>
      </c>
      <c r="B51" s="13" t="s">
        <v>38</v>
      </c>
      <c r="C51" s="13">
        <v>1.2060000000000001E-2</v>
      </c>
      <c r="D51" s="13">
        <v>2021</v>
      </c>
      <c r="E51" s="13" t="s">
        <v>395</v>
      </c>
      <c r="F51" s="13" t="s">
        <v>281</v>
      </c>
      <c r="G51" s="13" t="s">
        <v>311</v>
      </c>
      <c r="H51" s="13" t="s">
        <v>262</v>
      </c>
      <c r="I51" s="13" t="s">
        <v>262</v>
      </c>
      <c r="J51" s="13" t="s">
        <v>3</v>
      </c>
      <c r="K51" s="13" t="s">
        <v>3</v>
      </c>
    </row>
    <row r="52" spans="1:11" x14ac:dyDescent="0.3">
      <c r="A52" s="13" t="s">
        <v>208</v>
      </c>
      <c r="B52" s="13" t="s">
        <v>74</v>
      </c>
      <c r="C52" s="13">
        <v>0</v>
      </c>
      <c r="D52" s="13">
        <v>2021</v>
      </c>
      <c r="E52" s="13" t="s">
        <v>395</v>
      </c>
      <c r="F52" s="13" t="s">
        <v>281</v>
      </c>
      <c r="G52" s="13" t="s">
        <v>324</v>
      </c>
      <c r="H52" s="13" t="s">
        <v>262</v>
      </c>
      <c r="I52" s="13" t="s">
        <v>262</v>
      </c>
      <c r="J52" s="13" t="s">
        <v>3</v>
      </c>
      <c r="K52" s="13" t="s">
        <v>3</v>
      </c>
    </row>
    <row r="53" spans="1:11" x14ac:dyDescent="0.3">
      <c r="A53" s="13" t="s">
        <v>55</v>
      </c>
      <c r="B53" s="13" t="s">
        <v>74</v>
      </c>
      <c r="C53" s="13">
        <v>12.002844754439881</v>
      </c>
      <c r="D53" s="13">
        <v>2021</v>
      </c>
      <c r="E53" s="13" t="s">
        <v>395</v>
      </c>
      <c r="F53" s="13" t="s">
        <v>282</v>
      </c>
      <c r="G53" s="13" t="s">
        <v>324</v>
      </c>
      <c r="H53" s="13" t="s">
        <v>262</v>
      </c>
      <c r="I53" s="13" t="s">
        <v>262</v>
      </c>
      <c r="J53" s="13" t="s">
        <v>3</v>
      </c>
      <c r="K53" s="13" t="s">
        <v>3</v>
      </c>
    </row>
    <row r="54" spans="1:11" x14ac:dyDescent="0.3">
      <c r="A54" s="13" t="s">
        <v>55</v>
      </c>
      <c r="B54" s="13" t="s">
        <v>408</v>
      </c>
      <c r="C54" s="13">
        <v>5.2092591400000003</v>
      </c>
      <c r="D54" s="13">
        <v>2021</v>
      </c>
      <c r="E54" s="13" t="s">
        <v>395</v>
      </c>
      <c r="F54" s="13" t="s">
        <v>282</v>
      </c>
      <c r="G54" s="13" t="s">
        <v>312</v>
      </c>
      <c r="H54" s="13" t="s">
        <v>262</v>
      </c>
      <c r="I54" s="13" t="s">
        <v>262</v>
      </c>
      <c r="J54" s="13" t="s">
        <v>3</v>
      </c>
      <c r="K54" s="13" t="s">
        <v>3</v>
      </c>
    </row>
    <row r="55" spans="1:11" x14ac:dyDescent="0.3">
      <c r="A55" s="13" t="s">
        <v>175</v>
      </c>
      <c r="B55" s="13" t="s">
        <v>59</v>
      </c>
      <c r="C55" s="13">
        <v>6.8701287830456641</v>
      </c>
      <c r="D55" s="13">
        <v>2021</v>
      </c>
      <c r="E55" s="13" t="s">
        <v>395</v>
      </c>
      <c r="F55" s="13" t="s">
        <v>283</v>
      </c>
      <c r="G55" s="13" t="s">
        <v>286</v>
      </c>
      <c r="H55" s="13" t="s">
        <v>262</v>
      </c>
      <c r="I55" s="13" t="s">
        <v>18</v>
      </c>
      <c r="J55" s="13" t="s">
        <v>3</v>
      </c>
      <c r="K55" s="13" t="s">
        <v>361</v>
      </c>
    </row>
    <row r="56" spans="1:11" x14ac:dyDescent="0.3">
      <c r="A56" s="13" t="s">
        <v>175</v>
      </c>
      <c r="B56" s="13" t="s">
        <v>408</v>
      </c>
      <c r="C56" s="13" t="s">
        <v>3</v>
      </c>
      <c r="D56" s="13">
        <v>2021</v>
      </c>
      <c r="E56" s="13" t="s">
        <v>395</v>
      </c>
      <c r="F56" s="13" t="s">
        <v>283</v>
      </c>
      <c r="G56" s="13" t="s">
        <v>312</v>
      </c>
      <c r="H56" s="13" t="s">
        <v>262</v>
      </c>
      <c r="I56" s="13" t="s">
        <v>262</v>
      </c>
      <c r="J56" s="13" t="s">
        <v>3</v>
      </c>
      <c r="K56" s="13" t="s">
        <v>3</v>
      </c>
    </row>
    <row r="57" spans="1:11" x14ac:dyDescent="0.3">
      <c r="A57" s="13" t="s">
        <v>175</v>
      </c>
      <c r="B57" s="13" t="s">
        <v>31</v>
      </c>
      <c r="C57" s="13">
        <v>0</v>
      </c>
      <c r="D57" s="13">
        <v>2021</v>
      </c>
      <c r="E57" s="13" t="s">
        <v>395</v>
      </c>
      <c r="F57" s="13" t="s">
        <v>283</v>
      </c>
      <c r="G57" s="13" t="s">
        <v>313</v>
      </c>
      <c r="H57" s="13" t="s">
        <v>262</v>
      </c>
      <c r="I57" s="13" t="s">
        <v>262</v>
      </c>
      <c r="J57" s="13" t="s">
        <v>3</v>
      </c>
      <c r="K57" s="13" t="s">
        <v>3</v>
      </c>
    </row>
    <row r="58" spans="1:11" x14ac:dyDescent="0.3">
      <c r="A58" s="13" t="s">
        <v>175</v>
      </c>
      <c r="B58" s="13" t="s">
        <v>32</v>
      </c>
      <c r="C58" s="13">
        <v>0</v>
      </c>
      <c r="D58" s="13">
        <v>2021</v>
      </c>
      <c r="E58" s="13" t="s">
        <v>395</v>
      </c>
      <c r="F58" s="13" t="s">
        <v>283</v>
      </c>
      <c r="G58" s="13" t="s">
        <v>314</v>
      </c>
      <c r="H58" s="13" t="s">
        <v>262</v>
      </c>
      <c r="I58" s="13" t="s">
        <v>262</v>
      </c>
      <c r="J58" s="13" t="s">
        <v>3</v>
      </c>
      <c r="K58" s="13" t="s">
        <v>3</v>
      </c>
    </row>
    <row r="59" spans="1:11" x14ac:dyDescent="0.3">
      <c r="A59" s="13" t="s">
        <v>175</v>
      </c>
      <c r="B59" s="13" t="s">
        <v>33</v>
      </c>
      <c r="C59" s="13" t="s">
        <v>3</v>
      </c>
      <c r="D59" s="13">
        <v>2021</v>
      </c>
      <c r="E59" s="13" t="s">
        <v>395</v>
      </c>
      <c r="F59" s="13" t="s">
        <v>283</v>
      </c>
      <c r="G59" s="13" t="s">
        <v>315</v>
      </c>
      <c r="H59" s="13" t="s">
        <v>262</v>
      </c>
      <c r="I59" s="13" t="s">
        <v>262</v>
      </c>
      <c r="J59" s="13" t="s">
        <v>3</v>
      </c>
      <c r="K59" s="13" t="s">
        <v>3</v>
      </c>
    </row>
    <row r="60" spans="1:11" x14ac:dyDescent="0.3">
      <c r="A60" s="13" t="s">
        <v>175</v>
      </c>
      <c r="B60" s="13" t="s">
        <v>34</v>
      </c>
      <c r="C60" s="13">
        <v>0</v>
      </c>
      <c r="D60" s="13">
        <v>2021</v>
      </c>
      <c r="E60" s="13" t="s">
        <v>395</v>
      </c>
      <c r="F60" s="13" t="s">
        <v>283</v>
      </c>
      <c r="G60" s="13" t="s">
        <v>316</v>
      </c>
      <c r="H60" s="13" t="s">
        <v>262</v>
      </c>
      <c r="I60" s="13" t="s">
        <v>262</v>
      </c>
      <c r="J60" s="13" t="s">
        <v>3</v>
      </c>
      <c r="K60" s="13" t="s">
        <v>3</v>
      </c>
    </row>
    <row r="61" spans="1:11" x14ac:dyDescent="0.3">
      <c r="A61" s="13" t="s">
        <v>175</v>
      </c>
      <c r="B61" s="13" t="s">
        <v>35</v>
      </c>
      <c r="C61" s="13">
        <v>0</v>
      </c>
      <c r="D61" s="13">
        <v>2021</v>
      </c>
      <c r="E61" s="13" t="s">
        <v>395</v>
      </c>
      <c r="F61" s="13" t="s">
        <v>283</v>
      </c>
      <c r="G61" s="13" t="s">
        <v>317</v>
      </c>
      <c r="H61" s="13" t="s">
        <v>262</v>
      </c>
      <c r="I61" s="13" t="s">
        <v>262</v>
      </c>
      <c r="J61" s="13" t="s">
        <v>3</v>
      </c>
      <c r="K61" s="13" t="s">
        <v>3</v>
      </c>
    </row>
    <row r="62" spans="1:11" x14ac:dyDescent="0.3">
      <c r="A62" s="13" t="s">
        <v>175</v>
      </c>
      <c r="B62" s="13" t="s">
        <v>57</v>
      </c>
      <c r="C62" s="13" t="s">
        <v>3</v>
      </c>
      <c r="D62" s="13">
        <v>2021</v>
      </c>
      <c r="E62" s="13" t="s">
        <v>395</v>
      </c>
      <c r="F62" s="13" t="s">
        <v>283</v>
      </c>
      <c r="G62" s="13" t="s">
        <v>318</v>
      </c>
      <c r="H62" s="13" t="s">
        <v>262</v>
      </c>
      <c r="I62" s="13" t="s">
        <v>262</v>
      </c>
      <c r="J62" s="13" t="s">
        <v>3</v>
      </c>
      <c r="K62" s="13" t="s">
        <v>3</v>
      </c>
    </row>
    <row r="63" spans="1:11" x14ac:dyDescent="0.3">
      <c r="A63" s="13" t="s">
        <v>175</v>
      </c>
      <c r="B63" s="13" t="s">
        <v>58</v>
      </c>
      <c r="C63" s="13">
        <v>3.1216847841869013</v>
      </c>
      <c r="D63" s="13">
        <v>2021</v>
      </c>
      <c r="E63" s="13" t="s">
        <v>395</v>
      </c>
      <c r="F63" s="13" t="s">
        <v>283</v>
      </c>
      <c r="G63" s="13" t="s">
        <v>287</v>
      </c>
      <c r="H63" s="13" t="s">
        <v>262</v>
      </c>
      <c r="I63" s="13" t="s">
        <v>18</v>
      </c>
      <c r="J63" s="13" t="s">
        <v>3</v>
      </c>
      <c r="K63" s="13" t="s">
        <v>362</v>
      </c>
    </row>
    <row r="64" spans="1:11" x14ac:dyDescent="0.3">
      <c r="A64" s="13" t="s">
        <v>175</v>
      </c>
      <c r="B64" s="13" t="s">
        <v>29</v>
      </c>
      <c r="C64" s="13" t="s">
        <v>3</v>
      </c>
      <c r="D64" s="13">
        <v>2021</v>
      </c>
      <c r="E64" s="13" t="s">
        <v>395</v>
      </c>
      <c r="F64" s="13" t="s">
        <v>283</v>
      </c>
      <c r="G64" s="13" t="s">
        <v>319</v>
      </c>
      <c r="H64" s="13" t="s">
        <v>262</v>
      </c>
      <c r="I64" s="13" t="s">
        <v>262</v>
      </c>
      <c r="J64" s="13" t="s">
        <v>3</v>
      </c>
      <c r="K64" s="13" t="s">
        <v>3</v>
      </c>
    </row>
    <row r="65" spans="1:11" x14ac:dyDescent="0.3">
      <c r="A65" s="13" t="s">
        <v>175</v>
      </c>
      <c r="B65" s="13" t="s">
        <v>73</v>
      </c>
      <c r="C65" s="13" t="s">
        <v>3</v>
      </c>
      <c r="D65" s="13">
        <v>2021</v>
      </c>
      <c r="E65" s="13" t="s">
        <v>395</v>
      </c>
      <c r="F65" s="13" t="s">
        <v>283</v>
      </c>
      <c r="G65" s="13" t="s">
        <v>320</v>
      </c>
      <c r="H65" s="13" t="s">
        <v>262</v>
      </c>
      <c r="I65" s="13" t="s">
        <v>262</v>
      </c>
      <c r="J65" s="13" t="s">
        <v>3</v>
      </c>
      <c r="K65" s="13" t="s">
        <v>3</v>
      </c>
    </row>
    <row r="66" spans="1:11" x14ac:dyDescent="0.3">
      <c r="A66" s="13" t="s">
        <v>175</v>
      </c>
      <c r="B66" s="13" t="s">
        <v>30</v>
      </c>
      <c r="C66" s="13" t="s">
        <v>3</v>
      </c>
      <c r="D66" s="13">
        <v>2021</v>
      </c>
      <c r="E66" s="13" t="s">
        <v>395</v>
      </c>
      <c r="F66" s="13" t="s">
        <v>283</v>
      </c>
      <c r="G66" s="13" t="s">
        <v>321</v>
      </c>
      <c r="H66" s="13" t="s">
        <v>262</v>
      </c>
      <c r="I66" s="13" t="s">
        <v>262</v>
      </c>
      <c r="J66" s="13" t="s">
        <v>3</v>
      </c>
      <c r="K66" s="13" t="s">
        <v>3</v>
      </c>
    </row>
    <row r="67" spans="1:11" x14ac:dyDescent="0.3">
      <c r="A67" s="13" t="s">
        <v>175</v>
      </c>
      <c r="B67" s="13" t="s">
        <v>80</v>
      </c>
      <c r="C67" s="13">
        <v>0</v>
      </c>
      <c r="D67" s="13">
        <v>2021</v>
      </c>
      <c r="E67" s="13" t="s">
        <v>395</v>
      </c>
      <c r="F67" s="13" t="s">
        <v>283</v>
      </c>
      <c r="G67" s="13" t="s">
        <v>322</v>
      </c>
      <c r="H67" s="13" t="s">
        <v>262</v>
      </c>
      <c r="I67" s="13" t="s">
        <v>262</v>
      </c>
      <c r="J67" s="13" t="s">
        <v>3</v>
      </c>
      <c r="K67" s="13" t="s">
        <v>3</v>
      </c>
    </row>
    <row r="68" spans="1:11" x14ac:dyDescent="0.3">
      <c r="A68" s="13" t="s">
        <v>175</v>
      </c>
      <c r="B68" s="13" t="s">
        <v>235</v>
      </c>
      <c r="C68" s="13">
        <v>0</v>
      </c>
      <c r="D68" s="13">
        <v>2021</v>
      </c>
      <c r="E68" s="13" t="s">
        <v>395</v>
      </c>
      <c r="F68" s="13" t="s">
        <v>283</v>
      </c>
      <c r="G68" s="13" t="s">
        <v>323</v>
      </c>
      <c r="H68" s="13" t="s">
        <v>262</v>
      </c>
      <c r="I68" s="13" t="s">
        <v>262</v>
      </c>
      <c r="J68" s="13" t="s">
        <v>3</v>
      </c>
      <c r="K68" s="13" t="s">
        <v>3</v>
      </c>
    </row>
    <row r="69" spans="1:11" x14ac:dyDescent="0.3">
      <c r="A69" s="13" t="s">
        <v>175</v>
      </c>
      <c r="B69" s="13" t="s">
        <v>74</v>
      </c>
      <c r="C69" s="13" t="s">
        <v>3</v>
      </c>
      <c r="D69" s="13">
        <v>2021</v>
      </c>
      <c r="E69" s="13" t="s">
        <v>395</v>
      </c>
      <c r="F69" s="13" t="s">
        <v>283</v>
      </c>
      <c r="G69" s="13" t="s">
        <v>324</v>
      </c>
      <c r="H69" s="13" t="s">
        <v>262</v>
      </c>
      <c r="I69" s="13" t="s">
        <v>262</v>
      </c>
      <c r="J69" s="13" t="s">
        <v>3</v>
      </c>
      <c r="K69" s="13" t="s">
        <v>3</v>
      </c>
    </row>
    <row r="70" spans="1:11" x14ac:dyDescent="0.3">
      <c r="A70" s="13" t="s">
        <v>53</v>
      </c>
      <c r="B70" s="13" t="s">
        <v>76</v>
      </c>
      <c r="C70" s="13">
        <v>1.8195015764359532</v>
      </c>
      <c r="D70" s="13">
        <v>2021</v>
      </c>
      <c r="E70" s="13" t="s">
        <v>395</v>
      </c>
      <c r="F70" s="13" t="s">
        <v>284</v>
      </c>
      <c r="G70" s="13" t="s">
        <v>292</v>
      </c>
      <c r="H70" s="13" t="s">
        <v>262</v>
      </c>
      <c r="I70" s="13" t="s">
        <v>262</v>
      </c>
      <c r="J70" s="13" t="s">
        <v>3</v>
      </c>
      <c r="K70" s="13" t="s">
        <v>3</v>
      </c>
    </row>
    <row r="71" spans="1:11" x14ac:dyDescent="0.3">
      <c r="A71" s="13" t="s">
        <v>54</v>
      </c>
      <c r="B71" s="13" t="s">
        <v>45</v>
      </c>
      <c r="C71" s="13">
        <v>5.7220760936583339</v>
      </c>
      <c r="D71" s="13">
        <v>2021</v>
      </c>
      <c r="E71" s="13" t="s">
        <v>395</v>
      </c>
      <c r="F71" s="13" t="s">
        <v>285</v>
      </c>
      <c r="G71" s="13" t="s">
        <v>291</v>
      </c>
      <c r="H71" s="13" t="s">
        <v>262</v>
      </c>
      <c r="I71" s="13" t="s">
        <v>262</v>
      </c>
      <c r="J71" s="13" t="s">
        <v>3</v>
      </c>
      <c r="K71" s="13" t="s">
        <v>3</v>
      </c>
    </row>
    <row r="72" spans="1:11" x14ac:dyDescent="0.3">
      <c r="A72" s="13" t="s">
        <v>54</v>
      </c>
      <c r="B72" s="13" t="s">
        <v>176</v>
      </c>
      <c r="C72" s="13">
        <v>0.57396538866657154</v>
      </c>
      <c r="D72" s="13">
        <v>2021</v>
      </c>
      <c r="E72" s="13" t="s">
        <v>395</v>
      </c>
      <c r="F72" s="13" t="s">
        <v>285</v>
      </c>
      <c r="G72" s="13" t="s">
        <v>293</v>
      </c>
      <c r="H72" s="13" t="s">
        <v>262</v>
      </c>
      <c r="I72" s="13" t="s">
        <v>262</v>
      </c>
      <c r="J72" s="13" t="s">
        <v>3</v>
      </c>
      <c r="K72" s="13" t="s">
        <v>3</v>
      </c>
    </row>
    <row r="73" spans="1:11" x14ac:dyDescent="0.3">
      <c r="A73" s="13" t="s">
        <v>54</v>
      </c>
      <c r="B73" s="13" t="s">
        <v>205</v>
      </c>
      <c r="C73" s="13">
        <v>6.7159444157504069</v>
      </c>
      <c r="D73" s="13">
        <v>2021</v>
      </c>
      <c r="E73" s="13" t="s">
        <v>395</v>
      </c>
      <c r="F73" s="13" t="s">
        <v>285</v>
      </c>
      <c r="G73" s="13" t="s">
        <v>294</v>
      </c>
      <c r="H73" s="13" t="s">
        <v>262</v>
      </c>
      <c r="I73" s="13" t="s">
        <v>262</v>
      </c>
      <c r="J73" s="13" t="s">
        <v>3</v>
      </c>
      <c r="K73" s="13" t="s">
        <v>3</v>
      </c>
    </row>
    <row r="74" spans="1:11" x14ac:dyDescent="0.3">
      <c r="A74" s="13" t="s">
        <v>54</v>
      </c>
      <c r="B74" s="13" t="s">
        <v>75</v>
      </c>
      <c r="C74" s="13">
        <v>0.20173807370249999</v>
      </c>
      <c r="D74" s="13">
        <v>2021</v>
      </c>
      <c r="E74" s="13" t="s">
        <v>395</v>
      </c>
      <c r="F74" s="13" t="s">
        <v>285</v>
      </c>
      <c r="G74" s="13" t="s">
        <v>295</v>
      </c>
      <c r="H74" s="13" t="s">
        <v>262</v>
      </c>
      <c r="I74" s="13" t="s">
        <v>262</v>
      </c>
      <c r="J74" s="13" t="s">
        <v>3</v>
      </c>
      <c r="K74" s="13" t="s">
        <v>3</v>
      </c>
    </row>
    <row r="75" spans="1:11" x14ac:dyDescent="0.3">
      <c r="A75" s="13" t="s">
        <v>65</v>
      </c>
      <c r="B75" s="13" t="s">
        <v>70</v>
      </c>
      <c r="C75" s="13">
        <v>3.4560257387096778</v>
      </c>
      <c r="D75" s="13">
        <v>2021</v>
      </c>
      <c r="E75" s="13" t="s">
        <v>395</v>
      </c>
      <c r="F75" s="13" t="s">
        <v>278</v>
      </c>
      <c r="G75" s="13" t="s">
        <v>296</v>
      </c>
      <c r="H75" s="13" t="s">
        <v>18</v>
      </c>
      <c r="I75" s="13" t="s">
        <v>262</v>
      </c>
      <c r="J75" s="13" t="s">
        <v>334</v>
      </c>
      <c r="K75" s="13" t="s">
        <v>3</v>
      </c>
    </row>
    <row r="76" spans="1:11" x14ac:dyDescent="0.3">
      <c r="A76" s="13" t="s">
        <v>53</v>
      </c>
      <c r="B76" s="13" t="s">
        <v>70</v>
      </c>
      <c r="C76" s="13" t="s">
        <v>3</v>
      </c>
      <c r="D76" s="13">
        <v>2021</v>
      </c>
      <c r="E76" s="13" t="s">
        <v>395</v>
      </c>
      <c r="F76" s="13" t="s">
        <v>284</v>
      </c>
      <c r="G76" s="13" t="s">
        <v>296</v>
      </c>
      <c r="H76" s="13" t="s">
        <v>262</v>
      </c>
      <c r="I76" s="13" t="s">
        <v>262</v>
      </c>
      <c r="J76" s="13" t="s">
        <v>3</v>
      </c>
      <c r="K76" s="13" t="s">
        <v>3</v>
      </c>
    </row>
    <row r="77" spans="1:11" x14ac:dyDescent="0.3">
      <c r="A77" s="13" t="s">
        <v>54</v>
      </c>
      <c r="B77" s="13" t="s">
        <v>70</v>
      </c>
      <c r="C77" s="13" t="s">
        <v>3</v>
      </c>
      <c r="D77" s="13">
        <v>2021</v>
      </c>
      <c r="E77" s="13" t="s">
        <v>395</v>
      </c>
      <c r="F77" s="13" t="s">
        <v>285</v>
      </c>
      <c r="G77" s="13" t="s">
        <v>296</v>
      </c>
      <c r="H77" s="13" t="s">
        <v>262</v>
      </c>
      <c r="I77" s="13" t="s">
        <v>262</v>
      </c>
      <c r="J77" s="13" t="s">
        <v>3</v>
      </c>
      <c r="K77" s="13" t="s">
        <v>3</v>
      </c>
    </row>
    <row r="78" spans="1:11" x14ac:dyDescent="0.3">
      <c r="A78" s="13" t="s">
        <v>65</v>
      </c>
      <c r="B78" s="13" t="s">
        <v>71</v>
      </c>
      <c r="C78" s="13">
        <v>30.458474547916666</v>
      </c>
      <c r="D78" s="13">
        <v>2021</v>
      </c>
      <c r="E78" s="13" t="s">
        <v>395</v>
      </c>
      <c r="F78" s="13" t="s">
        <v>278</v>
      </c>
      <c r="G78" s="13" t="s">
        <v>297</v>
      </c>
      <c r="H78" s="13" t="s">
        <v>18</v>
      </c>
      <c r="I78" s="13" t="s">
        <v>262</v>
      </c>
      <c r="J78" s="13" t="s">
        <v>334</v>
      </c>
      <c r="K78" s="13" t="s">
        <v>3</v>
      </c>
    </row>
    <row r="79" spans="1:11" x14ac:dyDescent="0.3">
      <c r="A79" s="13" t="s">
        <v>53</v>
      </c>
      <c r="B79" s="13" t="s">
        <v>71</v>
      </c>
      <c r="C79" s="13" t="s">
        <v>3</v>
      </c>
      <c r="D79" s="13">
        <v>2021</v>
      </c>
      <c r="E79" s="13" t="s">
        <v>395</v>
      </c>
      <c r="F79" s="13" t="s">
        <v>284</v>
      </c>
      <c r="G79" s="13" t="s">
        <v>297</v>
      </c>
      <c r="H79" s="13" t="s">
        <v>262</v>
      </c>
      <c r="I79" s="13" t="s">
        <v>262</v>
      </c>
      <c r="J79" s="13" t="s">
        <v>3</v>
      </c>
      <c r="K79" s="13" t="s">
        <v>3</v>
      </c>
    </row>
    <row r="80" spans="1:11" x14ac:dyDescent="0.3">
      <c r="A80" s="13" t="s">
        <v>54</v>
      </c>
      <c r="B80" s="13" t="s">
        <v>71</v>
      </c>
      <c r="C80" s="13" t="s">
        <v>3</v>
      </c>
      <c r="D80" s="13">
        <v>2021</v>
      </c>
      <c r="E80" s="13" t="s">
        <v>395</v>
      </c>
      <c r="F80" s="13" t="s">
        <v>285</v>
      </c>
      <c r="G80" s="13" t="s">
        <v>297</v>
      </c>
      <c r="H80" s="13" t="s">
        <v>262</v>
      </c>
      <c r="I80" s="13" t="s">
        <v>262</v>
      </c>
      <c r="J80" s="13" t="s">
        <v>3</v>
      </c>
      <c r="K80" s="13" t="s">
        <v>3</v>
      </c>
    </row>
    <row r="81" spans="1:11" x14ac:dyDescent="0.3">
      <c r="A81" s="13" t="s">
        <v>65</v>
      </c>
      <c r="B81" s="13" t="s">
        <v>72</v>
      </c>
      <c r="C81" s="13">
        <v>2.3642169428571429</v>
      </c>
      <c r="D81" s="13">
        <v>2021</v>
      </c>
      <c r="E81" s="13" t="s">
        <v>395</v>
      </c>
      <c r="F81" s="13" t="s">
        <v>278</v>
      </c>
      <c r="G81" s="13" t="s">
        <v>298</v>
      </c>
      <c r="H81" s="13" t="s">
        <v>18</v>
      </c>
      <c r="I81" s="13" t="s">
        <v>262</v>
      </c>
      <c r="J81" s="13" t="s">
        <v>334</v>
      </c>
      <c r="K81" s="13" t="s">
        <v>3</v>
      </c>
    </row>
    <row r="82" spans="1:11" x14ac:dyDescent="0.3">
      <c r="A82" s="13" t="s">
        <v>53</v>
      </c>
      <c r="B82" s="13" t="s">
        <v>72</v>
      </c>
      <c r="C82" s="13" t="s">
        <v>3</v>
      </c>
      <c r="D82" s="13">
        <v>2021</v>
      </c>
      <c r="E82" s="13" t="s">
        <v>395</v>
      </c>
      <c r="F82" s="13" t="s">
        <v>284</v>
      </c>
      <c r="G82" s="13" t="s">
        <v>298</v>
      </c>
      <c r="H82" s="13" t="s">
        <v>262</v>
      </c>
      <c r="I82" s="13" t="s">
        <v>262</v>
      </c>
      <c r="J82" s="13" t="s">
        <v>3</v>
      </c>
      <c r="K82" s="13" t="s">
        <v>3</v>
      </c>
    </row>
    <row r="83" spans="1:11" x14ac:dyDescent="0.3">
      <c r="A83" s="13" t="s">
        <v>54</v>
      </c>
      <c r="B83" s="13" t="s">
        <v>72</v>
      </c>
      <c r="C83" s="13" t="s">
        <v>3</v>
      </c>
      <c r="D83" s="13">
        <v>2021</v>
      </c>
      <c r="E83" s="13" t="s">
        <v>395</v>
      </c>
      <c r="F83" s="13" t="s">
        <v>285</v>
      </c>
      <c r="G83" s="13" t="s">
        <v>298</v>
      </c>
      <c r="H83" s="13" t="s">
        <v>262</v>
      </c>
      <c r="I83" s="13" t="s">
        <v>262</v>
      </c>
      <c r="J83" s="13" t="s">
        <v>3</v>
      </c>
      <c r="K83" s="13" t="s">
        <v>3</v>
      </c>
    </row>
    <row r="84" spans="1:11" x14ac:dyDescent="0.3">
      <c r="A84" s="13" t="s">
        <v>54</v>
      </c>
      <c r="B84" s="13" t="s">
        <v>47</v>
      </c>
      <c r="C84" s="13">
        <v>5.2311426769344456</v>
      </c>
      <c r="D84" s="13">
        <v>2021</v>
      </c>
      <c r="E84" s="13" t="s">
        <v>395</v>
      </c>
      <c r="F84" s="13" t="s">
        <v>285</v>
      </c>
      <c r="G84" s="13" t="s">
        <v>286</v>
      </c>
      <c r="H84" s="13" t="s">
        <v>262</v>
      </c>
      <c r="I84" s="13" t="s">
        <v>262</v>
      </c>
      <c r="J84" s="13" t="s">
        <v>3</v>
      </c>
      <c r="K84" s="13" t="s">
        <v>3</v>
      </c>
    </row>
    <row r="85" spans="1:11" x14ac:dyDescent="0.3">
      <c r="A85" s="13" t="s">
        <v>47</v>
      </c>
      <c r="B85" s="13" t="s">
        <v>74</v>
      </c>
      <c r="C85" s="13">
        <v>0.49192950443444455</v>
      </c>
      <c r="D85" s="13">
        <v>2021</v>
      </c>
      <c r="E85" s="13" t="s">
        <v>395</v>
      </c>
      <c r="F85" s="13" t="s">
        <v>286</v>
      </c>
      <c r="G85" s="13" t="s">
        <v>324</v>
      </c>
      <c r="H85" s="13" t="s">
        <v>262</v>
      </c>
      <c r="I85" s="13" t="s">
        <v>262</v>
      </c>
      <c r="J85" s="13" t="s">
        <v>3</v>
      </c>
      <c r="K85" s="13" t="s">
        <v>3</v>
      </c>
    </row>
    <row r="86" spans="1:11" x14ac:dyDescent="0.3">
      <c r="A86" s="13" t="s">
        <v>47</v>
      </c>
      <c r="B86" s="13" t="s">
        <v>408</v>
      </c>
      <c r="C86" s="13" t="s">
        <v>3</v>
      </c>
      <c r="D86" s="13">
        <v>2021</v>
      </c>
      <c r="E86" s="13" t="s">
        <v>395</v>
      </c>
      <c r="F86" s="13" t="s">
        <v>286</v>
      </c>
      <c r="G86" s="13" t="s">
        <v>312</v>
      </c>
      <c r="H86" s="13" t="s">
        <v>262</v>
      </c>
      <c r="I86" s="13" t="s">
        <v>262</v>
      </c>
      <c r="J86" s="13" t="s">
        <v>3</v>
      </c>
      <c r="K86" s="13" t="s">
        <v>3</v>
      </c>
    </row>
    <row r="87" spans="1:11" x14ac:dyDescent="0.3">
      <c r="A87" s="13" t="s">
        <v>267</v>
      </c>
      <c r="B87" s="13" t="s">
        <v>51</v>
      </c>
      <c r="C87" s="13">
        <v>16.555374953095193</v>
      </c>
      <c r="D87" s="13">
        <v>2021</v>
      </c>
      <c r="E87" s="13" t="s">
        <v>395</v>
      </c>
      <c r="F87" s="13" t="s">
        <v>287</v>
      </c>
      <c r="G87" s="13" t="s">
        <v>284</v>
      </c>
      <c r="H87" s="13" t="s">
        <v>262</v>
      </c>
      <c r="I87" s="13" t="s">
        <v>18</v>
      </c>
      <c r="J87" s="13" t="s">
        <v>3</v>
      </c>
      <c r="K87" s="13" t="s">
        <v>360</v>
      </c>
    </row>
    <row r="88" spans="1:11" x14ac:dyDescent="0.3">
      <c r="A88" s="13" t="s">
        <v>267</v>
      </c>
      <c r="B88" s="13" t="s">
        <v>36</v>
      </c>
      <c r="C88" s="13" t="s">
        <v>3</v>
      </c>
      <c r="D88" s="13">
        <v>2021</v>
      </c>
      <c r="E88" s="13" t="s">
        <v>395</v>
      </c>
      <c r="F88" s="13" t="s">
        <v>287</v>
      </c>
      <c r="G88" s="13" t="s">
        <v>306</v>
      </c>
      <c r="H88" s="13" t="s">
        <v>262</v>
      </c>
      <c r="I88" s="13" t="s">
        <v>262</v>
      </c>
      <c r="J88" s="13" t="s">
        <v>3</v>
      </c>
      <c r="K88" s="13" t="s">
        <v>3</v>
      </c>
    </row>
    <row r="89" spans="1:11" x14ac:dyDescent="0.3">
      <c r="A89" s="13" t="s">
        <v>267</v>
      </c>
      <c r="B89" s="13" t="s">
        <v>37</v>
      </c>
      <c r="C89" s="13" t="s">
        <v>3</v>
      </c>
      <c r="D89" s="13">
        <v>2021</v>
      </c>
      <c r="E89" s="13" t="s">
        <v>395</v>
      </c>
      <c r="F89" s="13" t="s">
        <v>287</v>
      </c>
      <c r="G89" s="13" t="s">
        <v>307</v>
      </c>
      <c r="H89" s="13" t="s">
        <v>262</v>
      </c>
      <c r="I89" s="13" t="s">
        <v>262</v>
      </c>
      <c r="J89" s="13" t="s">
        <v>3</v>
      </c>
      <c r="K89" s="13" t="s">
        <v>3</v>
      </c>
    </row>
    <row r="90" spans="1:11" x14ac:dyDescent="0.3">
      <c r="A90" s="13" t="s">
        <v>267</v>
      </c>
      <c r="B90" s="13" t="s">
        <v>39</v>
      </c>
      <c r="C90" s="13" t="s">
        <v>3</v>
      </c>
      <c r="D90" s="13">
        <v>2021</v>
      </c>
      <c r="E90" s="13" t="s">
        <v>395</v>
      </c>
      <c r="F90" s="13" t="s">
        <v>287</v>
      </c>
      <c r="G90" s="13" t="s">
        <v>308</v>
      </c>
      <c r="H90" s="13" t="s">
        <v>262</v>
      </c>
      <c r="I90" s="13" t="s">
        <v>262</v>
      </c>
      <c r="J90" s="13" t="s">
        <v>3</v>
      </c>
      <c r="K90" s="13" t="s">
        <v>3</v>
      </c>
    </row>
    <row r="91" spans="1:11" x14ac:dyDescent="0.3">
      <c r="A91" s="13" t="s">
        <v>267</v>
      </c>
      <c r="B91" s="13" t="s">
        <v>40</v>
      </c>
      <c r="C91" s="13" t="s">
        <v>3</v>
      </c>
      <c r="D91" s="13">
        <v>2021</v>
      </c>
      <c r="E91" s="13" t="s">
        <v>395</v>
      </c>
      <c r="F91" s="13" t="s">
        <v>287</v>
      </c>
      <c r="G91" s="13" t="s">
        <v>309</v>
      </c>
      <c r="H91" s="13" t="s">
        <v>262</v>
      </c>
      <c r="I91" s="13" t="s">
        <v>262</v>
      </c>
      <c r="J91" s="13" t="s">
        <v>3</v>
      </c>
      <c r="K91" s="13" t="s">
        <v>3</v>
      </c>
    </row>
    <row r="92" spans="1:11" x14ac:dyDescent="0.3">
      <c r="A92" s="13" t="s">
        <v>267</v>
      </c>
      <c r="B92" s="13" t="s">
        <v>41</v>
      </c>
      <c r="C92" s="13" t="s">
        <v>3</v>
      </c>
      <c r="D92" s="13">
        <v>2021</v>
      </c>
      <c r="E92" s="13" t="s">
        <v>395</v>
      </c>
      <c r="F92" s="13" t="s">
        <v>287</v>
      </c>
      <c r="G92" s="13" t="s">
        <v>310</v>
      </c>
      <c r="H92" s="13" t="s">
        <v>262</v>
      </c>
      <c r="I92" s="13" t="s">
        <v>262</v>
      </c>
      <c r="J92" s="13" t="s">
        <v>3</v>
      </c>
      <c r="K92" s="13" t="s">
        <v>3</v>
      </c>
    </row>
    <row r="93" spans="1:11" x14ac:dyDescent="0.3">
      <c r="A93" s="13" t="s">
        <v>267</v>
      </c>
      <c r="B93" s="13" t="s">
        <v>38</v>
      </c>
      <c r="C93" s="13" t="s">
        <v>3</v>
      </c>
      <c r="D93" s="13">
        <v>2021</v>
      </c>
      <c r="E93" s="13" t="s">
        <v>395</v>
      </c>
      <c r="F93" s="13" t="s">
        <v>287</v>
      </c>
      <c r="G93" s="13" t="s">
        <v>311</v>
      </c>
      <c r="H93" s="13" t="s">
        <v>262</v>
      </c>
      <c r="I93" s="13" t="s">
        <v>262</v>
      </c>
      <c r="J93" s="13" t="s">
        <v>3</v>
      </c>
      <c r="K93" s="13" t="s">
        <v>3</v>
      </c>
    </row>
    <row r="94" spans="1:11" x14ac:dyDescent="0.3">
      <c r="A94" s="13" t="s">
        <v>268</v>
      </c>
      <c r="B94" s="13" t="s">
        <v>51</v>
      </c>
      <c r="C94" s="13">
        <v>8.969846429775</v>
      </c>
      <c r="D94" s="13">
        <v>2021</v>
      </c>
      <c r="E94" s="13" t="s">
        <v>395</v>
      </c>
      <c r="F94" s="13" t="s">
        <v>288</v>
      </c>
      <c r="G94" s="13" t="s">
        <v>284</v>
      </c>
      <c r="H94" s="13" t="s">
        <v>262</v>
      </c>
      <c r="I94" s="13" t="s">
        <v>18</v>
      </c>
      <c r="J94" s="13" t="s">
        <v>3</v>
      </c>
      <c r="K94" s="13" t="s">
        <v>360</v>
      </c>
    </row>
    <row r="95" spans="1:11" x14ac:dyDescent="0.3">
      <c r="A95" s="13" t="s">
        <v>268</v>
      </c>
      <c r="B95" s="13" t="s">
        <v>36</v>
      </c>
      <c r="C95" s="13" t="s">
        <v>3</v>
      </c>
      <c r="D95" s="13">
        <v>2021</v>
      </c>
      <c r="E95" s="13" t="s">
        <v>395</v>
      </c>
      <c r="F95" s="13" t="s">
        <v>288</v>
      </c>
      <c r="G95" s="13" t="s">
        <v>306</v>
      </c>
      <c r="H95" s="13" t="s">
        <v>262</v>
      </c>
      <c r="I95" s="13" t="s">
        <v>262</v>
      </c>
      <c r="J95" s="13" t="s">
        <v>3</v>
      </c>
      <c r="K95" s="13" t="s">
        <v>3</v>
      </c>
    </row>
    <row r="96" spans="1:11" x14ac:dyDescent="0.3">
      <c r="A96" s="13" t="s">
        <v>268</v>
      </c>
      <c r="B96" s="13" t="s">
        <v>37</v>
      </c>
      <c r="C96" s="13" t="s">
        <v>3</v>
      </c>
      <c r="D96" s="13">
        <v>2021</v>
      </c>
      <c r="E96" s="13" t="s">
        <v>395</v>
      </c>
      <c r="F96" s="13" t="s">
        <v>288</v>
      </c>
      <c r="G96" s="13" t="s">
        <v>307</v>
      </c>
      <c r="H96" s="13" t="s">
        <v>262</v>
      </c>
      <c r="I96" s="13" t="s">
        <v>262</v>
      </c>
      <c r="J96" s="13" t="s">
        <v>3</v>
      </c>
      <c r="K96" s="13" t="s">
        <v>3</v>
      </c>
    </row>
    <row r="97" spans="1:11" x14ac:dyDescent="0.3">
      <c r="A97" s="13" t="s">
        <v>268</v>
      </c>
      <c r="B97" s="13" t="s">
        <v>39</v>
      </c>
      <c r="C97" s="13" t="s">
        <v>3</v>
      </c>
      <c r="D97" s="13">
        <v>2021</v>
      </c>
      <c r="E97" s="13" t="s">
        <v>395</v>
      </c>
      <c r="F97" s="13" t="s">
        <v>288</v>
      </c>
      <c r="G97" s="13" t="s">
        <v>308</v>
      </c>
      <c r="H97" s="13" t="s">
        <v>262</v>
      </c>
      <c r="I97" s="13" t="s">
        <v>262</v>
      </c>
      <c r="J97" s="13" t="s">
        <v>3</v>
      </c>
      <c r="K97" s="13" t="s">
        <v>3</v>
      </c>
    </row>
    <row r="98" spans="1:11" x14ac:dyDescent="0.3">
      <c r="A98" s="13" t="s">
        <v>268</v>
      </c>
      <c r="B98" s="13" t="s">
        <v>40</v>
      </c>
      <c r="C98" s="13" t="s">
        <v>3</v>
      </c>
      <c r="D98" s="13">
        <v>2021</v>
      </c>
      <c r="E98" s="13" t="s">
        <v>395</v>
      </c>
      <c r="F98" s="13" t="s">
        <v>288</v>
      </c>
      <c r="G98" s="13" t="s">
        <v>309</v>
      </c>
      <c r="H98" s="13" t="s">
        <v>262</v>
      </c>
      <c r="I98" s="13" t="s">
        <v>262</v>
      </c>
      <c r="J98" s="13" t="s">
        <v>3</v>
      </c>
      <c r="K98" s="13" t="s">
        <v>3</v>
      </c>
    </row>
    <row r="99" spans="1:11" x14ac:dyDescent="0.3">
      <c r="A99" s="13" t="s">
        <v>268</v>
      </c>
      <c r="B99" s="13" t="s">
        <v>41</v>
      </c>
      <c r="C99" s="13" t="s">
        <v>3</v>
      </c>
      <c r="D99" s="13">
        <v>2021</v>
      </c>
      <c r="E99" s="13" t="s">
        <v>395</v>
      </c>
      <c r="F99" s="13" t="s">
        <v>288</v>
      </c>
      <c r="G99" s="13" t="s">
        <v>310</v>
      </c>
      <c r="H99" s="13" t="s">
        <v>262</v>
      </c>
      <c r="I99" s="13" t="s">
        <v>262</v>
      </c>
      <c r="J99" s="13" t="s">
        <v>3</v>
      </c>
      <c r="K99" s="13" t="s">
        <v>3</v>
      </c>
    </row>
    <row r="100" spans="1:11" x14ac:dyDescent="0.3">
      <c r="A100" s="13" t="s">
        <v>268</v>
      </c>
      <c r="B100" s="13" t="s">
        <v>38</v>
      </c>
      <c r="C100" s="13" t="s">
        <v>3</v>
      </c>
      <c r="D100" s="13">
        <v>2021</v>
      </c>
      <c r="E100" s="13" t="s">
        <v>395</v>
      </c>
      <c r="F100" s="13" t="s">
        <v>288</v>
      </c>
      <c r="G100" s="13" t="s">
        <v>311</v>
      </c>
      <c r="H100" s="13" t="s">
        <v>262</v>
      </c>
      <c r="I100" s="13" t="s">
        <v>262</v>
      </c>
      <c r="J100" s="13" t="s">
        <v>3</v>
      </c>
      <c r="K100" s="13" t="s">
        <v>3</v>
      </c>
    </row>
    <row r="101" spans="1:11" x14ac:dyDescent="0.3">
      <c r="A101" s="13" t="s">
        <v>267</v>
      </c>
      <c r="B101" s="13" t="s">
        <v>58</v>
      </c>
      <c r="C101" s="13">
        <v>16.843503306158482</v>
      </c>
      <c r="D101" s="13">
        <v>2021</v>
      </c>
      <c r="E101" s="13" t="s">
        <v>395</v>
      </c>
      <c r="F101" s="13" t="s">
        <v>287</v>
      </c>
      <c r="G101" s="13" t="s">
        <v>287</v>
      </c>
      <c r="H101" s="13" t="s">
        <v>262</v>
      </c>
      <c r="I101" s="13" t="s">
        <v>18</v>
      </c>
      <c r="J101" s="13" t="s">
        <v>3</v>
      </c>
      <c r="K101" s="13" t="s">
        <v>362</v>
      </c>
    </row>
    <row r="102" spans="1:11" x14ac:dyDescent="0.3">
      <c r="A102" s="13" t="s">
        <v>267</v>
      </c>
      <c r="B102" s="13" t="s">
        <v>29</v>
      </c>
      <c r="C102" s="13" t="s">
        <v>3</v>
      </c>
      <c r="D102" s="13">
        <v>2021</v>
      </c>
      <c r="E102" s="13" t="s">
        <v>395</v>
      </c>
      <c r="F102" s="13" t="s">
        <v>287</v>
      </c>
      <c r="G102" s="13" t="s">
        <v>319</v>
      </c>
      <c r="H102" s="13" t="s">
        <v>262</v>
      </c>
      <c r="I102" s="13" t="s">
        <v>262</v>
      </c>
      <c r="J102" s="13" t="s">
        <v>3</v>
      </c>
      <c r="K102" s="13" t="s">
        <v>3</v>
      </c>
    </row>
    <row r="103" spans="1:11" x14ac:dyDescent="0.3">
      <c r="A103" s="13" t="s">
        <v>267</v>
      </c>
      <c r="B103" s="13" t="s">
        <v>73</v>
      </c>
      <c r="C103" s="13" t="s">
        <v>3</v>
      </c>
      <c r="D103" s="13">
        <v>2021</v>
      </c>
      <c r="E103" s="13" t="s">
        <v>395</v>
      </c>
      <c r="F103" s="13" t="s">
        <v>287</v>
      </c>
      <c r="G103" s="13" t="s">
        <v>320</v>
      </c>
      <c r="H103" s="13" t="s">
        <v>262</v>
      </c>
      <c r="I103" s="13" t="s">
        <v>262</v>
      </c>
      <c r="J103" s="13" t="s">
        <v>3</v>
      </c>
      <c r="K103" s="13" t="s">
        <v>3</v>
      </c>
    </row>
    <row r="104" spans="1:11" x14ac:dyDescent="0.3">
      <c r="A104" s="13" t="s">
        <v>267</v>
      </c>
      <c r="B104" s="13" t="s">
        <v>30</v>
      </c>
      <c r="C104" s="13" t="s">
        <v>3</v>
      </c>
      <c r="D104" s="13">
        <v>2021</v>
      </c>
      <c r="E104" s="13" t="s">
        <v>395</v>
      </c>
      <c r="F104" s="13" t="s">
        <v>287</v>
      </c>
      <c r="G104" s="13" t="s">
        <v>321</v>
      </c>
      <c r="H104" s="13" t="s">
        <v>262</v>
      </c>
      <c r="I104" s="13" t="s">
        <v>262</v>
      </c>
      <c r="J104" s="13" t="s">
        <v>3</v>
      </c>
      <c r="K104" s="13" t="s">
        <v>3</v>
      </c>
    </row>
    <row r="105" spans="1:11" x14ac:dyDescent="0.3">
      <c r="A105" s="13" t="s">
        <v>267</v>
      </c>
      <c r="B105" s="13" t="s">
        <v>80</v>
      </c>
      <c r="C105" s="13">
        <v>0</v>
      </c>
      <c r="D105" s="13">
        <v>2021</v>
      </c>
      <c r="E105" s="13" t="s">
        <v>395</v>
      </c>
      <c r="F105" s="13" t="s">
        <v>287</v>
      </c>
      <c r="G105" s="13" t="s">
        <v>322</v>
      </c>
      <c r="H105" s="13" t="s">
        <v>262</v>
      </c>
      <c r="I105" s="13" t="s">
        <v>262</v>
      </c>
      <c r="J105" s="13" t="s">
        <v>3</v>
      </c>
      <c r="K105" s="13" t="s">
        <v>3</v>
      </c>
    </row>
    <row r="106" spans="1:11" x14ac:dyDescent="0.3">
      <c r="A106" s="13" t="s">
        <v>267</v>
      </c>
      <c r="B106" s="13" t="s">
        <v>235</v>
      </c>
      <c r="C106" s="13">
        <v>0</v>
      </c>
      <c r="D106" s="13">
        <v>2021</v>
      </c>
      <c r="E106" s="13" t="s">
        <v>395</v>
      </c>
      <c r="F106" s="13" t="s">
        <v>287</v>
      </c>
      <c r="G106" s="13" t="s">
        <v>323</v>
      </c>
      <c r="H106" s="13" t="s">
        <v>262</v>
      </c>
      <c r="I106" s="13" t="s">
        <v>262</v>
      </c>
      <c r="J106" s="13" t="s">
        <v>3</v>
      </c>
      <c r="K106" s="13" t="s">
        <v>3</v>
      </c>
    </row>
    <row r="107" spans="1:11" x14ac:dyDescent="0.3">
      <c r="A107" s="13" t="s">
        <v>267</v>
      </c>
      <c r="B107" s="13" t="s">
        <v>74</v>
      </c>
      <c r="C107" s="13" t="s">
        <v>3</v>
      </c>
      <c r="D107" s="13">
        <v>2021</v>
      </c>
      <c r="E107" s="13" t="s">
        <v>395</v>
      </c>
      <c r="F107" s="13" t="s">
        <v>287</v>
      </c>
      <c r="G107" s="13" t="s">
        <v>324</v>
      </c>
      <c r="H107" s="13" t="s">
        <v>262</v>
      </c>
      <c r="I107" s="13" t="s">
        <v>262</v>
      </c>
      <c r="J107" s="13" t="s">
        <v>3</v>
      </c>
      <c r="K107" s="13" t="s">
        <v>3</v>
      </c>
    </row>
    <row r="108" spans="1:11" x14ac:dyDescent="0.3">
      <c r="A108" s="13" t="s">
        <v>268</v>
      </c>
      <c r="B108" s="13" t="s">
        <v>58</v>
      </c>
      <c r="C108" s="13">
        <v>9.5127257185096621</v>
      </c>
      <c r="D108" s="13">
        <v>2021</v>
      </c>
      <c r="E108" s="13" t="s">
        <v>395</v>
      </c>
      <c r="F108" s="13" t="s">
        <v>288</v>
      </c>
      <c r="G108" s="13" t="s">
        <v>287</v>
      </c>
      <c r="H108" s="13" t="s">
        <v>262</v>
      </c>
      <c r="I108" s="13" t="s">
        <v>18</v>
      </c>
      <c r="J108" s="13" t="s">
        <v>3</v>
      </c>
      <c r="K108" s="13" t="s">
        <v>362</v>
      </c>
    </row>
    <row r="109" spans="1:11" x14ac:dyDescent="0.3">
      <c r="A109" s="13" t="s">
        <v>268</v>
      </c>
      <c r="B109" s="13" t="s">
        <v>29</v>
      </c>
      <c r="C109" s="13" t="s">
        <v>3</v>
      </c>
      <c r="D109" s="13">
        <v>2021</v>
      </c>
      <c r="E109" s="13" t="s">
        <v>395</v>
      </c>
      <c r="F109" s="13" t="s">
        <v>288</v>
      </c>
      <c r="G109" s="13" t="s">
        <v>319</v>
      </c>
      <c r="H109" s="13" t="s">
        <v>262</v>
      </c>
      <c r="I109" s="13" t="s">
        <v>262</v>
      </c>
      <c r="J109" s="13" t="s">
        <v>3</v>
      </c>
      <c r="K109" s="13" t="s">
        <v>3</v>
      </c>
    </row>
    <row r="110" spans="1:11" x14ac:dyDescent="0.3">
      <c r="A110" s="13" t="s">
        <v>268</v>
      </c>
      <c r="B110" s="13" t="s">
        <v>73</v>
      </c>
      <c r="C110" s="13" t="s">
        <v>3</v>
      </c>
      <c r="D110" s="13">
        <v>2021</v>
      </c>
      <c r="E110" s="13" t="s">
        <v>395</v>
      </c>
      <c r="F110" s="13" t="s">
        <v>288</v>
      </c>
      <c r="G110" s="13" t="s">
        <v>320</v>
      </c>
      <c r="H110" s="13" t="s">
        <v>262</v>
      </c>
      <c r="I110" s="13" t="s">
        <v>262</v>
      </c>
      <c r="J110" s="13" t="s">
        <v>3</v>
      </c>
      <c r="K110" s="13" t="s">
        <v>3</v>
      </c>
    </row>
    <row r="111" spans="1:11" x14ac:dyDescent="0.3">
      <c r="A111" s="13" t="s">
        <v>268</v>
      </c>
      <c r="B111" s="13" t="s">
        <v>30</v>
      </c>
      <c r="C111" s="13" t="s">
        <v>3</v>
      </c>
      <c r="D111" s="13">
        <v>2021</v>
      </c>
      <c r="E111" s="13" t="s">
        <v>395</v>
      </c>
      <c r="F111" s="13" t="s">
        <v>288</v>
      </c>
      <c r="G111" s="13" t="s">
        <v>321</v>
      </c>
      <c r="H111" s="13" t="s">
        <v>262</v>
      </c>
      <c r="I111" s="13" t="s">
        <v>262</v>
      </c>
      <c r="J111" s="13" t="s">
        <v>3</v>
      </c>
      <c r="K111" s="13" t="s">
        <v>3</v>
      </c>
    </row>
    <row r="112" spans="1:11" x14ac:dyDescent="0.3">
      <c r="A112" s="13" t="s">
        <v>268</v>
      </c>
      <c r="B112" s="13" t="s">
        <v>80</v>
      </c>
      <c r="C112" s="13">
        <v>0</v>
      </c>
      <c r="D112" s="13">
        <v>2021</v>
      </c>
      <c r="E112" s="13" t="s">
        <v>395</v>
      </c>
      <c r="F112" s="13" t="s">
        <v>288</v>
      </c>
      <c r="G112" s="13" t="s">
        <v>322</v>
      </c>
      <c r="H112" s="13" t="s">
        <v>262</v>
      </c>
      <c r="I112" s="13" t="s">
        <v>262</v>
      </c>
      <c r="J112" s="13" t="s">
        <v>3</v>
      </c>
      <c r="K112" s="13" t="s">
        <v>3</v>
      </c>
    </row>
    <row r="113" spans="1:11" x14ac:dyDescent="0.3">
      <c r="A113" s="13" t="s">
        <v>268</v>
      </c>
      <c r="B113" s="13" t="s">
        <v>235</v>
      </c>
      <c r="C113" s="13">
        <v>0</v>
      </c>
      <c r="D113" s="13">
        <v>2021</v>
      </c>
      <c r="E113" s="13" t="s">
        <v>395</v>
      </c>
      <c r="F113" s="13" t="s">
        <v>288</v>
      </c>
      <c r="G113" s="13" t="s">
        <v>323</v>
      </c>
      <c r="H113" s="13" t="s">
        <v>262</v>
      </c>
      <c r="I113" s="13" t="s">
        <v>262</v>
      </c>
      <c r="J113" s="13" t="s">
        <v>3</v>
      </c>
      <c r="K113" s="13" t="s">
        <v>3</v>
      </c>
    </row>
    <row r="114" spans="1:11" x14ac:dyDescent="0.3">
      <c r="A114" s="13" t="s">
        <v>268</v>
      </c>
      <c r="B114" s="13" t="s">
        <v>74</v>
      </c>
      <c r="C114" s="13" t="s">
        <v>3</v>
      </c>
      <c r="D114" s="13">
        <v>2021</v>
      </c>
      <c r="E114" s="13" t="s">
        <v>395</v>
      </c>
      <c r="F114" s="13" t="s">
        <v>288</v>
      </c>
      <c r="G114" s="13" t="s">
        <v>324</v>
      </c>
      <c r="H114" s="13" t="s">
        <v>262</v>
      </c>
      <c r="I114" s="13" t="s">
        <v>262</v>
      </c>
      <c r="J114" s="13" t="s">
        <v>3</v>
      </c>
      <c r="K114" s="13" t="s">
        <v>3</v>
      </c>
    </row>
    <row r="115" spans="1:11" x14ac:dyDescent="0.3">
      <c r="A115" s="13" t="s">
        <v>49</v>
      </c>
      <c r="B115" s="13" t="s">
        <v>44</v>
      </c>
      <c r="C115" s="13" t="s">
        <v>3</v>
      </c>
      <c r="D115" s="13">
        <v>2021</v>
      </c>
      <c r="E115" s="13" t="s">
        <v>395</v>
      </c>
      <c r="F115" s="13" t="s">
        <v>289</v>
      </c>
      <c r="G115" s="13" t="s">
        <v>290</v>
      </c>
      <c r="H115" s="13" t="s">
        <v>262</v>
      </c>
      <c r="I115" s="13" t="s">
        <v>262</v>
      </c>
      <c r="J115" s="13" t="s">
        <v>3</v>
      </c>
      <c r="K115" s="13" t="s">
        <v>3</v>
      </c>
    </row>
    <row r="116" spans="1:11" x14ac:dyDescent="0.3">
      <c r="A116" s="13" t="s">
        <v>49</v>
      </c>
      <c r="B116" s="13" t="s">
        <v>51</v>
      </c>
      <c r="C116" s="13">
        <v>1.0338887192399999</v>
      </c>
      <c r="D116" s="13">
        <v>2021</v>
      </c>
      <c r="E116" s="13" t="s">
        <v>395</v>
      </c>
      <c r="F116" s="13" t="s">
        <v>289</v>
      </c>
      <c r="G116" s="13" t="s">
        <v>284</v>
      </c>
      <c r="H116" s="13" t="s">
        <v>262</v>
      </c>
      <c r="I116" s="13" t="s">
        <v>18</v>
      </c>
      <c r="J116" s="13" t="s">
        <v>3</v>
      </c>
      <c r="K116" s="13" t="s">
        <v>360</v>
      </c>
    </row>
    <row r="117" spans="1:11" x14ac:dyDescent="0.3">
      <c r="A117" s="13" t="s">
        <v>49</v>
      </c>
      <c r="B117" s="13" t="s">
        <v>36</v>
      </c>
      <c r="C117" s="13">
        <v>0</v>
      </c>
      <c r="D117" s="13">
        <v>2021</v>
      </c>
      <c r="E117" s="13" t="s">
        <v>395</v>
      </c>
      <c r="F117" s="13" t="s">
        <v>289</v>
      </c>
      <c r="G117" s="13" t="s">
        <v>306</v>
      </c>
      <c r="H117" s="13" t="s">
        <v>262</v>
      </c>
      <c r="I117" s="13" t="s">
        <v>262</v>
      </c>
      <c r="J117" s="13" t="s">
        <v>3</v>
      </c>
      <c r="K117" s="13" t="s">
        <v>3</v>
      </c>
    </row>
    <row r="118" spans="1:11" x14ac:dyDescent="0.3">
      <c r="A118" s="13" t="s">
        <v>49</v>
      </c>
      <c r="B118" s="13" t="s">
        <v>37</v>
      </c>
      <c r="C118" s="13" t="s">
        <v>3</v>
      </c>
      <c r="D118" s="13">
        <v>2021</v>
      </c>
      <c r="E118" s="13" t="s">
        <v>395</v>
      </c>
      <c r="F118" s="13" t="s">
        <v>289</v>
      </c>
      <c r="G118" s="13" t="s">
        <v>307</v>
      </c>
      <c r="H118" s="13" t="s">
        <v>262</v>
      </c>
      <c r="I118" s="13" t="s">
        <v>262</v>
      </c>
      <c r="J118" s="13" t="s">
        <v>3</v>
      </c>
      <c r="K118" s="13" t="s">
        <v>3</v>
      </c>
    </row>
    <row r="119" spans="1:11" x14ac:dyDescent="0.3">
      <c r="A119" s="13" t="s">
        <v>49</v>
      </c>
      <c r="B119" s="13" t="s">
        <v>39</v>
      </c>
      <c r="C119" s="13" t="s">
        <v>3</v>
      </c>
      <c r="D119" s="13">
        <v>2021</v>
      </c>
      <c r="E119" s="13" t="s">
        <v>395</v>
      </c>
      <c r="F119" s="13" t="s">
        <v>289</v>
      </c>
      <c r="G119" s="13" t="s">
        <v>308</v>
      </c>
      <c r="H119" s="13" t="s">
        <v>262</v>
      </c>
      <c r="I119" s="13" t="s">
        <v>262</v>
      </c>
      <c r="J119" s="13" t="s">
        <v>3</v>
      </c>
      <c r="K119" s="13" t="s">
        <v>3</v>
      </c>
    </row>
    <row r="120" spans="1:11" x14ac:dyDescent="0.3">
      <c r="A120" s="13" t="s">
        <v>49</v>
      </c>
      <c r="B120" s="13" t="s">
        <v>40</v>
      </c>
      <c r="C120" s="13" t="s">
        <v>3</v>
      </c>
      <c r="D120" s="13">
        <v>2021</v>
      </c>
      <c r="E120" s="13" t="s">
        <v>395</v>
      </c>
      <c r="F120" s="13" t="s">
        <v>289</v>
      </c>
      <c r="G120" s="13" t="s">
        <v>309</v>
      </c>
      <c r="H120" s="13" t="s">
        <v>262</v>
      </c>
      <c r="I120" s="13" t="s">
        <v>262</v>
      </c>
      <c r="J120" s="13" t="s">
        <v>3</v>
      </c>
      <c r="K120" s="13" t="s">
        <v>3</v>
      </c>
    </row>
    <row r="121" spans="1:11" x14ac:dyDescent="0.3">
      <c r="A121" s="13" t="s">
        <v>49</v>
      </c>
      <c r="B121" s="13" t="s">
        <v>41</v>
      </c>
      <c r="C121" s="13" t="s">
        <v>3</v>
      </c>
      <c r="D121" s="13">
        <v>2021</v>
      </c>
      <c r="E121" s="13" t="s">
        <v>395</v>
      </c>
      <c r="F121" s="13" t="s">
        <v>289</v>
      </c>
      <c r="G121" s="13" t="s">
        <v>310</v>
      </c>
      <c r="H121" s="13" t="s">
        <v>262</v>
      </c>
      <c r="I121" s="13" t="s">
        <v>262</v>
      </c>
      <c r="J121" s="13" t="s">
        <v>3</v>
      </c>
      <c r="K121" s="13" t="s">
        <v>3</v>
      </c>
    </row>
    <row r="122" spans="1:11" x14ac:dyDescent="0.3">
      <c r="A122" s="13" t="s">
        <v>49</v>
      </c>
      <c r="B122" s="13" t="s">
        <v>38</v>
      </c>
      <c r="C122" s="13" t="s">
        <v>3</v>
      </c>
      <c r="D122" s="13">
        <v>2021</v>
      </c>
      <c r="E122" s="13" t="s">
        <v>395</v>
      </c>
      <c r="F122" s="13" t="s">
        <v>289</v>
      </c>
      <c r="G122" s="13" t="s">
        <v>311</v>
      </c>
      <c r="H122" s="13" t="s">
        <v>262</v>
      </c>
      <c r="I122" s="13" t="s">
        <v>262</v>
      </c>
      <c r="J122" s="13" t="s">
        <v>3</v>
      </c>
      <c r="K122" s="13" t="s">
        <v>3</v>
      </c>
    </row>
    <row r="123" spans="1:11" x14ac:dyDescent="0.3">
      <c r="A123" s="13" t="s">
        <v>49</v>
      </c>
      <c r="B123" s="13" t="s">
        <v>29</v>
      </c>
      <c r="C123" s="13">
        <v>1.0533960535652824</v>
      </c>
      <c r="D123" s="13">
        <v>2021</v>
      </c>
      <c r="E123" s="13" t="s">
        <v>395</v>
      </c>
      <c r="F123" s="13" t="s">
        <v>289</v>
      </c>
      <c r="G123" s="13" t="s">
        <v>319</v>
      </c>
      <c r="H123" s="13" t="s">
        <v>262</v>
      </c>
      <c r="I123" s="13" t="s">
        <v>262</v>
      </c>
      <c r="J123" s="13" t="s">
        <v>3</v>
      </c>
      <c r="K123" s="13" t="s">
        <v>3</v>
      </c>
    </row>
    <row r="124" spans="1:11" x14ac:dyDescent="0.3">
      <c r="A124" s="13" t="s">
        <v>44</v>
      </c>
      <c r="B124" s="13" t="s">
        <v>51</v>
      </c>
      <c r="C124" s="13">
        <v>7.2135591974909987</v>
      </c>
      <c r="D124" s="13">
        <v>2021</v>
      </c>
      <c r="E124" s="13" t="s">
        <v>395</v>
      </c>
      <c r="F124" s="13" t="s">
        <v>290</v>
      </c>
      <c r="G124" s="13" t="s">
        <v>284</v>
      </c>
      <c r="H124" s="13" t="s">
        <v>262</v>
      </c>
      <c r="I124" s="13" t="s">
        <v>18</v>
      </c>
      <c r="J124" s="13" t="s">
        <v>3</v>
      </c>
      <c r="K124" s="13" t="s">
        <v>360</v>
      </c>
    </row>
    <row r="125" spans="1:11" x14ac:dyDescent="0.3">
      <c r="A125" s="13" t="s">
        <v>44</v>
      </c>
      <c r="B125" s="13" t="s">
        <v>36</v>
      </c>
      <c r="C125" s="13">
        <v>0</v>
      </c>
      <c r="D125" s="13">
        <v>2021</v>
      </c>
      <c r="E125" s="13" t="s">
        <v>395</v>
      </c>
      <c r="F125" s="13" t="s">
        <v>290</v>
      </c>
      <c r="G125" s="13" t="s">
        <v>306</v>
      </c>
      <c r="H125" s="13" t="s">
        <v>262</v>
      </c>
      <c r="I125" s="13" t="s">
        <v>262</v>
      </c>
      <c r="J125" s="13" t="s">
        <v>3</v>
      </c>
      <c r="K125" s="13" t="s">
        <v>3</v>
      </c>
    </row>
    <row r="126" spans="1:11" x14ac:dyDescent="0.3">
      <c r="A126" s="13" t="s">
        <v>44</v>
      </c>
      <c r="B126" s="13" t="s">
        <v>37</v>
      </c>
      <c r="C126" s="13" t="s">
        <v>3</v>
      </c>
      <c r="D126" s="13">
        <v>2021</v>
      </c>
      <c r="E126" s="13" t="s">
        <v>395</v>
      </c>
      <c r="F126" s="13" t="s">
        <v>290</v>
      </c>
      <c r="G126" s="13" t="s">
        <v>307</v>
      </c>
      <c r="H126" s="13" t="s">
        <v>262</v>
      </c>
      <c r="I126" s="13" t="s">
        <v>262</v>
      </c>
      <c r="J126" s="13" t="s">
        <v>3</v>
      </c>
      <c r="K126" s="13" t="s">
        <v>3</v>
      </c>
    </row>
    <row r="127" spans="1:11" x14ac:dyDescent="0.3">
      <c r="A127" s="13" t="s">
        <v>44</v>
      </c>
      <c r="B127" s="13" t="s">
        <v>39</v>
      </c>
      <c r="C127" s="13" t="s">
        <v>3</v>
      </c>
      <c r="D127" s="13">
        <v>2021</v>
      </c>
      <c r="E127" s="13" t="s">
        <v>395</v>
      </c>
      <c r="F127" s="13" t="s">
        <v>290</v>
      </c>
      <c r="G127" s="13" t="s">
        <v>308</v>
      </c>
      <c r="H127" s="13" t="s">
        <v>262</v>
      </c>
      <c r="I127" s="13" t="s">
        <v>262</v>
      </c>
      <c r="J127" s="13" t="s">
        <v>3</v>
      </c>
      <c r="K127" s="13" t="s">
        <v>3</v>
      </c>
    </row>
    <row r="128" spans="1:11" x14ac:dyDescent="0.3">
      <c r="A128" s="13" t="s">
        <v>44</v>
      </c>
      <c r="B128" s="13" t="s">
        <v>40</v>
      </c>
      <c r="C128" s="13" t="s">
        <v>3</v>
      </c>
      <c r="D128" s="13">
        <v>2021</v>
      </c>
      <c r="E128" s="13" t="s">
        <v>395</v>
      </c>
      <c r="F128" s="13" t="s">
        <v>290</v>
      </c>
      <c r="G128" s="13" t="s">
        <v>309</v>
      </c>
      <c r="H128" s="13" t="s">
        <v>262</v>
      </c>
      <c r="I128" s="13" t="s">
        <v>262</v>
      </c>
      <c r="J128" s="13" t="s">
        <v>3</v>
      </c>
      <c r="K128" s="13" t="s">
        <v>3</v>
      </c>
    </row>
    <row r="129" spans="1:11" x14ac:dyDescent="0.3">
      <c r="A129" s="13" t="s">
        <v>44</v>
      </c>
      <c r="B129" s="13" t="s">
        <v>41</v>
      </c>
      <c r="C129" s="13" t="s">
        <v>3</v>
      </c>
      <c r="D129" s="13">
        <v>2021</v>
      </c>
      <c r="E129" s="13" t="s">
        <v>395</v>
      </c>
      <c r="F129" s="13" t="s">
        <v>290</v>
      </c>
      <c r="G129" s="13" t="s">
        <v>310</v>
      </c>
      <c r="H129" s="13" t="s">
        <v>262</v>
      </c>
      <c r="I129" s="13" t="s">
        <v>262</v>
      </c>
      <c r="J129" s="13" t="s">
        <v>3</v>
      </c>
      <c r="K129" s="13" t="s">
        <v>3</v>
      </c>
    </row>
    <row r="130" spans="1:11" x14ac:dyDescent="0.3">
      <c r="A130" s="13" t="s">
        <v>44</v>
      </c>
      <c r="B130" s="13" t="s">
        <v>38</v>
      </c>
      <c r="C130" s="13" t="s">
        <v>3</v>
      </c>
      <c r="D130" s="13">
        <v>2021</v>
      </c>
      <c r="E130" s="13" t="s">
        <v>395</v>
      </c>
      <c r="F130" s="13" t="s">
        <v>290</v>
      </c>
      <c r="G130" s="13" t="s">
        <v>311</v>
      </c>
      <c r="H130" s="13" t="s">
        <v>262</v>
      </c>
      <c r="I130" s="13" t="s">
        <v>262</v>
      </c>
      <c r="J130" s="13" t="s">
        <v>3</v>
      </c>
      <c r="K130" s="13" t="s">
        <v>3</v>
      </c>
    </row>
    <row r="131" spans="1:11" x14ac:dyDescent="0.3">
      <c r="A131" s="13" t="s">
        <v>44</v>
      </c>
      <c r="B131" s="13" t="s">
        <v>58</v>
      </c>
      <c r="C131" s="13">
        <v>7.3496640880096935</v>
      </c>
      <c r="D131" s="13">
        <v>2021</v>
      </c>
      <c r="E131" s="13" t="s">
        <v>395</v>
      </c>
      <c r="F131" s="13" t="s">
        <v>290</v>
      </c>
      <c r="G131" s="13" t="s">
        <v>287</v>
      </c>
      <c r="H131" s="13" t="s">
        <v>262</v>
      </c>
      <c r="I131" s="13" t="s">
        <v>18</v>
      </c>
      <c r="J131" s="13" t="s">
        <v>3</v>
      </c>
      <c r="K131" s="13" t="s">
        <v>362</v>
      </c>
    </row>
    <row r="132" spans="1:11" x14ac:dyDescent="0.3">
      <c r="A132" s="13" t="s">
        <v>44</v>
      </c>
      <c r="B132" s="13" t="s">
        <v>29</v>
      </c>
      <c r="C132" s="13">
        <v>5.4387514251271742</v>
      </c>
      <c r="D132" s="13">
        <v>2021</v>
      </c>
      <c r="E132" s="13" t="s">
        <v>395</v>
      </c>
      <c r="F132" s="13" t="s">
        <v>290</v>
      </c>
      <c r="G132" s="13" t="s">
        <v>319</v>
      </c>
      <c r="H132" s="13" t="s">
        <v>262</v>
      </c>
      <c r="I132" s="13" t="s">
        <v>262</v>
      </c>
      <c r="J132" s="13" t="s">
        <v>3</v>
      </c>
      <c r="K132" s="13" t="s">
        <v>3</v>
      </c>
    </row>
    <row r="133" spans="1:11" x14ac:dyDescent="0.3">
      <c r="A133" s="13" t="s">
        <v>44</v>
      </c>
      <c r="B133" s="13" t="s">
        <v>73</v>
      </c>
      <c r="C133" s="13">
        <v>0.44097984528058165</v>
      </c>
      <c r="D133" s="13">
        <v>2021</v>
      </c>
      <c r="E133" s="13" t="s">
        <v>395</v>
      </c>
      <c r="F133" s="13" t="s">
        <v>290</v>
      </c>
      <c r="G133" s="13" t="s">
        <v>320</v>
      </c>
      <c r="H133" s="13" t="s">
        <v>262</v>
      </c>
      <c r="I133" s="13" t="s">
        <v>262</v>
      </c>
      <c r="J133" s="13" t="s">
        <v>3</v>
      </c>
      <c r="K133" s="13" t="s">
        <v>3</v>
      </c>
    </row>
    <row r="134" spans="1:11" x14ac:dyDescent="0.3">
      <c r="A134" s="13" t="s">
        <v>44</v>
      </c>
      <c r="B134" s="13" t="s">
        <v>30</v>
      </c>
      <c r="C134" s="13">
        <v>1.0289529723213575</v>
      </c>
      <c r="D134" s="13">
        <v>2021</v>
      </c>
      <c r="E134" s="13" t="s">
        <v>395</v>
      </c>
      <c r="F134" s="13" t="s">
        <v>290</v>
      </c>
      <c r="G134" s="13" t="s">
        <v>321</v>
      </c>
      <c r="H134" s="13" t="s">
        <v>262</v>
      </c>
      <c r="I134" s="13" t="s">
        <v>262</v>
      </c>
      <c r="J134" s="13" t="s">
        <v>3</v>
      </c>
      <c r="K134" s="13" t="s">
        <v>3</v>
      </c>
    </row>
    <row r="135" spans="1:11" x14ac:dyDescent="0.3">
      <c r="A135" s="13" t="s">
        <v>44</v>
      </c>
      <c r="B135" s="13" t="s">
        <v>80</v>
      </c>
      <c r="C135" s="13">
        <v>0</v>
      </c>
      <c r="D135" s="13">
        <v>2021</v>
      </c>
      <c r="E135" s="13" t="s">
        <v>395</v>
      </c>
      <c r="F135" s="13" t="s">
        <v>290</v>
      </c>
      <c r="G135" s="13" t="s">
        <v>322</v>
      </c>
      <c r="H135" s="13" t="s">
        <v>262</v>
      </c>
      <c r="I135" s="13" t="s">
        <v>262</v>
      </c>
      <c r="J135" s="13" t="s">
        <v>3</v>
      </c>
      <c r="K135" s="13" t="s">
        <v>3</v>
      </c>
    </row>
    <row r="136" spans="1:11" x14ac:dyDescent="0.3">
      <c r="A136" s="13" t="s">
        <v>44</v>
      </c>
      <c r="B136" s="13" t="s">
        <v>235</v>
      </c>
      <c r="C136" s="13">
        <v>0</v>
      </c>
      <c r="D136" s="13">
        <v>2021</v>
      </c>
      <c r="E136" s="13" t="s">
        <v>395</v>
      </c>
      <c r="F136" s="13" t="s">
        <v>290</v>
      </c>
      <c r="G136" s="13" t="s">
        <v>323</v>
      </c>
      <c r="H136" s="13" t="s">
        <v>262</v>
      </c>
      <c r="I136" s="13" t="s">
        <v>262</v>
      </c>
      <c r="J136" s="13" t="s">
        <v>3</v>
      </c>
      <c r="K136" s="13" t="s">
        <v>3</v>
      </c>
    </row>
    <row r="137" spans="1:11" x14ac:dyDescent="0.3">
      <c r="A137" s="13" t="s">
        <v>44</v>
      </c>
      <c r="B137" s="13" t="s">
        <v>74</v>
      </c>
      <c r="C137" s="13">
        <v>0.44097984528058043</v>
      </c>
      <c r="D137" s="13">
        <v>2021</v>
      </c>
      <c r="E137" s="13" t="s">
        <v>395</v>
      </c>
      <c r="F137" s="13" t="s">
        <v>290</v>
      </c>
      <c r="G137" s="13" t="s">
        <v>324</v>
      </c>
      <c r="H137" s="13" t="s">
        <v>262</v>
      </c>
      <c r="I137" s="13" t="s">
        <v>262</v>
      </c>
      <c r="J137" s="13" t="s">
        <v>3</v>
      </c>
      <c r="K137" s="13" t="s">
        <v>3</v>
      </c>
    </row>
    <row r="138" spans="1:11" x14ac:dyDescent="0.3">
      <c r="A138" s="13" t="s">
        <v>45</v>
      </c>
      <c r="B138" s="13" t="s">
        <v>51</v>
      </c>
      <c r="C138" s="13">
        <v>5.7220760936583339</v>
      </c>
      <c r="D138" s="13">
        <v>2021</v>
      </c>
      <c r="E138" s="13" t="s">
        <v>395</v>
      </c>
      <c r="F138" s="13" t="s">
        <v>291</v>
      </c>
      <c r="G138" s="13" t="s">
        <v>284</v>
      </c>
      <c r="H138" s="13" t="s">
        <v>262</v>
      </c>
      <c r="I138" s="13" t="s">
        <v>18</v>
      </c>
      <c r="J138" s="13" t="s">
        <v>3</v>
      </c>
      <c r="K138" s="13" t="s">
        <v>360</v>
      </c>
    </row>
    <row r="139" spans="1:11" x14ac:dyDescent="0.3">
      <c r="A139" s="13" t="s">
        <v>45</v>
      </c>
      <c r="B139" s="13" t="s">
        <v>36</v>
      </c>
      <c r="C139" s="13">
        <v>0</v>
      </c>
      <c r="D139" s="13">
        <v>2021</v>
      </c>
      <c r="E139" s="13" t="s">
        <v>395</v>
      </c>
      <c r="F139" s="13" t="s">
        <v>291</v>
      </c>
      <c r="G139" s="13" t="s">
        <v>306</v>
      </c>
      <c r="H139" s="13" t="s">
        <v>262</v>
      </c>
      <c r="I139" s="13" t="s">
        <v>262</v>
      </c>
      <c r="J139" s="13" t="s">
        <v>3</v>
      </c>
      <c r="K139" s="13" t="s">
        <v>3</v>
      </c>
    </row>
    <row r="140" spans="1:11" x14ac:dyDescent="0.3">
      <c r="A140" s="13" t="s">
        <v>45</v>
      </c>
      <c r="B140" s="13" t="s">
        <v>37</v>
      </c>
      <c r="C140" s="13" t="s">
        <v>3</v>
      </c>
      <c r="D140" s="13">
        <v>2021</v>
      </c>
      <c r="E140" s="13" t="s">
        <v>395</v>
      </c>
      <c r="F140" s="13" t="s">
        <v>291</v>
      </c>
      <c r="G140" s="13" t="s">
        <v>307</v>
      </c>
      <c r="H140" s="13" t="s">
        <v>262</v>
      </c>
      <c r="I140" s="13" t="s">
        <v>262</v>
      </c>
      <c r="J140" s="13" t="s">
        <v>3</v>
      </c>
      <c r="K140" s="13" t="s">
        <v>3</v>
      </c>
    </row>
    <row r="141" spans="1:11" x14ac:dyDescent="0.3">
      <c r="A141" s="13" t="s">
        <v>45</v>
      </c>
      <c r="B141" s="13" t="s">
        <v>39</v>
      </c>
      <c r="C141" s="13">
        <v>0</v>
      </c>
      <c r="D141" s="13">
        <v>2021</v>
      </c>
      <c r="E141" s="13" t="s">
        <v>395</v>
      </c>
      <c r="F141" s="13" t="s">
        <v>291</v>
      </c>
      <c r="G141" s="13" t="s">
        <v>308</v>
      </c>
      <c r="H141" s="13" t="s">
        <v>262</v>
      </c>
      <c r="I141" s="13" t="s">
        <v>262</v>
      </c>
      <c r="J141" s="13" t="s">
        <v>3</v>
      </c>
      <c r="K141" s="13" t="s">
        <v>3</v>
      </c>
    </row>
    <row r="142" spans="1:11" x14ac:dyDescent="0.3">
      <c r="A142" s="13" t="s">
        <v>45</v>
      </c>
      <c r="B142" s="13" t="s">
        <v>40</v>
      </c>
      <c r="C142" s="13" t="s">
        <v>3</v>
      </c>
      <c r="D142" s="13">
        <v>2021</v>
      </c>
      <c r="E142" s="13" t="s">
        <v>395</v>
      </c>
      <c r="F142" s="13" t="s">
        <v>291</v>
      </c>
      <c r="G142" s="13" t="s">
        <v>309</v>
      </c>
      <c r="H142" s="13" t="s">
        <v>262</v>
      </c>
      <c r="I142" s="13" t="s">
        <v>262</v>
      </c>
      <c r="J142" s="13" t="s">
        <v>3</v>
      </c>
      <c r="K142" s="13" t="s">
        <v>3</v>
      </c>
    </row>
    <row r="143" spans="1:11" x14ac:dyDescent="0.3">
      <c r="A143" s="13" t="s">
        <v>45</v>
      </c>
      <c r="B143" s="13" t="s">
        <v>41</v>
      </c>
      <c r="C143" s="13" t="s">
        <v>3</v>
      </c>
      <c r="D143" s="13">
        <v>2021</v>
      </c>
      <c r="E143" s="13" t="s">
        <v>395</v>
      </c>
      <c r="F143" s="13" t="s">
        <v>291</v>
      </c>
      <c r="G143" s="13" t="s">
        <v>310</v>
      </c>
      <c r="H143" s="13" t="s">
        <v>262</v>
      </c>
      <c r="I143" s="13" t="s">
        <v>262</v>
      </c>
      <c r="J143" s="13" t="s">
        <v>3</v>
      </c>
      <c r="K143" s="13" t="s">
        <v>3</v>
      </c>
    </row>
    <row r="144" spans="1:11" x14ac:dyDescent="0.3">
      <c r="A144" s="13" t="s">
        <v>45</v>
      </c>
      <c r="B144" s="13" t="s">
        <v>38</v>
      </c>
      <c r="C144" s="13" t="s">
        <v>3</v>
      </c>
      <c r="D144" s="13">
        <v>2021</v>
      </c>
      <c r="E144" s="13" t="s">
        <v>395</v>
      </c>
      <c r="F144" s="13" t="s">
        <v>291</v>
      </c>
      <c r="G144" s="13" t="s">
        <v>311</v>
      </c>
      <c r="H144" s="13" t="s">
        <v>262</v>
      </c>
      <c r="I144" s="13" t="s">
        <v>262</v>
      </c>
      <c r="J144" s="13" t="s">
        <v>3</v>
      </c>
      <c r="K144" s="13" t="s">
        <v>3</v>
      </c>
    </row>
    <row r="145" spans="1:11" x14ac:dyDescent="0.3">
      <c r="A145" s="13" t="s">
        <v>46</v>
      </c>
      <c r="B145" s="13" t="s">
        <v>51</v>
      </c>
      <c r="C145" s="13">
        <v>1.7958480559422858</v>
      </c>
      <c r="D145" s="13">
        <v>2021</v>
      </c>
      <c r="E145" s="13" t="s">
        <v>395</v>
      </c>
      <c r="F145" s="13" t="s">
        <v>292</v>
      </c>
      <c r="G145" s="13" t="s">
        <v>284</v>
      </c>
      <c r="H145" s="13" t="s">
        <v>262</v>
      </c>
      <c r="I145" s="13" t="s">
        <v>18</v>
      </c>
      <c r="J145" s="13" t="s">
        <v>3</v>
      </c>
      <c r="K145" s="13" t="s">
        <v>360</v>
      </c>
    </row>
    <row r="146" spans="1:11" x14ac:dyDescent="0.3">
      <c r="A146" s="13" t="s">
        <v>46</v>
      </c>
      <c r="B146" s="13" t="s">
        <v>36</v>
      </c>
      <c r="C146" s="13">
        <v>0</v>
      </c>
      <c r="D146" s="13">
        <v>2021</v>
      </c>
      <c r="E146" s="13" t="s">
        <v>395</v>
      </c>
      <c r="F146" s="13" t="s">
        <v>292</v>
      </c>
      <c r="G146" s="13" t="s">
        <v>306</v>
      </c>
      <c r="H146" s="13" t="s">
        <v>262</v>
      </c>
      <c r="I146" s="13" t="s">
        <v>262</v>
      </c>
      <c r="J146" s="13" t="s">
        <v>3</v>
      </c>
      <c r="K146" s="13" t="s">
        <v>3</v>
      </c>
    </row>
    <row r="147" spans="1:11" x14ac:dyDescent="0.3">
      <c r="A147" s="13" t="s">
        <v>46</v>
      </c>
      <c r="B147" s="13" t="s">
        <v>37</v>
      </c>
      <c r="C147" s="13" t="s">
        <v>3</v>
      </c>
      <c r="D147" s="13">
        <v>2021</v>
      </c>
      <c r="E147" s="13" t="s">
        <v>395</v>
      </c>
      <c r="F147" s="13" t="s">
        <v>292</v>
      </c>
      <c r="G147" s="13" t="s">
        <v>307</v>
      </c>
      <c r="H147" s="13" t="s">
        <v>262</v>
      </c>
      <c r="I147" s="13" t="s">
        <v>262</v>
      </c>
      <c r="J147" s="13" t="s">
        <v>3</v>
      </c>
      <c r="K147" s="13" t="s">
        <v>3</v>
      </c>
    </row>
    <row r="148" spans="1:11" x14ac:dyDescent="0.3">
      <c r="A148" s="13" t="s">
        <v>46</v>
      </c>
      <c r="B148" s="13" t="s">
        <v>39</v>
      </c>
      <c r="C148" s="13">
        <v>1.7958480559422858E-3</v>
      </c>
      <c r="D148" s="13">
        <v>2021</v>
      </c>
      <c r="E148" s="13" t="s">
        <v>395</v>
      </c>
      <c r="F148" s="13" t="s">
        <v>292</v>
      </c>
      <c r="G148" s="13" t="s">
        <v>308</v>
      </c>
      <c r="H148" s="13" t="s">
        <v>262</v>
      </c>
      <c r="I148" s="13" t="s">
        <v>262</v>
      </c>
      <c r="J148" s="13" t="s">
        <v>3</v>
      </c>
      <c r="K148" s="13" t="s">
        <v>3</v>
      </c>
    </row>
    <row r="149" spans="1:11" x14ac:dyDescent="0.3">
      <c r="A149" s="13" t="s">
        <v>46</v>
      </c>
      <c r="B149" s="13" t="s">
        <v>40</v>
      </c>
      <c r="C149" s="13" t="s">
        <v>3</v>
      </c>
      <c r="D149" s="13">
        <v>2021</v>
      </c>
      <c r="E149" s="13" t="s">
        <v>395</v>
      </c>
      <c r="F149" s="13" t="s">
        <v>292</v>
      </c>
      <c r="G149" s="13" t="s">
        <v>309</v>
      </c>
      <c r="H149" s="13" t="s">
        <v>262</v>
      </c>
      <c r="I149" s="13" t="s">
        <v>262</v>
      </c>
      <c r="J149" s="13" t="s">
        <v>3</v>
      </c>
      <c r="K149" s="13" t="s">
        <v>3</v>
      </c>
    </row>
    <row r="150" spans="1:11" x14ac:dyDescent="0.3">
      <c r="A150" s="13" t="s">
        <v>46</v>
      </c>
      <c r="B150" s="13" t="s">
        <v>41</v>
      </c>
      <c r="C150" s="13" t="s">
        <v>3</v>
      </c>
      <c r="D150" s="13">
        <v>2021</v>
      </c>
      <c r="E150" s="13" t="s">
        <v>395</v>
      </c>
      <c r="F150" s="13" t="s">
        <v>292</v>
      </c>
      <c r="G150" s="13" t="s">
        <v>310</v>
      </c>
      <c r="H150" s="13" t="s">
        <v>262</v>
      </c>
      <c r="I150" s="13" t="s">
        <v>262</v>
      </c>
      <c r="J150" s="13" t="s">
        <v>3</v>
      </c>
      <c r="K150" s="13" t="s">
        <v>3</v>
      </c>
    </row>
    <row r="151" spans="1:11" x14ac:dyDescent="0.3">
      <c r="A151" s="13" t="s">
        <v>46</v>
      </c>
      <c r="B151" s="13" t="s">
        <v>38</v>
      </c>
      <c r="C151" s="13" t="s">
        <v>3</v>
      </c>
      <c r="D151" s="13">
        <v>2021</v>
      </c>
      <c r="E151" s="13" t="s">
        <v>395</v>
      </c>
      <c r="F151" s="13" t="s">
        <v>292</v>
      </c>
      <c r="G151" s="13" t="s">
        <v>311</v>
      </c>
      <c r="H151" s="13" t="s">
        <v>262</v>
      </c>
      <c r="I151" s="13" t="s">
        <v>262</v>
      </c>
      <c r="J151" s="13" t="s">
        <v>3</v>
      </c>
      <c r="K151" s="13" t="s">
        <v>3</v>
      </c>
    </row>
    <row r="152" spans="1:11" x14ac:dyDescent="0.3">
      <c r="A152" s="13" t="s">
        <v>46</v>
      </c>
      <c r="B152" s="13" t="s">
        <v>73</v>
      </c>
      <c r="C152" s="13">
        <v>1.8195015764359532E-2</v>
      </c>
      <c r="D152" s="13">
        <v>2021</v>
      </c>
      <c r="E152" s="13" t="s">
        <v>395</v>
      </c>
      <c r="F152" s="13" t="s">
        <v>292</v>
      </c>
      <c r="G152" s="13" t="s">
        <v>320</v>
      </c>
      <c r="H152" s="13" t="s">
        <v>262</v>
      </c>
      <c r="I152" s="13" t="s">
        <v>262</v>
      </c>
      <c r="J152" s="13" t="s">
        <v>3</v>
      </c>
      <c r="K152" s="13" t="s">
        <v>3</v>
      </c>
    </row>
    <row r="153" spans="1:11" x14ac:dyDescent="0.3">
      <c r="A153" s="13" t="s">
        <v>176</v>
      </c>
      <c r="B153" s="13" t="s">
        <v>51</v>
      </c>
      <c r="C153" s="13">
        <v>0.57396538866657154</v>
      </c>
      <c r="D153" s="13">
        <v>2021</v>
      </c>
      <c r="E153" s="13" t="s">
        <v>395</v>
      </c>
      <c r="F153" s="13" t="s">
        <v>293</v>
      </c>
      <c r="G153" s="13" t="s">
        <v>284</v>
      </c>
      <c r="H153" s="13" t="s">
        <v>262</v>
      </c>
      <c r="I153" s="13" t="s">
        <v>18</v>
      </c>
      <c r="J153" s="13" t="s">
        <v>3</v>
      </c>
      <c r="K153" s="13" t="s">
        <v>360</v>
      </c>
    </row>
    <row r="154" spans="1:11" x14ac:dyDescent="0.3">
      <c r="A154" s="13" t="s">
        <v>176</v>
      </c>
      <c r="B154" s="13" t="s">
        <v>36</v>
      </c>
      <c r="C154" s="13">
        <v>0</v>
      </c>
      <c r="D154" s="13">
        <v>2021</v>
      </c>
      <c r="E154" s="13" t="s">
        <v>395</v>
      </c>
      <c r="F154" s="13" t="s">
        <v>293</v>
      </c>
      <c r="G154" s="13" t="s">
        <v>306</v>
      </c>
      <c r="H154" s="13" t="s">
        <v>262</v>
      </c>
      <c r="I154" s="13" t="s">
        <v>262</v>
      </c>
      <c r="J154" s="13" t="s">
        <v>3</v>
      </c>
      <c r="K154" s="13" t="s">
        <v>3</v>
      </c>
    </row>
    <row r="155" spans="1:11" x14ac:dyDescent="0.3">
      <c r="A155" s="13" t="s">
        <v>176</v>
      </c>
      <c r="B155" s="13" t="s">
        <v>37</v>
      </c>
      <c r="C155" s="13" t="s">
        <v>3</v>
      </c>
      <c r="D155" s="13">
        <v>2021</v>
      </c>
      <c r="E155" s="13" t="s">
        <v>395</v>
      </c>
      <c r="F155" s="13" t="s">
        <v>293</v>
      </c>
      <c r="G155" s="13" t="s">
        <v>307</v>
      </c>
      <c r="H155" s="13" t="s">
        <v>262</v>
      </c>
      <c r="I155" s="13" t="s">
        <v>262</v>
      </c>
      <c r="J155" s="13" t="s">
        <v>3</v>
      </c>
      <c r="K155" s="13" t="s">
        <v>3</v>
      </c>
    </row>
    <row r="156" spans="1:11" x14ac:dyDescent="0.3">
      <c r="A156" s="13" t="s">
        <v>176</v>
      </c>
      <c r="B156" s="13" t="s">
        <v>39</v>
      </c>
      <c r="C156" s="13">
        <v>0</v>
      </c>
      <c r="D156" s="13">
        <v>2021</v>
      </c>
      <c r="E156" s="13" t="s">
        <v>395</v>
      </c>
      <c r="F156" s="13" t="s">
        <v>293</v>
      </c>
      <c r="G156" s="13" t="s">
        <v>308</v>
      </c>
      <c r="H156" s="13" t="s">
        <v>262</v>
      </c>
      <c r="I156" s="13" t="s">
        <v>262</v>
      </c>
      <c r="J156" s="13" t="s">
        <v>3</v>
      </c>
      <c r="K156" s="13" t="s">
        <v>3</v>
      </c>
    </row>
    <row r="157" spans="1:11" x14ac:dyDescent="0.3">
      <c r="A157" s="13" t="s">
        <v>176</v>
      </c>
      <c r="B157" s="13" t="s">
        <v>40</v>
      </c>
      <c r="C157" s="13" t="s">
        <v>3</v>
      </c>
      <c r="D157" s="13">
        <v>2021</v>
      </c>
      <c r="E157" s="13" t="s">
        <v>395</v>
      </c>
      <c r="F157" s="13" t="s">
        <v>293</v>
      </c>
      <c r="G157" s="13" t="s">
        <v>309</v>
      </c>
      <c r="H157" s="13" t="s">
        <v>262</v>
      </c>
      <c r="I157" s="13" t="s">
        <v>262</v>
      </c>
      <c r="J157" s="13" t="s">
        <v>3</v>
      </c>
      <c r="K157" s="13" t="s">
        <v>3</v>
      </c>
    </row>
    <row r="158" spans="1:11" x14ac:dyDescent="0.3">
      <c r="A158" s="13" t="s">
        <v>176</v>
      </c>
      <c r="B158" s="13" t="s">
        <v>41</v>
      </c>
      <c r="C158" s="13" t="s">
        <v>3</v>
      </c>
      <c r="D158" s="13">
        <v>2021</v>
      </c>
      <c r="E158" s="13" t="s">
        <v>395</v>
      </c>
      <c r="F158" s="13" t="s">
        <v>293</v>
      </c>
      <c r="G158" s="13" t="s">
        <v>310</v>
      </c>
      <c r="H158" s="13" t="s">
        <v>262</v>
      </c>
      <c r="I158" s="13" t="s">
        <v>262</v>
      </c>
      <c r="J158" s="13" t="s">
        <v>3</v>
      </c>
      <c r="K158" s="13" t="s">
        <v>3</v>
      </c>
    </row>
    <row r="159" spans="1:11" x14ac:dyDescent="0.3">
      <c r="A159" s="13" t="s">
        <v>176</v>
      </c>
      <c r="B159" s="13" t="s">
        <v>38</v>
      </c>
      <c r="C159" s="13" t="s">
        <v>3</v>
      </c>
      <c r="D159" s="13">
        <v>2021</v>
      </c>
      <c r="E159" s="13" t="s">
        <v>395</v>
      </c>
      <c r="F159" s="13" t="s">
        <v>293</v>
      </c>
      <c r="G159" s="13" t="s">
        <v>311</v>
      </c>
      <c r="H159" s="13" t="s">
        <v>262</v>
      </c>
      <c r="I159" s="13" t="s">
        <v>262</v>
      </c>
      <c r="J159" s="13" t="s">
        <v>3</v>
      </c>
      <c r="K159" s="13" t="s">
        <v>3</v>
      </c>
    </row>
    <row r="160" spans="1:11" x14ac:dyDescent="0.3">
      <c r="A160" s="13" t="s">
        <v>205</v>
      </c>
      <c r="B160" s="13" t="s">
        <v>51</v>
      </c>
      <c r="C160" s="13">
        <v>6.7159444157504069</v>
      </c>
      <c r="D160" s="13">
        <v>2021</v>
      </c>
      <c r="E160" s="13" t="s">
        <v>395</v>
      </c>
      <c r="F160" s="13" t="s">
        <v>294</v>
      </c>
      <c r="G160" s="13" t="s">
        <v>284</v>
      </c>
      <c r="H160" s="13" t="s">
        <v>262</v>
      </c>
      <c r="I160" s="13" t="s">
        <v>18</v>
      </c>
      <c r="J160" s="13" t="s">
        <v>3</v>
      </c>
      <c r="K160" s="13" t="s">
        <v>360</v>
      </c>
    </row>
    <row r="161" spans="1:11" x14ac:dyDescent="0.3">
      <c r="A161" s="13" t="s">
        <v>205</v>
      </c>
      <c r="B161" s="13" t="s">
        <v>36</v>
      </c>
      <c r="C161" s="13">
        <v>0</v>
      </c>
      <c r="D161" s="13">
        <v>2021</v>
      </c>
      <c r="E161" s="13" t="s">
        <v>395</v>
      </c>
      <c r="F161" s="13" t="s">
        <v>294</v>
      </c>
      <c r="G161" s="13" t="s">
        <v>306</v>
      </c>
      <c r="H161" s="13" t="s">
        <v>262</v>
      </c>
      <c r="I161" s="13" t="s">
        <v>262</v>
      </c>
      <c r="J161" s="13" t="s">
        <v>3</v>
      </c>
      <c r="K161" s="13" t="s">
        <v>3</v>
      </c>
    </row>
    <row r="162" spans="1:11" x14ac:dyDescent="0.3">
      <c r="A162" s="13" t="s">
        <v>205</v>
      </c>
      <c r="B162" s="13" t="s">
        <v>37</v>
      </c>
      <c r="C162" s="13" t="s">
        <v>3</v>
      </c>
      <c r="D162" s="13">
        <v>2021</v>
      </c>
      <c r="E162" s="13" t="s">
        <v>395</v>
      </c>
      <c r="F162" s="13" t="s">
        <v>294</v>
      </c>
      <c r="G162" s="13" t="s">
        <v>307</v>
      </c>
      <c r="H162" s="13" t="s">
        <v>262</v>
      </c>
      <c r="I162" s="13" t="s">
        <v>262</v>
      </c>
      <c r="J162" s="13" t="s">
        <v>3</v>
      </c>
      <c r="K162" s="13" t="s">
        <v>3</v>
      </c>
    </row>
    <row r="163" spans="1:11" x14ac:dyDescent="0.3">
      <c r="A163" s="13" t="s">
        <v>205</v>
      </c>
      <c r="B163" s="13" t="s">
        <v>39</v>
      </c>
      <c r="C163" s="13">
        <v>0</v>
      </c>
      <c r="D163" s="13">
        <v>2021</v>
      </c>
      <c r="E163" s="13" t="s">
        <v>395</v>
      </c>
      <c r="F163" s="13" t="s">
        <v>294</v>
      </c>
      <c r="G163" s="13" t="s">
        <v>308</v>
      </c>
      <c r="H163" s="13" t="s">
        <v>262</v>
      </c>
      <c r="I163" s="13" t="s">
        <v>262</v>
      </c>
      <c r="J163" s="13" t="s">
        <v>3</v>
      </c>
      <c r="K163" s="13" t="s">
        <v>3</v>
      </c>
    </row>
    <row r="164" spans="1:11" x14ac:dyDescent="0.3">
      <c r="A164" s="13" t="s">
        <v>205</v>
      </c>
      <c r="B164" s="13" t="s">
        <v>40</v>
      </c>
      <c r="C164" s="13" t="s">
        <v>3</v>
      </c>
      <c r="D164" s="13">
        <v>2021</v>
      </c>
      <c r="E164" s="13" t="s">
        <v>395</v>
      </c>
      <c r="F164" s="13" t="s">
        <v>294</v>
      </c>
      <c r="G164" s="13" t="s">
        <v>309</v>
      </c>
      <c r="H164" s="13" t="s">
        <v>262</v>
      </c>
      <c r="I164" s="13" t="s">
        <v>262</v>
      </c>
      <c r="J164" s="13" t="s">
        <v>3</v>
      </c>
      <c r="K164" s="13" t="s">
        <v>3</v>
      </c>
    </row>
    <row r="165" spans="1:11" x14ac:dyDescent="0.3">
      <c r="A165" s="13" t="s">
        <v>205</v>
      </c>
      <c r="B165" s="13" t="s">
        <v>41</v>
      </c>
      <c r="C165" s="13" t="s">
        <v>3</v>
      </c>
      <c r="D165" s="13">
        <v>2021</v>
      </c>
      <c r="E165" s="13" t="s">
        <v>395</v>
      </c>
      <c r="F165" s="13" t="s">
        <v>294</v>
      </c>
      <c r="G165" s="13" t="s">
        <v>310</v>
      </c>
      <c r="H165" s="13" t="s">
        <v>262</v>
      </c>
      <c r="I165" s="13" t="s">
        <v>262</v>
      </c>
      <c r="J165" s="13" t="s">
        <v>3</v>
      </c>
      <c r="K165" s="13" t="s">
        <v>3</v>
      </c>
    </row>
    <row r="166" spans="1:11" x14ac:dyDescent="0.3">
      <c r="A166" s="13" t="s">
        <v>205</v>
      </c>
      <c r="B166" s="13" t="s">
        <v>38</v>
      </c>
      <c r="C166" s="13" t="s">
        <v>3</v>
      </c>
      <c r="D166" s="13">
        <v>2021</v>
      </c>
      <c r="E166" s="13" t="s">
        <v>395</v>
      </c>
      <c r="F166" s="13" t="s">
        <v>294</v>
      </c>
      <c r="G166" s="13" t="s">
        <v>311</v>
      </c>
      <c r="H166" s="13" t="s">
        <v>262</v>
      </c>
      <c r="I166" s="13" t="s">
        <v>262</v>
      </c>
      <c r="J166" s="13" t="s">
        <v>3</v>
      </c>
      <c r="K166" s="13" t="s">
        <v>3</v>
      </c>
    </row>
    <row r="167" spans="1:11" x14ac:dyDescent="0.3">
      <c r="A167" s="13" t="s">
        <v>75</v>
      </c>
      <c r="B167" s="13" t="s">
        <v>40</v>
      </c>
      <c r="C167" s="13">
        <v>0.20173807370249999</v>
      </c>
      <c r="D167" s="13">
        <v>2021</v>
      </c>
      <c r="E167" s="13" t="s">
        <v>395</v>
      </c>
      <c r="F167" s="13" t="s">
        <v>295</v>
      </c>
      <c r="G167" s="13" t="s">
        <v>309</v>
      </c>
      <c r="H167" s="13" t="s">
        <v>262</v>
      </c>
      <c r="I167" s="13" t="s">
        <v>262</v>
      </c>
      <c r="J167" s="13" t="s">
        <v>3</v>
      </c>
      <c r="K167" s="13" t="s">
        <v>3</v>
      </c>
    </row>
    <row r="168" spans="1:11" x14ac:dyDescent="0.3">
      <c r="A168" s="13" t="s">
        <v>70</v>
      </c>
      <c r="B168" s="13" t="s">
        <v>50</v>
      </c>
      <c r="C168" s="13">
        <v>3.2141039370000004</v>
      </c>
      <c r="D168" s="13">
        <v>2021</v>
      </c>
      <c r="E168" s="13" t="s">
        <v>395</v>
      </c>
      <c r="F168" s="13" t="s">
        <v>296</v>
      </c>
      <c r="G168" s="13" t="s">
        <v>283</v>
      </c>
      <c r="H168" s="13" t="s">
        <v>262</v>
      </c>
      <c r="I168" s="13" t="s">
        <v>18</v>
      </c>
      <c r="J168" s="13" t="s">
        <v>3</v>
      </c>
      <c r="K168" s="13" t="s">
        <v>359</v>
      </c>
    </row>
    <row r="169" spans="1:11" x14ac:dyDescent="0.3">
      <c r="A169" s="13" t="s">
        <v>70</v>
      </c>
      <c r="B169" s="13" t="s">
        <v>78</v>
      </c>
      <c r="C169" s="13">
        <v>0.30946121799999993</v>
      </c>
      <c r="D169" s="13">
        <v>2021</v>
      </c>
      <c r="E169" s="13" t="s">
        <v>395</v>
      </c>
      <c r="F169" s="13" t="s">
        <v>296</v>
      </c>
      <c r="G169" s="13" t="s">
        <v>301</v>
      </c>
      <c r="H169" s="13" t="s">
        <v>262</v>
      </c>
      <c r="I169" s="13" t="s">
        <v>262</v>
      </c>
      <c r="J169" s="13" t="s">
        <v>3</v>
      </c>
      <c r="K169" s="13" t="s">
        <v>3</v>
      </c>
    </row>
    <row r="170" spans="1:11" x14ac:dyDescent="0.3">
      <c r="A170" s="13" t="s">
        <v>70</v>
      </c>
      <c r="B170" s="13" t="s">
        <v>79</v>
      </c>
      <c r="C170" s="13">
        <v>0</v>
      </c>
      <c r="D170" s="13">
        <v>2021</v>
      </c>
      <c r="E170" s="13" t="s">
        <v>395</v>
      </c>
      <c r="F170" s="13" t="s">
        <v>296</v>
      </c>
      <c r="G170" s="13" t="s">
        <v>302</v>
      </c>
      <c r="H170" s="13" t="s">
        <v>262</v>
      </c>
      <c r="I170" s="13" t="s">
        <v>262</v>
      </c>
      <c r="J170" s="13" t="s">
        <v>3</v>
      </c>
      <c r="K170" s="13" t="s">
        <v>3</v>
      </c>
    </row>
    <row r="171" spans="1:11" x14ac:dyDescent="0.3">
      <c r="A171" s="13" t="s">
        <v>70</v>
      </c>
      <c r="B171" s="13" t="s">
        <v>67</v>
      </c>
      <c r="C171" s="13">
        <v>0</v>
      </c>
      <c r="D171" s="13">
        <v>2021</v>
      </c>
      <c r="E171" s="13" t="s">
        <v>395</v>
      </c>
      <c r="F171" s="13" t="s">
        <v>296</v>
      </c>
      <c r="G171" s="13" t="s">
        <v>303</v>
      </c>
      <c r="H171" s="13" t="s">
        <v>262</v>
      </c>
      <c r="I171" s="13" t="s">
        <v>262</v>
      </c>
      <c r="J171" s="13" t="s">
        <v>3</v>
      </c>
      <c r="K171" s="13" t="s">
        <v>3</v>
      </c>
    </row>
    <row r="172" spans="1:11" x14ac:dyDescent="0.3">
      <c r="A172" s="13" t="s">
        <v>70</v>
      </c>
      <c r="B172" s="13" t="s">
        <v>68</v>
      </c>
      <c r="C172" s="13">
        <v>2.9046427189999999</v>
      </c>
      <c r="D172" s="13">
        <v>2021</v>
      </c>
      <c r="E172" s="13" t="s">
        <v>395</v>
      </c>
      <c r="F172" s="13" t="s">
        <v>296</v>
      </c>
      <c r="G172" s="13" t="s">
        <v>304</v>
      </c>
      <c r="H172" s="13" t="s">
        <v>262</v>
      </c>
      <c r="I172" s="13" t="s">
        <v>262</v>
      </c>
      <c r="J172" s="13" t="s">
        <v>3</v>
      </c>
      <c r="K172" s="13" t="s">
        <v>3</v>
      </c>
    </row>
    <row r="173" spans="1:11" x14ac:dyDescent="0.3">
      <c r="A173" s="13" t="s">
        <v>70</v>
      </c>
      <c r="B173" s="13" t="s">
        <v>69</v>
      </c>
      <c r="C173" s="13">
        <v>0</v>
      </c>
      <c r="D173" s="13">
        <v>2021</v>
      </c>
      <c r="E173" s="13" t="s">
        <v>395</v>
      </c>
      <c r="F173" s="13" t="s">
        <v>296</v>
      </c>
      <c r="G173" s="13" t="s">
        <v>305</v>
      </c>
      <c r="H173" s="13" t="s">
        <v>262</v>
      </c>
      <c r="I173" s="13" t="s">
        <v>262</v>
      </c>
      <c r="J173" s="13" t="s">
        <v>3</v>
      </c>
      <c r="K173" s="13" t="s">
        <v>3</v>
      </c>
    </row>
    <row r="174" spans="1:11" x14ac:dyDescent="0.3">
      <c r="A174" s="13" t="s">
        <v>71</v>
      </c>
      <c r="B174" s="13" t="s">
        <v>50</v>
      </c>
      <c r="C174" s="13">
        <v>14.620067783</v>
      </c>
      <c r="D174" s="13">
        <v>2021</v>
      </c>
      <c r="E174" s="13" t="s">
        <v>395</v>
      </c>
      <c r="F174" s="13" t="s">
        <v>297</v>
      </c>
      <c r="G174" s="13" t="s">
        <v>283</v>
      </c>
      <c r="H174" s="13" t="s">
        <v>262</v>
      </c>
      <c r="I174" s="13" t="s">
        <v>18</v>
      </c>
      <c r="J174" s="13" t="s">
        <v>3</v>
      </c>
      <c r="K174" s="13" t="s">
        <v>359</v>
      </c>
    </row>
    <row r="175" spans="1:11" x14ac:dyDescent="0.3">
      <c r="A175" s="13" t="s">
        <v>71</v>
      </c>
      <c r="B175" s="13" t="s">
        <v>78</v>
      </c>
      <c r="C175" s="13">
        <v>0</v>
      </c>
      <c r="D175" s="13">
        <v>2021</v>
      </c>
      <c r="E175" s="13" t="s">
        <v>395</v>
      </c>
      <c r="F175" s="13" t="s">
        <v>297</v>
      </c>
      <c r="G175" s="13" t="s">
        <v>301</v>
      </c>
      <c r="H175" s="13" t="s">
        <v>262</v>
      </c>
      <c r="I175" s="13" t="s">
        <v>262</v>
      </c>
      <c r="J175" s="13" t="s">
        <v>3</v>
      </c>
      <c r="K175" s="13" t="s">
        <v>3</v>
      </c>
    </row>
    <row r="176" spans="1:11" x14ac:dyDescent="0.3">
      <c r="A176" s="13" t="s">
        <v>71</v>
      </c>
      <c r="B176" s="13" t="s">
        <v>79</v>
      </c>
      <c r="C176" s="13">
        <v>5.0856957000000014</v>
      </c>
      <c r="D176" s="13">
        <v>2021</v>
      </c>
      <c r="E176" s="13" t="s">
        <v>395</v>
      </c>
      <c r="F176" s="13" t="s">
        <v>297</v>
      </c>
      <c r="G176" s="13" t="s">
        <v>302</v>
      </c>
      <c r="H176" s="13" t="s">
        <v>262</v>
      </c>
      <c r="I176" s="13" t="s">
        <v>262</v>
      </c>
      <c r="J176" s="13" t="s">
        <v>3</v>
      </c>
      <c r="K176" s="13" t="s">
        <v>3</v>
      </c>
    </row>
    <row r="177" spans="1:11" x14ac:dyDescent="0.3">
      <c r="A177" s="13" t="s">
        <v>71</v>
      </c>
      <c r="B177" s="13" t="s">
        <v>67</v>
      </c>
      <c r="C177" s="13">
        <v>2.4947489160000003</v>
      </c>
      <c r="D177" s="13">
        <v>2021</v>
      </c>
      <c r="E177" s="13" t="s">
        <v>395</v>
      </c>
      <c r="F177" s="13" t="s">
        <v>297</v>
      </c>
      <c r="G177" s="13" t="s">
        <v>303</v>
      </c>
      <c r="H177" s="13" t="s">
        <v>262</v>
      </c>
      <c r="I177" s="13" t="s">
        <v>262</v>
      </c>
      <c r="J177" s="13" t="s">
        <v>3</v>
      </c>
      <c r="K177" s="13" t="s">
        <v>3</v>
      </c>
    </row>
    <row r="178" spans="1:11" x14ac:dyDescent="0.3">
      <c r="A178" s="13" t="s">
        <v>71</v>
      </c>
      <c r="B178" s="13" t="s">
        <v>68</v>
      </c>
      <c r="C178" s="13">
        <v>6.0733438670000002</v>
      </c>
      <c r="D178" s="13">
        <v>2021</v>
      </c>
      <c r="E178" s="13" t="s">
        <v>395</v>
      </c>
      <c r="F178" s="13" t="s">
        <v>297</v>
      </c>
      <c r="G178" s="13" t="s">
        <v>304</v>
      </c>
      <c r="H178" s="13" t="s">
        <v>262</v>
      </c>
      <c r="I178" s="13" t="s">
        <v>262</v>
      </c>
      <c r="J178" s="13" t="s">
        <v>3</v>
      </c>
      <c r="K178" s="13" t="s">
        <v>3</v>
      </c>
    </row>
    <row r="179" spans="1:11" x14ac:dyDescent="0.3">
      <c r="A179" s="13" t="s">
        <v>71</v>
      </c>
      <c r="B179" s="13" t="s">
        <v>69</v>
      </c>
      <c r="C179" s="13">
        <v>0.96627930000000006</v>
      </c>
      <c r="D179" s="13">
        <v>2021</v>
      </c>
      <c r="E179" s="13" t="s">
        <v>395</v>
      </c>
      <c r="F179" s="13" t="s">
        <v>297</v>
      </c>
      <c r="G179" s="13" t="s">
        <v>305</v>
      </c>
      <c r="H179" s="13" t="s">
        <v>262</v>
      </c>
      <c r="I179" s="13" t="s">
        <v>262</v>
      </c>
      <c r="J179" s="13" t="s">
        <v>3</v>
      </c>
      <c r="K179" s="13" t="s">
        <v>3</v>
      </c>
    </row>
    <row r="180" spans="1:11" x14ac:dyDescent="0.3">
      <c r="A180" s="13" t="s">
        <v>77</v>
      </c>
      <c r="B180" s="13" t="s">
        <v>50</v>
      </c>
      <c r="C180" s="13">
        <v>18.206971822</v>
      </c>
      <c r="D180" s="13">
        <v>2021</v>
      </c>
      <c r="E180" s="13" t="s">
        <v>395</v>
      </c>
      <c r="F180" s="13" t="s">
        <v>299</v>
      </c>
      <c r="G180" s="13" t="s">
        <v>283</v>
      </c>
      <c r="H180" s="13" t="s">
        <v>262</v>
      </c>
      <c r="I180" s="13" t="s">
        <v>18</v>
      </c>
      <c r="J180" s="13" t="s">
        <v>3</v>
      </c>
      <c r="K180" s="13" t="s">
        <v>359</v>
      </c>
    </row>
    <row r="181" spans="1:11" x14ac:dyDescent="0.3">
      <c r="A181" s="13" t="s">
        <v>77</v>
      </c>
      <c r="B181" s="13" t="s">
        <v>78</v>
      </c>
      <c r="C181" s="13">
        <v>0.95651649199999977</v>
      </c>
      <c r="D181" s="13">
        <v>2021</v>
      </c>
      <c r="E181" s="13" t="s">
        <v>395</v>
      </c>
      <c r="F181" s="13" t="s">
        <v>299</v>
      </c>
      <c r="G181" s="13" t="s">
        <v>301</v>
      </c>
      <c r="H181" s="13" t="s">
        <v>262</v>
      </c>
      <c r="I181" s="13" t="s">
        <v>262</v>
      </c>
      <c r="J181" s="13" t="s">
        <v>3</v>
      </c>
      <c r="K181" s="13" t="s">
        <v>3</v>
      </c>
    </row>
    <row r="182" spans="1:11" x14ac:dyDescent="0.3">
      <c r="A182" s="13" t="s">
        <v>77</v>
      </c>
      <c r="B182" s="13" t="s">
        <v>79</v>
      </c>
      <c r="C182" s="13">
        <v>0.6562188000000001</v>
      </c>
      <c r="D182" s="13">
        <v>2021</v>
      </c>
      <c r="E182" s="13" t="s">
        <v>395</v>
      </c>
      <c r="F182" s="13" t="s">
        <v>299</v>
      </c>
      <c r="G182" s="13" t="s">
        <v>302</v>
      </c>
      <c r="H182" s="13" t="s">
        <v>262</v>
      </c>
      <c r="I182" s="13" t="s">
        <v>262</v>
      </c>
      <c r="J182" s="13" t="s">
        <v>3</v>
      </c>
      <c r="K182" s="13" t="s">
        <v>3</v>
      </c>
    </row>
    <row r="183" spans="1:11" x14ac:dyDescent="0.3">
      <c r="A183" s="13" t="s">
        <v>77</v>
      </c>
      <c r="B183" s="13" t="s">
        <v>67</v>
      </c>
      <c r="C183" s="13">
        <v>1.2851736840000001</v>
      </c>
      <c r="D183" s="13">
        <v>2021</v>
      </c>
      <c r="E183" s="13" t="s">
        <v>395</v>
      </c>
      <c r="F183" s="13" t="s">
        <v>299</v>
      </c>
      <c r="G183" s="13" t="s">
        <v>303</v>
      </c>
      <c r="H183" s="13" t="s">
        <v>262</v>
      </c>
      <c r="I183" s="13" t="s">
        <v>262</v>
      </c>
      <c r="J183" s="13" t="s">
        <v>3</v>
      </c>
      <c r="K183" s="13" t="s">
        <v>3</v>
      </c>
    </row>
    <row r="184" spans="1:11" x14ac:dyDescent="0.3">
      <c r="A184" s="13" t="s">
        <v>77</v>
      </c>
      <c r="B184" s="13" t="s">
        <v>68</v>
      </c>
      <c r="C184" s="13">
        <v>14.787272024000002</v>
      </c>
      <c r="D184" s="13">
        <v>2021</v>
      </c>
      <c r="E184" s="13" t="s">
        <v>395</v>
      </c>
      <c r="F184" s="13" t="s">
        <v>299</v>
      </c>
      <c r="G184" s="13" t="s">
        <v>304</v>
      </c>
      <c r="H184" s="13" t="s">
        <v>262</v>
      </c>
      <c r="I184" s="13" t="s">
        <v>262</v>
      </c>
      <c r="J184" s="13" t="s">
        <v>3</v>
      </c>
      <c r="K184" s="13" t="s">
        <v>3</v>
      </c>
    </row>
    <row r="185" spans="1:11" x14ac:dyDescent="0.3">
      <c r="A185" s="13" t="s">
        <v>77</v>
      </c>
      <c r="B185" s="13" t="s">
        <v>69</v>
      </c>
      <c r="C185" s="13">
        <v>0.52179082200000015</v>
      </c>
      <c r="D185" s="13">
        <v>2021</v>
      </c>
      <c r="E185" s="13" t="s">
        <v>395</v>
      </c>
      <c r="F185" s="13" t="s">
        <v>299</v>
      </c>
      <c r="G185" s="13" t="s">
        <v>305</v>
      </c>
      <c r="H185" s="13" t="s">
        <v>262</v>
      </c>
      <c r="I185" s="13" t="s">
        <v>262</v>
      </c>
      <c r="J185" s="13" t="s">
        <v>3</v>
      </c>
      <c r="K185" s="13" t="s">
        <v>3</v>
      </c>
    </row>
    <row r="186" spans="1:11" x14ac:dyDescent="0.3">
      <c r="A186" s="13" t="s">
        <v>43</v>
      </c>
      <c r="B186" s="13" t="s">
        <v>50</v>
      </c>
      <c r="C186" s="13">
        <v>5.6865574580000011</v>
      </c>
      <c r="D186" s="13">
        <v>2021</v>
      </c>
      <c r="E186" s="13" t="s">
        <v>395</v>
      </c>
      <c r="F186" s="13" t="s">
        <v>300</v>
      </c>
      <c r="G186" s="13" t="s">
        <v>283</v>
      </c>
      <c r="H186" s="13" t="s">
        <v>262</v>
      </c>
      <c r="I186" s="13" t="s">
        <v>18</v>
      </c>
      <c r="J186" s="13" t="s">
        <v>3</v>
      </c>
      <c r="K186" s="13" t="s">
        <v>359</v>
      </c>
    </row>
    <row r="187" spans="1:11" x14ac:dyDescent="0.3">
      <c r="A187" s="13" t="s">
        <v>43</v>
      </c>
      <c r="B187" s="13" t="s">
        <v>78</v>
      </c>
      <c r="C187" s="13">
        <v>0.14066418999999997</v>
      </c>
      <c r="D187" s="13">
        <v>2021</v>
      </c>
      <c r="E187" s="13" t="s">
        <v>395</v>
      </c>
      <c r="F187" s="13" t="s">
        <v>300</v>
      </c>
      <c r="G187" s="13" t="s">
        <v>301</v>
      </c>
      <c r="H187" s="13" t="s">
        <v>262</v>
      </c>
      <c r="I187" s="13" t="s">
        <v>262</v>
      </c>
      <c r="J187" s="13" t="s">
        <v>3</v>
      </c>
      <c r="K187" s="13" t="s">
        <v>3</v>
      </c>
    </row>
    <row r="188" spans="1:11" x14ac:dyDescent="0.3">
      <c r="A188" s="13" t="s">
        <v>43</v>
      </c>
      <c r="B188" s="13" t="s">
        <v>79</v>
      </c>
      <c r="C188" s="13">
        <v>2.4608205000000005</v>
      </c>
      <c r="D188" s="13">
        <v>2021</v>
      </c>
      <c r="E188" s="13" t="s">
        <v>395</v>
      </c>
      <c r="F188" s="13" t="s">
        <v>300</v>
      </c>
      <c r="G188" s="13" t="s">
        <v>302</v>
      </c>
      <c r="H188" s="13" t="s">
        <v>262</v>
      </c>
      <c r="I188" s="13" t="s">
        <v>262</v>
      </c>
      <c r="J188" s="13" t="s">
        <v>3</v>
      </c>
      <c r="K188" s="13" t="s">
        <v>3</v>
      </c>
    </row>
    <row r="189" spans="1:11" x14ac:dyDescent="0.3">
      <c r="A189" s="13" t="s">
        <v>43</v>
      </c>
      <c r="B189" s="13" t="s">
        <v>67</v>
      </c>
      <c r="C189" s="13">
        <v>0</v>
      </c>
      <c r="D189" s="13">
        <v>2021</v>
      </c>
      <c r="E189" s="13" t="s">
        <v>395</v>
      </c>
      <c r="F189" s="13" t="s">
        <v>300</v>
      </c>
      <c r="G189" s="13" t="s">
        <v>303</v>
      </c>
      <c r="H189" s="13" t="s">
        <v>262</v>
      </c>
      <c r="I189" s="13" t="s">
        <v>262</v>
      </c>
      <c r="J189" s="13" t="s">
        <v>3</v>
      </c>
      <c r="K189" s="13" t="s">
        <v>3</v>
      </c>
    </row>
    <row r="190" spans="1:11" x14ac:dyDescent="0.3">
      <c r="A190" s="13" t="s">
        <v>43</v>
      </c>
      <c r="B190" s="13" t="s">
        <v>68</v>
      </c>
      <c r="C190" s="13">
        <v>2.6405842900000001</v>
      </c>
      <c r="D190" s="13">
        <v>2021</v>
      </c>
      <c r="E190" s="13" t="s">
        <v>395</v>
      </c>
      <c r="F190" s="13" t="s">
        <v>300</v>
      </c>
      <c r="G190" s="13" t="s">
        <v>304</v>
      </c>
      <c r="H190" s="13" t="s">
        <v>262</v>
      </c>
      <c r="I190" s="13" t="s">
        <v>262</v>
      </c>
      <c r="J190" s="13" t="s">
        <v>3</v>
      </c>
      <c r="K190" s="13" t="s">
        <v>3</v>
      </c>
    </row>
    <row r="191" spans="1:11" x14ac:dyDescent="0.3">
      <c r="A191" s="13" t="s">
        <v>43</v>
      </c>
      <c r="B191" s="13" t="s">
        <v>69</v>
      </c>
      <c r="C191" s="13">
        <v>0.44448847800000008</v>
      </c>
      <c r="D191" s="13">
        <v>2021</v>
      </c>
      <c r="E191" s="13" t="s">
        <v>395</v>
      </c>
      <c r="F191" s="13" t="s">
        <v>300</v>
      </c>
      <c r="G191" s="13" t="s">
        <v>305</v>
      </c>
      <c r="H191" s="13" t="s">
        <v>262</v>
      </c>
      <c r="I191" s="13" t="s">
        <v>262</v>
      </c>
      <c r="J191" s="13" t="s">
        <v>3</v>
      </c>
      <c r="K191" s="13" t="s">
        <v>3</v>
      </c>
    </row>
    <row r="192" spans="1:11" x14ac:dyDescent="0.3">
      <c r="A192" s="13" t="s">
        <v>42</v>
      </c>
      <c r="B192" s="13" t="s">
        <v>80</v>
      </c>
      <c r="C192" s="13">
        <v>21.887840747606944</v>
      </c>
      <c r="D192" s="13">
        <v>2021</v>
      </c>
      <c r="E192" s="13" t="s">
        <v>395</v>
      </c>
      <c r="F192" s="13" t="s">
        <v>282</v>
      </c>
      <c r="G192" s="13" t="s">
        <v>322</v>
      </c>
      <c r="H192" s="13" t="s">
        <v>18</v>
      </c>
      <c r="I192" s="13" t="s">
        <v>262</v>
      </c>
      <c r="J192" s="13" t="s">
        <v>358</v>
      </c>
      <c r="K192" s="13" t="s">
        <v>3</v>
      </c>
    </row>
    <row r="193" spans="1:11" x14ac:dyDescent="0.3">
      <c r="A193" s="13" t="s">
        <v>70</v>
      </c>
      <c r="B193" s="13" t="s">
        <v>80</v>
      </c>
      <c r="C193" s="13">
        <v>0.24192180170967728</v>
      </c>
      <c r="D193" s="13">
        <v>2021</v>
      </c>
      <c r="E193" s="13" t="s">
        <v>395</v>
      </c>
      <c r="F193" s="13" t="s">
        <v>296</v>
      </c>
      <c r="G193" s="13" t="s">
        <v>322</v>
      </c>
      <c r="H193" s="13" t="s">
        <v>262</v>
      </c>
      <c r="I193" s="13" t="s">
        <v>262</v>
      </c>
      <c r="J193" s="13" t="s">
        <v>3</v>
      </c>
      <c r="K193" s="13" t="s">
        <v>3</v>
      </c>
    </row>
    <row r="194" spans="1:11" x14ac:dyDescent="0.3">
      <c r="A194" s="13" t="s">
        <v>71</v>
      </c>
      <c r="B194" s="13" t="s">
        <v>80</v>
      </c>
      <c r="C194" s="13">
        <v>15.838406764916668</v>
      </c>
      <c r="D194" s="13">
        <v>2021</v>
      </c>
      <c r="E194" s="13" t="s">
        <v>395</v>
      </c>
      <c r="F194" s="13" t="s">
        <v>297</v>
      </c>
      <c r="G194" s="13" t="s">
        <v>322</v>
      </c>
      <c r="H194" s="13" t="s">
        <v>262</v>
      </c>
      <c r="I194" s="13" t="s">
        <v>262</v>
      </c>
      <c r="J194" s="13" t="s">
        <v>3</v>
      </c>
      <c r="K194" s="13" t="s">
        <v>3</v>
      </c>
    </row>
    <row r="195" spans="1:11" x14ac:dyDescent="0.3">
      <c r="A195" s="13" t="s">
        <v>72</v>
      </c>
      <c r="B195" s="13" t="s">
        <v>80</v>
      </c>
      <c r="C195" s="13">
        <v>1.536741012857143</v>
      </c>
      <c r="D195" s="13">
        <v>2021</v>
      </c>
      <c r="E195" s="13" t="s">
        <v>395</v>
      </c>
      <c r="F195" s="13" t="s">
        <v>298</v>
      </c>
      <c r="G195" s="13" t="s">
        <v>322</v>
      </c>
      <c r="H195" s="13" t="s">
        <v>262</v>
      </c>
      <c r="I195" s="13" t="s">
        <v>262</v>
      </c>
      <c r="J195" s="13" t="s">
        <v>3</v>
      </c>
      <c r="K195" s="13" t="s">
        <v>3</v>
      </c>
    </row>
    <row r="196" spans="1:11" x14ac:dyDescent="0.3">
      <c r="A196" s="13" t="s">
        <v>77</v>
      </c>
      <c r="B196" s="13" t="s">
        <v>80</v>
      </c>
      <c r="C196" s="13">
        <v>4.2707711681234555</v>
      </c>
      <c r="D196" s="13">
        <v>2021</v>
      </c>
      <c r="E196" s="13" t="s">
        <v>395</v>
      </c>
      <c r="F196" s="13" t="s">
        <v>299</v>
      </c>
      <c r="G196" s="13" t="s">
        <v>322</v>
      </c>
      <c r="H196" s="13" t="s">
        <v>262</v>
      </c>
      <c r="I196" s="13" t="s">
        <v>262</v>
      </c>
      <c r="J196" s="13" t="s">
        <v>3</v>
      </c>
      <c r="K196" s="13" t="s">
        <v>3</v>
      </c>
    </row>
    <row r="197" spans="1:11" x14ac:dyDescent="0.3">
      <c r="A197" s="13" t="s">
        <v>72</v>
      </c>
      <c r="B197" s="13" t="s">
        <v>35</v>
      </c>
      <c r="C197" s="13">
        <v>0.82747592999999997</v>
      </c>
      <c r="D197" s="13">
        <v>2021</v>
      </c>
      <c r="E197" s="13" t="s">
        <v>395</v>
      </c>
      <c r="F197" s="13" t="s">
        <v>298</v>
      </c>
      <c r="G197" s="13" t="s">
        <v>317</v>
      </c>
      <c r="H197" s="13" t="s">
        <v>262</v>
      </c>
      <c r="I197" s="13" t="s">
        <v>262</v>
      </c>
      <c r="J197" s="13" t="s">
        <v>3</v>
      </c>
      <c r="K197" s="13" t="s">
        <v>3</v>
      </c>
    </row>
    <row r="198" spans="1:11" x14ac:dyDescent="0.3">
      <c r="A198" s="13" t="s">
        <v>50</v>
      </c>
      <c r="B198" s="13" t="s">
        <v>31</v>
      </c>
      <c r="C198" s="13">
        <v>14.555765194999999</v>
      </c>
      <c r="D198" s="13">
        <v>2021</v>
      </c>
      <c r="E198" s="13" t="s">
        <v>395</v>
      </c>
      <c r="F198" s="13" t="s">
        <v>283</v>
      </c>
      <c r="G198" s="13" t="s">
        <v>313</v>
      </c>
      <c r="H198" s="13" t="s">
        <v>18</v>
      </c>
      <c r="I198" s="13" t="s">
        <v>262</v>
      </c>
      <c r="J198" s="13" t="s">
        <v>359</v>
      </c>
      <c r="K198" s="13" t="s">
        <v>3</v>
      </c>
    </row>
    <row r="199" spans="1:11" x14ac:dyDescent="0.3">
      <c r="A199" s="13" t="s">
        <v>78</v>
      </c>
      <c r="B199" s="13" t="s">
        <v>31</v>
      </c>
      <c r="C199" s="13">
        <v>1.3363098049999997</v>
      </c>
      <c r="D199" s="13">
        <v>2021</v>
      </c>
      <c r="E199" s="13" t="s">
        <v>395</v>
      </c>
      <c r="F199" s="13" t="s">
        <v>301</v>
      </c>
      <c r="G199" s="13" t="s">
        <v>313</v>
      </c>
      <c r="H199" s="13" t="s">
        <v>262</v>
      </c>
      <c r="I199" s="13" t="s">
        <v>262</v>
      </c>
      <c r="J199" s="13" t="s">
        <v>3</v>
      </c>
      <c r="K199" s="13" t="s">
        <v>3</v>
      </c>
    </row>
    <row r="200" spans="1:11" x14ac:dyDescent="0.3">
      <c r="A200" s="13" t="s">
        <v>79</v>
      </c>
      <c r="B200" s="13" t="s">
        <v>31</v>
      </c>
      <c r="C200" s="13">
        <v>7.7925982500000011</v>
      </c>
      <c r="D200" s="13">
        <v>2021</v>
      </c>
      <c r="E200" s="13" t="s">
        <v>395</v>
      </c>
      <c r="F200" s="13" t="s">
        <v>302</v>
      </c>
      <c r="G200" s="13" t="s">
        <v>313</v>
      </c>
      <c r="H200" s="13" t="s">
        <v>262</v>
      </c>
      <c r="I200" s="13" t="s">
        <v>262</v>
      </c>
      <c r="J200" s="13" t="s">
        <v>3</v>
      </c>
      <c r="K200" s="13" t="s">
        <v>3</v>
      </c>
    </row>
    <row r="201" spans="1:11" x14ac:dyDescent="0.3">
      <c r="A201" s="13" t="s">
        <v>67</v>
      </c>
      <c r="B201" s="13" t="s">
        <v>31</v>
      </c>
      <c r="C201" s="13">
        <v>3.5909264699999994</v>
      </c>
      <c r="D201" s="13">
        <v>2021</v>
      </c>
      <c r="E201" s="13" t="s">
        <v>395</v>
      </c>
      <c r="F201" s="13" t="s">
        <v>303</v>
      </c>
      <c r="G201" s="13" t="s">
        <v>313</v>
      </c>
      <c r="H201" s="13" t="s">
        <v>262</v>
      </c>
      <c r="I201" s="13" t="s">
        <v>262</v>
      </c>
      <c r="J201" s="13" t="s">
        <v>3</v>
      </c>
      <c r="K201" s="13" t="s">
        <v>3</v>
      </c>
    </row>
    <row r="202" spans="1:11" x14ac:dyDescent="0.3">
      <c r="A202" s="13" t="s">
        <v>68</v>
      </c>
      <c r="B202" s="13" t="s">
        <v>31</v>
      </c>
      <c r="C202" s="13">
        <v>0</v>
      </c>
      <c r="D202" s="13">
        <v>2021</v>
      </c>
      <c r="E202" s="13" t="s">
        <v>395</v>
      </c>
      <c r="F202" s="13" t="s">
        <v>304</v>
      </c>
      <c r="G202" s="13" t="s">
        <v>313</v>
      </c>
      <c r="H202" s="13" t="s">
        <v>262</v>
      </c>
      <c r="I202" s="13" t="s">
        <v>262</v>
      </c>
      <c r="J202" s="13" t="s">
        <v>3</v>
      </c>
      <c r="K202" s="13" t="s">
        <v>3</v>
      </c>
    </row>
    <row r="203" spans="1:11" x14ac:dyDescent="0.3">
      <c r="A203" s="13" t="s">
        <v>69</v>
      </c>
      <c r="B203" s="13" t="s">
        <v>31</v>
      </c>
      <c r="C203" s="13">
        <v>1.8359306700000002</v>
      </c>
      <c r="D203" s="13">
        <v>2021</v>
      </c>
      <c r="E203" s="13" t="s">
        <v>395</v>
      </c>
      <c r="F203" s="13" t="s">
        <v>305</v>
      </c>
      <c r="G203" s="13" t="s">
        <v>313</v>
      </c>
      <c r="H203" s="13" t="s">
        <v>262</v>
      </c>
      <c r="I203" s="13" t="s">
        <v>262</v>
      </c>
      <c r="J203" s="13" t="s">
        <v>3</v>
      </c>
      <c r="K203" s="13" t="s">
        <v>3</v>
      </c>
    </row>
    <row r="204" spans="1:11" x14ac:dyDescent="0.3">
      <c r="A204" s="13" t="s">
        <v>68</v>
      </c>
      <c r="B204" s="13" t="s">
        <v>32</v>
      </c>
      <c r="C204" s="13">
        <v>25.085550755</v>
      </c>
      <c r="D204" s="13">
        <v>2021</v>
      </c>
      <c r="E204" s="13" t="s">
        <v>395</v>
      </c>
      <c r="F204" s="13" t="s">
        <v>304</v>
      </c>
      <c r="G204" s="13" t="s">
        <v>314</v>
      </c>
      <c r="H204" s="13" t="s">
        <v>262</v>
      </c>
      <c r="I204" s="13" t="s">
        <v>262</v>
      </c>
      <c r="J204" s="13" t="s">
        <v>3</v>
      </c>
      <c r="K204" s="13" t="s">
        <v>3</v>
      </c>
    </row>
    <row r="205" spans="1:11" x14ac:dyDescent="0.3">
      <c r="A205" s="13" t="s">
        <v>50</v>
      </c>
      <c r="B205" s="13" t="s">
        <v>235</v>
      </c>
      <c r="C205" s="13">
        <v>2.0863850500000019</v>
      </c>
      <c r="D205" s="13">
        <v>2021</v>
      </c>
      <c r="E205" s="13" t="s">
        <v>395</v>
      </c>
      <c r="F205" s="13" t="s">
        <v>283</v>
      </c>
      <c r="G205" s="13" t="s">
        <v>323</v>
      </c>
      <c r="H205" s="13" t="s">
        <v>18</v>
      </c>
      <c r="I205" s="13" t="s">
        <v>262</v>
      </c>
      <c r="J205" s="13" t="s">
        <v>359</v>
      </c>
      <c r="K205" s="13" t="s">
        <v>3</v>
      </c>
    </row>
    <row r="206" spans="1:11" x14ac:dyDescent="0.3">
      <c r="A206" s="13" t="s">
        <v>78</v>
      </c>
      <c r="B206" s="13" t="s">
        <v>235</v>
      </c>
      <c r="C206" s="13">
        <v>7.0332095000000039E-2</v>
      </c>
      <c r="D206" s="13">
        <v>2021</v>
      </c>
      <c r="E206" s="13" t="s">
        <v>395</v>
      </c>
      <c r="F206" s="13" t="s">
        <v>301</v>
      </c>
      <c r="G206" s="13" t="s">
        <v>323</v>
      </c>
      <c r="H206" s="13" t="s">
        <v>262</v>
      </c>
      <c r="I206" s="13" t="s">
        <v>262</v>
      </c>
      <c r="J206" s="13" t="s">
        <v>3</v>
      </c>
      <c r="K206" s="13" t="s">
        <v>3</v>
      </c>
    </row>
    <row r="207" spans="1:11" x14ac:dyDescent="0.3">
      <c r="A207" s="13" t="s">
        <v>79</v>
      </c>
      <c r="B207" s="13" t="s">
        <v>235</v>
      </c>
      <c r="C207" s="13">
        <v>0.41013675000000049</v>
      </c>
      <c r="D207" s="13">
        <v>2021</v>
      </c>
      <c r="E207" s="13" t="s">
        <v>395</v>
      </c>
      <c r="F207" s="13" t="s">
        <v>302</v>
      </c>
      <c r="G207" s="13" t="s">
        <v>323</v>
      </c>
      <c r="H207" s="13" t="s">
        <v>262</v>
      </c>
      <c r="I207" s="13" t="s">
        <v>262</v>
      </c>
      <c r="J207" s="13" t="s">
        <v>3</v>
      </c>
      <c r="K207" s="13" t="s">
        <v>3</v>
      </c>
    </row>
    <row r="208" spans="1:11" x14ac:dyDescent="0.3">
      <c r="A208" s="13" t="s">
        <v>67</v>
      </c>
      <c r="B208" s="13" t="s">
        <v>235</v>
      </c>
      <c r="C208" s="13">
        <v>0.18899613000000015</v>
      </c>
      <c r="D208" s="13">
        <v>2021</v>
      </c>
      <c r="E208" s="13" t="s">
        <v>395</v>
      </c>
      <c r="F208" s="13" t="s">
        <v>303</v>
      </c>
      <c r="G208" s="13" t="s">
        <v>323</v>
      </c>
      <c r="H208" s="13" t="s">
        <v>262</v>
      </c>
      <c r="I208" s="13" t="s">
        <v>262</v>
      </c>
      <c r="J208" s="13" t="s">
        <v>3</v>
      </c>
      <c r="K208" s="13" t="s">
        <v>3</v>
      </c>
    </row>
    <row r="209" spans="1:11" x14ac:dyDescent="0.3">
      <c r="A209" s="13" t="s">
        <v>68</v>
      </c>
      <c r="B209" s="13" t="s">
        <v>235</v>
      </c>
      <c r="C209" s="13">
        <v>1.3202921450000011</v>
      </c>
      <c r="D209" s="13">
        <v>2021</v>
      </c>
      <c r="E209" s="13" t="s">
        <v>395</v>
      </c>
      <c r="F209" s="13" t="s">
        <v>304</v>
      </c>
      <c r="G209" s="13" t="s">
        <v>323</v>
      </c>
      <c r="H209" s="13" t="s">
        <v>262</v>
      </c>
      <c r="I209" s="13" t="s">
        <v>262</v>
      </c>
      <c r="J209" s="13" t="s">
        <v>3</v>
      </c>
      <c r="K209" s="13" t="s">
        <v>3</v>
      </c>
    </row>
    <row r="210" spans="1:11" x14ac:dyDescent="0.3">
      <c r="A210" s="13" t="s">
        <v>69</v>
      </c>
      <c r="B210" s="13" t="s">
        <v>235</v>
      </c>
      <c r="C210" s="13">
        <v>9.6627930000000098E-2</v>
      </c>
      <c r="D210" s="13">
        <v>2021</v>
      </c>
      <c r="E210" s="13" t="s">
        <v>395</v>
      </c>
      <c r="F210" s="13" t="s">
        <v>305</v>
      </c>
      <c r="G210" s="13" t="s">
        <v>323</v>
      </c>
      <c r="H210" s="13" t="s">
        <v>262</v>
      </c>
      <c r="I210" s="13" t="s">
        <v>262</v>
      </c>
      <c r="J210" s="13" t="s">
        <v>3</v>
      </c>
      <c r="K210" s="13" t="s">
        <v>3</v>
      </c>
    </row>
    <row r="211" spans="1:11" x14ac:dyDescent="0.3">
      <c r="A211" s="13" t="s">
        <v>36</v>
      </c>
      <c r="B211" s="13" t="s">
        <v>59</v>
      </c>
      <c r="C211" s="13">
        <v>4.7272897579355329</v>
      </c>
      <c r="D211" s="13">
        <v>2021</v>
      </c>
      <c r="E211" s="13" t="s">
        <v>395</v>
      </c>
      <c r="F211" s="13" t="s">
        <v>306</v>
      </c>
      <c r="G211" s="13" t="s">
        <v>286</v>
      </c>
      <c r="H211" s="13" t="s">
        <v>262</v>
      </c>
      <c r="I211" s="13" t="s">
        <v>18</v>
      </c>
      <c r="J211" s="13" t="s">
        <v>3</v>
      </c>
      <c r="K211" s="13" t="s">
        <v>361</v>
      </c>
    </row>
    <row r="212" spans="1:11" x14ac:dyDescent="0.3">
      <c r="A212" s="13" t="s">
        <v>36</v>
      </c>
      <c r="B212" s="13" t="s">
        <v>408</v>
      </c>
      <c r="C212" s="13">
        <v>0</v>
      </c>
      <c r="D212" s="13">
        <v>2021</v>
      </c>
      <c r="E212" s="13" t="s">
        <v>395</v>
      </c>
      <c r="F212" s="13" t="s">
        <v>306</v>
      </c>
      <c r="G212" s="13" t="s">
        <v>312</v>
      </c>
      <c r="H212" s="13" t="s">
        <v>262</v>
      </c>
      <c r="I212" s="13" t="s">
        <v>262</v>
      </c>
      <c r="J212" s="13" t="s">
        <v>3</v>
      </c>
      <c r="K212" s="13" t="s">
        <v>3</v>
      </c>
    </row>
    <row r="213" spans="1:11" x14ac:dyDescent="0.3">
      <c r="A213" s="13" t="s">
        <v>36</v>
      </c>
      <c r="B213" s="13" t="s">
        <v>31</v>
      </c>
      <c r="C213" s="13">
        <v>0</v>
      </c>
      <c r="D213" s="13">
        <v>2021</v>
      </c>
      <c r="E213" s="13" t="s">
        <v>395</v>
      </c>
      <c r="F213" s="13" t="s">
        <v>306</v>
      </c>
      <c r="G213" s="13" t="s">
        <v>313</v>
      </c>
      <c r="H213" s="13" t="s">
        <v>262</v>
      </c>
      <c r="I213" s="13" t="s">
        <v>262</v>
      </c>
      <c r="J213" s="13" t="s">
        <v>3</v>
      </c>
      <c r="K213" s="13" t="s">
        <v>3</v>
      </c>
    </row>
    <row r="214" spans="1:11" x14ac:dyDescent="0.3">
      <c r="A214" s="13" t="s">
        <v>36</v>
      </c>
      <c r="B214" s="13" t="s">
        <v>32</v>
      </c>
      <c r="C214" s="13" t="s">
        <v>3</v>
      </c>
      <c r="D214" s="13">
        <v>2021</v>
      </c>
      <c r="E214" s="13" t="s">
        <v>395</v>
      </c>
      <c r="F214" s="13" t="s">
        <v>306</v>
      </c>
      <c r="G214" s="13" t="s">
        <v>314</v>
      </c>
      <c r="H214" s="13" t="s">
        <v>262</v>
      </c>
      <c r="I214" s="13" t="s">
        <v>262</v>
      </c>
      <c r="J214" s="13" t="s">
        <v>3</v>
      </c>
      <c r="K214" s="13" t="s">
        <v>3</v>
      </c>
    </row>
    <row r="215" spans="1:11" x14ac:dyDescent="0.3">
      <c r="A215" s="13" t="s">
        <v>36</v>
      </c>
      <c r="B215" s="13" t="s">
        <v>33</v>
      </c>
      <c r="C215" s="13" t="s">
        <v>3</v>
      </c>
      <c r="D215" s="13">
        <v>2021</v>
      </c>
      <c r="E215" s="13" t="s">
        <v>395</v>
      </c>
      <c r="F215" s="13" t="s">
        <v>306</v>
      </c>
      <c r="G215" s="13" t="s">
        <v>315</v>
      </c>
      <c r="H215" s="13" t="s">
        <v>262</v>
      </c>
      <c r="I215" s="13" t="s">
        <v>262</v>
      </c>
      <c r="J215" s="13" t="s">
        <v>3</v>
      </c>
      <c r="K215" s="13" t="s">
        <v>3</v>
      </c>
    </row>
    <row r="216" spans="1:11" x14ac:dyDescent="0.3">
      <c r="A216" s="13" t="s">
        <v>36</v>
      </c>
      <c r="B216" s="13" t="s">
        <v>34</v>
      </c>
      <c r="C216" s="13" t="s">
        <v>3</v>
      </c>
      <c r="D216" s="13">
        <v>2021</v>
      </c>
      <c r="E216" s="13" t="s">
        <v>395</v>
      </c>
      <c r="F216" s="13" t="s">
        <v>306</v>
      </c>
      <c r="G216" s="13" t="s">
        <v>316</v>
      </c>
      <c r="H216" s="13" t="s">
        <v>262</v>
      </c>
      <c r="I216" s="13" t="s">
        <v>262</v>
      </c>
      <c r="J216" s="13" t="s">
        <v>3</v>
      </c>
      <c r="K216" s="13" t="s">
        <v>3</v>
      </c>
    </row>
    <row r="217" spans="1:11" x14ac:dyDescent="0.3">
      <c r="A217" s="13" t="s">
        <v>36</v>
      </c>
      <c r="B217" s="13" t="s">
        <v>35</v>
      </c>
      <c r="C217" s="13">
        <v>0</v>
      </c>
      <c r="D217" s="13">
        <v>2021</v>
      </c>
      <c r="E217" s="13" t="s">
        <v>395</v>
      </c>
      <c r="F217" s="13" t="s">
        <v>306</v>
      </c>
      <c r="G217" s="13" t="s">
        <v>317</v>
      </c>
      <c r="H217" s="13" t="s">
        <v>262</v>
      </c>
      <c r="I217" s="13" t="s">
        <v>262</v>
      </c>
      <c r="J217" s="13" t="s">
        <v>3</v>
      </c>
      <c r="K217" s="13" t="s">
        <v>3</v>
      </c>
    </row>
    <row r="218" spans="1:11" x14ac:dyDescent="0.3">
      <c r="A218" s="13" t="s">
        <v>36</v>
      </c>
      <c r="B218" s="13" t="s">
        <v>57</v>
      </c>
      <c r="C218" s="13" t="s">
        <v>3</v>
      </c>
      <c r="D218" s="13">
        <v>2021</v>
      </c>
      <c r="E218" s="13" t="s">
        <v>395</v>
      </c>
      <c r="F218" s="13" t="s">
        <v>306</v>
      </c>
      <c r="G218" s="13" t="s">
        <v>318</v>
      </c>
      <c r="H218" s="13" t="s">
        <v>262</v>
      </c>
      <c r="I218" s="13" t="s">
        <v>262</v>
      </c>
      <c r="J218" s="13" t="s">
        <v>3</v>
      </c>
      <c r="K218" s="13" t="s">
        <v>3</v>
      </c>
    </row>
    <row r="219" spans="1:11" x14ac:dyDescent="0.3">
      <c r="A219" s="13" t="s">
        <v>36</v>
      </c>
      <c r="B219" s="13" t="s">
        <v>73</v>
      </c>
      <c r="C219" s="13">
        <v>0.46964531561683831</v>
      </c>
      <c r="D219" s="13">
        <v>2021</v>
      </c>
      <c r="E219" s="13" t="s">
        <v>395</v>
      </c>
      <c r="F219" s="13" t="s">
        <v>306</v>
      </c>
      <c r="G219" s="13" t="s">
        <v>320</v>
      </c>
      <c r="H219" s="13" t="s">
        <v>262</v>
      </c>
      <c r="I219" s="13" t="s">
        <v>262</v>
      </c>
      <c r="J219" s="13" t="s">
        <v>3</v>
      </c>
      <c r="K219" s="13" t="s">
        <v>3</v>
      </c>
    </row>
    <row r="220" spans="1:11" x14ac:dyDescent="0.3">
      <c r="A220" s="13" t="s">
        <v>37</v>
      </c>
      <c r="B220" s="13" t="s">
        <v>32</v>
      </c>
      <c r="C220" s="13">
        <v>5.8255500240744196</v>
      </c>
      <c r="D220" s="13">
        <v>2021</v>
      </c>
      <c r="E220" s="13" t="s">
        <v>395</v>
      </c>
      <c r="F220" s="13" t="s">
        <v>307</v>
      </c>
      <c r="G220" s="13" t="s">
        <v>314</v>
      </c>
      <c r="H220" s="13" t="s">
        <v>262</v>
      </c>
      <c r="I220" s="13" t="s">
        <v>262</v>
      </c>
      <c r="J220" s="13" t="s">
        <v>3</v>
      </c>
      <c r="K220" s="13" t="s">
        <v>3</v>
      </c>
    </row>
    <row r="221" spans="1:11" x14ac:dyDescent="0.3">
      <c r="A221" s="13" t="s">
        <v>37</v>
      </c>
      <c r="B221" s="13" t="s">
        <v>73</v>
      </c>
      <c r="C221" s="13">
        <v>0.57875493565956726</v>
      </c>
      <c r="D221" s="13">
        <v>2021</v>
      </c>
      <c r="E221" s="13" t="s">
        <v>395</v>
      </c>
      <c r="F221" s="13" t="s">
        <v>307</v>
      </c>
      <c r="G221" s="13" t="s">
        <v>320</v>
      </c>
      <c r="H221" s="13" t="s">
        <v>262</v>
      </c>
      <c r="I221" s="13" t="s">
        <v>262</v>
      </c>
      <c r="J221" s="13" t="s">
        <v>3</v>
      </c>
      <c r="K221" s="13" t="s">
        <v>3</v>
      </c>
    </row>
    <row r="222" spans="1:11" x14ac:dyDescent="0.3">
      <c r="A222" s="13" t="s">
        <v>39</v>
      </c>
      <c r="B222" s="13" t="s">
        <v>33</v>
      </c>
      <c r="C222" s="13">
        <v>0.7417832469206973</v>
      </c>
      <c r="D222" s="13">
        <v>2021</v>
      </c>
      <c r="E222" s="13" t="s">
        <v>395</v>
      </c>
      <c r="F222" s="13" t="s">
        <v>308</v>
      </c>
      <c r="G222" s="13" t="s">
        <v>315</v>
      </c>
      <c r="H222" s="13" t="s">
        <v>262</v>
      </c>
      <c r="I222" s="13" t="s">
        <v>262</v>
      </c>
      <c r="J222" s="13" t="s">
        <v>3</v>
      </c>
      <c r="K222" s="13" t="s">
        <v>3</v>
      </c>
    </row>
    <row r="223" spans="1:11" x14ac:dyDescent="0.3">
      <c r="A223" s="13" t="s">
        <v>39</v>
      </c>
      <c r="B223" s="13" t="s">
        <v>73</v>
      </c>
      <c r="C223" s="13">
        <v>6.703470837884104E-2</v>
      </c>
      <c r="D223" s="13">
        <v>2021</v>
      </c>
      <c r="E223" s="13" t="s">
        <v>395</v>
      </c>
      <c r="F223" s="13" t="s">
        <v>308</v>
      </c>
      <c r="G223" s="13" t="s">
        <v>320</v>
      </c>
      <c r="H223" s="13" t="s">
        <v>262</v>
      </c>
      <c r="I223" s="13" t="s">
        <v>262</v>
      </c>
      <c r="J223" s="13" t="s">
        <v>3</v>
      </c>
      <c r="K223" s="13" t="s">
        <v>3</v>
      </c>
    </row>
    <row r="224" spans="1:11" x14ac:dyDescent="0.3">
      <c r="A224" s="13" t="s">
        <v>40</v>
      </c>
      <c r="B224" s="13" t="s">
        <v>33</v>
      </c>
      <c r="C224" s="13">
        <v>18.730845989104306</v>
      </c>
      <c r="D224" s="13">
        <v>2021</v>
      </c>
      <c r="E224" s="13" t="s">
        <v>395</v>
      </c>
      <c r="F224" s="13" t="s">
        <v>309</v>
      </c>
      <c r="G224" s="13" t="s">
        <v>315</v>
      </c>
      <c r="H224" s="13" t="s">
        <v>262</v>
      </c>
      <c r="I224" s="13" t="s">
        <v>262</v>
      </c>
      <c r="J224" s="13" t="s">
        <v>3</v>
      </c>
      <c r="K224" s="13" t="s">
        <v>3</v>
      </c>
    </row>
    <row r="225" spans="1:11" x14ac:dyDescent="0.3">
      <c r="A225" s="13" t="s">
        <v>40</v>
      </c>
      <c r="B225" s="13" t="s">
        <v>73</v>
      </c>
      <c r="C225" s="13">
        <v>1.8426352701943014</v>
      </c>
      <c r="D225" s="13">
        <v>2021</v>
      </c>
      <c r="E225" s="13" t="s">
        <v>395</v>
      </c>
      <c r="F225" s="13" t="s">
        <v>309</v>
      </c>
      <c r="G225" s="13" t="s">
        <v>320</v>
      </c>
      <c r="H225" s="13" t="s">
        <v>262</v>
      </c>
      <c r="I225" s="13" t="s">
        <v>262</v>
      </c>
      <c r="J225" s="13" t="s">
        <v>3</v>
      </c>
      <c r="K225" s="13" t="s">
        <v>3</v>
      </c>
    </row>
    <row r="226" spans="1:11" x14ac:dyDescent="0.3">
      <c r="A226" s="13" t="s">
        <v>41</v>
      </c>
      <c r="B226" s="13" t="s">
        <v>34</v>
      </c>
      <c r="C226" s="13">
        <v>9.6897525137937919</v>
      </c>
      <c r="D226" s="13">
        <v>2021</v>
      </c>
      <c r="E226" s="13" t="s">
        <v>395</v>
      </c>
      <c r="F226" s="13" t="s">
        <v>310</v>
      </c>
      <c r="G226" s="13" t="s">
        <v>316</v>
      </c>
      <c r="H226" s="13" t="s">
        <v>262</v>
      </c>
      <c r="I226" s="13" t="s">
        <v>262</v>
      </c>
      <c r="J226" s="13" t="s">
        <v>3</v>
      </c>
      <c r="K226" s="13" t="s">
        <v>3</v>
      </c>
    </row>
    <row r="227" spans="1:11" x14ac:dyDescent="0.3">
      <c r="A227" s="13" t="s">
        <v>41</v>
      </c>
      <c r="B227" s="13" t="s">
        <v>73</v>
      </c>
      <c r="C227" s="13">
        <v>0.96265452523839079</v>
      </c>
      <c r="D227" s="13">
        <v>2021</v>
      </c>
      <c r="E227" s="13" t="s">
        <v>395</v>
      </c>
      <c r="F227" s="13" t="s">
        <v>310</v>
      </c>
      <c r="G227" s="13" t="s">
        <v>320</v>
      </c>
      <c r="H227" s="13" t="s">
        <v>262</v>
      </c>
      <c r="I227" s="13" t="s">
        <v>262</v>
      </c>
      <c r="J227" s="13" t="s">
        <v>3</v>
      </c>
      <c r="K227" s="13" t="s">
        <v>3</v>
      </c>
    </row>
    <row r="228" spans="1:11" x14ac:dyDescent="0.3">
      <c r="A228" s="13" t="s">
        <v>38</v>
      </c>
      <c r="B228" s="13" t="s">
        <v>57</v>
      </c>
      <c r="C228" s="13">
        <v>4.7439029476895129</v>
      </c>
      <c r="D228" s="13">
        <v>2021</v>
      </c>
      <c r="E228" s="13" t="s">
        <v>395</v>
      </c>
      <c r="F228" s="13" t="s">
        <v>311</v>
      </c>
      <c r="G228" s="13" t="s">
        <v>318</v>
      </c>
      <c r="H228" s="13" t="s">
        <v>262</v>
      </c>
      <c r="I228" s="13" t="s">
        <v>262</v>
      </c>
      <c r="J228" s="13" t="s">
        <v>3</v>
      </c>
      <c r="K228" s="13" t="s">
        <v>3</v>
      </c>
    </row>
    <row r="229" spans="1:11" x14ac:dyDescent="0.3">
      <c r="A229" s="13" t="s">
        <v>38</v>
      </c>
      <c r="B229" s="13" t="s">
        <v>73</v>
      </c>
      <c r="C229" s="13">
        <v>0.47129579763612073</v>
      </c>
      <c r="D229" s="13">
        <v>2021</v>
      </c>
      <c r="E229" s="13" t="s">
        <v>395</v>
      </c>
      <c r="F229" s="13" t="s">
        <v>311</v>
      </c>
      <c r="G229" s="13" t="s">
        <v>320</v>
      </c>
      <c r="H229" s="13" t="s">
        <v>262</v>
      </c>
      <c r="I229" s="13" t="s">
        <v>262</v>
      </c>
      <c r="J229" s="13" t="s">
        <v>3</v>
      </c>
      <c r="K229" s="13" t="s">
        <v>3</v>
      </c>
    </row>
    <row r="230" spans="1:11" x14ac:dyDescent="0.3">
      <c r="A230" s="13" t="s">
        <v>59</v>
      </c>
      <c r="B230" s="13" t="s">
        <v>371</v>
      </c>
      <c r="C230" s="13">
        <v>16.698105717983324</v>
      </c>
      <c r="D230" s="13">
        <v>2021</v>
      </c>
      <c r="E230" s="13" t="s">
        <v>395</v>
      </c>
      <c r="F230" s="13" t="s">
        <v>286</v>
      </c>
      <c r="G230" s="13" t="s">
        <v>325</v>
      </c>
      <c r="H230" s="13" t="s">
        <v>18</v>
      </c>
      <c r="I230" s="13" t="s">
        <v>262</v>
      </c>
      <c r="J230" s="13" t="s">
        <v>361</v>
      </c>
      <c r="K230" s="13" t="s">
        <v>3</v>
      </c>
    </row>
    <row r="231" spans="1:11" x14ac:dyDescent="0.3">
      <c r="A231" s="13" t="s">
        <v>408</v>
      </c>
      <c r="B231" s="13" t="s">
        <v>371</v>
      </c>
      <c r="C231" s="13">
        <v>0</v>
      </c>
      <c r="D231" s="13">
        <v>2021</v>
      </c>
      <c r="E231" s="13" t="s">
        <v>395</v>
      </c>
      <c r="F231" s="13" t="s">
        <v>312</v>
      </c>
      <c r="G231" s="13" t="s">
        <v>325</v>
      </c>
      <c r="H231" s="13" t="s">
        <v>262</v>
      </c>
      <c r="I231" s="13" t="s">
        <v>262</v>
      </c>
      <c r="J231" s="13" t="s">
        <v>3</v>
      </c>
      <c r="K231" s="13" t="s">
        <v>3</v>
      </c>
    </row>
    <row r="232" spans="1:11" x14ac:dyDescent="0.3">
      <c r="A232" s="13" t="s">
        <v>31</v>
      </c>
      <c r="B232" s="13" t="s">
        <v>371</v>
      </c>
      <c r="C232" s="13">
        <v>0</v>
      </c>
      <c r="D232" s="13">
        <v>2021</v>
      </c>
      <c r="E232" s="13" t="s">
        <v>395</v>
      </c>
      <c r="F232" s="13" t="s">
        <v>313</v>
      </c>
      <c r="G232" s="13" t="s">
        <v>325</v>
      </c>
      <c r="H232" s="13" t="s">
        <v>262</v>
      </c>
      <c r="I232" s="13" t="s">
        <v>262</v>
      </c>
      <c r="J232" s="13" t="s">
        <v>3</v>
      </c>
      <c r="K232" s="13" t="s">
        <v>3</v>
      </c>
    </row>
    <row r="233" spans="1:11" x14ac:dyDescent="0.3">
      <c r="A233" s="13" t="s">
        <v>32</v>
      </c>
      <c r="B233" s="13" t="s">
        <v>371</v>
      </c>
      <c r="C233" s="13" t="s">
        <v>3</v>
      </c>
      <c r="D233" s="13">
        <v>2021</v>
      </c>
      <c r="E233" s="13" t="s">
        <v>395</v>
      </c>
      <c r="F233" s="13" t="s">
        <v>314</v>
      </c>
      <c r="G233" s="13" t="s">
        <v>325</v>
      </c>
      <c r="H233" s="13" t="s">
        <v>262</v>
      </c>
      <c r="I233" s="13" t="s">
        <v>262</v>
      </c>
      <c r="J233" s="13" t="s">
        <v>3</v>
      </c>
      <c r="K233" s="13" t="s">
        <v>3</v>
      </c>
    </row>
    <row r="234" spans="1:11" x14ac:dyDescent="0.3">
      <c r="A234" s="13" t="s">
        <v>33</v>
      </c>
      <c r="B234" s="13" t="s">
        <v>371</v>
      </c>
      <c r="C234" s="13" t="s">
        <v>3</v>
      </c>
      <c r="D234" s="13">
        <v>2021</v>
      </c>
      <c r="E234" s="13" t="s">
        <v>395</v>
      </c>
      <c r="F234" s="13" t="s">
        <v>315</v>
      </c>
      <c r="G234" s="13" t="s">
        <v>325</v>
      </c>
      <c r="H234" s="13" t="s">
        <v>262</v>
      </c>
      <c r="I234" s="13" t="s">
        <v>262</v>
      </c>
      <c r="J234" s="13" t="s">
        <v>3</v>
      </c>
      <c r="K234" s="13" t="s">
        <v>3</v>
      </c>
    </row>
    <row r="235" spans="1:11" x14ac:dyDescent="0.3">
      <c r="A235" s="13" t="s">
        <v>34</v>
      </c>
      <c r="B235" s="13" t="s">
        <v>371</v>
      </c>
      <c r="C235" s="13" t="s">
        <v>3</v>
      </c>
      <c r="D235" s="13">
        <v>2021</v>
      </c>
      <c r="E235" s="13" t="s">
        <v>395</v>
      </c>
      <c r="F235" s="13" t="s">
        <v>316</v>
      </c>
      <c r="G235" s="13" t="s">
        <v>325</v>
      </c>
      <c r="H235" s="13" t="s">
        <v>262</v>
      </c>
      <c r="I235" s="13" t="s">
        <v>262</v>
      </c>
      <c r="J235" s="13" t="s">
        <v>3</v>
      </c>
      <c r="K235" s="13" t="s">
        <v>3</v>
      </c>
    </row>
    <row r="236" spans="1:11" x14ac:dyDescent="0.3">
      <c r="A236" s="13" t="s">
        <v>35</v>
      </c>
      <c r="B236" s="13" t="s">
        <v>371</v>
      </c>
      <c r="C236" s="13">
        <v>0</v>
      </c>
      <c r="D236" s="13">
        <v>2021</v>
      </c>
      <c r="E236" s="13" t="s">
        <v>395</v>
      </c>
      <c r="F236" s="13" t="s">
        <v>317</v>
      </c>
      <c r="G236" s="13" t="s">
        <v>325</v>
      </c>
      <c r="H236" s="13" t="s">
        <v>262</v>
      </c>
      <c r="I236" s="13" t="s">
        <v>262</v>
      </c>
      <c r="J236" s="13" t="s">
        <v>3</v>
      </c>
      <c r="K236" s="13" t="s">
        <v>3</v>
      </c>
    </row>
    <row r="237" spans="1:11" x14ac:dyDescent="0.3">
      <c r="A237" s="13" t="s">
        <v>57</v>
      </c>
      <c r="B237" s="13" t="s">
        <v>371</v>
      </c>
      <c r="C237" s="13" t="s">
        <v>3</v>
      </c>
      <c r="D237" s="13">
        <v>2021</v>
      </c>
      <c r="E237" s="13" t="s">
        <v>395</v>
      </c>
      <c r="F237" s="13" t="s">
        <v>318</v>
      </c>
      <c r="G237" s="13" t="s">
        <v>325</v>
      </c>
      <c r="H237" s="13" t="s">
        <v>262</v>
      </c>
      <c r="I237" s="13" t="s">
        <v>262</v>
      </c>
      <c r="J237" s="13" t="s">
        <v>3</v>
      </c>
      <c r="K237" s="13" t="s">
        <v>3</v>
      </c>
    </row>
    <row r="238" spans="1:11" x14ac:dyDescent="0.3">
      <c r="A238" s="13" t="s">
        <v>31</v>
      </c>
      <c r="B238" s="13" t="s">
        <v>372</v>
      </c>
      <c r="C238" s="13">
        <v>13.24574632745</v>
      </c>
      <c r="D238" s="13">
        <v>2021</v>
      </c>
      <c r="E238" s="13" t="s">
        <v>395</v>
      </c>
      <c r="F238" s="13" t="s">
        <v>313</v>
      </c>
      <c r="G238" s="13" t="s">
        <v>326</v>
      </c>
      <c r="H238" s="13" t="s">
        <v>262</v>
      </c>
      <c r="I238" s="13" t="s">
        <v>262</v>
      </c>
      <c r="J238" s="13" t="s">
        <v>3</v>
      </c>
      <c r="K238" s="13" t="s">
        <v>3</v>
      </c>
    </row>
    <row r="239" spans="1:11" x14ac:dyDescent="0.3">
      <c r="A239" s="13" t="s">
        <v>32</v>
      </c>
      <c r="B239" s="13" t="s">
        <v>372</v>
      </c>
      <c r="C239" s="13">
        <v>22.827851187050001</v>
      </c>
      <c r="D239" s="13">
        <v>2021</v>
      </c>
      <c r="E239" s="13" t="s">
        <v>395</v>
      </c>
      <c r="F239" s="13" t="s">
        <v>314</v>
      </c>
      <c r="G239" s="13" t="s">
        <v>326</v>
      </c>
      <c r="H239" s="13" t="s">
        <v>262</v>
      </c>
      <c r="I239" s="13" t="s">
        <v>262</v>
      </c>
      <c r="J239" s="13" t="s">
        <v>3</v>
      </c>
      <c r="K239" s="13" t="s">
        <v>3</v>
      </c>
    </row>
    <row r="240" spans="1:11" x14ac:dyDescent="0.3">
      <c r="A240" s="13" t="s">
        <v>371</v>
      </c>
      <c r="B240" s="13" t="s">
        <v>350</v>
      </c>
      <c r="C240" s="13">
        <v>16.698105717983324</v>
      </c>
      <c r="D240" s="13">
        <v>2021</v>
      </c>
      <c r="E240" s="13" t="s">
        <v>395</v>
      </c>
      <c r="F240" s="13" t="s">
        <v>325</v>
      </c>
      <c r="G240" s="13" t="s">
        <v>289</v>
      </c>
      <c r="H240" s="13" t="s">
        <v>262</v>
      </c>
      <c r="I240" s="13" t="s">
        <v>18</v>
      </c>
      <c r="J240" s="13" t="s">
        <v>3</v>
      </c>
      <c r="K240" s="13" t="s">
        <v>405</v>
      </c>
    </row>
    <row r="241" spans="1:11" x14ac:dyDescent="0.3">
      <c r="A241" s="13" t="s">
        <v>371</v>
      </c>
      <c r="B241" s="13" t="s">
        <v>392</v>
      </c>
      <c r="C241" s="13" t="s">
        <v>3</v>
      </c>
      <c r="D241" s="13">
        <v>2021</v>
      </c>
      <c r="E241" s="13" t="s">
        <v>395</v>
      </c>
      <c r="F241" s="13" t="s">
        <v>325</v>
      </c>
      <c r="G241" s="13" t="s">
        <v>290</v>
      </c>
      <c r="H241" s="13" t="s">
        <v>262</v>
      </c>
      <c r="I241" s="13" t="s">
        <v>18</v>
      </c>
      <c r="J241" s="13" t="s">
        <v>3</v>
      </c>
      <c r="K241" s="13" t="s">
        <v>404</v>
      </c>
    </row>
    <row r="242" spans="1:11" x14ac:dyDescent="0.3">
      <c r="A242" s="13" t="s">
        <v>371</v>
      </c>
      <c r="B242" s="13" t="s">
        <v>351</v>
      </c>
      <c r="C242" s="13" t="s">
        <v>3</v>
      </c>
      <c r="D242" s="13">
        <v>2021</v>
      </c>
      <c r="E242" s="13" t="s">
        <v>395</v>
      </c>
      <c r="F242" s="13" t="s">
        <v>325</v>
      </c>
      <c r="G242" s="13" t="s">
        <v>332</v>
      </c>
      <c r="H242" s="13" t="s">
        <v>262</v>
      </c>
      <c r="I242" s="13" t="s">
        <v>262</v>
      </c>
      <c r="J242" s="13" t="s">
        <v>3</v>
      </c>
      <c r="K242" s="13" t="s">
        <v>3</v>
      </c>
    </row>
    <row r="243" spans="1:11" x14ac:dyDescent="0.3">
      <c r="A243" s="13" t="s">
        <v>371</v>
      </c>
      <c r="B243" s="13" t="s">
        <v>916</v>
      </c>
      <c r="C243" s="13" t="s">
        <v>3</v>
      </c>
      <c r="D243" s="13">
        <v>2021</v>
      </c>
      <c r="E243" s="13" t="s">
        <v>395</v>
      </c>
      <c r="F243" s="13" t="s">
        <v>325</v>
      </c>
      <c r="G243" s="13" t="s">
        <v>333</v>
      </c>
      <c r="H243" s="13" t="s">
        <v>262</v>
      </c>
      <c r="I243" s="13" t="s">
        <v>262</v>
      </c>
      <c r="J243" s="13" t="s">
        <v>3</v>
      </c>
      <c r="K243" s="13" t="s">
        <v>3</v>
      </c>
    </row>
    <row r="244" spans="1:11" x14ac:dyDescent="0.3">
      <c r="A244" s="13" t="s">
        <v>371</v>
      </c>
      <c r="B244" s="13" t="s">
        <v>917</v>
      </c>
      <c r="C244" s="13">
        <v>0</v>
      </c>
      <c r="D244" s="13">
        <v>2021</v>
      </c>
      <c r="E244" s="13" t="s">
        <v>395</v>
      </c>
      <c r="F244" s="13" t="s">
        <v>325</v>
      </c>
      <c r="G244" s="13" t="s">
        <v>337</v>
      </c>
      <c r="H244" s="13" t="s">
        <v>262</v>
      </c>
      <c r="I244" s="13" t="s">
        <v>262</v>
      </c>
      <c r="J244" s="13" t="s">
        <v>3</v>
      </c>
      <c r="K244" s="13" t="s">
        <v>3</v>
      </c>
    </row>
    <row r="245" spans="1:11" x14ac:dyDescent="0.3">
      <c r="A245" s="13" t="s">
        <v>371</v>
      </c>
      <c r="B245" s="13" t="s">
        <v>391</v>
      </c>
      <c r="C245" s="13" t="s">
        <v>3</v>
      </c>
      <c r="D245" s="13">
        <v>2021</v>
      </c>
      <c r="E245" s="13" t="s">
        <v>395</v>
      </c>
      <c r="F245" s="13" t="s">
        <v>325</v>
      </c>
      <c r="G245" s="13" t="s">
        <v>338</v>
      </c>
      <c r="H245" s="13" t="s">
        <v>262</v>
      </c>
      <c r="I245" s="13" t="s">
        <v>262</v>
      </c>
      <c r="J245" s="13" t="s">
        <v>3</v>
      </c>
      <c r="K245" s="13" t="s">
        <v>3</v>
      </c>
    </row>
    <row r="246" spans="1:11" x14ac:dyDescent="0.3">
      <c r="A246" s="13" t="s">
        <v>371</v>
      </c>
      <c r="B246" s="13" t="s">
        <v>403</v>
      </c>
      <c r="C246" s="13" t="s">
        <v>3</v>
      </c>
      <c r="D246" s="13">
        <v>2021</v>
      </c>
      <c r="E246" s="13" t="s">
        <v>395</v>
      </c>
      <c r="F246" s="13" t="s">
        <v>325</v>
      </c>
      <c r="G246" s="13" t="s">
        <v>291</v>
      </c>
      <c r="H246" s="13" t="s">
        <v>262</v>
      </c>
      <c r="I246" s="13" t="s">
        <v>18</v>
      </c>
      <c r="J246" s="13" t="s">
        <v>3</v>
      </c>
      <c r="K246" s="13" t="s">
        <v>407</v>
      </c>
    </row>
    <row r="247" spans="1:11" x14ac:dyDescent="0.3">
      <c r="A247" s="13" t="s">
        <v>371</v>
      </c>
      <c r="B247" s="13" t="s">
        <v>406</v>
      </c>
      <c r="C247" s="13" t="s">
        <v>3</v>
      </c>
      <c r="D247" s="13">
        <v>2021</v>
      </c>
      <c r="E247" s="13" t="s">
        <v>395</v>
      </c>
      <c r="F247" s="13" t="s">
        <v>325</v>
      </c>
      <c r="G247" s="13" t="s">
        <v>349</v>
      </c>
      <c r="H247" s="13" t="s">
        <v>262</v>
      </c>
      <c r="I247" s="13" t="s">
        <v>262</v>
      </c>
      <c r="J247" s="13" t="s">
        <v>3</v>
      </c>
      <c r="K247" s="13" t="s">
        <v>3</v>
      </c>
    </row>
    <row r="248" spans="1:11" x14ac:dyDescent="0.3">
      <c r="A248" s="13" t="s">
        <v>371</v>
      </c>
      <c r="B248" s="13" t="s">
        <v>352</v>
      </c>
      <c r="C248" s="13" t="s">
        <v>3</v>
      </c>
      <c r="D248" s="13">
        <v>2021</v>
      </c>
      <c r="E248" s="13" t="s">
        <v>395</v>
      </c>
      <c r="F248" s="13" t="s">
        <v>325</v>
      </c>
      <c r="G248" s="13" t="s">
        <v>353</v>
      </c>
      <c r="H248" s="13" t="s">
        <v>262</v>
      </c>
      <c r="I248" s="13" t="s">
        <v>262</v>
      </c>
      <c r="J248" s="13" t="s">
        <v>3</v>
      </c>
      <c r="K248" s="13" t="s">
        <v>3</v>
      </c>
    </row>
    <row r="249" spans="1:11" x14ac:dyDescent="0.3">
      <c r="A249" s="13" t="s">
        <v>371</v>
      </c>
      <c r="B249" s="13" t="s">
        <v>373</v>
      </c>
      <c r="C249" s="13" t="s">
        <v>3</v>
      </c>
      <c r="D249" s="13">
        <v>2021</v>
      </c>
      <c r="E249" s="13" t="s">
        <v>395</v>
      </c>
      <c r="F249" s="13" t="s">
        <v>325</v>
      </c>
      <c r="G249" s="13" t="s">
        <v>354</v>
      </c>
      <c r="H249" s="13" t="s">
        <v>262</v>
      </c>
      <c r="I249" s="13" t="s">
        <v>262</v>
      </c>
      <c r="J249" s="13" t="s">
        <v>3</v>
      </c>
      <c r="K249" s="13" t="s">
        <v>3</v>
      </c>
    </row>
    <row r="250" spans="1:11" x14ac:dyDescent="0.3">
      <c r="A250" s="13" t="s">
        <v>372</v>
      </c>
      <c r="B250" s="13" t="s">
        <v>350</v>
      </c>
      <c r="C250" s="13">
        <v>36.073597514499994</v>
      </c>
      <c r="D250" s="13">
        <v>2021</v>
      </c>
      <c r="E250" s="13" t="s">
        <v>395</v>
      </c>
      <c r="F250" s="13" t="s">
        <v>326</v>
      </c>
      <c r="G250" s="13" t="s">
        <v>289</v>
      </c>
      <c r="H250" s="13" t="s">
        <v>262</v>
      </c>
      <c r="I250" s="13" t="s">
        <v>18</v>
      </c>
      <c r="J250" s="13" t="s">
        <v>3</v>
      </c>
      <c r="K250" s="13" t="s">
        <v>405</v>
      </c>
    </row>
    <row r="251" spans="1:11" x14ac:dyDescent="0.3">
      <c r="A251" s="13" t="s">
        <v>372</v>
      </c>
      <c r="B251" s="13" t="s">
        <v>392</v>
      </c>
      <c r="C251" s="13" t="s">
        <v>3</v>
      </c>
      <c r="D251" s="13">
        <v>2021</v>
      </c>
      <c r="E251" s="13" t="s">
        <v>395</v>
      </c>
      <c r="F251" s="13" t="s">
        <v>326</v>
      </c>
      <c r="G251" s="13" t="s">
        <v>290</v>
      </c>
      <c r="H251" s="13" t="s">
        <v>262</v>
      </c>
      <c r="I251" s="13" t="s">
        <v>18</v>
      </c>
      <c r="J251" s="13" t="s">
        <v>3</v>
      </c>
      <c r="K251" s="13" t="s">
        <v>404</v>
      </c>
    </row>
    <row r="252" spans="1:11" x14ac:dyDescent="0.3">
      <c r="A252" s="13" t="s">
        <v>372</v>
      </c>
      <c r="B252" s="13" t="s">
        <v>351</v>
      </c>
      <c r="C252" s="13" t="s">
        <v>3</v>
      </c>
      <c r="D252" s="13">
        <v>2021</v>
      </c>
      <c r="E252" s="13" t="s">
        <v>395</v>
      </c>
      <c r="F252" s="13" t="s">
        <v>326</v>
      </c>
      <c r="G252" s="13" t="s">
        <v>332</v>
      </c>
      <c r="H252" s="13" t="s">
        <v>262</v>
      </c>
      <c r="I252" s="13" t="s">
        <v>262</v>
      </c>
      <c r="J252" s="13" t="s">
        <v>3</v>
      </c>
      <c r="K252" s="13" t="s">
        <v>3</v>
      </c>
    </row>
    <row r="253" spans="1:11" x14ac:dyDescent="0.3">
      <c r="A253" s="13" t="s">
        <v>372</v>
      </c>
      <c r="B253" s="13" t="s">
        <v>916</v>
      </c>
      <c r="C253" s="13">
        <v>0</v>
      </c>
      <c r="D253" s="13">
        <v>2021</v>
      </c>
      <c r="E253" s="13" t="s">
        <v>395</v>
      </c>
      <c r="F253" s="13" t="s">
        <v>326</v>
      </c>
      <c r="G253" s="13" t="s">
        <v>333</v>
      </c>
      <c r="H253" s="13" t="s">
        <v>262</v>
      </c>
      <c r="I253" s="13" t="s">
        <v>262</v>
      </c>
      <c r="J253" s="13" t="s">
        <v>3</v>
      </c>
      <c r="K253" s="13" t="s">
        <v>3</v>
      </c>
    </row>
    <row r="254" spans="1:11" x14ac:dyDescent="0.3">
      <c r="A254" s="13" t="s">
        <v>372</v>
      </c>
      <c r="B254" s="13" t="s">
        <v>917</v>
      </c>
      <c r="C254" s="13">
        <v>19.275765199999999</v>
      </c>
      <c r="D254" s="13">
        <v>2021</v>
      </c>
      <c r="E254" s="13" t="s">
        <v>395</v>
      </c>
      <c r="F254" s="13" t="s">
        <v>326</v>
      </c>
      <c r="G254" s="13" t="s">
        <v>337</v>
      </c>
      <c r="H254" s="13" t="s">
        <v>262</v>
      </c>
      <c r="I254" s="13" t="s">
        <v>262</v>
      </c>
      <c r="J254" s="13" t="s">
        <v>3</v>
      </c>
      <c r="K254" s="13" t="s">
        <v>3</v>
      </c>
    </row>
    <row r="255" spans="1:11" x14ac:dyDescent="0.3">
      <c r="A255" s="13" t="s">
        <v>372</v>
      </c>
      <c r="B255" s="13" t="s">
        <v>391</v>
      </c>
      <c r="C255" s="13" t="s">
        <v>3</v>
      </c>
      <c r="D255" s="13">
        <v>2021</v>
      </c>
      <c r="E255" s="13" t="s">
        <v>395</v>
      </c>
      <c r="F255" s="13" t="s">
        <v>326</v>
      </c>
      <c r="G255" s="13" t="s">
        <v>338</v>
      </c>
      <c r="H255" s="13" t="s">
        <v>262</v>
      </c>
      <c r="I255" s="13" t="s">
        <v>262</v>
      </c>
      <c r="J255" s="13" t="s">
        <v>3</v>
      </c>
      <c r="K255" s="13" t="s">
        <v>3</v>
      </c>
    </row>
    <row r="256" spans="1:11" x14ac:dyDescent="0.3">
      <c r="A256" s="13" t="s">
        <v>372</v>
      </c>
      <c r="B256" s="13" t="s">
        <v>403</v>
      </c>
      <c r="C256" s="13" t="s">
        <v>3</v>
      </c>
      <c r="D256" s="13">
        <v>2021</v>
      </c>
      <c r="E256" s="13" t="s">
        <v>395</v>
      </c>
      <c r="F256" s="13" t="s">
        <v>326</v>
      </c>
      <c r="G256" s="13" t="s">
        <v>291</v>
      </c>
      <c r="H256" s="13" t="s">
        <v>262</v>
      </c>
      <c r="I256" s="13" t="s">
        <v>18</v>
      </c>
      <c r="J256" s="13" t="s">
        <v>3</v>
      </c>
      <c r="K256" s="13" t="s">
        <v>407</v>
      </c>
    </row>
    <row r="257" spans="1:11" x14ac:dyDescent="0.3">
      <c r="A257" s="13" t="s">
        <v>372</v>
      </c>
      <c r="B257" s="13" t="s">
        <v>406</v>
      </c>
      <c r="C257" s="13" t="s">
        <v>3</v>
      </c>
      <c r="D257" s="13">
        <v>2021</v>
      </c>
      <c r="E257" s="13" t="s">
        <v>395</v>
      </c>
      <c r="F257" s="13" t="s">
        <v>326</v>
      </c>
      <c r="G257" s="13" t="s">
        <v>349</v>
      </c>
      <c r="H257" s="13" t="s">
        <v>262</v>
      </c>
      <c r="I257" s="13" t="s">
        <v>262</v>
      </c>
      <c r="J257" s="13" t="s">
        <v>3</v>
      </c>
      <c r="K257" s="13" t="s">
        <v>3</v>
      </c>
    </row>
    <row r="258" spans="1:11" x14ac:dyDescent="0.3">
      <c r="A258" s="13" t="s">
        <v>372</v>
      </c>
      <c r="B258" s="13" t="s">
        <v>352</v>
      </c>
      <c r="C258" s="13" t="s">
        <v>3</v>
      </c>
      <c r="D258" s="13">
        <v>2021</v>
      </c>
      <c r="E258" s="13" t="s">
        <v>395</v>
      </c>
      <c r="F258" s="13" t="s">
        <v>326</v>
      </c>
      <c r="G258" s="13" t="s">
        <v>353</v>
      </c>
      <c r="H258" s="13" t="s">
        <v>262</v>
      </c>
      <c r="I258" s="13" t="s">
        <v>262</v>
      </c>
      <c r="J258" s="13" t="s">
        <v>3</v>
      </c>
      <c r="K258" s="13" t="s">
        <v>3</v>
      </c>
    </row>
    <row r="259" spans="1:11" x14ac:dyDescent="0.3">
      <c r="A259" s="13" t="s">
        <v>372</v>
      </c>
      <c r="B259" s="13" t="s">
        <v>373</v>
      </c>
      <c r="C259" s="13" t="s">
        <v>3</v>
      </c>
      <c r="D259" s="13">
        <v>2021</v>
      </c>
      <c r="E259" s="13" t="s">
        <v>395</v>
      </c>
      <c r="F259" s="13" t="s">
        <v>326</v>
      </c>
      <c r="G259" s="13" t="s">
        <v>354</v>
      </c>
      <c r="H259" s="13" t="s">
        <v>262</v>
      </c>
      <c r="I259" s="13" t="s">
        <v>262</v>
      </c>
      <c r="J259" s="13" t="s">
        <v>3</v>
      </c>
      <c r="K259" s="13" t="s">
        <v>3</v>
      </c>
    </row>
    <row r="260" spans="1:11" x14ac:dyDescent="0.3">
      <c r="A260" s="13" t="s">
        <v>29</v>
      </c>
      <c r="B260" s="13" t="s">
        <v>53</v>
      </c>
      <c r="C260" s="13">
        <v>7.9684619701101003</v>
      </c>
      <c r="D260" s="13" t="s">
        <v>19</v>
      </c>
      <c r="E260" s="13" t="s">
        <v>395</v>
      </c>
      <c r="F260" s="13" t="s">
        <v>319</v>
      </c>
      <c r="G260" s="13" t="s">
        <v>284</v>
      </c>
      <c r="H260" s="13" t="s">
        <v>262</v>
      </c>
      <c r="I260" s="13" t="s">
        <v>262</v>
      </c>
      <c r="J260" s="13" t="s">
        <v>3</v>
      </c>
      <c r="K260" s="13" t="s">
        <v>3</v>
      </c>
    </row>
    <row r="261" spans="1:11" x14ac:dyDescent="0.3">
      <c r="A261" s="13" t="s">
        <v>29</v>
      </c>
      <c r="B261" s="13" t="s">
        <v>350</v>
      </c>
      <c r="C261" s="13">
        <v>14.798572230204474</v>
      </c>
      <c r="D261" s="13" t="s">
        <v>19</v>
      </c>
      <c r="E261" s="13" t="s">
        <v>395</v>
      </c>
      <c r="F261" s="13" t="s">
        <v>319</v>
      </c>
      <c r="G261" s="13" t="s">
        <v>289</v>
      </c>
      <c r="H261" s="13" t="s">
        <v>262</v>
      </c>
      <c r="I261" s="13" t="s">
        <v>18</v>
      </c>
      <c r="J261" s="13" t="s">
        <v>3</v>
      </c>
      <c r="K261" s="13" t="s">
        <v>405</v>
      </c>
    </row>
    <row r="262" spans="1:11" x14ac:dyDescent="0.3">
      <c r="A262" s="13" t="s">
        <v>29</v>
      </c>
      <c r="B262" s="13" t="s">
        <v>392</v>
      </c>
      <c r="C262" s="13" t="s">
        <v>3</v>
      </c>
      <c r="D262" s="13" t="s">
        <v>19</v>
      </c>
      <c r="E262" s="13" t="s">
        <v>395</v>
      </c>
      <c r="F262" s="13" t="s">
        <v>319</v>
      </c>
      <c r="G262" s="13" t="s">
        <v>290</v>
      </c>
      <c r="H262" s="13" t="s">
        <v>262</v>
      </c>
      <c r="I262" s="13" t="s">
        <v>18</v>
      </c>
      <c r="J262" s="13" t="s">
        <v>3</v>
      </c>
      <c r="K262" s="13" t="s">
        <v>404</v>
      </c>
    </row>
    <row r="263" spans="1:11" x14ac:dyDescent="0.3">
      <c r="A263" s="13" t="s">
        <v>29</v>
      </c>
      <c r="B263" s="13" t="s">
        <v>351</v>
      </c>
      <c r="C263" s="13" t="s">
        <v>3</v>
      </c>
      <c r="D263" s="13" t="s">
        <v>19</v>
      </c>
      <c r="E263" s="13" t="s">
        <v>395</v>
      </c>
      <c r="F263" s="13" t="s">
        <v>319</v>
      </c>
      <c r="G263" s="13" t="s">
        <v>332</v>
      </c>
      <c r="H263" s="13" t="s">
        <v>262</v>
      </c>
      <c r="I263" s="13" t="s">
        <v>262</v>
      </c>
      <c r="J263" s="13" t="s">
        <v>3</v>
      </c>
      <c r="K263" s="13" t="s">
        <v>3</v>
      </c>
    </row>
    <row r="264" spans="1:11" x14ac:dyDescent="0.3">
      <c r="A264" s="13" t="s">
        <v>29</v>
      </c>
      <c r="B264" s="13" t="s">
        <v>916</v>
      </c>
      <c r="C264" s="13">
        <v>0</v>
      </c>
      <c r="D264" s="13" t="s">
        <v>19</v>
      </c>
      <c r="E264" s="13" t="s">
        <v>395</v>
      </c>
      <c r="F264" s="13" t="s">
        <v>319</v>
      </c>
      <c r="G264" s="13" t="s">
        <v>333</v>
      </c>
      <c r="H264" s="13" t="s">
        <v>262</v>
      </c>
      <c r="I264" s="13" t="s">
        <v>262</v>
      </c>
      <c r="J264" s="13" t="s">
        <v>3</v>
      </c>
      <c r="K264" s="13" t="s">
        <v>3</v>
      </c>
    </row>
    <row r="265" spans="1:11" x14ac:dyDescent="0.3">
      <c r="A265" s="13" t="s">
        <v>29</v>
      </c>
      <c r="B265" s="13" t="s">
        <v>917</v>
      </c>
      <c r="C265" s="13">
        <v>0</v>
      </c>
      <c r="D265" s="13" t="s">
        <v>19</v>
      </c>
      <c r="E265" s="13" t="s">
        <v>395</v>
      </c>
      <c r="F265" s="13" t="s">
        <v>319</v>
      </c>
      <c r="G265" s="13" t="s">
        <v>337</v>
      </c>
      <c r="H265" s="13" t="s">
        <v>262</v>
      </c>
      <c r="I265" s="13" t="s">
        <v>262</v>
      </c>
      <c r="J265" s="13" t="s">
        <v>3</v>
      </c>
      <c r="K265" s="13" t="s">
        <v>3</v>
      </c>
    </row>
    <row r="266" spans="1:11" x14ac:dyDescent="0.3">
      <c r="A266" s="13" t="s">
        <v>29</v>
      </c>
      <c r="B266" s="13" t="s">
        <v>391</v>
      </c>
      <c r="C266" s="13" t="s">
        <v>3</v>
      </c>
      <c r="D266" s="13" t="s">
        <v>19</v>
      </c>
      <c r="E266" s="13" t="s">
        <v>395</v>
      </c>
      <c r="F266" s="13" t="s">
        <v>319</v>
      </c>
      <c r="G266" s="13" t="s">
        <v>338</v>
      </c>
      <c r="H266" s="13" t="s">
        <v>262</v>
      </c>
      <c r="I266" s="13" t="s">
        <v>262</v>
      </c>
      <c r="J266" s="13" t="s">
        <v>3</v>
      </c>
      <c r="K266" s="13" t="s">
        <v>3</v>
      </c>
    </row>
    <row r="267" spans="1:11" x14ac:dyDescent="0.3">
      <c r="A267" s="13" t="s">
        <v>29</v>
      </c>
      <c r="B267" s="13" t="s">
        <v>403</v>
      </c>
      <c r="C267" s="13" t="s">
        <v>3</v>
      </c>
      <c r="D267" s="13" t="s">
        <v>19</v>
      </c>
      <c r="E267" s="13" t="s">
        <v>395</v>
      </c>
      <c r="F267" s="13" t="s">
        <v>319</v>
      </c>
      <c r="G267" s="13" t="s">
        <v>291</v>
      </c>
      <c r="H267" s="13" t="s">
        <v>262</v>
      </c>
      <c r="I267" s="13" t="s">
        <v>18</v>
      </c>
      <c r="J267" s="13" t="s">
        <v>3</v>
      </c>
      <c r="K267" s="13" t="s">
        <v>407</v>
      </c>
    </row>
    <row r="268" spans="1:11" x14ac:dyDescent="0.3">
      <c r="A268" s="13" t="s">
        <v>29</v>
      </c>
      <c r="B268" s="13" t="s">
        <v>406</v>
      </c>
      <c r="C268" s="13" t="s">
        <v>3</v>
      </c>
      <c r="D268" s="13" t="s">
        <v>19</v>
      </c>
      <c r="E268" s="13" t="s">
        <v>395</v>
      </c>
      <c r="F268" s="13" t="s">
        <v>319</v>
      </c>
      <c r="G268" s="13" t="s">
        <v>349</v>
      </c>
      <c r="H268" s="13" t="s">
        <v>262</v>
      </c>
      <c r="I268" s="13" t="s">
        <v>262</v>
      </c>
      <c r="J268" s="13" t="s">
        <v>3</v>
      </c>
      <c r="K268" s="13" t="s">
        <v>3</v>
      </c>
    </row>
    <row r="269" spans="1:11" x14ac:dyDescent="0.3">
      <c r="A269" s="13" t="s">
        <v>29</v>
      </c>
      <c r="B269" s="13" t="s">
        <v>352</v>
      </c>
      <c r="C269" s="13" t="s">
        <v>3</v>
      </c>
      <c r="D269" s="13" t="s">
        <v>19</v>
      </c>
      <c r="E269" s="13" t="s">
        <v>395</v>
      </c>
      <c r="F269" s="13" t="s">
        <v>319</v>
      </c>
      <c r="G269" s="13" t="s">
        <v>353</v>
      </c>
      <c r="H269" s="13" t="s">
        <v>262</v>
      </c>
      <c r="I269" s="13" t="s">
        <v>262</v>
      </c>
      <c r="J269" s="13" t="s">
        <v>3</v>
      </c>
      <c r="K269" s="13" t="s">
        <v>3</v>
      </c>
    </row>
    <row r="270" spans="1:11" x14ac:dyDescent="0.3">
      <c r="A270" s="13" t="s">
        <v>29</v>
      </c>
      <c r="B270" s="13" t="s">
        <v>373</v>
      </c>
      <c r="C270" s="13" t="s">
        <v>3</v>
      </c>
      <c r="D270" s="13" t="s">
        <v>19</v>
      </c>
      <c r="E270" s="13" t="s">
        <v>395</v>
      </c>
      <c r="F270" s="13" t="s">
        <v>319</v>
      </c>
      <c r="G270" s="13" t="s">
        <v>354</v>
      </c>
      <c r="H270" s="13" t="s">
        <v>262</v>
      </c>
      <c r="I270" s="13" t="s">
        <v>262</v>
      </c>
      <c r="J270" s="13" t="s">
        <v>3</v>
      </c>
      <c r="K270" s="13" t="s">
        <v>3</v>
      </c>
    </row>
    <row r="271" spans="1:11" x14ac:dyDescent="0.3">
      <c r="A271" s="13" t="s">
        <v>73</v>
      </c>
      <c r="B271" s="13" t="s">
        <v>54</v>
      </c>
      <c r="C271" s="13">
        <v>3.8429619913060216</v>
      </c>
      <c r="D271" s="13" t="s">
        <v>19</v>
      </c>
      <c r="E271" s="13" t="s">
        <v>395</v>
      </c>
      <c r="F271" s="13" t="s">
        <v>320</v>
      </c>
      <c r="G271" s="13" t="s">
        <v>285</v>
      </c>
      <c r="H271" s="13" t="s">
        <v>262</v>
      </c>
      <c r="I271" s="13" t="s">
        <v>262</v>
      </c>
      <c r="J271" s="13" t="s">
        <v>3</v>
      </c>
      <c r="K271" s="13" t="s">
        <v>3</v>
      </c>
    </row>
    <row r="272" spans="1:11" x14ac:dyDescent="0.3">
      <c r="A272" s="13" t="s">
        <v>73</v>
      </c>
      <c r="B272" s="13" t="s">
        <v>350</v>
      </c>
      <c r="C272" s="13">
        <v>7.1369294124254701</v>
      </c>
      <c r="D272" s="13" t="s">
        <v>19</v>
      </c>
      <c r="E272" s="13" t="s">
        <v>395</v>
      </c>
      <c r="F272" s="13" t="s">
        <v>320</v>
      </c>
      <c r="G272" s="13" t="s">
        <v>289</v>
      </c>
      <c r="H272" s="13" t="s">
        <v>262</v>
      </c>
      <c r="I272" s="13" t="s">
        <v>18</v>
      </c>
      <c r="J272" s="13" t="s">
        <v>3</v>
      </c>
      <c r="K272" s="13" t="s">
        <v>405</v>
      </c>
    </row>
    <row r="273" spans="1:11" x14ac:dyDescent="0.3">
      <c r="A273" s="13" t="s">
        <v>73</v>
      </c>
      <c r="B273" s="13" t="s">
        <v>392</v>
      </c>
      <c r="C273" s="13" t="s">
        <v>3</v>
      </c>
      <c r="D273" s="13" t="s">
        <v>19</v>
      </c>
      <c r="E273" s="13" t="s">
        <v>395</v>
      </c>
      <c r="F273" s="13" t="s">
        <v>320</v>
      </c>
      <c r="G273" s="13" t="s">
        <v>290</v>
      </c>
      <c r="H273" s="13" t="s">
        <v>262</v>
      </c>
      <c r="I273" s="13" t="s">
        <v>18</v>
      </c>
      <c r="J273" s="13" t="s">
        <v>3</v>
      </c>
      <c r="K273" s="13" t="s">
        <v>404</v>
      </c>
    </row>
    <row r="274" spans="1:11" x14ac:dyDescent="0.3">
      <c r="A274" s="13" t="s">
        <v>73</v>
      </c>
      <c r="B274" s="13" t="s">
        <v>351</v>
      </c>
      <c r="C274" s="13" t="s">
        <v>3</v>
      </c>
      <c r="D274" s="13" t="s">
        <v>19</v>
      </c>
      <c r="E274" s="13" t="s">
        <v>395</v>
      </c>
      <c r="F274" s="13" t="s">
        <v>320</v>
      </c>
      <c r="G274" s="13" t="s">
        <v>332</v>
      </c>
      <c r="H274" s="13" t="s">
        <v>262</v>
      </c>
      <c r="I274" s="13" t="s">
        <v>262</v>
      </c>
      <c r="J274" s="13" t="s">
        <v>3</v>
      </c>
      <c r="K274" s="13" t="s">
        <v>3</v>
      </c>
    </row>
    <row r="275" spans="1:11" x14ac:dyDescent="0.3">
      <c r="A275" s="13" t="s">
        <v>73</v>
      </c>
      <c r="B275" s="13" t="s">
        <v>916</v>
      </c>
      <c r="C275" s="13">
        <v>0</v>
      </c>
      <c r="D275" s="13" t="s">
        <v>19</v>
      </c>
      <c r="E275" s="13" t="s">
        <v>395</v>
      </c>
      <c r="F275" s="13" t="s">
        <v>320</v>
      </c>
      <c r="G275" s="13" t="s">
        <v>333</v>
      </c>
      <c r="H275" s="13" t="s">
        <v>262</v>
      </c>
      <c r="I275" s="13" t="s">
        <v>262</v>
      </c>
      <c r="J275" s="13" t="s">
        <v>3</v>
      </c>
      <c r="K275" s="13" t="s">
        <v>3</v>
      </c>
    </row>
    <row r="276" spans="1:11" x14ac:dyDescent="0.3">
      <c r="A276" s="13" t="s">
        <v>73</v>
      </c>
      <c r="B276" s="13" t="s">
        <v>917</v>
      </c>
      <c r="C276" s="13">
        <v>0</v>
      </c>
      <c r="D276" s="13" t="s">
        <v>19</v>
      </c>
      <c r="E276" s="13" t="s">
        <v>395</v>
      </c>
      <c r="F276" s="13" t="s">
        <v>320</v>
      </c>
      <c r="G276" s="13" t="s">
        <v>337</v>
      </c>
      <c r="H276" s="13" t="s">
        <v>262</v>
      </c>
      <c r="I276" s="13" t="s">
        <v>262</v>
      </c>
      <c r="J276" s="13" t="s">
        <v>3</v>
      </c>
      <c r="K276" s="13" t="s">
        <v>3</v>
      </c>
    </row>
    <row r="277" spans="1:11" x14ac:dyDescent="0.3">
      <c r="A277" s="13" t="s">
        <v>73</v>
      </c>
      <c r="B277" s="13" t="s">
        <v>391</v>
      </c>
      <c r="C277" s="13" t="s">
        <v>3</v>
      </c>
      <c r="D277" s="13" t="s">
        <v>19</v>
      </c>
      <c r="E277" s="13" t="s">
        <v>395</v>
      </c>
      <c r="F277" s="13" t="s">
        <v>320</v>
      </c>
      <c r="G277" s="13" t="s">
        <v>338</v>
      </c>
      <c r="H277" s="13" t="s">
        <v>262</v>
      </c>
      <c r="I277" s="13" t="s">
        <v>262</v>
      </c>
      <c r="J277" s="13" t="s">
        <v>3</v>
      </c>
      <c r="K277" s="13" t="s">
        <v>3</v>
      </c>
    </row>
    <row r="278" spans="1:11" x14ac:dyDescent="0.3">
      <c r="A278" s="13" t="s">
        <v>73</v>
      </c>
      <c r="B278" s="13" t="s">
        <v>403</v>
      </c>
      <c r="C278" s="13" t="s">
        <v>3</v>
      </c>
      <c r="D278" s="13" t="s">
        <v>19</v>
      </c>
      <c r="E278" s="13" t="s">
        <v>395</v>
      </c>
      <c r="F278" s="13" t="s">
        <v>320</v>
      </c>
      <c r="G278" s="13" t="s">
        <v>291</v>
      </c>
      <c r="H278" s="13" t="s">
        <v>262</v>
      </c>
      <c r="I278" s="13" t="s">
        <v>18</v>
      </c>
      <c r="J278" s="13" t="s">
        <v>3</v>
      </c>
      <c r="K278" s="13" t="s">
        <v>407</v>
      </c>
    </row>
    <row r="279" spans="1:11" x14ac:dyDescent="0.3">
      <c r="A279" s="13" t="s">
        <v>73</v>
      </c>
      <c r="B279" s="13" t="s">
        <v>406</v>
      </c>
      <c r="C279" s="13" t="s">
        <v>3</v>
      </c>
      <c r="D279" s="13" t="s">
        <v>19</v>
      </c>
      <c r="E279" s="13" t="s">
        <v>395</v>
      </c>
      <c r="F279" s="13" t="s">
        <v>320</v>
      </c>
      <c r="G279" s="13" t="s">
        <v>349</v>
      </c>
      <c r="H279" s="13" t="s">
        <v>262</v>
      </c>
      <c r="I279" s="13" t="s">
        <v>262</v>
      </c>
      <c r="J279" s="13" t="s">
        <v>3</v>
      </c>
      <c r="K279" s="13" t="s">
        <v>3</v>
      </c>
    </row>
    <row r="280" spans="1:11" x14ac:dyDescent="0.3">
      <c r="A280" s="13" t="s">
        <v>73</v>
      </c>
      <c r="B280" s="13" t="s">
        <v>352</v>
      </c>
      <c r="C280" s="13" t="s">
        <v>3</v>
      </c>
      <c r="D280" s="13" t="s">
        <v>19</v>
      </c>
      <c r="E280" s="13" t="s">
        <v>395</v>
      </c>
      <c r="F280" s="13" t="s">
        <v>320</v>
      </c>
      <c r="G280" s="13" t="s">
        <v>353</v>
      </c>
      <c r="H280" s="13" t="s">
        <v>262</v>
      </c>
      <c r="I280" s="13" t="s">
        <v>262</v>
      </c>
      <c r="J280" s="13" t="s">
        <v>3</v>
      </c>
      <c r="K280" s="13" t="s">
        <v>3</v>
      </c>
    </row>
    <row r="281" spans="1:11" x14ac:dyDescent="0.3">
      <c r="A281" s="13" t="s">
        <v>73</v>
      </c>
      <c r="B281" s="13" t="s">
        <v>373</v>
      </c>
      <c r="C281" s="13" t="s">
        <v>3</v>
      </c>
      <c r="D281" s="13" t="s">
        <v>19</v>
      </c>
      <c r="E281" s="13" t="s">
        <v>395</v>
      </c>
      <c r="F281" s="13" t="s">
        <v>320</v>
      </c>
      <c r="G281" s="13" t="s">
        <v>354</v>
      </c>
      <c r="H281" s="13" t="s">
        <v>262</v>
      </c>
      <c r="I281" s="13" t="s">
        <v>262</v>
      </c>
      <c r="J281" s="13" t="s">
        <v>3</v>
      </c>
      <c r="K281" s="13" t="s">
        <v>3</v>
      </c>
    </row>
    <row r="282" spans="1:11" x14ac:dyDescent="0.3">
      <c r="A282" s="13" t="s">
        <v>30</v>
      </c>
      <c r="B282" s="13" t="s">
        <v>54</v>
      </c>
      <c r="C282" s="13">
        <v>0.55325273462069491</v>
      </c>
      <c r="D282" s="13" t="s">
        <v>19</v>
      </c>
      <c r="E282" s="13" t="s">
        <v>395</v>
      </c>
      <c r="F282" s="13" t="s">
        <v>321</v>
      </c>
      <c r="G282" s="13" t="s">
        <v>285</v>
      </c>
      <c r="H282" s="13" t="s">
        <v>262</v>
      </c>
      <c r="I282" s="13" t="s">
        <v>262</v>
      </c>
      <c r="J282" s="13" t="s">
        <v>3</v>
      </c>
      <c r="K282" s="13" t="s">
        <v>3</v>
      </c>
    </row>
    <row r="283" spans="1:11" x14ac:dyDescent="0.3">
      <c r="A283" s="13" t="s">
        <v>30</v>
      </c>
      <c r="B283" s="13" t="s">
        <v>350</v>
      </c>
      <c r="C283" s="13">
        <v>4.9792746115862547</v>
      </c>
      <c r="D283" s="13" t="s">
        <v>19</v>
      </c>
      <c r="E283" s="13" t="s">
        <v>395</v>
      </c>
      <c r="F283" s="13" t="s">
        <v>321</v>
      </c>
      <c r="G283" s="13" t="s">
        <v>289</v>
      </c>
      <c r="H283" s="13" t="s">
        <v>262</v>
      </c>
      <c r="I283" s="13" t="s">
        <v>18</v>
      </c>
      <c r="J283" s="13" t="s">
        <v>3</v>
      </c>
      <c r="K283" s="13" t="s">
        <v>405</v>
      </c>
    </row>
    <row r="284" spans="1:11" x14ac:dyDescent="0.3">
      <c r="A284" s="13" t="s">
        <v>30</v>
      </c>
      <c r="B284" s="13" t="s">
        <v>392</v>
      </c>
      <c r="C284" s="13" t="s">
        <v>3</v>
      </c>
      <c r="D284" s="13" t="s">
        <v>19</v>
      </c>
      <c r="E284" s="13" t="s">
        <v>395</v>
      </c>
      <c r="F284" s="13" t="s">
        <v>321</v>
      </c>
      <c r="G284" s="13" t="s">
        <v>290</v>
      </c>
      <c r="H284" s="13" t="s">
        <v>262</v>
      </c>
      <c r="I284" s="13" t="s">
        <v>18</v>
      </c>
      <c r="J284" s="13" t="s">
        <v>3</v>
      </c>
      <c r="K284" s="13" t="s">
        <v>404</v>
      </c>
    </row>
    <row r="285" spans="1:11" x14ac:dyDescent="0.3">
      <c r="A285" s="13" t="s">
        <v>30</v>
      </c>
      <c r="B285" s="13" t="s">
        <v>351</v>
      </c>
      <c r="C285" s="13" t="s">
        <v>3</v>
      </c>
      <c r="D285" s="13" t="s">
        <v>19</v>
      </c>
      <c r="E285" s="13" t="s">
        <v>395</v>
      </c>
      <c r="F285" s="13" t="s">
        <v>321</v>
      </c>
      <c r="G285" s="13" t="s">
        <v>332</v>
      </c>
      <c r="H285" s="13" t="s">
        <v>262</v>
      </c>
      <c r="I285" s="13" t="s">
        <v>262</v>
      </c>
      <c r="J285" s="13" t="s">
        <v>3</v>
      </c>
      <c r="K285" s="13" t="s">
        <v>3</v>
      </c>
    </row>
    <row r="286" spans="1:11" x14ac:dyDescent="0.3">
      <c r="A286" s="13" t="s">
        <v>30</v>
      </c>
      <c r="B286" s="13" t="s">
        <v>916</v>
      </c>
      <c r="C286" s="13">
        <v>0</v>
      </c>
      <c r="D286" s="13" t="s">
        <v>19</v>
      </c>
      <c r="E286" s="13" t="s">
        <v>395</v>
      </c>
      <c r="F286" s="13" t="s">
        <v>321</v>
      </c>
      <c r="G286" s="13" t="s">
        <v>333</v>
      </c>
      <c r="H286" s="13" t="s">
        <v>262</v>
      </c>
      <c r="I286" s="13" t="s">
        <v>262</v>
      </c>
      <c r="J286" s="13" t="s">
        <v>3</v>
      </c>
      <c r="K286" s="13" t="s">
        <v>3</v>
      </c>
    </row>
    <row r="287" spans="1:11" x14ac:dyDescent="0.3">
      <c r="A287" s="13" t="s">
        <v>30</v>
      </c>
      <c r="B287" s="13" t="s">
        <v>917</v>
      </c>
      <c r="C287" s="13">
        <v>0</v>
      </c>
      <c r="D287" s="13" t="s">
        <v>19</v>
      </c>
      <c r="E287" s="13" t="s">
        <v>395</v>
      </c>
      <c r="F287" s="13" t="s">
        <v>321</v>
      </c>
      <c r="G287" s="13" t="s">
        <v>337</v>
      </c>
      <c r="H287" s="13" t="s">
        <v>262</v>
      </c>
      <c r="I287" s="13" t="s">
        <v>262</v>
      </c>
      <c r="J287" s="13" t="s">
        <v>3</v>
      </c>
      <c r="K287" s="13" t="s">
        <v>3</v>
      </c>
    </row>
    <row r="288" spans="1:11" x14ac:dyDescent="0.3">
      <c r="A288" s="13" t="s">
        <v>30</v>
      </c>
      <c r="B288" s="13" t="s">
        <v>391</v>
      </c>
      <c r="C288" s="13" t="s">
        <v>3</v>
      </c>
      <c r="D288" s="13" t="s">
        <v>19</v>
      </c>
      <c r="E288" s="13" t="s">
        <v>395</v>
      </c>
      <c r="F288" s="13" t="s">
        <v>321</v>
      </c>
      <c r="G288" s="13" t="s">
        <v>338</v>
      </c>
      <c r="H288" s="13" t="s">
        <v>262</v>
      </c>
      <c r="I288" s="13" t="s">
        <v>262</v>
      </c>
      <c r="J288" s="13" t="s">
        <v>3</v>
      </c>
      <c r="K288" s="13" t="s">
        <v>3</v>
      </c>
    </row>
    <row r="289" spans="1:11" x14ac:dyDescent="0.3">
      <c r="A289" s="13" t="s">
        <v>30</v>
      </c>
      <c r="B289" s="13" t="s">
        <v>403</v>
      </c>
      <c r="C289" s="13" t="s">
        <v>3</v>
      </c>
      <c r="D289" s="13" t="s">
        <v>19</v>
      </c>
      <c r="E289" s="13" t="s">
        <v>395</v>
      </c>
      <c r="F289" s="13" t="s">
        <v>321</v>
      </c>
      <c r="G289" s="13" t="s">
        <v>291</v>
      </c>
      <c r="H289" s="13" t="s">
        <v>262</v>
      </c>
      <c r="I289" s="13" t="s">
        <v>18</v>
      </c>
      <c r="J289" s="13" t="s">
        <v>3</v>
      </c>
      <c r="K289" s="13" t="s">
        <v>407</v>
      </c>
    </row>
    <row r="290" spans="1:11" x14ac:dyDescent="0.3">
      <c r="A290" s="13" t="s">
        <v>30</v>
      </c>
      <c r="B290" s="13" t="s">
        <v>406</v>
      </c>
      <c r="C290" s="13" t="s">
        <v>3</v>
      </c>
      <c r="D290" s="13" t="s">
        <v>19</v>
      </c>
      <c r="E290" s="13" t="s">
        <v>395</v>
      </c>
      <c r="F290" s="13" t="s">
        <v>321</v>
      </c>
      <c r="G290" s="13" t="s">
        <v>349</v>
      </c>
      <c r="H290" s="13" t="s">
        <v>262</v>
      </c>
      <c r="I290" s="13" t="s">
        <v>262</v>
      </c>
      <c r="J290" s="13" t="s">
        <v>3</v>
      </c>
      <c r="K290" s="13" t="s">
        <v>3</v>
      </c>
    </row>
    <row r="291" spans="1:11" x14ac:dyDescent="0.3">
      <c r="A291" s="13" t="s">
        <v>30</v>
      </c>
      <c r="B291" s="13" t="s">
        <v>352</v>
      </c>
      <c r="C291" s="13" t="s">
        <v>3</v>
      </c>
      <c r="D291" s="13" t="s">
        <v>19</v>
      </c>
      <c r="E291" s="13" t="s">
        <v>395</v>
      </c>
      <c r="F291" s="13" t="s">
        <v>321</v>
      </c>
      <c r="G291" s="13" t="s">
        <v>353</v>
      </c>
      <c r="H291" s="13" t="s">
        <v>262</v>
      </c>
      <c r="I291" s="13" t="s">
        <v>262</v>
      </c>
      <c r="J291" s="13" t="s">
        <v>3</v>
      </c>
      <c r="K291" s="13" t="s">
        <v>3</v>
      </c>
    </row>
    <row r="292" spans="1:11" x14ac:dyDescent="0.3">
      <c r="A292" s="13" t="s">
        <v>30</v>
      </c>
      <c r="B292" s="13" t="s">
        <v>373</v>
      </c>
      <c r="C292" s="13" t="s">
        <v>3</v>
      </c>
      <c r="D292" s="13" t="s">
        <v>19</v>
      </c>
      <c r="E292" s="13" t="s">
        <v>395</v>
      </c>
      <c r="F292" s="13" t="s">
        <v>321</v>
      </c>
      <c r="G292" s="13" t="s">
        <v>354</v>
      </c>
      <c r="H292" s="13" t="s">
        <v>262</v>
      </c>
      <c r="I292" s="13" t="s">
        <v>262</v>
      </c>
      <c r="J292" s="13" t="s">
        <v>3</v>
      </c>
      <c r="K292" s="13" t="s">
        <v>3</v>
      </c>
    </row>
    <row r="293" spans="1:11" x14ac:dyDescent="0.3">
      <c r="A293" s="13" t="s">
        <v>80</v>
      </c>
      <c r="B293" s="13" t="s">
        <v>350</v>
      </c>
      <c r="C293" s="13">
        <v>21.887840747606944</v>
      </c>
      <c r="D293" s="13" t="s">
        <v>19</v>
      </c>
      <c r="E293" s="13" t="s">
        <v>395</v>
      </c>
      <c r="F293" s="13" t="s">
        <v>322</v>
      </c>
      <c r="G293" s="13" t="s">
        <v>289</v>
      </c>
      <c r="H293" s="13" t="s">
        <v>262</v>
      </c>
      <c r="I293" s="13" t="s">
        <v>18</v>
      </c>
      <c r="J293" s="13" t="s">
        <v>3</v>
      </c>
      <c r="K293" s="13" t="s">
        <v>405</v>
      </c>
    </row>
    <row r="294" spans="1:11" x14ac:dyDescent="0.3">
      <c r="A294" s="13" t="s">
        <v>80</v>
      </c>
      <c r="B294" s="13" t="s">
        <v>392</v>
      </c>
      <c r="C294" s="13" t="s">
        <v>3</v>
      </c>
      <c r="D294" s="13" t="s">
        <v>19</v>
      </c>
      <c r="E294" s="13" t="s">
        <v>395</v>
      </c>
      <c r="F294" s="13" t="s">
        <v>322</v>
      </c>
      <c r="G294" s="13" t="s">
        <v>290</v>
      </c>
      <c r="H294" s="13" t="s">
        <v>262</v>
      </c>
      <c r="I294" s="13" t="s">
        <v>18</v>
      </c>
      <c r="J294" s="13" t="s">
        <v>3</v>
      </c>
      <c r="K294" s="13" t="s">
        <v>404</v>
      </c>
    </row>
    <row r="295" spans="1:11" x14ac:dyDescent="0.3">
      <c r="A295" s="13" t="s">
        <v>80</v>
      </c>
      <c r="B295" s="13" t="s">
        <v>351</v>
      </c>
      <c r="C295" s="13" t="s">
        <v>3</v>
      </c>
      <c r="D295" s="13" t="s">
        <v>19</v>
      </c>
      <c r="E295" s="13" t="s">
        <v>395</v>
      </c>
      <c r="F295" s="13" t="s">
        <v>322</v>
      </c>
      <c r="G295" s="13" t="s">
        <v>332</v>
      </c>
      <c r="H295" s="13" t="s">
        <v>262</v>
      </c>
      <c r="I295" s="13" t="s">
        <v>262</v>
      </c>
      <c r="J295" s="13" t="s">
        <v>3</v>
      </c>
      <c r="K295" s="13" t="s">
        <v>3</v>
      </c>
    </row>
    <row r="296" spans="1:11" x14ac:dyDescent="0.3">
      <c r="A296" s="13" t="s">
        <v>80</v>
      </c>
      <c r="B296" s="13" t="s">
        <v>916</v>
      </c>
      <c r="C296" s="13">
        <v>0</v>
      </c>
      <c r="D296" s="13" t="s">
        <v>19</v>
      </c>
      <c r="E296" s="13" t="s">
        <v>395</v>
      </c>
      <c r="F296" s="13" t="s">
        <v>322</v>
      </c>
      <c r="G296" s="13" t="s">
        <v>333</v>
      </c>
      <c r="H296" s="13" t="s">
        <v>262</v>
      </c>
      <c r="I296" s="13" t="s">
        <v>262</v>
      </c>
      <c r="J296" s="13" t="s">
        <v>3</v>
      </c>
      <c r="K296" s="13" t="s">
        <v>3</v>
      </c>
    </row>
    <row r="297" spans="1:11" x14ac:dyDescent="0.3">
      <c r="A297" s="13" t="s">
        <v>80</v>
      </c>
      <c r="B297" s="13" t="s">
        <v>917</v>
      </c>
      <c r="C297" s="13">
        <v>0</v>
      </c>
      <c r="D297" s="13" t="s">
        <v>19</v>
      </c>
      <c r="E297" s="13" t="s">
        <v>395</v>
      </c>
      <c r="F297" s="13" t="s">
        <v>322</v>
      </c>
      <c r="G297" s="13" t="s">
        <v>337</v>
      </c>
      <c r="H297" s="13" t="s">
        <v>262</v>
      </c>
      <c r="I297" s="13" t="s">
        <v>262</v>
      </c>
      <c r="J297" s="13" t="s">
        <v>3</v>
      </c>
      <c r="K297" s="13" t="s">
        <v>3</v>
      </c>
    </row>
    <row r="298" spans="1:11" x14ac:dyDescent="0.3">
      <c r="A298" s="13" t="s">
        <v>80</v>
      </c>
      <c r="B298" s="13" t="s">
        <v>391</v>
      </c>
      <c r="C298" s="13" t="s">
        <v>3</v>
      </c>
      <c r="D298" s="13" t="s">
        <v>19</v>
      </c>
      <c r="E298" s="13" t="s">
        <v>395</v>
      </c>
      <c r="F298" s="13" t="s">
        <v>322</v>
      </c>
      <c r="G298" s="13" t="s">
        <v>338</v>
      </c>
      <c r="H298" s="13" t="s">
        <v>262</v>
      </c>
      <c r="I298" s="13" t="s">
        <v>262</v>
      </c>
      <c r="J298" s="13" t="s">
        <v>3</v>
      </c>
      <c r="K298" s="13" t="s">
        <v>3</v>
      </c>
    </row>
    <row r="299" spans="1:11" x14ac:dyDescent="0.3">
      <c r="A299" s="13" t="s">
        <v>80</v>
      </c>
      <c r="B299" s="13" t="s">
        <v>403</v>
      </c>
      <c r="C299" s="13" t="s">
        <v>3</v>
      </c>
      <c r="D299" s="13" t="s">
        <v>19</v>
      </c>
      <c r="E299" s="13" t="s">
        <v>395</v>
      </c>
      <c r="F299" s="13" t="s">
        <v>322</v>
      </c>
      <c r="G299" s="13" t="s">
        <v>291</v>
      </c>
      <c r="H299" s="13" t="s">
        <v>262</v>
      </c>
      <c r="I299" s="13" t="s">
        <v>18</v>
      </c>
      <c r="J299" s="13" t="s">
        <v>3</v>
      </c>
      <c r="K299" s="13" t="s">
        <v>407</v>
      </c>
    </row>
    <row r="300" spans="1:11" x14ac:dyDescent="0.3">
      <c r="A300" s="13" t="s">
        <v>80</v>
      </c>
      <c r="B300" s="13" t="s">
        <v>406</v>
      </c>
      <c r="C300" s="13" t="s">
        <v>3</v>
      </c>
      <c r="D300" s="13" t="s">
        <v>19</v>
      </c>
      <c r="E300" s="13" t="s">
        <v>395</v>
      </c>
      <c r="F300" s="13" t="s">
        <v>322</v>
      </c>
      <c r="G300" s="13" t="s">
        <v>349</v>
      </c>
      <c r="H300" s="13" t="s">
        <v>262</v>
      </c>
      <c r="I300" s="13" t="s">
        <v>262</v>
      </c>
      <c r="J300" s="13" t="s">
        <v>3</v>
      </c>
      <c r="K300" s="13" t="s">
        <v>3</v>
      </c>
    </row>
    <row r="301" spans="1:11" x14ac:dyDescent="0.3">
      <c r="A301" s="13" t="s">
        <v>80</v>
      </c>
      <c r="B301" s="13" t="s">
        <v>352</v>
      </c>
      <c r="C301" s="13" t="s">
        <v>3</v>
      </c>
      <c r="D301" s="13" t="s">
        <v>19</v>
      </c>
      <c r="E301" s="13" t="s">
        <v>395</v>
      </c>
      <c r="F301" s="13" t="s">
        <v>322</v>
      </c>
      <c r="G301" s="13" t="s">
        <v>353</v>
      </c>
      <c r="H301" s="13" t="s">
        <v>262</v>
      </c>
      <c r="I301" s="13" t="s">
        <v>262</v>
      </c>
      <c r="J301" s="13" t="s">
        <v>3</v>
      </c>
      <c r="K301" s="13" t="s">
        <v>3</v>
      </c>
    </row>
    <row r="302" spans="1:11" x14ac:dyDescent="0.3">
      <c r="A302" s="13" t="s">
        <v>80</v>
      </c>
      <c r="B302" s="13" t="s">
        <v>373</v>
      </c>
      <c r="C302" s="13" t="s">
        <v>3</v>
      </c>
      <c r="D302" s="13" t="s">
        <v>19</v>
      </c>
      <c r="E302" s="13" t="s">
        <v>395</v>
      </c>
      <c r="F302" s="13" t="s">
        <v>322</v>
      </c>
      <c r="G302" s="13" t="s">
        <v>354</v>
      </c>
      <c r="H302" s="13" t="s">
        <v>262</v>
      </c>
      <c r="I302" s="13" t="s">
        <v>262</v>
      </c>
      <c r="J302" s="13" t="s">
        <v>3</v>
      </c>
      <c r="K302" s="13" t="s">
        <v>3</v>
      </c>
    </row>
    <row r="303" spans="1:11" x14ac:dyDescent="0.3">
      <c r="A303" s="13" t="s">
        <v>235</v>
      </c>
      <c r="B303" s="13" t="s">
        <v>77</v>
      </c>
      <c r="C303" s="13">
        <v>2.0863850500000019</v>
      </c>
      <c r="D303" s="13">
        <v>2021</v>
      </c>
      <c r="E303" s="13" t="s">
        <v>395</v>
      </c>
      <c r="F303" s="13" t="s">
        <v>323</v>
      </c>
      <c r="G303" s="13" t="s">
        <v>299</v>
      </c>
      <c r="H303" s="13" t="s">
        <v>262</v>
      </c>
      <c r="I303" s="13" t="s">
        <v>262</v>
      </c>
      <c r="J303" s="13" t="s">
        <v>3</v>
      </c>
      <c r="K303" s="13" t="s">
        <v>3</v>
      </c>
    </row>
    <row r="304" spans="1:11" x14ac:dyDescent="0.3">
      <c r="A304" s="13" t="s">
        <v>351</v>
      </c>
      <c r="B304" s="13" t="s">
        <v>408</v>
      </c>
      <c r="C304" s="13" t="s">
        <v>3</v>
      </c>
      <c r="D304" s="13">
        <v>2021</v>
      </c>
      <c r="E304" s="13" t="s">
        <v>395</v>
      </c>
      <c r="F304" s="13" t="s">
        <v>332</v>
      </c>
      <c r="G304" s="13" t="s">
        <v>312</v>
      </c>
      <c r="H304" s="13" t="s">
        <v>262</v>
      </c>
      <c r="I304" s="13" t="s">
        <v>262</v>
      </c>
      <c r="J304" s="13" t="s">
        <v>3</v>
      </c>
      <c r="K304" s="13" t="s">
        <v>3</v>
      </c>
    </row>
    <row r="305" spans="1:11" x14ac:dyDescent="0.3">
      <c r="A305" s="13" t="s">
        <v>916</v>
      </c>
      <c r="B305" s="13" t="s">
        <v>65</v>
      </c>
      <c r="C305" s="13">
        <v>1.6671159707095229</v>
      </c>
      <c r="D305" s="13">
        <v>2021</v>
      </c>
      <c r="E305" s="13" t="s">
        <v>395</v>
      </c>
      <c r="F305" s="13" t="s">
        <v>333</v>
      </c>
      <c r="G305" s="13" t="s">
        <v>278</v>
      </c>
      <c r="H305" s="13" t="s">
        <v>262</v>
      </c>
      <c r="I305" s="13" t="s">
        <v>18</v>
      </c>
      <c r="J305" s="13" t="s">
        <v>3</v>
      </c>
      <c r="K305" s="13" t="s">
        <v>334</v>
      </c>
    </row>
    <row r="306" spans="1:11" x14ac:dyDescent="0.3">
      <c r="A306" s="13" t="s">
        <v>916</v>
      </c>
      <c r="B306" s="13" t="s">
        <v>53</v>
      </c>
      <c r="C306" s="13" t="s">
        <v>3</v>
      </c>
      <c r="D306" s="13">
        <v>2021</v>
      </c>
      <c r="E306" s="13" t="s">
        <v>395</v>
      </c>
      <c r="F306" s="13" t="s">
        <v>333</v>
      </c>
      <c r="G306" s="13" t="s">
        <v>284</v>
      </c>
      <c r="H306" s="13" t="s">
        <v>262</v>
      </c>
      <c r="I306" s="13" t="s">
        <v>262</v>
      </c>
      <c r="J306" s="13" t="s">
        <v>3</v>
      </c>
      <c r="K306" s="13" t="s">
        <v>3</v>
      </c>
    </row>
    <row r="307" spans="1:11" x14ac:dyDescent="0.3">
      <c r="A307" s="13" t="s">
        <v>916</v>
      </c>
      <c r="B307" s="13" t="s">
        <v>54</v>
      </c>
      <c r="C307" s="13" t="s">
        <v>3</v>
      </c>
      <c r="D307" s="13">
        <v>2021</v>
      </c>
      <c r="E307" s="13" t="s">
        <v>395</v>
      </c>
      <c r="F307" s="13" t="s">
        <v>333</v>
      </c>
      <c r="G307" s="13" t="s">
        <v>285</v>
      </c>
      <c r="H307" s="13" t="s">
        <v>262</v>
      </c>
      <c r="I307" s="13" t="s">
        <v>262</v>
      </c>
      <c r="J307" s="13" t="s">
        <v>3</v>
      </c>
      <c r="K307" s="13" t="s">
        <v>3</v>
      </c>
    </row>
    <row r="308" spans="1:11" x14ac:dyDescent="0.3">
      <c r="A308" s="13" t="s">
        <v>917</v>
      </c>
      <c r="B308" s="13" t="s">
        <v>77</v>
      </c>
      <c r="C308" s="13">
        <v>19.275765199999999</v>
      </c>
      <c r="D308" s="13">
        <v>2021</v>
      </c>
      <c r="E308" s="13" t="s">
        <v>395</v>
      </c>
      <c r="F308" s="13" t="s">
        <v>337</v>
      </c>
      <c r="G308" s="13" t="s">
        <v>299</v>
      </c>
      <c r="H308" s="13" t="s">
        <v>262</v>
      </c>
      <c r="I308" s="13" t="s">
        <v>262</v>
      </c>
      <c r="J308" s="13" t="s">
        <v>3</v>
      </c>
      <c r="K308" s="13" t="s">
        <v>3</v>
      </c>
    </row>
    <row r="309" spans="1:11" x14ac:dyDescent="0.3">
      <c r="A309" s="13" t="s">
        <v>335</v>
      </c>
      <c r="B309" s="13" t="s">
        <v>258</v>
      </c>
      <c r="C309" s="13">
        <v>0</v>
      </c>
      <c r="D309" s="13">
        <v>2021</v>
      </c>
      <c r="E309" s="13" t="s">
        <v>395</v>
      </c>
      <c r="F309" s="13" t="s">
        <v>364</v>
      </c>
      <c r="G309" s="13" t="s">
        <v>271</v>
      </c>
      <c r="H309" s="13" t="s">
        <v>262</v>
      </c>
      <c r="I309" s="13" t="s">
        <v>262</v>
      </c>
      <c r="J309" s="13" t="s">
        <v>3</v>
      </c>
      <c r="K309" s="13" t="s">
        <v>3</v>
      </c>
    </row>
    <row r="310" spans="1:11" x14ac:dyDescent="0.3">
      <c r="A310" s="13" t="s">
        <v>335</v>
      </c>
      <c r="B310" s="13" t="s">
        <v>259</v>
      </c>
      <c r="C310" s="13">
        <v>0</v>
      </c>
      <c r="D310" s="13">
        <v>2021</v>
      </c>
      <c r="E310" s="13" t="s">
        <v>395</v>
      </c>
      <c r="F310" s="13" t="s">
        <v>364</v>
      </c>
      <c r="G310" s="13" t="s">
        <v>272</v>
      </c>
      <c r="H310" s="13" t="s">
        <v>262</v>
      </c>
      <c r="I310" s="13" t="s">
        <v>262</v>
      </c>
      <c r="J310" s="13" t="s">
        <v>3</v>
      </c>
      <c r="K310" s="13" t="s">
        <v>3</v>
      </c>
    </row>
    <row r="311" spans="1:11" x14ac:dyDescent="0.3">
      <c r="A311" s="13" t="s">
        <v>335</v>
      </c>
      <c r="B311" s="13" t="s">
        <v>343</v>
      </c>
      <c r="C311" s="13">
        <v>0</v>
      </c>
      <c r="D311" s="13">
        <v>2021</v>
      </c>
      <c r="E311" s="13" t="s">
        <v>395</v>
      </c>
      <c r="F311" s="13" t="s">
        <v>364</v>
      </c>
      <c r="G311" s="13" t="s">
        <v>270</v>
      </c>
      <c r="H311" s="13" t="s">
        <v>262</v>
      </c>
      <c r="I311" s="13" t="s">
        <v>18</v>
      </c>
      <c r="J311" s="13" t="s">
        <v>3</v>
      </c>
      <c r="K311" s="13" t="s">
        <v>345</v>
      </c>
    </row>
    <row r="312" spans="1:11" x14ac:dyDescent="0.3">
      <c r="A312" s="13" t="s">
        <v>335</v>
      </c>
      <c r="B312" s="13" t="s">
        <v>260</v>
      </c>
      <c r="C312" s="13">
        <v>0</v>
      </c>
      <c r="D312" s="13">
        <v>2021</v>
      </c>
      <c r="E312" s="13" t="s">
        <v>395</v>
      </c>
      <c r="F312" s="13" t="s">
        <v>364</v>
      </c>
      <c r="G312" s="13" t="s">
        <v>273</v>
      </c>
      <c r="H312" s="13" t="s">
        <v>262</v>
      </c>
      <c r="I312" s="13" t="s">
        <v>262</v>
      </c>
      <c r="J312" s="13" t="s">
        <v>3</v>
      </c>
      <c r="K312" s="13" t="s">
        <v>3</v>
      </c>
    </row>
    <row r="313" spans="1:11" x14ac:dyDescent="0.3">
      <c r="A313" s="13" t="s">
        <v>335</v>
      </c>
      <c r="B313" s="13" t="s">
        <v>263</v>
      </c>
      <c r="C313" s="13">
        <v>0</v>
      </c>
      <c r="D313" s="13">
        <v>2021</v>
      </c>
      <c r="E313" s="13" t="s">
        <v>395</v>
      </c>
      <c r="F313" s="13" t="s">
        <v>364</v>
      </c>
      <c r="G313" s="13" t="s">
        <v>277</v>
      </c>
      <c r="H313" s="13" t="s">
        <v>262</v>
      </c>
      <c r="I313" s="13" t="s">
        <v>262</v>
      </c>
      <c r="J313" s="13" t="s">
        <v>3</v>
      </c>
      <c r="K313" s="13" t="s">
        <v>3</v>
      </c>
    </row>
    <row r="314" spans="1:11" x14ac:dyDescent="0.3">
      <c r="A314" s="13" t="s">
        <v>335</v>
      </c>
      <c r="B314" s="13" t="s">
        <v>265</v>
      </c>
      <c r="C314" s="13">
        <v>0</v>
      </c>
      <c r="D314" s="13">
        <v>2021</v>
      </c>
      <c r="E314" s="13" t="s">
        <v>395</v>
      </c>
      <c r="F314" s="13" t="s">
        <v>364</v>
      </c>
      <c r="G314" s="13" t="s">
        <v>279</v>
      </c>
      <c r="H314" s="13" t="s">
        <v>262</v>
      </c>
      <c r="I314" s="13" t="s">
        <v>262</v>
      </c>
      <c r="J314" s="13" t="s">
        <v>3</v>
      </c>
      <c r="K314" s="13" t="s">
        <v>3</v>
      </c>
    </row>
    <row r="315" spans="1:11" x14ac:dyDescent="0.3">
      <c r="A315" s="13" t="s">
        <v>335</v>
      </c>
      <c r="B315" s="13" t="s">
        <v>344</v>
      </c>
      <c r="C315" s="13">
        <v>0</v>
      </c>
      <c r="D315" s="13">
        <v>2021</v>
      </c>
      <c r="E315" s="13" t="s">
        <v>395</v>
      </c>
      <c r="F315" s="13" t="s">
        <v>364</v>
      </c>
      <c r="G315" s="13" t="s">
        <v>271</v>
      </c>
      <c r="H315" s="13" t="s">
        <v>262</v>
      </c>
      <c r="I315" s="13" t="s">
        <v>18</v>
      </c>
      <c r="J315" s="13" t="s">
        <v>3</v>
      </c>
      <c r="K315" s="13" t="s">
        <v>346</v>
      </c>
    </row>
    <row r="316" spans="1:11" x14ac:dyDescent="0.3">
      <c r="A316" s="13" t="s">
        <v>335</v>
      </c>
      <c r="B316" s="13" t="s">
        <v>261</v>
      </c>
      <c r="C316" s="13">
        <v>0</v>
      </c>
      <c r="D316" s="13">
        <v>2021</v>
      </c>
      <c r="E316" s="13" t="s">
        <v>395</v>
      </c>
      <c r="F316" s="13" t="s">
        <v>364</v>
      </c>
      <c r="G316" s="13" t="s">
        <v>276</v>
      </c>
      <c r="H316" s="13" t="s">
        <v>262</v>
      </c>
      <c r="I316" s="13" t="s">
        <v>262</v>
      </c>
      <c r="J316" s="13" t="s">
        <v>3</v>
      </c>
      <c r="K316" s="13" t="s">
        <v>3</v>
      </c>
    </row>
    <row r="317" spans="1:11" x14ac:dyDescent="0.3">
      <c r="A317" s="13" t="s">
        <v>335</v>
      </c>
      <c r="B317" s="13" t="s">
        <v>264</v>
      </c>
      <c r="C317" s="13">
        <v>0</v>
      </c>
      <c r="D317" s="13">
        <v>2021</v>
      </c>
      <c r="E317" s="13" t="s">
        <v>395</v>
      </c>
      <c r="F317" s="13" t="s">
        <v>364</v>
      </c>
      <c r="G317" s="13" t="s">
        <v>278</v>
      </c>
      <c r="H317" s="13" t="s">
        <v>262</v>
      </c>
      <c r="I317" s="13" t="s">
        <v>262</v>
      </c>
      <c r="J317" s="13" t="s">
        <v>3</v>
      </c>
      <c r="K317" s="13" t="s">
        <v>3</v>
      </c>
    </row>
    <row r="318" spans="1:11" x14ac:dyDescent="0.3">
      <c r="A318" s="13" t="s">
        <v>335</v>
      </c>
      <c r="B318" s="13" t="s">
        <v>266</v>
      </c>
      <c r="C318" s="13">
        <v>0</v>
      </c>
      <c r="D318" s="13">
        <v>2021</v>
      </c>
      <c r="E318" s="13" t="s">
        <v>395</v>
      </c>
      <c r="F318" s="13" t="s">
        <v>364</v>
      </c>
      <c r="G318" s="13" t="s">
        <v>280</v>
      </c>
      <c r="H318" s="13" t="s">
        <v>262</v>
      </c>
      <c r="I318" s="13" t="s">
        <v>262</v>
      </c>
      <c r="J318" s="13" t="s">
        <v>3</v>
      </c>
      <c r="K318" s="13" t="s">
        <v>3</v>
      </c>
    </row>
    <row r="319" spans="1:11" x14ac:dyDescent="0.3">
      <c r="A319" s="13" t="s">
        <v>335</v>
      </c>
      <c r="B319" s="13" t="s">
        <v>208</v>
      </c>
      <c r="C319" s="13">
        <v>0</v>
      </c>
      <c r="D319" s="13">
        <v>2021</v>
      </c>
      <c r="E319" s="13" t="s">
        <v>395</v>
      </c>
      <c r="F319" s="13" t="s">
        <v>364</v>
      </c>
      <c r="G319" s="13" t="s">
        <v>281</v>
      </c>
      <c r="H319" s="13" t="s">
        <v>262</v>
      </c>
      <c r="I319" s="13" t="s">
        <v>262</v>
      </c>
      <c r="J319" s="13" t="s">
        <v>3</v>
      </c>
      <c r="K319" s="13" t="s">
        <v>3</v>
      </c>
    </row>
    <row r="320" spans="1:11" x14ac:dyDescent="0.3">
      <c r="A320" s="13" t="s">
        <v>335</v>
      </c>
      <c r="B320" s="13" t="s">
        <v>55</v>
      </c>
      <c r="C320" s="13">
        <v>0</v>
      </c>
      <c r="D320" s="13">
        <v>2021</v>
      </c>
      <c r="E320" s="13" t="s">
        <v>395</v>
      </c>
      <c r="F320" s="13" t="s">
        <v>364</v>
      </c>
      <c r="G320" s="13" t="s">
        <v>282</v>
      </c>
      <c r="H320" s="13" t="s">
        <v>262</v>
      </c>
      <c r="I320" s="13" t="s">
        <v>262</v>
      </c>
      <c r="J320" s="13" t="s">
        <v>3</v>
      </c>
      <c r="K320" s="13" t="s">
        <v>3</v>
      </c>
    </row>
    <row r="321" spans="1:11" x14ac:dyDescent="0.3">
      <c r="A321" s="13" t="s">
        <v>335</v>
      </c>
      <c r="B321" s="13" t="s">
        <v>175</v>
      </c>
      <c r="C321" s="13">
        <v>0</v>
      </c>
      <c r="D321" s="13">
        <v>2021</v>
      </c>
      <c r="E321" s="13" t="s">
        <v>395</v>
      </c>
      <c r="F321" s="13" t="s">
        <v>364</v>
      </c>
      <c r="G321" s="13" t="s">
        <v>283</v>
      </c>
      <c r="H321" s="13" t="s">
        <v>262</v>
      </c>
      <c r="I321" s="13" t="s">
        <v>262</v>
      </c>
      <c r="J321" s="13" t="s">
        <v>3</v>
      </c>
      <c r="K321" s="13" t="s">
        <v>3</v>
      </c>
    </row>
    <row r="322" spans="1:11" x14ac:dyDescent="0.3">
      <c r="A322" s="13" t="s">
        <v>335</v>
      </c>
      <c r="B322" s="13" t="s">
        <v>65</v>
      </c>
      <c r="C322" s="13">
        <v>0</v>
      </c>
      <c r="D322" s="13">
        <v>2021</v>
      </c>
      <c r="E322" s="13" t="s">
        <v>395</v>
      </c>
      <c r="F322" s="13" t="s">
        <v>364</v>
      </c>
      <c r="G322" s="13" t="s">
        <v>278</v>
      </c>
      <c r="H322" s="13" t="s">
        <v>262</v>
      </c>
      <c r="I322" s="13" t="s">
        <v>18</v>
      </c>
      <c r="J322" s="13" t="s">
        <v>3</v>
      </c>
      <c r="K322" s="13" t="s">
        <v>334</v>
      </c>
    </row>
    <row r="323" spans="1:11" x14ac:dyDescent="0.3">
      <c r="A323" s="13" t="s">
        <v>335</v>
      </c>
      <c r="B323" s="13" t="s">
        <v>53</v>
      </c>
      <c r="C323" s="13">
        <v>0</v>
      </c>
      <c r="D323" s="13">
        <v>2021</v>
      </c>
      <c r="E323" s="13" t="s">
        <v>395</v>
      </c>
      <c r="F323" s="13" t="s">
        <v>364</v>
      </c>
      <c r="G323" s="13" t="s">
        <v>284</v>
      </c>
      <c r="H323" s="13" t="s">
        <v>262</v>
      </c>
      <c r="I323" s="13" t="s">
        <v>262</v>
      </c>
      <c r="J323" s="13" t="s">
        <v>3</v>
      </c>
      <c r="K323" s="13" t="s">
        <v>3</v>
      </c>
    </row>
    <row r="324" spans="1:11" x14ac:dyDescent="0.3">
      <c r="A324" s="13" t="s">
        <v>335</v>
      </c>
      <c r="B324" s="13" t="s">
        <v>54</v>
      </c>
      <c r="C324" s="13">
        <v>0</v>
      </c>
      <c r="D324" s="13">
        <v>2021</v>
      </c>
      <c r="E324" s="13" t="s">
        <v>395</v>
      </c>
      <c r="F324" s="13" t="s">
        <v>364</v>
      </c>
      <c r="G324" s="13" t="s">
        <v>285</v>
      </c>
      <c r="H324" s="13" t="s">
        <v>262</v>
      </c>
      <c r="I324" s="13" t="s">
        <v>262</v>
      </c>
      <c r="J324" s="13" t="s">
        <v>3</v>
      </c>
      <c r="K324" s="13" t="s">
        <v>3</v>
      </c>
    </row>
    <row r="325" spans="1:11" x14ac:dyDescent="0.3">
      <c r="A325" s="13" t="s">
        <v>335</v>
      </c>
      <c r="B325" s="13" t="s">
        <v>47</v>
      </c>
      <c r="C325" s="13">
        <v>0</v>
      </c>
      <c r="D325" s="13">
        <v>2021</v>
      </c>
      <c r="E325" s="13" t="s">
        <v>395</v>
      </c>
      <c r="F325" s="13" t="s">
        <v>364</v>
      </c>
      <c r="G325" s="13" t="s">
        <v>286</v>
      </c>
      <c r="H325" s="13" t="s">
        <v>262</v>
      </c>
      <c r="I325" s="13" t="s">
        <v>262</v>
      </c>
      <c r="J325" s="13" t="s">
        <v>3</v>
      </c>
      <c r="K325" s="13" t="s">
        <v>3</v>
      </c>
    </row>
    <row r="326" spans="1:11" x14ac:dyDescent="0.3">
      <c r="A326" s="13" t="s">
        <v>335</v>
      </c>
      <c r="B326" s="13" t="s">
        <v>48</v>
      </c>
      <c r="C326" s="13">
        <v>0</v>
      </c>
      <c r="D326" s="13">
        <v>2021</v>
      </c>
      <c r="E326" s="13" t="s">
        <v>395</v>
      </c>
      <c r="F326" s="13" t="s">
        <v>364</v>
      </c>
      <c r="G326" s="13" t="s">
        <v>279</v>
      </c>
      <c r="H326" s="13" t="s">
        <v>262</v>
      </c>
      <c r="I326" s="13" t="s">
        <v>18</v>
      </c>
      <c r="J326" s="13" t="s">
        <v>3</v>
      </c>
      <c r="K326" s="13" t="s">
        <v>355</v>
      </c>
    </row>
    <row r="327" spans="1:11" x14ac:dyDescent="0.3">
      <c r="A327" s="13" t="s">
        <v>335</v>
      </c>
      <c r="B327" s="13" t="s">
        <v>267</v>
      </c>
      <c r="C327" s="13">
        <v>0</v>
      </c>
      <c r="D327" s="13">
        <v>2021</v>
      </c>
      <c r="E327" s="13" t="s">
        <v>395</v>
      </c>
      <c r="F327" s="13" t="s">
        <v>364</v>
      </c>
      <c r="G327" s="13" t="s">
        <v>287</v>
      </c>
      <c r="H327" s="13" t="s">
        <v>262</v>
      </c>
      <c r="I327" s="13" t="s">
        <v>262</v>
      </c>
      <c r="J327" s="13" t="s">
        <v>3</v>
      </c>
      <c r="K327" s="13" t="s">
        <v>3</v>
      </c>
    </row>
    <row r="328" spans="1:11" x14ac:dyDescent="0.3">
      <c r="A328" s="13" t="s">
        <v>335</v>
      </c>
      <c r="B328" s="13" t="s">
        <v>268</v>
      </c>
      <c r="C328" s="13">
        <v>0</v>
      </c>
      <c r="D328" s="13">
        <v>2021</v>
      </c>
      <c r="E328" s="13" t="s">
        <v>395</v>
      </c>
      <c r="F328" s="13" t="s">
        <v>364</v>
      </c>
      <c r="G328" s="13" t="s">
        <v>288</v>
      </c>
      <c r="H328" s="13" t="s">
        <v>262</v>
      </c>
      <c r="I328" s="13" t="s">
        <v>262</v>
      </c>
      <c r="J328" s="13" t="s">
        <v>3</v>
      </c>
      <c r="K328" s="13" t="s">
        <v>3</v>
      </c>
    </row>
    <row r="329" spans="1:11" x14ac:dyDescent="0.3">
      <c r="A329" s="13" t="s">
        <v>335</v>
      </c>
      <c r="B329" s="13" t="s">
        <v>49</v>
      </c>
      <c r="C329" s="13">
        <v>0</v>
      </c>
      <c r="D329" s="13">
        <v>2021</v>
      </c>
      <c r="E329" s="13" t="s">
        <v>395</v>
      </c>
      <c r="F329" s="13" t="s">
        <v>364</v>
      </c>
      <c r="G329" s="13" t="s">
        <v>289</v>
      </c>
      <c r="H329" s="13" t="s">
        <v>262</v>
      </c>
      <c r="I329" s="13" t="s">
        <v>262</v>
      </c>
      <c r="J329" s="13" t="s">
        <v>3</v>
      </c>
      <c r="K329" s="13" t="s">
        <v>3</v>
      </c>
    </row>
    <row r="330" spans="1:11" x14ac:dyDescent="0.3">
      <c r="A330" s="13" t="s">
        <v>335</v>
      </c>
      <c r="B330" s="13" t="s">
        <v>52</v>
      </c>
      <c r="C330" s="13">
        <v>0</v>
      </c>
      <c r="D330" s="13">
        <v>2021</v>
      </c>
      <c r="E330" s="13" t="s">
        <v>395</v>
      </c>
      <c r="F330" s="13" t="s">
        <v>364</v>
      </c>
      <c r="G330" s="13" t="s">
        <v>280</v>
      </c>
      <c r="H330" s="13" t="s">
        <v>262</v>
      </c>
      <c r="I330" s="13" t="s">
        <v>18</v>
      </c>
      <c r="J330" s="13" t="s">
        <v>3</v>
      </c>
      <c r="K330" s="13" t="s">
        <v>356</v>
      </c>
    </row>
    <row r="331" spans="1:11" x14ac:dyDescent="0.3">
      <c r="A331" s="13" t="s">
        <v>335</v>
      </c>
      <c r="B331" s="13" t="s">
        <v>44</v>
      </c>
      <c r="C331" s="13">
        <v>0</v>
      </c>
      <c r="D331" s="13">
        <v>2021</v>
      </c>
      <c r="E331" s="13" t="s">
        <v>395</v>
      </c>
      <c r="F331" s="13" t="s">
        <v>364</v>
      </c>
      <c r="G331" s="13" t="s">
        <v>290</v>
      </c>
      <c r="H331" s="13" t="s">
        <v>262</v>
      </c>
      <c r="I331" s="13" t="s">
        <v>262</v>
      </c>
      <c r="J331" s="13" t="s">
        <v>3</v>
      </c>
      <c r="K331" s="13" t="s">
        <v>3</v>
      </c>
    </row>
    <row r="332" spans="1:11" x14ac:dyDescent="0.3">
      <c r="A332" s="13" t="s">
        <v>335</v>
      </c>
      <c r="B332" s="13" t="s">
        <v>45</v>
      </c>
      <c r="C332" s="13">
        <v>0</v>
      </c>
      <c r="D332" s="13">
        <v>2021</v>
      </c>
      <c r="E332" s="13" t="s">
        <v>395</v>
      </c>
      <c r="F332" s="13" t="s">
        <v>364</v>
      </c>
      <c r="G332" s="13" t="s">
        <v>291</v>
      </c>
      <c r="H332" s="13" t="s">
        <v>262</v>
      </c>
      <c r="I332" s="13" t="s">
        <v>262</v>
      </c>
      <c r="J332" s="13" t="s">
        <v>3</v>
      </c>
      <c r="K332" s="13" t="s">
        <v>3</v>
      </c>
    </row>
    <row r="333" spans="1:11" x14ac:dyDescent="0.3">
      <c r="A333" s="13" t="s">
        <v>335</v>
      </c>
      <c r="B333" s="13" t="s">
        <v>76</v>
      </c>
      <c r="C333" s="13">
        <v>0</v>
      </c>
      <c r="D333" s="13">
        <v>2021</v>
      </c>
      <c r="E333" s="13" t="s">
        <v>395</v>
      </c>
      <c r="F333" s="13" t="s">
        <v>364</v>
      </c>
      <c r="G333" s="13" t="s">
        <v>292</v>
      </c>
      <c r="H333" s="13" t="s">
        <v>262</v>
      </c>
      <c r="I333" s="13" t="s">
        <v>262</v>
      </c>
      <c r="J333" s="13" t="s">
        <v>3</v>
      </c>
      <c r="K333" s="13" t="s">
        <v>3</v>
      </c>
    </row>
    <row r="334" spans="1:11" x14ac:dyDescent="0.3">
      <c r="A334" s="13" t="s">
        <v>335</v>
      </c>
      <c r="B334" s="13" t="s">
        <v>176</v>
      </c>
      <c r="C334" s="13">
        <v>0</v>
      </c>
      <c r="D334" s="13">
        <v>2021</v>
      </c>
      <c r="E334" s="13" t="s">
        <v>395</v>
      </c>
      <c r="F334" s="13" t="s">
        <v>364</v>
      </c>
      <c r="G334" s="13" t="s">
        <v>293</v>
      </c>
      <c r="H334" s="13" t="s">
        <v>262</v>
      </c>
      <c r="I334" s="13" t="s">
        <v>262</v>
      </c>
      <c r="J334" s="13" t="s">
        <v>3</v>
      </c>
      <c r="K334" s="13" t="s">
        <v>3</v>
      </c>
    </row>
    <row r="335" spans="1:11" x14ac:dyDescent="0.3">
      <c r="A335" s="13" t="s">
        <v>335</v>
      </c>
      <c r="B335" s="13" t="s">
        <v>205</v>
      </c>
      <c r="C335" s="13">
        <v>0</v>
      </c>
      <c r="D335" s="13">
        <v>2021</v>
      </c>
      <c r="E335" s="13" t="s">
        <v>395</v>
      </c>
      <c r="F335" s="13" t="s">
        <v>364</v>
      </c>
      <c r="G335" s="13" t="s">
        <v>294</v>
      </c>
      <c r="H335" s="13" t="s">
        <v>262</v>
      </c>
      <c r="I335" s="13" t="s">
        <v>262</v>
      </c>
      <c r="J335" s="13" t="s">
        <v>3</v>
      </c>
      <c r="K335" s="13" t="s">
        <v>3</v>
      </c>
    </row>
    <row r="336" spans="1:11" x14ac:dyDescent="0.3">
      <c r="A336" s="13" t="s">
        <v>335</v>
      </c>
      <c r="B336" s="13" t="s">
        <v>75</v>
      </c>
      <c r="C336" s="13">
        <v>0</v>
      </c>
      <c r="D336" s="13">
        <v>2021</v>
      </c>
      <c r="E336" s="13" t="s">
        <v>395</v>
      </c>
      <c r="F336" s="13" t="s">
        <v>364</v>
      </c>
      <c r="G336" s="13" t="s">
        <v>295</v>
      </c>
      <c r="H336" s="13" t="s">
        <v>262</v>
      </c>
      <c r="I336" s="13" t="s">
        <v>262</v>
      </c>
      <c r="J336" s="13" t="s">
        <v>3</v>
      </c>
      <c r="K336" s="13" t="s">
        <v>3</v>
      </c>
    </row>
    <row r="337" spans="1:11" x14ac:dyDescent="0.3">
      <c r="A337" s="13" t="s">
        <v>335</v>
      </c>
      <c r="B337" s="13" t="s">
        <v>42</v>
      </c>
      <c r="C337" s="13">
        <v>0</v>
      </c>
      <c r="D337" s="13">
        <v>2021</v>
      </c>
      <c r="E337" s="13" t="s">
        <v>395</v>
      </c>
      <c r="F337" s="13" t="s">
        <v>364</v>
      </c>
      <c r="G337" s="13" t="s">
        <v>282</v>
      </c>
      <c r="H337" s="13" t="s">
        <v>262</v>
      </c>
      <c r="I337" s="13" t="s">
        <v>18</v>
      </c>
      <c r="J337" s="13" t="s">
        <v>3</v>
      </c>
      <c r="K337" s="13" t="s">
        <v>358</v>
      </c>
    </row>
    <row r="338" spans="1:11" x14ac:dyDescent="0.3">
      <c r="A338" s="13" t="s">
        <v>335</v>
      </c>
      <c r="B338" s="13" t="s">
        <v>70</v>
      </c>
      <c r="C338" s="13">
        <v>0</v>
      </c>
      <c r="D338" s="13">
        <v>2021</v>
      </c>
      <c r="E338" s="13" t="s">
        <v>395</v>
      </c>
      <c r="F338" s="13" t="s">
        <v>364</v>
      </c>
      <c r="G338" s="13" t="s">
        <v>296</v>
      </c>
      <c r="H338" s="13" t="s">
        <v>262</v>
      </c>
      <c r="I338" s="13" t="s">
        <v>262</v>
      </c>
      <c r="J338" s="13" t="s">
        <v>3</v>
      </c>
      <c r="K338" s="13" t="s">
        <v>3</v>
      </c>
    </row>
    <row r="339" spans="1:11" x14ac:dyDescent="0.3">
      <c r="A339" s="13" t="s">
        <v>335</v>
      </c>
      <c r="B339" s="13" t="s">
        <v>71</v>
      </c>
      <c r="C339" s="13">
        <v>0</v>
      </c>
      <c r="D339" s="13">
        <v>2021</v>
      </c>
      <c r="E339" s="13" t="s">
        <v>395</v>
      </c>
      <c r="F339" s="13" t="s">
        <v>364</v>
      </c>
      <c r="G339" s="13" t="s">
        <v>297</v>
      </c>
      <c r="H339" s="13" t="s">
        <v>262</v>
      </c>
      <c r="I339" s="13" t="s">
        <v>262</v>
      </c>
      <c r="J339" s="13" t="s">
        <v>3</v>
      </c>
      <c r="K339" s="13" t="s">
        <v>3</v>
      </c>
    </row>
    <row r="340" spans="1:11" x14ac:dyDescent="0.3">
      <c r="A340" s="13" t="s">
        <v>335</v>
      </c>
      <c r="B340" s="13" t="s">
        <v>72</v>
      </c>
      <c r="C340" s="13">
        <v>0</v>
      </c>
      <c r="D340" s="13">
        <v>2021</v>
      </c>
      <c r="E340" s="13" t="s">
        <v>395</v>
      </c>
      <c r="F340" s="13" t="s">
        <v>364</v>
      </c>
      <c r="G340" s="13" t="s">
        <v>298</v>
      </c>
      <c r="H340" s="13" t="s">
        <v>262</v>
      </c>
      <c r="I340" s="13" t="s">
        <v>262</v>
      </c>
      <c r="J340" s="13" t="s">
        <v>3</v>
      </c>
      <c r="K340" s="13" t="s">
        <v>3</v>
      </c>
    </row>
    <row r="341" spans="1:11" x14ac:dyDescent="0.3">
      <c r="A341" s="13" t="s">
        <v>335</v>
      </c>
      <c r="B341" s="13" t="s">
        <v>77</v>
      </c>
      <c r="C341" s="13">
        <v>0</v>
      </c>
      <c r="D341" s="13">
        <v>2021</v>
      </c>
      <c r="E341" s="13" t="s">
        <v>395</v>
      </c>
      <c r="F341" s="13" t="s">
        <v>364</v>
      </c>
      <c r="G341" s="13" t="s">
        <v>299</v>
      </c>
      <c r="H341" s="13" t="s">
        <v>262</v>
      </c>
      <c r="I341" s="13" t="s">
        <v>262</v>
      </c>
      <c r="J341" s="13" t="s">
        <v>3</v>
      </c>
      <c r="K341" s="13" t="s">
        <v>3</v>
      </c>
    </row>
    <row r="342" spans="1:11" x14ac:dyDescent="0.3">
      <c r="A342" s="13" t="s">
        <v>335</v>
      </c>
      <c r="B342" s="13" t="s">
        <v>43</v>
      </c>
      <c r="C342" s="13">
        <v>0</v>
      </c>
      <c r="D342" s="13">
        <v>2021</v>
      </c>
      <c r="E342" s="13" t="s">
        <v>395</v>
      </c>
      <c r="F342" s="13" t="s">
        <v>364</v>
      </c>
      <c r="G342" s="13" t="s">
        <v>300</v>
      </c>
      <c r="H342" s="13" t="s">
        <v>262</v>
      </c>
      <c r="I342" s="13" t="s">
        <v>262</v>
      </c>
      <c r="J342" s="13" t="s">
        <v>3</v>
      </c>
      <c r="K342" s="13" t="s">
        <v>3</v>
      </c>
    </row>
    <row r="343" spans="1:11" x14ac:dyDescent="0.3">
      <c r="A343" s="13" t="s">
        <v>335</v>
      </c>
      <c r="B343" s="13" t="s">
        <v>50</v>
      </c>
      <c r="C343" s="13">
        <v>0</v>
      </c>
      <c r="D343" s="13">
        <v>2021</v>
      </c>
      <c r="E343" s="13" t="s">
        <v>395</v>
      </c>
      <c r="F343" s="13" t="s">
        <v>364</v>
      </c>
      <c r="G343" s="13" t="s">
        <v>283</v>
      </c>
      <c r="H343" s="13" t="s">
        <v>262</v>
      </c>
      <c r="I343" s="13" t="s">
        <v>18</v>
      </c>
      <c r="J343" s="13" t="s">
        <v>3</v>
      </c>
      <c r="K343" s="13" t="s">
        <v>359</v>
      </c>
    </row>
    <row r="344" spans="1:11" x14ac:dyDescent="0.3">
      <c r="A344" s="13" t="s">
        <v>335</v>
      </c>
      <c r="B344" s="13" t="s">
        <v>78</v>
      </c>
      <c r="C344" s="13">
        <v>0</v>
      </c>
      <c r="D344" s="13">
        <v>2021</v>
      </c>
      <c r="E344" s="13" t="s">
        <v>395</v>
      </c>
      <c r="F344" s="13" t="s">
        <v>364</v>
      </c>
      <c r="G344" s="13" t="s">
        <v>301</v>
      </c>
      <c r="H344" s="13" t="s">
        <v>262</v>
      </c>
      <c r="I344" s="13" t="s">
        <v>262</v>
      </c>
      <c r="J344" s="13" t="s">
        <v>3</v>
      </c>
      <c r="K344" s="13" t="s">
        <v>3</v>
      </c>
    </row>
    <row r="345" spans="1:11" x14ac:dyDescent="0.3">
      <c r="A345" s="13" t="s">
        <v>335</v>
      </c>
      <c r="B345" s="13" t="s">
        <v>79</v>
      </c>
      <c r="C345" s="13">
        <v>0</v>
      </c>
      <c r="D345" s="13">
        <v>2021</v>
      </c>
      <c r="E345" s="13" t="s">
        <v>395</v>
      </c>
      <c r="F345" s="13" t="s">
        <v>364</v>
      </c>
      <c r="G345" s="13" t="s">
        <v>302</v>
      </c>
      <c r="H345" s="13" t="s">
        <v>262</v>
      </c>
      <c r="I345" s="13" t="s">
        <v>262</v>
      </c>
      <c r="J345" s="13" t="s">
        <v>3</v>
      </c>
      <c r="K345" s="13" t="s">
        <v>3</v>
      </c>
    </row>
    <row r="346" spans="1:11" x14ac:dyDescent="0.3">
      <c r="A346" s="13" t="s">
        <v>335</v>
      </c>
      <c r="B346" s="13" t="s">
        <v>67</v>
      </c>
      <c r="C346" s="13">
        <v>0</v>
      </c>
      <c r="D346" s="13">
        <v>2021</v>
      </c>
      <c r="E346" s="13" t="s">
        <v>395</v>
      </c>
      <c r="F346" s="13" t="s">
        <v>364</v>
      </c>
      <c r="G346" s="13" t="s">
        <v>303</v>
      </c>
      <c r="H346" s="13" t="s">
        <v>262</v>
      </c>
      <c r="I346" s="13" t="s">
        <v>262</v>
      </c>
      <c r="J346" s="13" t="s">
        <v>3</v>
      </c>
      <c r="K346" s="13" t="s">
        <v>3</v>
      </c>
    </row>
    <row r="347" spans="1:11" x14ac:dyDescent="0.3">
      <c r="A347" s="13" t="s">
        <v>335</v>
      </c>
      <c r="B347" s="13" t="s">
        <v>68</v>
      </c>
      <c r="C347" s="13">
        <v>0</v>
      </c>
      <c r="D347" s="13">
        <v>2021</v>
      </c>
      <c r="E347" s="13" t="s">
        <v>395</v>
      </c>
      <c r="F347" s="13" t="s">
        <v>364</v>
      </c>
      <c r="G347" s="13" t="s">
        <v>304</v>
      </c>
      <c r="H347" s="13" t="s">
        <v>262</v>
      </c>
      <c r="I347" s="13" t="s">
        <v>262</v>
      </c>
      <c r="J347" s="13" t="s">
        <v>3</v>
      </c>
      <c r="K347" s="13" t="s">
        <v>3</v>
      </c>
    </row>
    <row r="348" spans="1:11" x14ac:dyDescent="0.3">
      <c r="A348" s="13" t="s">
        <v>335</v>
      </c>
      <c r="B348" s="13" t="s">
        <v>69</v>
      </c>
      <c r="C348" s="13">
        <v>0</v>
      </c>
      <c r="D348" s="13">
        <v>2021</v>
      </c>
      <c r="E348" s="13" t="s">
        <v>395</v>
      </c>
      <c r="F348" s="13" t="s">
        <v>364</v>
      </c>
      <c r="G348" s="13" t="s">
        <v>305</v>
      </c>
      <c r="H348" s="13" t="s">
        <v>262</v>
      </c>
      <c r="I348" s="13" t="s">
        <v>262</v>
      </c>
      <c r="J348" s="13" t="s">
        <v>3</v>
      </c>
      <c r="K348" s="13" t="s">
        <v>3</v>
      </c>
    </row>
    <row r="349" spans="1:11" x14ac:dyDescent="0.3">
      <c r="A349" s="13" t="s">
        <v>335</v>
      </c>
      <c r="B349" s="13" t="s">
        <v>51</v>
      </c>
      <c r="C349" s="13">
        <v>0</v>
      </c>
      <c r="D349" s="13">
        <v>2021</v>
      </c>
      <c r="E349" s="13" t="s">
        <v>395</v>
      </c>
      <c r="F349" s="13" t="s">
        <v>364</v>
      </c>
      <c r="G349" s="13" t="s">
        <v>284</v>
      </c>
      <c r="H349" s="13" t="s">
        <v>262</v>
      </c>
      <c r="I349" s="13" t="s">
        <v>18</v>
      </c>
      <c r="J349" s="13" t="s">
        <v>3</v>
      </c>
      <c r="K349" s="13" t="s">
        <v>360</v>
      </c>
    </row>
    <row r="350" spans="1:11" x14ac:dyDescent="0.3">
      <c r="A350" s="13" t="s">
        <v>335</v>
      </c>
      <c r="B350" s="13" t="s">
        <v>36</v>
      </c>
      <c r="C350" s="13">
        <v>0</v>
      </c>
      <c r="D350" s="13">
        <v>2021</v>
      </c>
      <c r="E350" s="13" t="s">
        <v>395</v>
      </c>
      <c r="F350" s="13" t="s">
        <v>364</v>
      </c>
      <c r="G350" s="13" t="s">
        <v>306</v>
      </c>
      <c r="H350" s="13" t="s">
        <v>262</v>
      </c>
      <c r="I350" s="13" t="s">
        <v>262</v>
      </c>
      <c r="J350" s="13" t="s">
        <v>3</v>
      </c>
      <c r="K350" s="13" t="s">
        <v>3</v>
      </c>
    </row>
    <row r="351" spans="1:11" x14ac:dyDescent="0.3">
      <c r="A351" s="13" t="s">
        <v>335</v>
      </c>
      <c r="B351" s="13" t="s">
        <v>37</v>
      </c>
      <c r="C351" s="13">
        <v>0</v>
      </c>
      <c r="D351" s="13">
        <v>2021</v>
      </c>
      <c r="E351" s="13" t="s">
        <v>395</v>
      </c>
      <c r="F351" s="13" t="s">
        <v>364</v>
      </c>
      <c r="G351" s="13" t="s">
        <v>307</v>
      </c>
      <c r="H351" s="13" t="s">
        <v>262</v>
      </c>
      <c r="I351" s="13" t="s">
        <v>262</v>
      </c>
      <c r="J351" s="13" t="s">
        <v>3</v>
      </c>
      <c r="K351" s="13" t="s">
        <v>3</v>
      </c>
    </row>
    <row r="352" spans="1:11" x14ac:dyDescent="0.3">
      <c r="A352" s="13" t="s">
        <v>335</v>
      </c>
      <c r="B352" s="13" t="s">
        <v>39</v>
      </c>
      <c r="C352" s="13">
        <v>0</v>
      </c>
      <c r="D352" s="13">
        <v>2021</v>
      </c>
      <c r="E352" s="13" t="s">
        <v>395</v>
      </c>
      <c r="F352" s="13" t="s">
        <v>364</v>
      </c>
      <c r="G352" s="13" t="s">
        <v>308</v>
      </c>
      <c r="H352" s="13" t="s">
        <v>262</v>
      </c>
      <c r="I352" s="13" t="s">
        <v>262</v>
      </c>
      <c r="J352" s="13" t="s">
        <v>3</v>
      </c>
      <c r="K352" s="13" t="s">
        <v>3</v>
      </c>
    </row>
    <row r="353" spans="1:11" x14ac:dyDescent="0.3">
      <c r="A353" s="13" t="s">
        <v>335</v>
      </c>
      <c r="B353" s="13" t="s">
        <v>40</v>
      </c>
      <c r="C353" s="13">
        <v>0</v>
      </c>
      <c r="D353" s="13">
        <v>2021</v>
      </c>
      <c r="E353" s="13" t="s">
        <v>395</v>
      </c>
      <c r="F353" s="13" t="s">
        <v>364</v>
      </c>
      <c r="G353" s="13" t="s">
        <v>309</v>
      </c>
      <c r="H353" s="13" t="s">
        <v>262</v>
      </c>
      <c r="I353" s="13" t="s">
        <v>262</v>
      </c>
      <c r="J353" s="13" t="s">
        <v>3</v>
      </c>
      <c r="K353" s="13" t="s">
        <v>3</v>
      </c>
    </row>
    <row r="354" spans="1:11" x14ac:dyDescent="0.3">
      <c r="A354" s="13" t="s">
        <v>335</v>
      </c>
      <c r="B354" s="13" t="s">
        <v>41</v>
      </c>
      <c r="C354" s="13">
        <v>0</v>
      </c>
      <c r="D354" s="13">
        <v>2021</v>
      </c>
      <c r="E354" s="13" t="s">
        <v>395</v>
      </c>
      <c r="F354" s="13" t="s">
        <v>364</v>
      </c>
      <c r="G354" s="13" t="s">
        <v>310</v>
      </c>
      <c r="H354" s="13" t="s">
        <v>262</v>
      </c>
      <c r="I354" s="13" t="s">
        <v>262</v>
      </c>
      <c r="J354" s="13" t="s">
        <v>3</v>
      </c>
      <c r="K354" s="13" t="s">
        <v>3</v>
      </c>
    </row>
    <row r="355" spans="1:11" x14ac:dyDescent="0.3">
      <c r="A355" s="13" t="s">
        <v>335</v>
      </c>
      <c r="B355" s="13" t="s">
        <v>38</v>
      </c>
      <c r="C355" s="13">
        <v>0</v>
      </c>
      <c r="D355" s="13">
        <v>2021</v>
      </c>
      <c r="E355" s="13" t="s">
        <v>395</v>
      </c>
      <c r="F355" s="13" t="s">
        <v>364</v>
      </c>
      <c r="G355" s="13" t="s">
        <v>311</v>
      </c>
      <c r="H355" s="13" t="s">
        <v>262</v>
      </c>
      <c r="I355" s="13" t="s">
        <v>262</v>
      </c>
      <c r="J355" s="13" t="s">
        <v>3</v>
      </c>
      <c r="K355" s="13" t="s">
        <v>3</v>
      </c>
    </row>
    <row r="356" spans="1:11" x14ac:dyDescent="0.3">
      <c r="A356" s="13" t="s">
        <v>335</v>
      </c>
      <c r="B356" s="13" t="s">
        <v>916</v>
      </c>
      <c r="C356" s="13">
        <v>0</v>
      </c>
      <c r="D356" s="13">
        <v>2021</v>
      </c>
      <c r="E356" s="13" t="s">
        <v>395</v>
      </c>
      <c r="F356" s="13" t="s">
        <v>364</v>
      </c>
      <c r="G356" s="13" t="s">
        <v>333</v>
      </c>
      <c r="H356" s="13" t="s">
        <v>262</v>
      </c>
      <c r="I356" s="13" t="s">
        <v>262</v>
      </c>
      <c r="J356" s="13" t="s">
        <v>3</v>
      </c>
      <c r="K356" s="13" t="s">
        <v>3</v>
      </c>
    </row>
    <row r="357" spans="1:11" x14ac:dyDescent="0.3">
      <c r="A357" s="13" t="s">
        <v>335</v>
      </c>
      <c r="B357" s="13" t="s">
        <v>917</v>
      </c>
      <c r="C357" s="13">
        <v>0</v>
      </c>
      <c r="D357" s="13">
        <v>2021</v>
      </c>
      <c r="E357" s="13" t="s">
        <v>395</v>
      </c>
      <c r="F357" s="13" t="s">
        <v>364</v>
      </c>
      <c r="G357" s="13" t="s">
        <v>337</v>
      </c>
      <c r="H357" s="13" t="s">
        <v>262</v>
      </c>
      <c r="I357" s="13" t="s">
        <v>262</v>
      </c>
      <c r="J357" s="13" t="s">
        <v>3</v>
      </c>
      <c r="K357" s="13" t="s">
        <v>3</v>
      </c>
    </row>
    <row r="358" spans="1:11" x14ac:dyDescent="0.3">
      <c r="A358" s="13" t="s">
        <v>258</v>
      </c>
      <c r="B358" s="13" t="s">
        <v>336</v>
      </c>
      <c r="C358" s="13">
        <v>0</v>
      </c>
      <c r="D358" s="13">
        <v>2021</v>
      </c>
      <c r="E358" s="13" t="s">
        <v>395</v>
      </c>
      <c r="F358" s="13" t="s">
        <v>271</v>
      </c>
      <c r="G358" s="13" t="s">
        <v>368</v>
      </c>
      <c r="H358" s="13" t="s">
        <v>262</v>
      </c>
      <c r="I358" s="13" t="s">
        <v>262</v>
      </c>
      <c r="J358" s="13" t="s">
        <v>3</v>
      </c>
      <c r="K358" s="13" t="s">
        <v>3</v>
      </c>
    </row>
    <row r="359" spans="1:11" x14ac:dyDescent="0.3">
      <c r="A359" s="13" t="s">
        <v>259</v>
      </c>
      <c r="B359" s="13" t="s">
        <v>336</v>
      </c>
      <c r="C359" s="13">
        <v>0</v>
      </c>
      <c r="D359" s="13">
        <v>2021</v>
      </c>
      <c r="E359" s="13" t="s">
        <v>395</v>
      </c>
      <c r="F359" s="13" t="s">
        <v>272</v>
      </c>
      <c r="G359" s="13" t="s">
        <v>368</v>
      </c>
      <c r="H359" s="13" t="s">
        <v>262</v>
      </c>
      <c r="I359" s="13" t="s">
        <v>262</v>
      </c>
      <c r="J359" s="13" t="s">
        <v>3</v>
      </c>
      <c r="K359" s="13" t="s">
        <v>3</v>
      </c>
    </row>
    <row r="360" spans="1:11" x14ac:dyDescent="0.3">
      <c r="A360" s="13" t="s">
        <v>343</v>
      </c>
      <c r="B360" s="13" t="s">
        <v>336</v>
      </c>
      <c r="C360" s="13">
        <v>0</v>
      </c>
      <c r="D360" s="13">
        <v>2021</v>
      </c>
      <c r="E360" s="13" t="s">
        <v>395</v>
      </c>
      <c r="F360" s="13" t="s">
        <v>270</v>
      </c>
      <c r="G360" s="13" t="s">
        <v>368</v>
      </c>
      <c r="H360" s="13" t="s">
        <v>18</v>
      </c>
      <c r="I360" s="13" t="s">
        <v>262</v>
      </c>
      <c r="J360" s="13" t="s">
        <v>345</v>
      </c>
      <c r="K360" s="13" t="s">
        <v>3</v>
      </c>
    </row>
    <row r="361" spans="1:11" x14ac:dyDescent="0.3">
      <c r="A361" s="13" t="s">
        <v>260</v>
      </c>
      <c r="B361" s="13" t="s">
        <v>336</v>
      </c>
      <c r="C361" s="13">
        <v>0</v>
      </c>
      <c r="D361" s="13">
        <v>2021</v>
      </c>
      <c r="E361" s="13" t="s">
        <v>395</v>
      </c>
      <c r="F361" s="13" t="s">
        <v>273</v>
      </c>
      <c r="G361" s="13" t="s">
        <v>368</v>
      </c>
      <c r="H361" s="13" t="s">
        <v>262</v>
      </c>
      <c r="I361" s="13" t="s">
        <v>262</v>
      </c>
      <c r="J361" s="13" t="s">
        <v>3</v>
      </c>
      <c r="K361" s="13" t="s">
        <v>3</v>
      </c>
    </row>
    <row r="362" spans="1:11" x14ac:dyDescent="0.3">
      <c r="A362" s="13" t="s">
        <v>263</v>
      </c>
      <c r="B362" s="13" t="s">
        <v>336</v>
      </c>
      <c r="C362" s="13">
        <v>0</v>
      </c>
      <c r="D362" s="13">
        <v>2021</v>
      </c>
      <c r="E362" s="13" t="s">
        <v>395</v>
      </c>
      <c r="F362" s="13" t="s">
        <v>277</v>
      </c>
      <c r="G362" s="13" t="s">
        <v>368</v>
      </c>
      <c r="H362" s="13" t="s">
        <v>262</v>
      </c>
      <c r="I362" s="13" t="s">
        <v>262</v>
      </c>
      <c r="J362" s="13" t="s">
        <v>3</v>
      </c>
      <c r="K362" s="13" t="s">
        <v>3</v>
      </c>
    </row>
    <row r="363" spans="1:11" x14ac:dyDescent="0.3">
      <c r="A363" s="13" t="s">
        <v>265</v>
      </c>
      <c r="B363" s="13" t="s">
        <v>336</v>
      </c>
      <c r="C363" s="13">
        <v>0</v>
      </c>
      <c r="D363" s="13">
        <v>2021</v>
      </c>
      <c r="E363" s="13" t="s">
        <v>395</v>
      </c>
      <c r="F363" s="13" t="s">
        <v>279</v>
      </c>
      <c r="G363" s="13" t="s">
        <v>368</v>
      </c>
      <c r="H363" s="13" t="s">
        <v>262</v>
      </c>
      <c r="I363" s="13" t="s">
        <v>262</v>
      </c>
      <c r="J363" s="13" t="s">
        <v>3</v>
      </c>
      <c r="K363" s="13" t="s">
        <v>3</v>
      </c>
    </row>
    <row r="364" spans="1:11" x14ac:dyDescent="0.3">
      <c r="A364" s="13" t="s">
        <v>344</v>
      </c>
      <c r="B364" s="13" t="s">
        <v>336</v>
      </c>
      <c r="C364" s="13">
        <v>0</v>
      </c>
      <c r="D364" s="13">
        <v>2021</v>
      </c>
      <c r="E364" s="13" t="s">
        <v>395</v>
      </c>
      <c r="F364" s="13" t="s">
        <v>271</v>
      </c>
      <c r="G364" s="13" t="s">
        <v>368</v>
      </c>
      <c r="H364" s="13" t="s">
        <v>18</v>
      </c>
      <c r="I364" s="13" t="s">
        <v>262</v>
      </c>
      <c r="J364" s="13" t="s">
        <v>346</v>
      </c>
      <c r="K364" s="13" t="s">
        <v>3</v>
      </c>
    </row>
    <row r="365" spans="1:11" x14ac:dyDescent="0.3">
      <c r="A365" s="13" t="s">
        <v>261</v>
      </c>
      <c r="B365" s="13" t="s">
        <v>336</v>
      </c>
      <c r="C365" s="13">
        <v>0</v>
      </c>
      <c r="D365" s="13">
        <v>2021</v>
      </c>
      <c r="E365" s="13" t="s">
        <v>395</v>
      </c>
      <c r="F365" s="13" t="s">
        <v>276</v>
      </c>
      <c r="G365" s="13" t="s">
        <v>368</v>
      </c>
      <c r="H365" s="13" t="s">
        <v>262</v>
      </c>
      <c r="I365" s="13" t="s">
        <v>262</v>
      </c>
      <c r="J365" s="13" t="s">
        <v>3</v>
      </c>
      <c r="K365" s="13" t="s">
        <v>3</v>
      </c>
    </row>
    <row r="366" spans="1:11" x14ac:dyDescent="0.3">
      <c r="A366" s="13" t="s">
        <v>264</v>
      </c>
      <c r="B366" s="13" t="s">
        <v>336</v>
      </c>
      <c r="C366" s="13">
        <v>0</v>
      </c>
      <c r="D366" s="13">
        <v>2021</v>
      </c>
      <c r="E366" s="13" t="s">
        <v>395</v>
      </c>
      <c r="F366" s="13" t="s">
        <v>278</v>
      </c>
      <c r="G366" s="13" t="s">
        <v>368</v>
      </c>
      <c r="H366" s="13" t="s">
        <v>262</v>
      </c>
      <c r="I366" s="13" t="s">
        <v>262</v>
      </c>
      <c r="J366" s="13" t="s">
        <v>3</v>
      </c>
      <c r="K366" s="13" t="s">
        <v>3</v>
      </c>
    </row>
    <row r="367" spans="1:11" x14ac:dyDescent="0.3">
      <c r="A367" s="13" t="s">
        <v>266</v>
      </c>
      <c r="B367" s="13" t="s">
        <v>336</v>
      </c>
      <c r="C367" s="13">
        <v>0</v>
      </c>
      <c r="D367" s="13">
        <v>2021</v>
      </c>
      <c r="E367" s="13" t="s">
        <v>395</v>
      </c>
      <c r="F367" s="13" t="s">
        <v>280</v>
      </c>
      <c r="G367" s="13" t="s">
        <v>368</v>
      </c>
      <c r="H367" s="13" t="s">
        <v>262</v>
      </c>
      <c r="I367" s="13" t="s">
        <v>262</v>
      </c>
      <c r="J367" s="13" t="s">
        <v>3</v>
      </c>
      <c r="K367" s="13" t="s">
        <v>3</v>
      </c>
    </row>
    <row r="368" spans="1:11" x14ac:dyDescent="0.3">
      <c r="A368" s="13" t="s">
        <v>208</v>
      </c>
      <c r="B368" s="13" t="s">
        <v>336</v>
      </c>
      <c r="C368" s="13">
        <v>0</v>
      </c>
      <c r="D368" s="13">
        <v>2021</v>
      </c>
      <c r="E368" s="13" t="s">
        <v>395</v>
      </c>
      <c r="F368" s="13" t="s">
        <v>281</v>
      </c>
      <c r="G368" s="13" t="s">
        <v>368</v>
      </c>
      <c r="H368" s="13" t="s">
        <v>262</v>
      </c>
      <c r="I368" s="13" t="s">
        <v>262</v>
      </c>
      <c r="J368" s="13" t="s">
        <v>3</v>
      </c>
      <c r="K368" s="13" t="s">
        <v>3</v>
      </c>
    </row>
    <row r="369" spans="1:11" x14ac:dyDescent="0.3">
      <c r="A369" s="13" t="s">
        <v>55</v>
      </c>
      <c r="B369" s="13" t="s">
        <v>336</v>
      </c>
      <c r="C369" s="13">
        <v>0</v>
      </c>
      <c r="D369" s="13">
        <v>2021</v>
      </c>
      <c r="E369" s="13" t="s">
        <v>395</v>
      </c>
      <c r="F369" s="13" t="s">
        <v>282</v>
      </c>
      <c r="G369" s="13" t="s">
        <v>368</v>
      </c>
      <c r="H369" s="13" t="s">
        <v>262</v>
      </c>
      <c r="I369" s="13" t="s">
        <v>262</v>
      </c>
      <c r="J369" s="13" t="s">
        <v>3</v>
      </c>
      <c r="K369" s="13" t="s">
        <v>3</v>
      </c>
    </row>
    <row r="370" spans="1:11" x14ac:dyDescent="0.3">
      <c r="A370" s="13" t="s">
        <v>175</v>
      </c>
      <c r="B370" s="13" t="s">
        <v>336</v>
      </c>
      <c r="C370" s="13">
        <v>0</v>
      </c>
      <c r="D370" s="13">
        <v>2021</v>
      </c>
      <c r="E370" s="13" t="s">
        <v>395</v>
      </c>
      <c r="F370" s="13" t="s">
        <v>283</v>
      </c>
      <c r="G370" s="13" t="s">
        <v>368</v>
      </c>
      <c r="H370" s="13" t="s">
        <v>262</v>
      </c>
      <c r="I370" s="13" t="s">
        <v>262</v>
      </c>
      <c r="J370" s="13" t="s">
        <v>3</v>
      </c>
      <c r="K370" s="13" t="s">
        <v>3</v>
      </c>
    </row>
    <row r="371" spans="1:11" x14ac:dyDescent="0.3">
      <c r="A371" s="13" t="s">
        <v>65</v>
      </c>
      <c r="B371" s="13" t="s">
        <v>336</v>
      </c>
      <c r="C371" s="13">
        <v>0</v>
      </c>
      <c r="D371" s="13">
        <v>2021</v>
      </c>
      <c r="E371" s="13" t="s">
        <v>395</v>
      </c>
      <c r="F371" s="13" t="s">
        <v>278</v>
      </c>
      <c r="G371" s="13" t="s">
        <v>368</v>
      </c>
      <c r="H371" s="13" t="s">
        <v>18</v>
      </c>
      <c r="I371" s="13" t="s">
        <v>262</v>
      </c>
      <c r="J371" s="13" t="s">
        <v>334</v>
      </c>
      <c r="K371" s="13" t="s">
        <v>3</v>
      </c>
    </row>
    <row r="372" spans="1:11" x14ac:dyDescent="0.3">
      <c r="A372" s="13" t="s">
        <v>53</v>
      </c>
      <c r="B372" s="13" t="s">
        <v>336</v>
      </c>
      <c r="C372" s="13">
        <v>0</v>
      </c>
      <c r="D372" s="13">
        <v>2021</v>
      </c>
      <c r="E372" s="13" t="s">
        <v>395</v>
      </c>
      <c r="F372" s="13" t="s">
        <v>284</v>
      </c>
      <c r="G372" s="13" t="s">
        <v>368</v>
      </c>
      <c r="H372" s="13" t="s">
        <v>262</v>
      </c>
      <c r="I372" s="13" t="s">
        <v>262</v>
      </c>
      <c r="J372" s="13" t="s">
        <v>3</v>
      </c>
      <c r="K372" s="13" t="s">
        <v>3</v>
      </c>
    </row>
    <row r="373" spans="1:11" x14ac:dyDescent="0.3">
      <c r="A373" s="13" t="s">
        <v>54</v>
      </c>
      <c r="B373" s="13" t="s">
        <v>336</v>
      </c>
      <c r="C373" s="13">
        <v>0</v>
      </c>
      <c r="D373" s="13">
        <v>2021</v>
      </c>
      <c r="E373" s="13" t="s">
        <v>395</v>
      </c>
      <c r="F373" s="13" t="s">
        <v>285</v>
      </c>
      <c r="G373" s="13" t="s">
        <v>368</v>
      </c>
      <c r="H373" s="13" t="s">
        <v>262</v>
      </c>
      <c r="I373" s="13" t="s">
        <v>262</v>
      </c>
      <c r="J373" s="13" t="s">
        <v>3</v>
      </c>
      <c r="K373" s="13" t="s">
        <v>3</v>
      </c>
    </row>
    <row r="374" spans="1:11" x14ac:dyDescent="0.3">
      <c r="A374" s="13" t="s">
        <v>47</v>
      </c>
      <c r="B374" s="13" t="s">
        <v>336</v>
      </c>
      <c r="C374" s="13">
        <v>0</v>
      </c>
      <c r="D374" s="13">
        <v>2021</v>
      </c>
      <c r="E374" s="13" t="s">
        <v>395</v>
      </c>
      <c r="F374" s="13" t="s">
        <v>286</v>
      </c>
      <c r="G374" s="13" t="s">
        <v>368</v>
      </c>
      <c r="H374" s="13" t="s">
        <v>262</v>
      </c>
      <c r="I374" s="13" t="s">
        <v>262</v>
      </c>
      <c r="J374" s="13" t="s">
        <v>3</v>
      </c>
      <c r="K374" s="13" t="s">
        <v>3</v>
      </c>
    </row>
    <row r="375" spans="1:11" x14ac:dyDescent="0.3">
      <c r="A375" s="13" t="s">
        <v>48</v>
      </c>
      <c r="B375" s="13" t="s">
        <v>336</v>
      </c>
      <c r="C375" s="13">
        <v>0</v>
      </c>
      <c r="D375" s="13">
        <v>2021</v>
      </c>
      <c r="E375" s="13" t="s">
        <v>395</v>
      </c>
      <c r="F375" s="13" t="s">
        <v>279</v>
      </c>
      <c r="G375" s="13" t="s">
        <v>368</v>
      </c>
      <c r="H375" s="13" t="s">
        <v>18</v>
      </c>
      <c r="I375" s="13" t="s">
        <v>262</v>
      </c>
      <c r="J375" s="13" t="s">
        <v>355</v>
      </c>
      <c r="K375" s="13" t="s">
        <v>3</v>
      </c>
    </row>
    <row r="376" spans="1:11" x14ac:dyDescent="0.3">
      <c r="A376" s="13" t="s">
        <v>267</v>
      </c>
      <c r="B376" s="13" t="s">
        <v>336</v>
      </c>
      <c r="C376" s="13">
        <v>0</v>
      </c>
      <c r="D376" s="13">
        <v>2021</v>
      </c>
      <c r="E376" s="13" t="s">
        <v>395</v>
      </c>
      <c r="F376" s="13" t="s">
        <v>287</v>
      </c>
      <c r="G376" s="13" t="s">
        <v>368</v>
      </c>
      <c r="H376" s="13" t="s">
        <v>262</v>
      </c>
      <c r="I376" s="13" t="s">
        <v>262</v>
      </c>
      <c r="J376" s="13" t="s">
        <v>3</v>
      </c>
      <c r="K376" s="13" t="s">
        <v>3</v>
      </c>
    </row>
    <row r="377" spans="1:11" x14ac:dyDescent="0.3">
      <c r="A377" s="13" t="s">
        <v>268</v>
      </c>
      <c r="B377" s="13" t="s">
        <v>336</v>
      </c>
      <c r="C377" s="13">
        <v>0</v>
      </c>
      <c r="D377" s="13">
        <v>2021</v>
      </c>
      <c r="E377" s="13" t="s">
        <v>395</v>
      </c>
      <c r="F377" s="13" t="s">
        <v>288</v>
      </c>
      <c r="G377" s="13" t="s">
        <v>368</v>
      </c>
      <c r="H377" s="13" t="s">
        <v>262</v>
      </c>
      <c r="I377" s="13" t="s">
        <v>262</v>
      </c>
      <c r="J377" s="13" t="s">
        <v>3</v>
      </c>
      <c r="K377" s="13" t="s">
        <v>3</v>
      </c>
    </row>
    <row r="378" spans="1:11" x14ac:dyDescent="0.3">
      <c r="A378" s="13" t="s">
        <v>49</v>
      </c>
      <c r="B378" s="13" t="s">
        <v>336</v>
      </c>
      <c r="C378" s="13">
        <v>0</v>
      </c>
      <c r="D378" s="13">
        <v>2021</v>
      </c>
      <c r="E378" s="13" t="s">
        <v>395</v>
      </c>
      <c r="F378" s="13" t="s">
        <v>289</v>
      </c>
      <c r="G378" s="13" t="s">
        <v>368</v>
      </c>
      <c r="H378" s="13" t="s">
        <v>262</v>
      </c>
      <c r="I378" s="13" t="s">
        <v>262</v>
      </c>
      <c r="J378" s="13" t="s">
        <v>3</v>
      </c>
      <c r="K378" s="13" t="s">
        <v>3</v>
      </c>
    </row>
    <row r="379" spans="1:11" x14ac:dyDescent="0.3">
      <c r="A379" s="13" t="s">
        <v>52</v>
      </c>
      <c r="B379" s="13" t="s">
        <v>336</v>
      </c>
      <c r="C379" s="13">
        <v>0</v>
      </c>
      <c r="D379" s="13">
        <v>2021</v>
      </c>
      <c r="E379" s="13" t="s">
        <v>395</v>
      </c>
      <c r="F379" s="13" t="s">
        <v>280</v>
      </c>
      <c r="G379" s="13" t="s">
        <v>368</v>
      </c>
      <c r="H379" s="13" t="s">
        <v>18</v>
      </c>
      <c r="I379" s="13" t="s">
        <v>262</v>
      </c>
      <c r="J379" s="13" t="s">
        <v>356</v>
      </c>
      <c r="K379" s="13" t="s">
        <v>3</v>
      </c>
    </row>
    <row r="380" spans="1:11" x14ac:dyDescent="0.3">
      <c r="A380" s="13" t="s">
        <v>44</v>
      </c>
      <c r="B380" s="13" t="s">
        <v>336</v>
      </c>
      <c r="C380" s="13">
        <v>0</v>
      </c>
      <c r="D380" s="13">
        <v>2021</v>
      </c>
      <c r="E380" s="13" t="s">
        <v>395</v>
      </c>
      <c r="F380" s="13" t="s">
        <v>290</v>
      </c>
      <c r="G380" s="13" t="s">
        <v>368</v>
      </c>
      <c r="H380" s="13" t="s">
        <v>262</v>
      </c>
      <c r="I380" s="13" t="s">
        <v>262</v>
      </c>
      <c r="J380" s="13" t="s">
        <v>3</v>
      </c>
      <c r="K380" s="13" t="s">
        <v>3</v>
      </c>
    </row>
    <row r="381" spans="1:11" x14ac:dyDescent="0.3">
      <c r="A381" s="13" t="s">
        <v>45</v>
      </c>
      <c r="B381" s="13" t="s">
        <v>336</v>
      </c>
      <c r="C381" s="13">
        <v>0</v>
      </c>
      <c r="D381" s="13">
        <v>2021</v>
      </c>
      <c r="E381" s="13" t="s">
        <v>395</v>
      </c>
      <c r="F381" s="13" t="s">
        <v>291</v>
      </c>
      <c r="G381" s="13" t="s">
        <v>368</v>
      </c>
      <c r="H381" s="13" t="s">
        <v>262</v>
      </c>
      <c r="I381" s="13" t="s">
        <v>262</v>
      </c>
      <c r="J381" s="13" t="s">
        <v>3</v>
      </c>
      <c r="K381" s="13" t="s">
        <v>3</v>
      </c>
    </row>
    <row r="382" spans="1:11" x14ac:dyDescent="0.3">
      <c r="A382" s="13" t="s">
        <v>76</v>
      </c>
      <c r="B382" s="13" t="s">
        <v>336</v>
      </c>
      <c r="C382" s="13">
        <v>0</v>
      </c>
      <c r="D382" s="13">
        <v>2021</v>
      </c>
      <c r="E382" s="13" t="s">
        <v>395</v>
      </c>
      <c r="F382" s="13" t="s">
        <v>292</v>
      </c>
      <c r="G382" s="13" t="s">
        <v>368</v>
      </c>
      <c r="H382" s="13" t="s">
        <v>262</v>
      </c>
      <c r="I382" s="13" t="s">
        <v>262</v>
      </c>
      <c r="J382" s="13" t="s">
        <v>3</v>
      </c>
      <c r="K382" s="13" t="s">
        <v>3</v>
      </c>
    </row>
    <row r="383" spans="1:11" x14ac:dyDescent="0.3">
      <c r="A383" s="13" t="s">
        <v>176</v>
      </c>
      <c r="B383" s="13" t="s">
        <v>336</v>
      </c>
      <c r="C383" s="13">
        <v>0</v>
      </c>
      <c r="D383" s="13">
        <v>2021</v>
      </c>
      <c r="E383" s="13" t="s">
        <v>395</v>
      </c>
      <c r="F383" s="13" t="s">
        <v>293</v>
      </c>
      <c r="G383" s="13" t="s">
        <v>368</v>
      </c>
      <c r="H383" s="13" t="s">
        <v>262</v>
      </c>
      <c r="I383" s="13" t="s">
        <v>262</v>
      </c>
      <c r="J383" s="13" t="s">
        <v>3</v>
      </c>
      <c r="K383" s="13" t="s">
        <v>3</v>
      </c>
    </row>
    <row r="384" spans="1:11" x14ac:dyDescent="0.3">
      <c r="A384" s="13" t="s">
        <v>205</v>
      </c>
      <c r="B384" s="13" t="s">
        <v>336</v>
      </c>
      <c r="C384" s="13">
        <v>0</v>
      </c>
      <c r="D384" s="13">
        <v>2021</v>
      </c>
      <c r="E384" s="13" t="s">
        <v>395</v>
      </c>
      <c r="F384" s="13" t="s">
        <v>294</v>
      </c>
      <c r="G384" s="13" t="s">
        <v>368</v>
      </c>
      <c r="H384" s="13" t="s">
        <v>262</v>
      </c>
      <c r="I384" s="13" t="s">
        <v>262</v>
      </c>
      <c r="J384" s="13" t="s">
        <v>3</v>
      </c>
      <c r="K384" s="13" t="s">
        <v>3</v>
      </c>
    </row>
    <row r="385" spans="1:11" x14ac:dyDescent="0.3">
      <c r="A385" s="13" t="s">
        <v>75</v>
      </c>
      <c r="B385" s="13" t="s">
        <v>336</v>
      </c>
      <c r="C385" s="13">
        <v>0</v>
      </c>
      <c r="D385" s="13">
        <v>2021</v>
      </c>
      <c r="E385" s="13" t="s">
        <v>395</v>
      </c>
      <c r="F385" s="13" t="s">
        <v>295</v>
      </c>
      <c r="G385" s="13" t="s">
        <v>368</v>
      </c>
      <c r="H385" s="13" t="s">
        <v>262</v>
      </c>
      <c r="I385" s="13" t="s">
        <v>262</v>
      </c>
      <c r="J385" s="13" t="s">
        <v>3</v>
      </c>
      <c r="K385" s="13" t="s">
        <v>3</v>
      </c>
    </row>
    <row r="386" spans="1:11" x14ac:dyDescent="0.3">
      <c r="A386" s="13" t="s">
        <v>42</v>
      </c>
      <c r="B386" s="13" t="s">
        <v>336</v>
      </c>
      <c r="C386" s="13">
        <v>0</v>
      </c>
      <c r="D386" s="13">
        <v>2021</v>
      </c>
      <c r="E386" s="13" t="s">
        <v>395</v>
      </c>
      <c r="F386" s="13" t="s">
        <v>282</v>
      </c>
      <c r="G386" s="13" t="s">
        <v>368</v>
      </c>
      <c r="H386" s="13" t="s">
        <v>18</v>
      </c>
      <c r="I386" s="13" t="s">
        <v>262</v>
      </c>
      <c r="J386" s="13" t="s">
        <v>358</v>
      </c>
      <c r="K386" s="13" t="s">
        <v>3</v>
      </c>
    </row>
    <row r="387" spans="1:11" x14ac:dyDescent="0.3">
      <c r="A387" s="13" t="s">
        <v>70</v>
      </c>
      <c r="B387" s="13" t="s">
        <v>336</v>
      </c>
      <c r="C387" s="13">
        <v>0</v>
      </c>
      <c r="D387" s="13">
        <v>2021</v>
      </c>
      <c r="E387" s="13" t="s">
        <v>395</v>
      </c>
      <c r="F387" s="13" t="s">
        <v>296</v>
      </c>
      <c r="G387" s="13" t="s">
        <v>368</v>
      </c>
      <c r="H387" s="13" t="s">
        <v>262</v>
      </c>
      <c r="I387" s="13" t="s">
        <v>262</v>
      </c>
      <c r="J387" s="13" t="s">
        <v>3</v>
      </c>
      <c r="K387" s="13" t="s">
        <v>3</v>
      </c>
    </row>
    <row r="388" spans="1:11" x14ac:dyDescent="0.3">
      <c r="A388" s="13" t="s">
        <v>71</v>
      </c>
      <c r="B388" s="13" t="s">
        <v>336</v>
      </c>
      <c r="C388" s="13">
        <v>0</v>
      </c>
      <c r="D388" s="13">
        <v>2021</v>
      </c>
      <c r="E388" s="13" t="s">
        <v>395</v>
      </c>
      <c r="F388" s="13" t="s">
        <v>297</v>
      </c>
      <c r="G388" s="13" t="s">
        <v>368</v>
      </c>
      <c r="H388" s="13" t="s">
        <v>262</v>
      </c>
      <c r="I388" s="13" t="s">
        <v>262</v>
      </c>
      <c r="J388" s="13" t="s">
        <v>3</v>
      </c>
      <c r="K388" s="13" t="s">
        <v>3</v>
      </c>
    </row>
    <row r="389" spans="1:11" x14ac:dyDescent="0.3">
      <c r="A389" s="13" t="s">
        <v>72</v>
      </c>
      <c r="B389" s="13" t="s">
        <v>336</v>
      </c>
      <c r="C389" s="13">
        <v>0</v>
      </c>
      <c r="D389" s="13">
        <v>2021</v>
      </c>
      <c r="E389" s="13" t="s">
        <v>395</v>
      </c>
      <c r="F389" s="13" t="s">
        <v>298</v>
      </c>
      <c r="G389" s="13" t="s">
        <v>368</v>
      </c>
      <c r="H389" s="13" t="s">
        <v>262</v>
      </c>
      <c r="I389" s="13" t="s">
        <v>262</v>
      </c>
      <c r="J389" s="13" t="s">
        <v>3</v>
      </c>
      <c r="K389" s="13" t="s">
        <v>3</v>
      </c>
    </row>
    <row r="390" spans="1:11" x14ac:dyDescent="0.3">
      <c r="A390" s="13" t="s">
        <v>77</v>
      </c>
      <c r="B390" s="13" t="s">
        <v>336</v>
      </c>
      <c r="C390" s="13">
        <v>0</v>
      </c>
      <c r="D390" s="13">
        <v>2021</v>
      </c>
      <c r="E390" s="13" t="s">
        <v>395</v>
      </c>
      <c r="F390" s="13" t="s">
        <v>299</v>
      </c>
      <c r="G390" s="13" t="s">
        <v>368</v>
      </c>
      <c r="H390" s="13" t="s">
        <v>262</v>
      </c>
      <c r="I390" s="13" t="s">
        <v>262</v>
      </c>
      <c r="J390" s="13" t="s">
        <v>3</v>
      </c>
      <c r="K390" s="13" t="s">
        <v>3</v>
      </c>
    </row>
    <row r="391" spans="1:11" x14ac:dyDescent="0.3">
      <c r="A391" s="13" t="s">
        <v>43</v>
      </c>
      <c r="B391" s="13" t="s">
        <v>336</v>
      </c>
      <c r="C391" s="13">
        <v>0</v>
      </c>
      <c r="D391" s="13">
        <v>2021</v>
      </c>
      <c r="E391" s="13" t="s">
        <v>395</v>
      </c>
      <c r="F391" s="13" t="s">
        <v>300</v>
      </c>
      <c r="G391" s="13" t="s">
        <v>368</v>
      </c>
      <c r="H391" s="13" t="s">
        <v>262</v>
      </c>
      <c r="I391" s="13" t="s">
        <v>262</v>
      </c>
      <c r="J391" s="13" t="s">
        <v>3</v>
      </c>
      <c r="K391" s="13" t="s">
        <v>3</v>
      </c>
    </row>
    <row r="392" spans="1:11" x14ac:dyDescent="0.3">
      <c r="A392" s="13" t="s">
        <v>50</v>
      </c>
      <c r="B392" s="13" t="s">
        <v>336</v>
      </c>
      <c r="C392" s="13">
        <v>0</v>
      </c>
      <c r="D392" s="13">
        <v>2021</v>
      </c>
      <c r="E392" s="13" t="s">
        <v>395</v>
      </c>
      <c r="F392" s="13" t="s">
        <v>283</v>
      </c>
      <c r="G392" s="13" t="s">
        <v>368</v>
      </c>
      <c r="H392" s="13" t="s">
        <v>18</v>
      </c>
      <c r="I392" s="13" t="s">
        <v>262</v>
      </c>
      <c r="J392" s="13" t="s">
        <v>359</v>
      </c>
      <c r="K392" s="13" t="s">
        <v>3</v>
      </c>
    </row>
    <row r="393" spans="1:11" x14ac:dyDescent="0.3">
      <c r="A393" s="13" t="s">
        <v>78</v>
      </c>
      <c r="B393" s="13" t="s">
        <v>336</v>
      </c>
      <c r="C393" s="13">
        <v>0</v>
      </c>
      <c r="D393" s="13">
        <v>2021</v>
      </c>
      <c r="E393" s="13" t="s">
        <v>395</v>
      </c>
      <c r="F393" s="13" t="s">
        <v>301</v>
      </c>
      <c r="G393" s="13" t="s">
        <v>368</v>
      </c>
      <c r="H393" s="13" t="s">
        <v>262</v>
      </c>
      <c r="I393" s="13" t="s">
        <v>262</v>
      </c>
      <c r="J393" s="13" t="s">
        <v>3</v>
      </c>
      <c r="K393" s="13" t="s">
        <v>3</v>
      </c>
    </row>
    <row r="394" spans="1:11" x14ac:dyDescent="0.3">
      <c r="A394" s="13" t="s">
        <v>79</v>
      </c>
      <c r="B394" s="13" t="s">
        <v>336</v>
      </c>
      <c r="C394" s="13">
        <v>0</v>
      </c>
      <c r="D394" s="13">
        <v>2021</v>
      </c>
      <c r="E394" s="13" t="s">
        <v>395</v>
      </c>
      <c r="F394" s="13" t="s">
        <v>302</v>
      </c>
      <c r="G394" s="13" t="s">
        <v>368</v>
      </c>
      <c r="H394" s="13" t="s">
        <v>262</v>
      </c>
      <c r="I394" s="13" t="s">
        <v>262</v>
      </c>
      <c r="J394" s="13" t="s">
        <v>3</v>
      </c>
      <c r="K394" s="13" t="s">
        <v>3</v>
      </c>
    </row>
    <row r="395" spans="1:11" x14ac:dyDescent="0.3">
      <c r="A395" s="13" t="s">
        <v>67</v>
      </c>
      <c r="B395" s="13" t="s">
        <v>336</v>
      </c>
      <c r="C395" s="13">
        <v>0</v>
      </c>
      <c r="D395" s="13">
        <v>2021</v>
      </c>
      <c r="E395" s="13" t="s">
        <v>395</v>
      </c>
      <c r="F395" s="13" t="s">
        <v>303</v>
      </c>
      <c r="G395" s="13" t="s">
        <v>368</v>
      </c>
      <c r="H395" s="13" t="s">
        <v>262</v>
      </c>
      <c r="I395" s="13" t="s">
        <v>262</v>
      </c>
      <c r="J395" s="13" t="s">
        <v>3</v>
      </c>
      <c r="K395" s="13" t="s">
        <v>3</v>
      </c>
    </row>
    <row r="396" spans="1:11" x14ac:dyDescent="0.3">
      <c r="A396" s="13" t="s">
        <v>68</v>
      </c>
      <c r="B396" s="13" t="s">
        <v>336</v>
      </c>
      <c r="C396" s="13">
        <v>0</v>
      </c>
      <c r="D396" s="13">
        <v>2021</v>
      </c>
      <c r="E396" s="13" t="s">
        <v>395</v>
      </c>
      <c r="F396" s="13" t="s">
        <v>304</v>
      </c>
      <c r="G396" s="13" t="s">
        <v>368</v>
      </c>
      <c r="H396" s="13" t="s">
        <v>262</v>
      </c>
      <c r="I396" s="13" t="s">
        <v>262</v>
      </c>
      <c r="J396" s="13" t="s">
        <v>3</v>
      </c>
      <c r="K396" s="13" t="s">
        <v>3</v>
      </c>
    </row>
    <row r="397" spans="1:11" x14ac:dyDescent="0.3">
      <c r="A397" s="13" t="s">
        <v>69</v>
      </c>
      <c r="B397" s="13" t="s">
        <v>336</v>
      </c>
      <c r="C397" s="13">
        <v>0</v>
      </c>
      <c r="D397" s="13">
        <v>2021</v>
      </c>
      <c r="E397" s="13" t="s">
        <v>395</v>
      </c>
      <c r="F397" s="13" t="s">
        <v>305</v>
      </c>
      <c r="G397" s="13" t="s">
        <v>368</v>
      </c>
      <c r="H397" s="13" t="s">
        <v>262</v>
      </c>
      <c r="I397" s="13" t="s">
        <v>262</v>
      </c>
      <c r="J397" s="13" t="s">
        <v>3</v>
      </c>
      <c r="K397" s="13" t="s">
        <v>3</v>
      </c>
    </row>
    <row r="398" spans="1:11" x14ac:dyDescent="0.3">
      <c r="A398" s="13" t="s">
        <v>51</v>
      </c>
      <c r="B398" s="13" t="s">
        <v>336</v>
      </c>
      <c r="C398" s="13">
        <v>0</v>
      </c>
      <c r="D398" s="13">
        <v>2021</v>
      </c>
      <c r="E398" s="13" t="s">
        <v>395</v>
      </c>
      <c r="F398" s="13" t="s">
        <v>284</v>
      </c>
      <c r="G398" s="13" t="s">
        <v>368</v>
      </c>
      <c r="H398" s="13" t="s">
        <v>18</v>
      </c>
      <c r="I398" s="13" t="s">
        <v>262</v>
      </c>
      <c r="J398" s="13" t="s">
        <v>360</v>
      </c>
      <c r="K398" s="13" t="s">
        <v>3</v>
      </c>
    </row>
    <row r="399" spans="1:11" x14ac:dyDescent="0.3">
      <c r="A399" s="13" t="s">
        <v>36</v>
      </c>
      <c r="B399" s="13" t="s">
        <v>336</v>
      </c>
      <c r="C399" s="13">
        <v>0</v>
      </c>
      <c r="D399" s="13">
        <v>2021</v>
      </c>
      <c r="E399" s="13" t="s">
        <v>395</v>
      </c>
      <c r="F399" s="13" t="s">
        <v>306</v>
      </c>
      <c r="G399" s="13" t="s">
        <v>368</v>
      </c>
      <c r="H399" s="13" t="s">
        <v>262</v>
      </c>
      <c r="I399" s="13" t="s">
        <v>262</v>
      </c>
      <c r="J399" s="13" t="s">
        <v>3</v>
      </c>
      <c r="K399" s="13" t="s">
        <v>3</v>
      </c>
    </row>
    <row r="400" spans="1:11" x14ac:dyDescent="0.3">
      <c r="A400" s="13" t="s">
        <v>37</v>
      </c>
      <c r="B400" s="13" t="s">
        <v>336</v>
      </c>
      <c r="C400" s="13">
        <v>0</v>
      </c>
      <c r="D400" s="13">
        <v>2021</v>
      </c>
      <c r="E400" s="13" t="s">
        <v>395</v>
      </c>
      <c r="F400" s="13" t="s">
        <v>307</v>
      </c>
      <c r="G400" s="13" t="s">
        <v>368</v>
      </c>
      <c r="H400" s="13" t="s">
        <v>262</v>
      </c>
      <c r="I400" s="13" t="s">
        <v>262</v>
      </c>
      <c r="J400" s="13" t="s">
        <v>3</v>
      </c>
      <c r="K400" s="13" t="s">
        <v>3</v>
      </c>
    </row>
    <row r="401" spans="1:11" x14ac:dyDescent="0.3">
      <c r="A401" s="13" t="s">
        <v>39</v>
      </c>
      <c r="B401" s="13" t="s">
        <v>336</v>
      </c>
      <c r="C401" s="13">
        <v>0</v>
      </c>
      <c r="D401" s="13">
        <v>2021</v>
      </c>
      <c r="E401" s="13" t="s">
        <v>395</v>
      </c>
      <c r="F401" s="13" t="s">
        <v>308</v>
      </c>
      <c r="G401" s="13" t="s">
        <v>368</v>
      </c>
      <c r="H401" s="13" t="s">
        <v>262</v>
      </c>
      <c r="I401" s="13" t="s">
        <v>262</v>
      </c>
      <c r="J401" s="13" t="s">
        <v>3</v>
      </c>
      <c r="K401" s="13" t="s">
        <v>3</v>
      </c>
    </row>
    <row r="402" spans="1:11" x14ac:dyDescent="0.3">
      <c r="A402" s="13" t="s">
        <v>40</v>
      </c>
      <c r="B402" s="13" t="s">
        <v>336</v>
      </c>
      <c r="C402" s="13">
        <v>0</v>
      </c>
      <c r="D402" s="13">
        <v>2021</v>
      </c>
      <c r="E402" s="13" t="s">
        <v>395</v>
      </c>
      <c r="F402" s="13" t="s">
        <v>309</v>
      </c>
      <c r="G402" s="13" t="s">
        <v>368</v>
      </c>
      <c r="H402" s="13" t="s">
        <v>262</v>
      </c>
      <c r="I402" s="13" t="s">
        <v>262</v>
      </c>
      <c r="J402" s="13" t="s">
        <v>3</v>
      </c>
      <c r="K402" s="13" t="s">
        <v>3</v>
      </c>
    </row>
    <row r="403" spans="1:11" x14ac:dyDescent="0.3">
      <c r="A403" s="13" t="s">
        <v>41</v>
      </c>
      <c r="B403" s="13" t="s">
        <v>336</v>
      </c>
      <c r="C403" s="13">
        <v>0</v>
      </c>
      <c r="D403" s="13">
        <v>2021</v>
      </c>
      <c r="E403" s="13" t="s">
        <v>395</v>
      </c>
      <c r="F403" s="13" t="s">
        <v>310</v>
      </c>
      <c r="G403" s="13" t="s">
        <v>368</v>
      </c>
      <c r="H403" s="13" t="s">
        <v>262</v>
      </c>
      <c r="I403" s="13" t="s">
        <v>262</v>
      </c>
      <c r="J403" s="13" t="s">
        <v>3</v>
      </c>
      <c r="K403" s="13" t="s">
        <v>3</v>
      </c>
    </row>
    <row r="404" spans="1:11" x14ac:dyDescent="0.3">
      <c r="A404" s="13" t="s">
        <v>38</v>
      </c>
      <c r="B404" s="13" t="s">
        <v>336</v>
      </c>
      <c r="C404" s="13">
        <v>0</v>
      </c>
      <c r="D404" s="13">
        <v>2021</v>
      </c>
      <c r="E404" s="13" t="s">
        <v>395</v>
      </c>
      <c r="F404" s="13" t="s">
        <v>311</v>
      </c>
      <c r="G404" s="13" t="s">
        <v>368</v>
      </c>
      <c r="H404" s="13" t="s">
        <v>262</v>
      </c>
      <c r="I404" s="13" t="s">
        <v>262</v>
      </c>
      <c r="J404" s="13" t="s">
        <v>3</v>
      </c>
      <c r="K404" s="13" t="s">
        <v>3</v>
      </c>
    </row>
    <row r="405" spans="1:11" x14ac:dyDescent="0.3">
      <c r="A405" s="13" t="s">
        <v>916</v>
      </c>
      <c r="B405" s="13" t="s">
        <v>336</v>
      </c>
      <c r="C405" s="13">
        <v>0</v>
      </c>
      <c r="D405" s="13">
        <v>2021</v>
      </c>
      <c r="E405" s="13" t="s">
        <v>395</v>
      </c>
      <c r="F405" s="13" t="s">
        <v>333</v>
      </c>
      <c r="G405" s="13" t="s">
        <v>368</v>
      </c>
      <c r="H405" s="13" t="s">
        <v>262</v>
      </c>
      <c r="I405" s="13" t="s">
        <v>262</v>
      </c>
      <c r="J405" s="13" t="s">
        <v>3</v>
      </c>
      <c r="K405" s="13" t="s">
        <v>3</v>
      </c>
    </row>
    <row r="406" spans="1:11" x14ac:dyDescent="0.3">
      <c r="A406" s="13" t="s">
        <v>917</v>
      </c>
      <c r="B406" s="13" t="s">
        <v>336</v>
      </c>
      <c r="C406" s="13">
        <v>0</v>
      </c>
      <c r="D406" s="13">
        <v>2021</v>
      </c>
      <c r="E406" s="13" t="s">
        <v>395</v>
      </c>
      <c r="F406" s="13" t="s">
        <v>337</v>
      </c>
      <c r="G406" s="13" t="s">
        <v>368</v>
      </c>
      <c r="H406" s="13" t="s">
        <v>262</v>
      </c>
      <c r="I406" s="13" t="s">
        <v>262</v>
      </c>
      <c r="J406" s="13" t="s">
        <v>3</v>
      </c>
      <c r="K406" s="13" t="s">
        <v>3</v>
      </c>
    </row>
  </sheetData>
  <autoFilter ref="A1:L406" xr:uid="{00B0B43A-2260-43D5-BB77-1CD93A118B86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7ED-69C7-4C40-9316-BA7D99120535}">
  <sheetPr codeName="Sheet12"/>
  <dimension ref="A1:K133"/>
  <sheetViews>
    <sheetView zoomScale="70" zoomScaleNormal="70" workbookViewId="0"/>
  </sheetViews>
  <sheetFormatPr defaultColWidth="8.88671875" defaultRowHeight="14.4" x14ac:dyDescent="0.3"/>
  <cols>
    <col min="1" max="16384" width="8.88671875" style="13"/>
  </cols>
  <sheetData>
    <row r="1" spans="1:11" x14ac:dyDescent="0.3">
      <c r="A1" s="13" t="s">
        <v>10</v>
      </c>
      <c r="B1" s="13" t="s">
        <v>11</v>
      </c>
      <c r="C1" s="13" t="s">
        <v>0</v>
      </c>
      <c r="D1" s="13" t="s">
        <v>1</v>
      </c>
      <c r="E1" s="13" t="s">
        <v>2</v>
      </c>
      <c r="F1" s="13" t="s">
        <v>12</v>
      </c>
      <c r="G1" s="13" t="s">
        <v>13</v>
      </c>
      <c r="H1" s="13" t="s">
        <v>14</v>
      </c>
      <c r="I1" s="13" t="s">
        <v>15</v>
      </c>
      <c r="J1" s="13" t="s">
        <v>16</v>
      </c>
      <c r="K1" s="13" t="s">
        <v>17</v>
      </c>
    </row>
    <row r="2" spans="1:11" x14ac:dyDescent="0.3">
      <c r="A2" s="13" t="s">
        <v>912</v>
      </c>
      <c r="B2" s="13" t="s">
        <v>260</v>
      </c>
      <c r="C2" s="13">
        <v>33.243309708899993</v>
      </c>
      <c r="D2" s="13">
        <v>2021</v>
      </c>
      <c r="E2" s="13" t="s">
        <v>395</v>
      </c>
      <c r="F2" s="13" t="s">
        <v>262</v>
      </c>
      <c r="G2" s="13" t="s">
        <v>273</v>
      </c>
      <c r="H2" s="13" t="s">
        <v>262</v>
      </c>
      <c r="I2" s="13" t="s">
        <v>262</v>
      </c>
      <c r="J2" s="13" t="s">
        <v>3</v>
      </c>
      <c r="K2" s="13" t="s">
        <v>3</v>
      </c>
    </row>
    <row r="3" spans="1:11" x14ac:dyDescent="0.3">
      <c r="A3" s="13" t="s">
        <v>912</v>
      </c>
      <c r="B3" s="13" t="s">
        <v>263</v>
      </c>
      <c r="C3" s="13">
        <v>15.063269693100001</v>
      </c>
      <c r="D3" s="13">
        <v>2021</v>
      </c>
      <c r="E3" s="13" t="s">
        <v>395</v>
      </c>
      <c r="F3" s="13" t="s">
        <v>262</v>
      </c>
      <c r="G3" s="13" t="s">
        <v>277</v>
      </c>
      <c r="H3" s="13" t="s">
        <v>262</v>
      </c>
      <c r="I3" s="13" t="s">
        <v>262</v>
      </c>
      <c r="J3" s="13" t="s">
        <v>3</v>
      </c>
      <c r="K3" s="13" t="s">
        <v>3</v>
      </c>
    </row>
    <row r="4" spans="1:11" x14ac:dyDescent="0.3">
      <c r="A4" s="13" t="s">
        <v>912</v>
      </c>
      <c r="B4" s="13" t="s">
        <v>265</v>
      </c>
      <c r="C4" s="13">
        <v>1.8830889724999995</v>
      </c>
      <c r="D4" s="13">
        <v>2021</v>
      </c>
      <c r="E4" s="13" t="s">
        <v>395</v>
      </c>
      <c r="F4" s="13" t="s">
        <v>262</v>
      </c>
      <c r="G4" s="13" t="s">
        <v>279</v>
      </c>
      <c r="H4" s="13" t="s">
        <v>262</v>
      </c>
      <c r="I4" s="13" t="s">
        <v>262</v>
      </c>
      <c r="J4" s="13" t="s">
        <v>3</v>
      </c>
      <c r="K4" s="13" t="s">
        <v>3</v>
      </c>
    </row>
    <row r="5" spans="1:11" x14ac:dyDescent="0.3">
      <c r="A5" s="13" t="s">
        <v>913</v>
      </c>
      <c r="B5" s="13" t="s">
        <v>261</v>
      </c>
      <c r="C5" s="13">
        <v>23.455451115985717</v>
      </c>
      <c r="D5" s="13">
        <v>2021</v>
      </c>
      <c r="E5" s="13" t="s">
        <v>395</v>
      </c>
      <c r="F5" s="13" t="s">
        <v>18</v>
      </c>
      <c r="G5" s="13" t="s">
        <v>276</v>
      </c>
      <c r="H5" s="13" t="s">
        <v>262</v>
      </c>
      <c r="I5" s="13" t="s">
        <v>262</v>
      </c>
      <c r="J5" s="13" t="s">
        <v>3</v>
      </c>
      <c r="K5" s="13" t="s">
        <v>3</v>
      </c>
    </row>
    <row r="6" spans="1:11" x14ac:dyDescent="0.3">
      <c r="A6" s="13" t="s">
        <v>913</v>
      </c>
      <c r="B6" s="13" t="s">
        <v>264</v>
      </c>
      <c r="C6" s="13">
        <v>17.855280548749999</v>
      </c>
      <c r="D6" s="13">
        <v>2021</v>
      </c>
      <c r="E6" s="13" t="s">
        <v>395</v>
      </c>
      <c r="F6" s="13" t="s">
        <v>18</v>
      </c>
      <c r="G6" s="13" t="s">
        <v>278</v>
      </c>
      <c r="H6" s="13" t="s">
        <v>262</v>
      </c>
      <c r="I6" s="13" t="s">
        <v>262</v>
      </c>
      <c r="J6" s="13" t="s">
        <v>3</v>
      </c>
      <c r="K6" s="13" t="s">
        <v>3</v>
      </c>
    </row>
    <row r="7" spans="1:11" x14ac:dyDescent="0.3">
      <c r="A7" s="13" t="s">
        <v>913</v>
      </c>
      <c r="B7" s="13" t="s">
        <v>266</v>
      </c>
      <c r="C7" s="13">
        <v>6.5035985645678585</v>
      </c>
      <c r="D7" s="13">
        <v>2021</v>
      </c>
      <c r="E7" s="13" t="s">
        <v>395</v>
      </c>
      <c r="F7" s="13" t="s">
        <v>18</v>
      </c>
      <c r="G7" s="13" t="s">
        <v>280</v>
      </c>
      <c r="H7" s="13" t="s">
        <v>262</v>
      </c>
      <c r="I7" s="13" t="s">
        <v>262</v>
      </c>
      <c r="J7" s="13" t="s">
        <v>3</v>
      </c>
      <c r="K7" s="13" t="s">
        <v>3</v>
      </c>
    </row>
    <row r="8" spans="1:11" x14ac:dyDescent="0.3">
      <c r="A8" s="13" t="s">
        <v>914</v>
      </c>
      <c r="B8" s="13" t="s">
        <v>258</v>
      </c>
      <c r="C8" s="13">
        <v>1.3961137108141131</v>
      </c>
      <c r="D8" s="13">
        <v>2021</v>
      </c>
      <c r="E8" s="13" t="s">
        <v>395</v>
      </c>
      <c r="F8" s="13" t="s">
        <v>269</v>
      </c>
      <c r="G8" s="13" t="s">
        <v>271</v>
      </c>
      <c r="H8" s="13" t="s">
        <v>262</v>
      </c>
      <c r="I8" s="13" t="s">
        <v>262</v>
      </c>
      <c r="J8" s="13" t="s">
        <v>3</v>
      </c>
      <c r="K8" s="13" t="s">
        <v>3</v>
      </c>
    </row>
    <row r="9" spans="1:11" x14ac:dyDescent="0.3">
      <c r="A9" s="13" t="s">
        <v>914</v>
      </c>
      <c r="B9" s="13" t="s">
        <v>259</v>
      </c>
      <c r="C9" s="13">
        <v>23.878331776702041</v>
      </c>
      <c r="D9" s="13">
        <v>2021</v>
      </c>
      <c r="E9" s="13" t="s">
        <v>395</v>
      </c>
      <c r="F9" s="13" t="s">
        <v>269</v>
      </c>
      <c r="G9" s="13" t="s">
        <v>272</v>
      </c>
      <c r="H9" s="13" t="s">
        <v>262</v>
      </c>
      <c r="I9" s="13" t="s">
        <v>262</v>
      </c>
      <c r="J9" s="13" t="s">
        <v>3</v>
      </c>
      <c r="K9" s="13" t="s">
        <v>3</v>
      </c>
    </row>
    <row r="10" spans="1:11" x14ac:dyDescent="0.3">
      <c r="A10" s="13" t="s">
        <v>914</v>
      </c>
      <c r="B10" s="13" t="s">
        <v>260</v>
      </c>
      <c r="C10" s="13">
        <v>4.5127792929831747</v>
      </c>
      <c r="D10" s="13">
        <v>2021</v>
      </c>
      <c r="E10" s="13" t="s">
        <v>395</v>
      </c>
      <c r="F10" s="13" t="s">
        <v>269</v>
      </c>
      <c r="G10" s="13" t="s">
        <v>273</v>
      </c>
      <c r="H10" s="13" t="s">
        <v>262</v>
      </c>
      <c r="I10" s="13" t="s">
        <v>262</v>
      </c>
      <c r="J10" s="13" t="s">
        <v>3</v>
      </c>
      <c r="K10" s="13" t="s">
        <v>3</v>
      </c>
    </row>
    <row r="11" spans="1:11" x14ac:dyDescent="0.3">
      <c r="A11" s="13" t="s">
        <v>914</v>
      </c>
      <c r="B11" s="13" t="s">
        <v>261</v>
      </c>
      <c r="C11" s="13">
        <v>4.867006106567036</v>
      </c>
      <c r="D11" s="13">
        <v>2021</v>
      </c>
      <c r="E11" s="13" t="s">
        <v>395</v>
      </c>
      <c r="F11" s="13" t="s">
        <v>269</v>
      </c>
      <c r="G11" s="13" t="s">
        <v>276</v>
      </c>
      <c r="H11" s="13" t="s">
        <v>262</v>
      </c>
      <c r="I11" s="13" t="s">
        <v>262</v>
      </c>
      <c r="J11" s="13" t="s">
        <v>3</v>
      </c>
      <c r="K11" s="13" t="s">
        <v>3</v>
      </c>
    </row>
    <row r="12" spans="1:11" x14ac:dyDescent="0.3">
      <c r="A12" s="13" t="s">
        <v>914</v>
      </c>
      <c r="B12" s="13" t="s">
        <v>263</v>
      </c>
      <c r="C12" s="13">
        <v>2.044838860838325</v>
      </c>
      <c r="D12" s="13">
        <v>2021</v>
      </c>
      <c r="E12" s="13" t="s">
        <v>395</v>
      </c>
      <c r="F12" s="13" t="s">
        <v>269</v>
      </c>
      <c r="G12" s="13" t="s">
        <v>277</v>
      </c>
      <c r="H12" s="13" t="s">
        <v>262</v>
      </c>
      <c r="I12" s="13" t="s">
        <v>262</v>
      </c>
      <c r="J12" s="13" t="s">
        <v>3</v>
      </c>
      <c r="K12" s="13" t="s">
        <v>3</v>
      </c>
    </row>
    <row r="13" spans="1:11" x14ac:dyDescent="0.3">
      <c r="A13" s="13" t="s">
        <v>914</v>
      </c>
      <c r="B13" s="13" t="s">
        <v>264</v>
      </c>
      <c r="C13" s="13">
        <v>3.7049707138656238</v>
      </c>
      <c r="D13" s="13">
        <v>2021</v>
      </c>
      <c r="E13" s="13" t="s">
        <v>395</v>
      </c>
      <c r="F13" s="13" t="s">
        <v>269</v>
      </c>
      <c r="G13" s="13" t="s">
        <v>278</v>
      </c>
      <c r="H13" s="13" t="s">
        <v>262</v>
      </c>
      <c r="I13" s="13" t="s">
        <v>262</v>
      </c>
      <c r="J13" s="13" t="s">
        <v>3</v>
      </c>
      <c r="K13" s="13" t="s">
        <v>3</v>
      </c>
    </row>
    <row r="14" spans="1:11" x14ac:dyDescent="0.3">
      <c r="A14" s="13" t="s">
        <v>914</v>
      </c>
      <c r="B14" s="13" t="s">
        <v>265</v>
      </c>
      <c r="C14" s="13">
        <v>0.25562932801687499</v>
      </c>
      <c r="D14" s="13">
        <v>2021</v>
      </c>
      <c r="E14" s="13" t="s">
        <v>395</v>
      </c>
      <c r="F14" s="13" t="s">
        <v>269</v>
      </c>
      <c r="G14" s="13" t="s">
        <v>279</v>
      </c>
      <c r="H14" s="13" t="s">
        <v>262</v>
      </c>
      <c r="I14" s="13" t="s">
        <v>262</v>
      </c>
      <c r="J14" s="13" t="s">
        <v>3</v>
      </c>
      <c r="K14" s="13" t="s">
        <v>3</v>
      </c>
    </row>
    <row r="15" spans="1:11" x14ac:dyDescent="0.3">
      <c r="A15" s="13" t="s">
        <v>914</v>
      </c>
      <c r="B15" s="13" t="s">
        <v>266</v>
      </c>
      <c r="C15" s="13">
        <v>1.3494967021478306</v>
      </c>
      <c r="D15" s="13">
        <v>2021</v>
      </c>
      <c r="E15" s="13" t="s">
        <v>395</v>
      </c>
      <c r="F15" s="13" t="s">
        <v>269</v>
      </c>
      <c r="G15" s="13" t="s">
        <v>280</v>
      </c>
      <c r="H15" s="13" t="s">
        <v>262</v>
      </c>
      <c r="I15" s="13" t="s">
        <v>262</v>
      </c>
      <c r="J15" s="13" t="s">
        <v>3</v>
      </c>
      <c r="K15" s="13" t="s">
        <v>3</v>
      </c>
    </row>
    <row r="16" spans="1:11" x14ac:dyDescent="0.3">
      <c r="A16" s="13" t="s">
        <v>258</v>
      </c>
      <c r="B16" s="13" t="s">
        <v>55</v>
      </c>
      <c r="C16" s="13">
        <v>1E-4</v>
      </c>
      <c r="D16" s="13">
        <v>2021</v>
      </c>
      <c r="E16" s="13" t="s">
        <v>395</v>
      </c>
      <c r="F16" s="13" t="s">
        <v>271</v>
      </c>
      <c r="G16" s="13" t="s">
        <v>282</v>
      </c>
      <c r="H16" s="13" t="s">
        <v>262</v>
      </c>
      <c r="I16" s="13" t="s">
        <v>262</v>
      </c>
      <c r="J16" s="13" t="s">
        <v>3</v>
      </c>
      <c r="K16" s="13" t="s">
        <v>3</v>
      </c>
    </row>
    <row r="17" spans="1:11" x14ac:dyDescent="0.3">
      <c r="A17" s="13" t="s">
        <v>259</v>
      </c>
      <c r="B17" s="13" t="s">
        <v>55</v>
      </c>
      <c r="C17" s="13">
        <v>17.212103894439881</v>
      </c>
      <c r="D17" s="13">
        <v>2021</v>
      </c>
      <c r="E17" s="13" t="s">
        <v>395</v>
      </c>
      <c r="F17" s="13" t="s">
        <v>272</v>
      </c>
      <c r="G17" s="13" t="s">
        <v>282</v>
      </c>
      <c r="H17" s="13" t="s">
        <v>262</v>
      </c>
      <c r="I17" s="13" t="s">
        <v>262</v>
      </c>
      <c r="J17" s="13" t="s">
        <v>3</v>
      </c>
      <c r="K17" s="13" t="s">
        <v>3</v>
      </c>
    </row>
    <row r="18" spans="1:11" x14ac:dyDescent="0.3">
      <c r="A18" s="13" t="s">
        <v>258</v>
      </c>
      <c r="B18" s="13" t="s">
        <v>408</v>
      </c>
      <c r="C18" s="13">
        <v>11.680460935964117</v>
      </c>
      <c r="D18" s="13">
        <v>2021</v>
      </c>
      <c r="E18" s="13" t="s">
        <v>395</v>
      </c>
      <c r="F18" s="13" t="s">
        <v>271</v>
      </c>
      <c r="G18" s="13" t="s">
        <v>312</v>
      </c>
      <c r="H18" s="13" t="s">
        <v>262</v>
      </c>
      <c r="I18" s="13" t="s">
        <v>262</v>
      </c>
      <c r="J18" s="13" t="s">
        <v>3</v>
      </c>
      <c r="K18" s="13" t="s">
        <v>3</v>
      </c>
    </row>
    <row r="19" spans="1:11" x14ac:dyDescent="0.3">
      <c r="A19" s="13" t="s">
        <v>259</v>
      </c>
      <c r="B19" s="13" t="s">
        <v>408</v>
      </c>
      <c r="C19" s="13">
        <v>121.74252560130816</v>
      </c>
      <c r="D19" s="13">
        <v>2021</v>
      </c>
      <c r="E19" s="13" t="s">
        <v>395</v>
      </c>
      <c r="F19" s="13" t="s">
        <v>272</v>
      </c>
      <c r="G19" s="13" t="s">
        <v>312</v>
      </c>
      <c r="H19" s="13" t="s">
        <v>262</v>
      </c>
      <c r="I19" s="13" t="s">
        <v>262</v>
      </c>
      <c r="J19" s="13" t="s">
        <v>3</v>
      </c>
      <c r="K19" s="13" t="s">
        <v>3</v>
      </c>
    </row>
    <row r="20" spans="1:11" x14ac:dyDescent="0.3">
      <c r="A20" s="13" t="s">
        <v>260</v>
      </c>
      <c r="B20" s="13" t="s">
        <v>49</v>
      </c>
      <c r="C20" s="13">
        <v>1.2238054790534629</v>
      </c>
      <c r="D20" s="13">
        <v>2021</v>
      </c>
      <c r="E20" s="13" t="s">
        <v>395</v>
      </c>
      <c r="F20" s="13" t="s">
        <v>273</v>
      </c>
      <c r="G20" s="13" t="s">
        <v>289</v>
      </c>
      <c r="H20" s="13" t="s">
        <v>262</v>
      </c>
      <c r="I20" s="13" t="s">
        <v>262</v>
      </c>
      <c r="J20" s="13" t="s">
        <v>3</v>
      </c>
      <c r="K20" s="13" t="s">
        <v>3</v>
      </c>
    </row>
    <row r="21" spans="1:11" x14ac:dyDescent="0.3">
      <c r="A21" s="13" t="s">
        <v>261</v>
      </c>
      <c r="B21" s="13" t="s">
        <v>49</v>
      </c>
      <c r="C21" s="13">
        <v>0.86347929375181975</v>
      </c>
      <c r="D21" s="13">
        <v>2021</v>
      </c>
      <c r="E21" s="13" t="s">
        <v>395</v>
      </c>
      <c r="F21" s="13" t="s">
        <v>276</v>
      </c>
      <c r="G21" s="13" t="s">
        <v>289</v>
      </c>
      <c r="H21" s="13" t="s">
        <v>262</v>
      </c>
      <c r="I21" s="13" t="s">
        <v>262</v>
      </c>
      <c r="J21" s="13" t="s">
        <v>3</v>
      </c>
      <c r="K21" s="13" t="s">
        <v>3</v>
      </c>
    </row>
    <row r="22" spans="1:11" x14ac:dyDescent="0.3">
      <c r="A22" s="13" t="s">
        <v>260</v>
      </c>
      <c r="B22" s="13" t="s">
        <v>44</v>
      </c>
      <c r="C22" s="13">
        <v>8.5386300334675731</v>
      </c>
      <c r="D22" s="13">
        <v>2021</v>
      </c>
      <c r="E22" s="13" t="s">
        <v>395</v>
      </c>
      <c r="F22" s="13" t="s">
        <v>273</v>
      </c>
      <c r="G22" s="13" t="s">
        <v>290</v>
      </c>
      <c r="H22" s="13" t="s">
        <v>262</v>
      </c>
      <c r="I22" s="13" t="s">
        <v>262</v>
      </c>
      <c r="J22" s="13" t="s">
        <v>3</v>
      </c>
      <c r="K22" s="13" t="s">
        <v>3</v>
      </c>
    </row>
    <row r="23" spans="1:11" x14ac:dyDescent="0.3">
      <c r="A23" s="13" t="s">
        <v>261</v>
      </c>
      <c r="B23" s="13" t="s">
        <v>44</v>
      </c>
      <c r="C23" s="13">
        <v>6.0245932520331236</v>
      </c>
      <c r="D23" s="13">
        <v>2021</v>
      </c>
      <c r="E23" s="13" t="s">
        <v>395</v>
      </c>
      <c r="F23" s="13" t="s">
        <v>276</v>
      </c>
      <c r="G23" s="13" t="s">
        <v>290</v>
      </c>
      <c r="H23" s="13" t="s">
        <v>262</v>
      </c>
      <c r="I23" s="13" t="s">
        <v>262</v>
      </c>
      <c r="J23" s="13" t="s">
        <v>3</v>
      </c>
      <c r="K23" s="13" t="s">
        <v>3</v>
      </c>
    </row>
    <row r="24" spans="1:11" x14ac:dyDescent="0.3">
      <c r="A24" s="13" t="s">
        <v>63</v>
      </c>
      <c r="B24" s="13" t="s">
        <v>65</v>
      </c>
      <c r="C24" s="13">
        <v>42.511292787885367</v>
      </c>
      <c r="D24" s="13">
        <v>2021</v>
      </c>
      <c r="E24" s="13" t="s">
        <v>395</v>
      </c>
      <c r="F24" s="13" t="s">
        <v>273</v>
      </c>
      <c r="G24" s="13" t="s">
        <v>278</v>
      </c>
      <c r="H24" s="13" t="s">
        <v>18</v>
      </c>
      <c r="I24" s="13" t="s">
        <v>18</v>
      </c>
      <c r="J24" s="13" t="s">
        <v>329</v>
      </c>
      <c r="K24" s="13" t="s">
        <v>334</v>
      </c>
    </row>
    <row r="25" spans="1:11" x14ac:dyDescent="0.3">
      <c r="A25" s="13" t="s">
        <v>265</v>
      </c>
      <c r="B25" s="13" t="s">
        <v>175</v>
      </c>
      <c r="C25" s="13">
        <v>2.2434928999763075</v>
      </c>
      <c r="D25" s="13">
        <v>2021</v>
      </c>
      <c r="E25" s="13" t="s">
        <v>395</v>
      </c>
      <c r="F25" s="13" t="s">
        <v>279</v>
      </c>
      <c r="G25" s="13" t="s">
        <v>283</v>
      </c>
      <c r="H25" s="13" t="s">
        <v>262</v>
      </c>
      <c r="I25" s="13" t="s">
        <v>262</v>
      </c>
      <c r="J25" s="13" t="s">
        <v>3</v>
      </c>
      <c r="K25" s="13" t="s">
        <v>3</v>
      </c>
    </row>
    <row r="26" spans="1:11" x14ac:dyDescent="0.3">
      <c r="A26" s="13" t="s">
        <v>266</v>
      </c>
      <c r="B26" s="13" t="s">
        <v>175</v>
      </c>
      <c r="C26" s="13">
        <v>7.7483206672562561</v>
      </c>
      <c r="D26" s="13">
        <v>2021</v>
      </c>
      <c r="E26" s="13" t="s">
        <v>395</v>
      </c>
      <c r="F26" s="13" t="s">
        <v>280</v>
      </c>
      <c r="G26" s="13" t="s">
        <v>283</v>
      </c>
      <c r="H26" s="13" t="s">
        <v>262</v>
      </c>
      <c r="I26" s="13" t="s">
        <v>262</v>
      </c>
      <c r="J26" s="13" t="s">
        <v>3</v>
      </c>
      <c r="K26" s="13" t="s">
        <v>3</v>
      </c>
    </row>
    <row r="27" spans="1:11" x14ac:dyDescent="0.3">
      <c r="A27" s="13" t="s">
        <v>175</v>
      </c>
      <c r="B27" s="13" t="s">
        <v>408</v>
      </c>
      <c r="C27" s="13">
        <v>0.68701287830456648</v>
      </c>
      <c r="D27" s="13">
        <v>2021</v>
      </c>
      <c r="E27" s="13" t="s">
        <v>395</v>
      </c>
      <c r="F27" s="13" t="s">
        <v>283</v>
      </c>
      <c r="G27" s="13" t="s">
        <v>312</v>
      </c>
      <c r="H27" s="13" t="s">
        <v>262</v>
      </c>
      <c r="I27" s="13" t="s">
        <v>262</v>
      </c>
      <c r="J27" s="13" t="s">
        <v>3</v>
      </c>
      <c r="K27" s="13" t="s">
        <v>3</v>
      </c>
    </row>
    <row r="28" spans="1:11" x14ac:dyDescent="0.3">
      <c r="A28" s="13" t="s">
        <v>175</v>
      </c>
      <c r="B28" s="13" t="s">
        <v>33</v>
      </c>
      <c r="C28" s="13">
        <v>5.4961030264365318</v>
      </c>
      <c r="D28" s="13">
        <v>2021</v>
      </c>
      <c r="E28" s="13" t="s">
        <v>395</v>
      </c>
      <c r="F28" s="13" t="s">
        <v>283</v>
      </c>
      <c r="G28" s="13" t="s">
        <v>315</v>
      </c>
      <c r="H28" s="13" t="s">
        <v>262</v>
      </c>
      <c r="I28" s="13" t="s">
        <v>262</v>
      </c>
      <c r="J28" s="13" t="s">
        <v>3</v>
      </c>
      <c r="K28" s="13" t="s">
        <v>3</v>
      </c>
    </row>
    <row r="29" spans="1:11" x14ac:dyDescent="0.3">
      <c r="A29" s="13" t="s">
        <v>175</v>
      </c>
      <c r="B29" s="13" t="s">
        <v>57</v>
      </c>
      <c r="C29" s="13">
        <v>0.68701287830456648</v>
      </c>
      <c r="D29" s="13">
        <v>2021</v>
      </c>
      <c r="E29" s="13" t="s">
        <v>395</v>
      </c>
      <c r="F29" s="13" t="s">
        <v>283</v>
      </c>
      <c r="G29" s="13" t="s">
        <v>318</v>
      </c>
      <c r="H29" s="13" t="s">
        <v>262</v>
      </c>
      <c r="I29" s="13" t="s">
        <v>262</v>
      </c>
      <c r="J29" s="13" t="s">
        <v>3</v>
      </c>
      <c r="K29" s="13" t="s">
        <v>3</v>
      </c>
    </row>
    <row r="30" spans="1:11" x14ac:dyDescent="0.3">
      <c r="A30" s="13" t="s">
        <v>175</v>
      </c>
      <c r="B30" s="13" t="s">
        <v>29</v>
      </c>
      <c r="C30" s="13">
        <v>1.2158493311800911</v>
      </c>
      <c r="D30" s="13">
        <v>2021</v>
      </c>
      <c r="E30" s="13" t="s">
        <v>395</v>
      </c>
      <c r="F30" s="13" t="s">
        <v>283</v>
      </c>
      <c r="G30" s="13" t="s">
        <v>319</v>
      </c>
      <c r="H30" s="13" t="s">
        <v>262</v>
      </c>
      <c r="I30" s="13" t="s">
        <v>262</v>
      </c>
      <c r="J30" s="13" t="s">
        <v>3</v>
      </c>
      <c r="K30" s="13" t="s">
        <v>3</v>
      </c>
    </row>
    <row r="31" spans="1:11" x14ac:dyDescent="0.3">
      <c r="A31" s="13" t="s">
        <v>175</v>
      </c>
      <c r="B31" s="13" t="s">
        <v>73</v>
      </c>
      <c r="C31" s="13">
        <v>0.68998612182671926</v>
      </c>
      <c r="D31" s="13">
        <v>2021</v>
      </c>
      <c r="E31" s="13" t="s">
        <v>395</v>
      </c>
      <c r="F31" s="13" t="s">
        <v>283</v>
      </c>
      <c r="G31" s="13" t="s">
        <v>320</v>
      </c>
      <c r="H31" s="13" t="s">
        <v>262</v>
      </c>
      <c r="I31" s="13" t="s">
        <v>262</v>
      </c>
      <c r="J31" s="13" t="s">
        <v>3</v>
      </c>
      <c r="K31" s="13" t="s">
        <v>3</v>
      </c>
    </row>
    <row r="32" spans="1:11" x14ac:dyDescent="0.3">
      <c r="A32" s="13" t="s">
        <v>175</v>
      </c>
      <c r="B32" s="13" t="s">
        <v>30</v>
      </c>
      <c r="C32" s="13">
        <v>0.77372230166005806</v>
      </c>
      <c r="D32" s="13">
        <v>2021</v>
      </c>
      <c r="E32" s="13" t="s">
        <v>395</v>
      </c>
      <c r="F32" s="13" t="s">
        <v>283</v>
      </c>
      <c r="G32" s="13" t="s">
        <v>321</v>
      </c>
      <c r="H32" s="13" t="s">
        <v>262</v>
      </c>
      <c r="I32" s="13" t="s">
        <v>262</v>
      </c>
      <c r="J32" s="13" t="s">
        <v>3</v>
      </c>
      <c r="K32" s="13" t="s">
        <v>3</v>
      </c>
    </row>
    <row r="33" spans="1:11" x14ac:dyDescent="0.3">
      <c r="A33" s="13" t="s">
        <v>175</v>
      </c>
      <c r="B33" s="13" t="s">
        <v>74</v>
      </c>
      <c r="C33" s="13">
        <v>0.4421270295200323</v>
      </c>
      <c r="D33" s="13">
        <v>2021</v>
      </c>
      <c r="E33" s="13" t="s">
        <v>395</v>
      </c>
      <c r="F33" s="13" t="s">
        <v>283</v>
      </c>
      <c r="G33" s="13" t="s">
        <v>324</v>
      </c>
      <c r="H33" s="13" t="s">
        <v>262</v>
      </c>
      <c r="I33" s="13" t="s">
        <v>262</v>
      </c>
      <c r="J33" s="13" t="s">
        <v>3</v>
      </c>
      <c r="K33" s="13" t="s">
        <v>3</v>
      </c>
    </row>
    <row r="34" spans="1:11" x14ac:dyDescent="0.3">
      <c r="A34" s="13" t="s">
        <v>47</v>
      </c>
      <c r="B34" s="13" t="s">
        <v>408</v>
      </c>
      <c r="C34" s="13">
        <v>4.7392131725000004</v>
      </c>
      <c r="D34" s="13">
        <v>2021</v>
      </c>
      <c r="E34" s="13" t="s">
        <v>395</v>
      </c>
      <c r="F34" s="13" t="s">
        <v>286</v>
      </c>
      <c r="G34" s="13" t="s">
        <v>312</v>
      </c>
      <c r="H34" s="13" t="s">
        <v>262</v>
      </c>
      <c r="I34" s="13" t="s">
        <v>262</v>
      </c>
      <c r="J34" s="13" t="s">
        <v>3</v>
      </c>
      <c r="K34" s="13" t="s">
        <v>3</v>
      </c>
    </row>
    <row r="35" spans="1:11" x14ac:dyDescent="0.3">
      <c r="A35" s="13" t="s">
        <v>267</v>
      </c>
      <c r="B35" s="13" t="s">
        <v>36</v>
      </c>
      <c r="C35" s="13">
        <v>3.3706743404501811</v>
      </c>
      <c r="D35" s="13">
        <v>2021</v>
      </c>
      <c r="E35" s="13" t="s">
        <v>395</v>
      </c>
      <c r="F35" s="13" t="s">
        <v>287</v>
      </c>
      <c r="G35" s="13" t="s">
        <v>306</v>
      </c>
      <c r="H35" s="13" t="s">
        <v>262</v>
      </c>
      <c r="I35" s="13" t="s">
        <v>262</v>
      </c>
      <c r="J35" s="13" t="s">
        <v>3</v>
      </c>
      <c r="K35" s="13" t="s">
        <v>3</v>
      </c>
    </row>
    <row r="36" spans="1:11" x14ac:dyDescent="0.3">
      <c r="A36" s="13" t="s">
        <v>267</v>
      </c>
      <c r="B36" s="13" t="s">
        <v>37</v>
      </c>
      <c r="C36" s="13">
        <v>3.1455212410880864</v>
      </c>
      <c r="D36" s="13">
        <v>2021</v>
      </c>
      <c r="E36" s="13" t="s">
        <v>395</v>
      </c>
      <c r="F36" s="13" t="s">
        <v>287</v>
      </c>
      <c r="G36" s="13" t="s">
        <v>307</v>
      </c>
      <c r="H36" s="13" t="s">
        <v>262</v>
      </c>
      <c r="I36" s="13" t="s">
        <v>262</v>
      </c>
      <c r="J36" s="13" t="s">
        <v>3</v>
      </c>
      <c r="K36" s="13" t="s">
        <v>3</v>
      </c>
    </row>
    <row r="37" spans="1:11" x14ac:dyDescent="0.3">
      <c r="A37" s="13" t="s">
        <v>267</v>
      </c>
      <c r="B37" s="13" t="s">
        <v>39</v>
      </c>
      <c r="C37" s="13">
        <v>0.43706189876171309</v>
      </c>
      <c r="D37" s="13">
        <v>2021</v>
      </c>
      <c r="E37" s="13" t="s">
        <v>395</v>
      </c>
      <c r="F37" s="13" t="s">
        <v>287</v>
      </c>
      <c r="G37" s="13" t="s">
        <v>308</v>
      </c>
      <c r="H37" s="13" t="s">
        <v>262</v>
      </c>
      <c r="I37" s="13" t="s">
        <v>262</v>
      </c>
      <c r="J37" s="13" t="s">
        <v>3</v>
      </c>
      <c r="K37" s="13" t="s">
        <v>3</v>
      </c>
    </row>
    <row r="38" spans="1:11" x14ac:dyDescent="0.3">
      <c r="A38" s="13" t="s">
        <v>267</v>
      </c>
      <c r="B38" s="13" t="s">
        <v>40</v>
      </c>
      <c r="C38" s="13">
        <v>7.7810262279547393</v>
      </c>
      <c r="D38" s="13">
        <v>2021</v>
      </c>
      <c r="E38" s="13" t="s">
        <v>395</v>
      </c>
      <c r="F38" s="13" t="s">
        <v>287</v>
      </c>
      <c r="G38" s="13" t="s">
        <v>309</v>
      </c>
      <c r="H38" s="13" t="s">
        <v>262</v>
      </c>
      <c r="I38" s="13" t="s">
        <v>262</v>
      </c>
      <c r="J38" s="13" t="s">
        <v>3</v>
      </c>
      <c r="K38" s="13" t="s">
        <v>3</v>
      </c>
    </row>
    <row r="39" spans="1:11" x14ac:dyDescent="0.3">
      <c r="A39" s="13" t="s">
        <v>267</v>
      </c>
      <c r="B39" s="13" t="s">
        <v>41</v>
      </c>
      <c r="C39" s="13">
        <v>0.49666124859285565</v>
      </c>
      <c r="D39" s="13">
        <v>2021</v>
      </c>
      <c r="E39" s="13" t="s">
        <v>395</v>
      </c>
      <c r="F39" s="13" t="s">
        <v>287</v>
      </c>
      <c r="G39" s="13" t="s">
        <v>310</v>
      </c>
      <c r="H39" s="13" t="s">
        <v>262</v>
      </c>
      <c r="I39" s="13" t="s">
        <v>262</v>
      </c>
      <c r="J39" s="13" t="s">
        <v>3</v>
      </c>
      <c r="K39" s="13" t="s">
        <v>3</v>
      </c>
    </row>
    <row r="40" spans="1:11" x14ac:dyDescent="0.3">
      <c r="A40" s="13" t="s">
        <v>267</v>
      </c>
      <c r="B40" s="13" t="s">
        <v>38</v>
      </c>
      <c r="C40" s="13">
        <v>1.3244299962476154</v>
      </c>
      <c r="D40" s="13">
        <v>2021</v>
      </c>
      <c r="E40" s="13" t="s">
        <v>395</v>
      </c>
      <c r="F40" s="13" t="s">
        <v>287</v>
      </c>
      <c r="G40" s="13" t="s">
        <v>311</v>
      </c>
      <c r="H40" s="13" t="s">
        <v>262</v>
      </c>
      <c r="I40" s="13" t="s">
        <v>262</v>
      </c>
      <c r="J40" s="13" t="s">
        <v>3</v>
      </c>
      <c r="K40" s="13" t="s">
        <v>3</v>
      </c>
    </row>
    <row r="41" spans="1:11" x14ac:dyDescent="0.3">
      <c r="A41" s="13" t="s">
        <v>268</v>
      </c>
      <c r="B41" s="13" t="s">
        <v>36</v>
      </c>
      <c r="C41" s="13">
        <v>1.8262607331021901</v>
      </c>
      <c r="D41" s="13">
        <v>2021</v>
      </c>
      <c r="E41" s="13" t="s">
        <v>395</v>
      </c>
      <c r="F41" s="13" t="s">
        <v>288</v>
      </c>
      <c r="G41" s="13" t="s">
        <v>306</v>
      </c>
      <c r="H41" s="13" t="s">
        <v>262</v>
      </c>
      <c r="I41" s="13" t="s">
        <v>262</v>
      </c>
      <c r="J41" s="13" t="s">
        <v>3</v>
      </c>
      <c r="K41" s="13" t="s">
        <v>3</v>
      </c>
    </row>
    <row r="42" spans="1:11" x14ac:dyDescent="0.3">
      <c r="A42" s="13" t="s">
        <v>268</v>
      </c>
      <c r="B42" s="13" t="s">
        <v>37</v>
      </c>
      <c r="C42" s="13">
        <v>1.70427082165725</v>
      </c>
      <c r="D42" s="13">
        <v>2021</v>
      </c>
      <c r="E42" s="13" t="s">
        <v>395</v>
      </c>
      <c r="F42" s="13" t="s">
        <v>288</v>
      </c>
      <c r="G42" s="13" t="s">
        <v>307</v>
      </c>
      <c r="H42" s="13" t="s">
        <v>262</v>
      </c>
      <c r="I42" s="13" t="s">
        <v>262</v>
      </c>
      <c r="J42" s="13" t="s">
        <v>3</v>
      </c>
      <c r="K42" s="13" t="s">
        <v>3</v>
      </c>
    </row>
    <row r="43" spans="1:11" x14ac:dyDescent="0.3">
      <c r="A43" s="13" t="s">
        <v>268</v>
      </c>
      <c r="B43" s="13" t="s">
        <v>39</v>
      </c>
      <c r="C43" s="13">
        <v>0.23680394574605998</v>
      </c>
      <c r="D43" s="13">
        <v>2021</v>
      </c>
      <c r="E43" s="13" t="s">
        <v>395</v>
      </c>
      <c r="F43" s="13" t="s">
        <v>288</v>
      </c>
      <c r="G43" s="13" t="s">
        <v>308</v>
      </c>
      <c r="H43" s="13" t="s">
        <v>262</v>
      </c>
      <c r="I43" s="13" t="s">
        <v>262</v>
      </c>
      <c r="J43" s="13" t="s">
        <v>3</v>
      </c>
      <c r="K43" s="13" t="s">
        <v>3</v>
      </c>
    </row>
    <row r="44" spans="1:11" x14ac:dyDescent="0.3">
      <c r="A44" s="13" t="s">
        <v>268</v>
      </c>
      <c r="B44" s="13" t="s">
        <v>40</v>
      </c>
      <c r="C44" s="13">
        <v>4.2158278219942495</v>
      </c>
      <c r="D44" s="13">
        <v>2021</v>
      </c>
      <c r="E44" s="13" t="s">
        <v>395</v>
      </c>
      <c r="F44" s="13" t="s">
        <v>288</v>
      </c>
      <c r="G44" s="13" t="s">
        <v>309</v>
      </c>
      <c r="H44" s="13" t="s">
        <v>262</v>
      </c>
      <c r="I44" s="13" t="s">
        <v>262</v>
      </c>
      <c r="J44" s="13" t="s">
        <v>3</v>
      </c>
      <c r="K44" s="13" t="s">
        <v>3</v>
      </c>
    </row>
    <row r="45" spans="1:11" x14ac:dyDescent="0.3">
      <c r="A45" s="13" t="s">
        <v>268</v>
      </c>
      <c r="B45" s="13" t="s">
        <v>41</v>
      </c>
      <c r="C45" s="13">
        <v>0.26909539289324996</v>
      </c>
      <c r="D45" s="13">
        <v>2021</v>
      </c>
      <c r="E45" s="13" t="s">
        <v>395</v>
      </c>
      <c r="F45" s="13" t="s">
        <v>288</v>
      </c>
      <c r="G45" s="13" t="s">
        <v>310</v>
      </c>
      <c r="H45" s="13" t="s">
        <v>262</v>
      </c>
      <c r="I45" s="13" t="s">
        <v>262</v>
      </c>
      <c r="J45" s="13" t="s">
        <v>3</v>
      </c>
      <c r="K45" s="13" t="s">
        <v>3</v>
      </c>
    </row>
    <row r="46" spans="1:11" x14ac:dyDescent="0.3">
      <c r="A46" s="13" t="s">
        <v>268</v>
      </c>
      <c r="B46" s="13" t="s">
        <v>38</v>
      </c>
      <c r="C46" s="13">
        <v>0.71758771438199997</v>
      </c>
      <c r="D46" s="13">
        <v>2021</v>
      </c>
      <c r="E46" s="13" t="s">
        <v>395</v>
      </c>
      <c r="F46" s="13" t="s">
        <v>288</v>
      </c>
      <c r="G46" s="13" t="s">
        <v>311</v>
      </c>
      <c r="H46" s="13" t="s">
        <v>262</v>
      </c>
      <c r="I46" s="13" t="s">
        <v>262</v>
      </c>
      <c r="J46" s="13" t="s">
        <v>3</v>
      </c>
      <c r="K46" s="13" t="s">
        <v>3</v>
      </c>
    </row>
    <row r="47" spans="1:11" x14ac:dyDescent="0.3">
      <c r="A47" s="13" t="s">
        <v>267</v>
      </c>
      <c r="B47" s="13" t="s">
        <v>29</v>
      </c>
      <c r="C47" s="13">
        <v>9.6258630334499866</v>
      </c>
      <c r="D47" s="13">
        <v>2021</v>
      </c>
      <c r="E47" s="13" t="s">
        <v>395</v>
      </c>
      <c r="F47" s="13" t="s">
        <v>287</v>
      </c>
      <c r="G47" s="13" t="s">
        <v>319</v>
      </c>
      <c r="H47" s="13" t="s">
        <v>262</v>
      </c>
      <c r="I47" s="13" t="s">
        <v>262</v>
      </c>
      <c r="J47" s="13" t="s">
        <v>3</v>
      </c>
      <c r="K47" s="13" t="s">
        <v>3</v>
      </c>
    </row>
    <row r="48" spans="1:11" x14ac:dyDescent="0.3">
      <c r="A48" s="13" t="s">
        <v>267</v>
      </c>
      <c r="B48" s="13" t="s">
        <v>73</v>
      </c>
      <c r="C48" s="13">
        <v>3.4604161854148168</v>
      </c>
      <c r="D48" s="13">
        <v>2021</v>
      </c>
      <c r="E48" s="13" t="s">
        <v>395</v>
      </c>
      <c r="F48" s="13" t="s">
        <v>287</v>
      </c>
      <c r="G48" s="13" t="s">
        <v>320</v>
      </c>
      <c r="H48" s="13" t="s">
        <v>262</v>
      </c>
      <c r="I48" s="13" t="s">
        <v>262</v>
      </c>
      <c r="J48" s="13" t="s">
        <v>3</v>
      </c>
      <c r="K48" s="13" t="s">
        <v>3</v>
      </c>
    </row>
    <row r="49" spans="1:11" x14ac:dyDescent="0.3">
      <c r="A49" s="13" t="s">
        <v>267</v>
      </c>
      <c r="B49" s="13" t="s">
        <v>30</v>
      </c>
      <c r="C49" s="13">
        <v>2.3983082473171997</v>
      </c>
      <c r="D49" s="13">
        <v>2021</v>
      </c>
      <c r="E49" s="13" t="s">
        <v>395</v>
      </c>
      <c r="F49" s="13" t="s">
        <v>287</v>
      </c>
      <c r="G49" s="13" t="s">
        <v>321</v>
      </c>
      <c r="H49" s="13" t="s">
        <v>262</v>
      </c>
      <c r="I49" s="13" t="s">
        <v>262</v>
      </c>
      <c r="J49" s="13" t="s">
        <v>3</v>
      </c>
      <c r="K49" s="13" t="s">
        <v>3</v>
      </c>
    </row>
    <row r="50" spans="1:11" x14ac:dyDescent="0.3">
      <c r="A50" s="13" t="s">
        <v>267</v>
      </c>
      <c r="B50" s="13" t="s">
        <v>74</v>
      </c>
      <c r="C50" s="13">
        <v>1.3589158399764825</v>
      </c>
      <c r="D50" s="13">
        <v>2021</v>
      </c>
      <c r="E50" s="13" t="s">
        <v>395</v>
      </c>
      <c r="F50" s="13" t="s">
        <v>287</v>
      </c>
      <c r="G50" s="13" t="s">
        <v>324</v>
      </c>
      <c r="H50" s="13" t="s">
        <v>262</v>
      </c>
      <c r="I50" s="13" t="s">
        <v>262</v>
      </c>
      <c r="J50" s="13" t="s">
        <v>3</v>
      </c>
      <c r="K50" s="13" t="s">
        <v>3</v>
      </c>
    </row>
    <row r="51" spans="1:11" x14ac:dyDescent="0.3">
      <c r="A51" s="13" t="s">
        <v>268</v>
      </c>
      <c r="B51" s="13" t="s">
        <v>29</v>
      </c>
      <c r="C51" s="13">
        <v>5.4331743569920405</v>
      </c>
      <c r="D51" s="13">
        <v>2021</v>
      </c>
      <c r="E51" s="13" t="s">
        <v>395</v>
      </c>
      <c r="F51" s="13" t="s">
        <v>288</v>
      </c>
      <c r="G51" s="13" t="s">
        <v>319</v>
      </c>
      <c r="H51" s="13" t="s">
        <v>262</v>
      </c>
      <c r="I51" s="13" t="s">
        <v>262</v>
      </c>
      <c r="J51" s="13" t="s">
        <v>3</v>
      </c>
      <c r="K51" s="13" t="s">
        <v>3</v>
      </c>
    </row>
    <row r="52" spans="1:11" x14ac:dyDescent="0.3">
      <c r="A52" s="13" t="s">
        <v>268</v>
      </c>
      <c r="B52" s="13" t="s">
        <v>73</v>
      </c>
      <c r="C52" s="13">
        <v>1.978293682720953</v>
      </c>
      <c r="D52" s="13">
        <v>2021</v>
      </c>
      <c r="E52" s="13" t="s">
        <v>395</v>
      </c>
      <c r="F52" s="13" t="s">
        <v>288</v>
      </c>
      <c r="G52" s="13" t="s">
        <v>320</v>
      </c>
      <c r="H52" s="13" t="s">
        <v>262</v>
      </c>
      <c r="I52" s="13" t="s">
        <v>262</v>
      </c>
      <c r="J52" s="13" t="s">
        <v>3</v>
      </c>
      <c r="K52" s="13" t="s">
        <v>3</v>
      </c>
    </row>
    <row r="53" spans="1:11" x14ac:dyDescent="0.3">
      <c r="A53" s="13" t="s">
        <v>268</v>
      </c>
      <c r="B53" s="13" t="s">
        <v>30</v>
      </c>
      <c r="C53" s="13">
        <v>1.3315438249083336</v>
      </c>
      <c r="D53" s="13">
        <v>2021</v>
      </c>
      <c r="E53" s="13" t="s">
        <v>395</v>
      </c>
      <c r="F53" s="13" t="s">
        <v>288</v>
      </c>
      <c r="G53" s="13" t="s">
        <v>321</v>
      </c>
      <c r="H53" s="13" t="s">
        <v>262</v>
      </c>
      <c r="I53" s="13" t="s">
        <v>262</v>
      </c>
      <c r="J53" s="13" t="s">
        <v>3</v>
      </c>
      <c r="K53" s="13" t="s">
        <v>3</v>
      </c>
    </row>
    <row r="54" spans="1:11" x14ac:dyDescent="0.3">
      <c r="A54" s="13" t="s">
        <v>268</v>
      </c>
      <c r="B54" s="13" t="s">
        <v>74</v>
      </c>
      <c r="C54" s="13">
        <v>0.76971385388833591</v>
      </c>
      <c r="D54" s="13">
        <v>2021</v>
      </c>
      <c r="E54" s="13" t="s">
        <v>395</v>
      </c>
      <c r="F54" s="13" t="s">
        <v>288</v>
      </c>
      <c r="G54" s="13" t="s">
        <v>324</v>
      </c>
      <c r="H54" s="13" t="s">
        <v>262</v>
      </c>
      <c r="I54" s="13" t="s">
        <v>262</v>
      </c>
      <c r="J54" s="13" t="s">
        <v>3</v>
      </c>
      <c r="K54" s="13" t="s">
        <v>3</v>
      </c>
    </row>
    <row r="55" spans="1:11" x14ac:dyDescent="0.3">
      <c r="A55" s="13" t="s">
        <v>49</v>
      </c>
      <c r="B55" s="13" t="s">
        <v>44</v>
      </c>
      <c r="C55" s="13">
        <v>1E-4</v>
      </c>
      <c r="D55" s="13">
        <v>2021</v>
      </c>
      <c r="E55" s="13" t="s">
        <v>395</v>
      </c>
      <c r="F55" s="13" t="s">
        <v>289</v>
      </c>
      <c r="G55" s="13" t="s">
        <v>290</v>
      </c>
      <c r="H55" s="13" t="s">
        <v>262</v>
      </c>
      <c r="I55" s="13" t="s">
        <v>262</v>
      </c>
      <c r="J55" s="13" t="s">
        <v>3</v>
      </c>
      <c r="K55" s="13" t="s">
        <v>3</v>
      </c>
    </row>
    <row r="56" spans="1:11" x14ac:dyDescent="0.3">
      <c r="A56" s="13" t="s">
        <v>49</v>
      </c>
      <c r="B56" s="13" t="s">
        <v>37</v>
      </c>
      <c r="C56" s="13">
        <v>0.20677774384799999</v>
      </c>
      <c r="D56" s="13">
        <v>2021</v>
      </c>
      <c r="E56" s="13" t="s">
        <v>395</v>
      </c>
      <c r="F56" s="13" t="s">
        <v>289</v>
      </c>
      <c r="G56" s="13" t="s">
        <v>307</v>
      </c>
      <c r="H56" s="13" t="s">
        <v>262</v>
      </c>
      <c r="I56" s="13" t="s">
        <v>262</v>
      </c>
      <c r="J56" s="13" t="s">
        <v>3</v>
      </c>
      <c r="K56" s="13" t="s">
        <v>3</v>
      </c>
    </row>
    <row r="57" spans="1:11" x14ac:dyDescent="0.3">
      <c r="A57" s="13" t="s">
        <v>49</v>
      </c>
      <c r="B57" s="13" t="s">
        <v>39</v>
      </c>
      <c r="C57" s="13">
        <v>5.1694435961999997E-2</v>
      </c>
      <c r="D57" s="13">
        <v>2021</v>
      </c>
      <c r="E57" s="13" t="s">
        <v>395</v>
      </c>
      <c r="F57" s="13" t="s">
        <v>289</v>
      </c>
      <c r="G57" s="13" t="s">
        <v>308</v>
      </c>
      <c r="H57" s="13" t="s">
        <v>262</v>
      </c>
      <c r="I57" s="13" t="s">
        <v>262</v>
      </c>
      <c r="J57" s="13" t="s">
        <v>3</v>
      </c>
      <c r="K57" s="13" t="s">
        <v>3</v>
      </c>
    </row>
    <row r="58" spans="1:11" x14ac:dyDescent="0.3">
      <c r="A58" s="13" t="s">
        <v>49</v>
      </c>
      <c r="B58" s="13" t="s">
        <v>40</v>
      </c>
      <c r="C58" s="13">
        <v>0.36186105173399996</v>
      </c>
      <c r="D58" s="13">
        <v>2021</v>
      </c>
      <c r="E58" s="13" t="s">
        <v>395</v>
      </c>
      <c r="F58" s="13" t="s">
        <v>289</v>
      </c>
      <c r="G58" s="13" t="s">
        <v>309</v>
      </c>
      <c r="H58" s="13" t="s">
        <v>262</v>
      </c>
      <c r="I58" s="13" t="s">
        <v>262</v>
      </c>
      <c r="J58" s="13" t="s">
        <v>3</v>
      </c>
      <c r="K58" s="13" t="s">
        <v>3</v>
      </c>
    </row>
    <row r="59" spans="1:11" x14ac:dyDescent="0.3">
      <c r="A59" s="13" t="s">
        <v>49</v>
      </c>
      <c r="B59" s="13" t="s">
        <v>41</v>
      </c>
      <c r="C59" s="13">
        <v>0.20677774384799999</v>
      </c>
      <c r="D59" s="13">
        <v>2021</v>
      </c>
      <c r="E59" s="13" t="s">
        <v>395</v>
      </c>
      <c r="F59" s="13" t="s">
        <v>289</v>
      </c>
      <c r="G59" s="13" t="s">
        <v>310</v>
      </c>
      <c r="H59" s="13" t="s">
        <v>262</v>
      </c>
      <c r="I59" s="13" t="s">
        <v>262</v>
      </c>
      <c r="J59" s="13" t="s">
        <v>3</v>
      </c>
      <c r="K59" s="13" t="s">
        <v>3</v>
      </c>
    </row>
    <row r="60" spans="1:11" x14ac:dyDescent="0.3">
      <c r="A60" s="13" t="s">
        <v>49</v>
      </c>
      <c r="B60" s="13" t="s">
        <v>38</v>
      </c>
      <c r="C60" s="13">
        <v>0.20677774384799999</v>
      </c>
      <c r="D60" s="13">
        <v>2021</v>
      </c>
      <c r="E60" s="13" t="s">
        <v>395</v>
      </c>
      <c r="F60" s="13" t="s">
        <v>289</v>
      </c>
      <c r="G60" s="13" t="s">
        <v>311</v>
      </c>
      <c r="H60" s="13" t="s">
        <v>262</v>
      </c>
      <c r="I60" s="13" t="s">
        <v>262</v>
      </c>
      <c r="J60" s="13" t="s">
        <v>3</v>
      </c>
      <c r="K60" s="13" t="s">
        <v>3</v>
      </c>
    </row>
    <row r="61" spans="1:11" x14ac:dyDescent="0.3">
      <c r="A61" s="13" t="s">
        <v>44</v>
      </c>
      <c r="B61" s="13" t="s">
        <v>37</v>
      </c>
      <c r="C61" s="13">
        <v>0.57708473579927988</v>
      </c>
      <c r="D61" s="13">
        <v>2021</v>
      </c>
      <c r="E61" s="13" t="s">
        <v>395</v>
      </c>
      <c r="F61" s="13" t="s">
        <v>290</v>
      </c>
      <c r="G61" s="13" t="s">
        <v>307</v>
      </c>
      <c r="H61" s="13" t="s">
        <v>262</v>
      </c>
      <c r="I61" s="13" t="s">
        <v>262</v>
      </c>
      <c r="J61" s="13" t="s">
        <v>3</v>
      </c>
      <c r="K61" s="13" t="s">
        <v>3</v>
      </c>
    </row>
    <row r="62" spans="1:11" x14ac:dyDescent="0.3">
      <c r="A62" s="13" t="s">
        <v>44</v>
      </c>
      <c r="B62" s="13" t="s">
        <v>39</v>
      </c>
      <c r="C62" s="13">
        <v>1.4427118394981998E-2</v>
      </c>
      <c r="D62" s="13">
        <v>2021</v>
      </c>
      <c r="E62" s="13" t="s">
        <v>395</v>
      </c>
      <c r="F62" s="13" t="s">
        <v>290</v>
      </c>
      <c r="G62" s="13" t="s">
        <v>308</v>
      </c>
      <c r="H62" s="13" t="s">
        <v>262</v>
      </c>
      <c r="I62" s="13" t="s">
        <v>262</v>
      </c>
      <c r="J62" s="13" t="s">
        <v>3</v>
      </c>
      <c r="K62" s="13" t="s">
        <v>3</v>
      </c>
    </row>
    <row r="63" spans="1:11" x14ac:dyDescent="0.3">
      <c r="A63" s="13" t="s">
        <v>44</v>
      </c>
      <c r="B63" s="13" t="s">
        <v>40</v>
      </c>
      <c r="C63" s="13">
        <v>2.8854236789963998</v>
      </c>
      <c r="D63" s="13">
        <v>2021</v>
      </c>
      <c r="E63" s="13" t="s">
        <v>395</v>
      </c>
      <c r="F63" s="13" t="s">
        <v>290</v>
      </c>
      <c r="G63" s="13" t="s">
        <v>309</v>
      </c>
      <c r="H63" s="13" t="s">
        <v>262</v>
      </c>
      <c r="I63" s="13" t="s">
        <v>262</v>
      </c>
      <c r="J63" s="13" t="s">
        <v>3</v>
      </c>
      <c r="K63" s="13" t="s">
        <v>3</v>
      </c>
    </row>
    <row r="64" spans="1:11" x14ac:dyDescent="0.3">
      <c r="A64" s="13" t="s">
        <v>44</v>
      </c>
      <c r="B64" s="13" t="s">
        <v>41</v>
      </c>
      <c r="C64" s="13">
        <v>1.9332338649275878</v>
      </c>
      <c r="D64" s="13">
        <v>2021</v>
      </c>
      <c r="E64" s="13" t="s">
        <v>395</v>
      </c>
      <c r="F64" s="13" t="s">
        <v>290</v>
      </c>
      <c r="G64" s="13" t="s">
        <v>310</v>
      </c>
      <c r="H64" s="13" t="s">
        <v>262</v>
      </c>
      <c r="I64" s="13" t="s">
        <v>262</v>
      </c>
      <c r="J64" s="13" t="s">
        <v>3</v>
      </c>
      <c r="K64" s="13" t="s">
        <v>3</v>
      </c>
    </row>
    <row r="65" spans="1:11" x14ac:dyDescent="0.3">
      <c r="A65" s="13" t="s">
        <v>44</v>
      </c>
      <c r="B65" s="13" t="s">
        <v>38</v>
      </c>
      <c r="C65" s="13">
        <v>1.8033897993727497</v>
      </c>
      <c r="D65" s="13">
        <v>2021</v>
      </c>
      <c r="E65" s="13" t="s">
        <v>395</v>
      </c>
      <c r="F65" s="13" t="s">
        <v>290</v>
      </c>
      <c r="G65" s="13" t="s">
        <v>311</v>
      </c>
      <c r="H65" s="13" t="s">
        <v>262</v>
      </c>
      <c r="I65" s="13" t="s">
        <v>262</v>
      </c>
      <c r="J65" s="13" t="s">
        <v>3</v>
      </c>
      <c r="K65" s="13" t="s">
        <v>3</v>
      </c>
    </row>
    <row r="66" spans="1:11" x14ac:dyDescent="0.3">
      <c r="A66" s="13" t="s">
        <v>45</v>
      </c>
      <c r="B66" s="13" t="s">
        <v>37</v>
      </c>
      <c r="C66" s="13">
        <v>0.11444152187316668</v>
      </c>
      <c r="D66" s="13">
        <v>2021</v>
      </c>
      <c r="E66" s="13" t="s">
        <v>395</v>
      </c>
      <c r="F66" s="13" t="s">
        <v>291</v>
      </c>
      <c r="G66" s="13" t="s">
        <v>307</v>
      </c>
      <c r="H66" s="13" t="s">
        <v>262</v>
      </c>
      <c r="I66" s="13" t="s">
        <v>262</v>
      </c>
      <c r="J66" s="13" t="s">
        <v>3</v>
      </c>
      <c r="K66" s="13" t="s">
        <v>3</v>
      </c>
    </row>
    <row r="67" spans="1:11" x14ac:dyDescent="0.3">
      <c r="A67" s="13" t="s">
        <v>45</v>
      </c>
      <c r="B67" s="13" t="s">
        <v>40</v>
      </c>
      <c r="C67" s="13">
        <v>1.5449605452877504</v>
      </c>
      <c r="D67" s="13">
        <v>2021</v>
      </c>
      <c r="E67" s="13" t="s">
        <v>395</v>
      </c>
      <c r="F67" s="13" t="s">
        <v>291</v>
      </c>
      <c r="G67" s="13" t="s">
        <v>309</v>
      </c>
      <c r="H67" s="13" t="s">
        <v>262</v>
      </c>
      <c r="I67" s="13" t="s">
        <v>262</v>
      </c>
      <c r="J67" s="13" t="s">
        <v>3</v>
      </c>
      <c r="K67" s="13" t="s">
        <v>3</v>
      </c>
    </row>
    <row r="68" spans="1:11" x14ac:dyDescent="0.3">
      <c r="A68" s="13" t="s">
        <v>45</v>
      </c>
      <c r="B68" s="13" t="s">
        <v>41</v>
      </c>
      <c r="C68" s="13">
        <v>3.776570221814501</v>
      </c>
      <c r="D68" s="13">
        <v>2021</v>
      </c>
      <c r="E68" s="13" t="s">
        <v>395</v>
      </c>
      <c r="F68" s="13" t="s">
        <v>291</v>
      </c>
      <c r="G68" s="13" t="s">
        <v>310</v>
      </c>
      <c r="H68" s="13" t="s">
        <v>262</v>
      </c>
      <c r="I68" s="13" t="s">
        <v>262</v>
      </c>
      <c r="J68" s="13" t="s">
        <v>3</v>
      </c>
      <c r="K68" s="13" t="s">
        <v>3</v>
      </c>
    </row>
    <row r="69" spans="1:11" x14ac:dyDescent="0.3">
      <c r="A69" s="13" t="s">
        <v>45</v>
      </c>
      <c r="B69" s="13" t="s">
        <v>38</v>
      </c>
      <c r="C69" s="13">
        <v>0.28610380468291668</v>
      </c>
      <c r="D69" s="13">
        <v>2021</v>
      </c>
      <c r="E69" s="13" t="s">
        <v>395</v>
      </c>
      <c r="F69" s="13" t="s">
        <v>291</v>
      </c>
      <c r="G69" s="13" t="s">
        <v>311</v>
      </c>
      <c r="H69" s="13" t="s">
        <v>262</v>
      </c>
      <c r="I69" s="13" t="s">
        <v>262</v>
      </c>
      <c r="J69" s="13" t="s">
        <v>3</v>
      </c>
      <c r="K69" s="13" t="s">
        <v>3</v>
      </c>
    </row>
    <row r="70" spans="1:11" x14ac:dyDescent="0.3">
      <c r="A70" s="13" t="s">
        <v>46</v>
      </c>
      <c r="B70" s="13" t="s">
        <v>37</v>
      </c>
      <c r="C70" s="13">
        <v>0.10775088335653714</v>
      </c>
      <c r="D70" s="13">
        <v>2021</v>
      </c>
      <c r="E70" s="13" t="s">
        <v>395</v>
      </c>
      <c r="F70" s="13" t="s">
        <v>292</v>
      </c>
      <c r="G70" s="13" t="s">
        <v>307</v>
      </c>
      <c r="H70" s="13" t="s">
        <v>262</v>
      </c>
      <c r="I70" s="13" t="s">
        <v>262</v>
      </c>
      <c r="J70" s="13" t="s">
        <v>3</v>
      </c>
      <c r="K70" s="13" t="s">
        <v>3</v>
      </c>
    </row>
    <row r="71" spans="1:11" x14ac:dyDescent="0.3">
      <c r="A71" s="13" t="s">
        <v>46</v>
      </c>
      <c r="B71" s="13" t="s">
        <v>40</v>
      </c>
      <c r="C71" s="13">
        <v>1.5246749994950006</v>
      </c>
      <c r="D71" s="13">
        <v>2021</v>
      </c>
      <c r="E71" s="13" t="s">
        <v>395</v>
      </c>
      <c r="F71" s="13" t="s">
        <v>292</v>
      </c>
      <c r="G71" s="13" t="s">
        <v>309</v>
      </c>
      <c r="H71" s="13" t="s">
        <v>262</v>
      </c>
      <c r="I71" s="13" t="s">
        <v>262</v>
      </c>
      <c r="J71" s="13" t="s">
        <v>3</v>
      </c>
      <c r="K71" s="13" t="s">
        <v>3</v>
      </c>
    </row>
    <row r="72" spans="1:11" x14ac:dyDescent="0.3">
      <c r="A72" s="13" t="s">
        <v>46</v>
      </c>
      <c r="B72" s="13" t="s">
        <v>41</v>
      </c>
      <c r="C72" s="13">
        <v>5.3875441678268569E-2</v>
      </c>
      <c r="D72" s="13">
        <v>2021</v>
      </c>
      <c r="E72" s="13" t="s">
        <v>395</v>
      </c>
      <c r="F72" s="13" t="s">
        <v>292</v>
      </c>
      <c r="G72" s="13" t="s">
        <v>310</v>
      </c>
      <c r="H72" s="13" t="s">
        <v>262</v>
      </c>
      <c r="I72" s="13" t="s">
        <v>262</v>
      </c>
      <c r="J72" s="13" t="s">
        <v>3</v>
      </c>
      <c r="K72" s="13" t="s">
        <v>3</v>
      </c>
    </row>
    <row r="73" spans="1:11" x14ac:dyDescent="0.3">
      <c r="A73" s="13" t="s">
        <v>46</v>
      </c>
      <c r="B73" s="13" t="s">
        <v>38</v>
      </c>
      <c r="C73" s="13">
        <v>0.10775088335653714</v>
      </c>
      <c r="D73" s="13">
        <v>2021</v>
      </c>
      <c r="E73" s="13" t="s">
        <v>395</v>
      </c>
      <c r="F73" s="13" t="s">
        <v>292</v>
      </c>
      <c r="G73" s="13" t="s">
        <v>311</v>
      </c>
      <c r="H73" s="13" t="s">
        <v>262</v>
      </c>
      <c r="I73" s="13" t="s">
        <v>262</v>
      </c>
      <c r="J73" s="13" t="s">
        <v>3</v>
      </c>
      <c r="K73" s="13" t="s">
        <v>3</v>
      </c>
    </row>
    <row r="74" spans="1:11" x14ac:dyDescent="0.3">
      <c r="A74" s="13" t="s">
        <v>176</v>
      </c>
      <c r="B74" s="13" t="s">
        <v>37</v>
      </c>
      <c r="C74" s="13">
        <v>0.14349134716664289</v>
      </c>
      <c r="D74" s="13">
        <v>2021</v>
      </c>
      <c r="E74" s="13" t="s">
        <v>395</v>
      </c>
      <c r="F74" s="13" t="s">
        <v>293</v>
      </c>
      <c r="G74" s="13" t="s">
        <v>307</v>
      </c>
      <c r="H74" s="13" t="s">
        <v>262</v>
      </c>
      <c r="I74" s="13" t="s">
        <v>262</v>
      </c>
      <c r="J74" s="13" t="s">
        <v>3</v>
      </c>
      <c r="K74" s="13" t="s">
        <v>3</v>
      </c>
    </row>
    <row r="75" spans="1:11" x14ac:dyDescent="0.3">
      <c r="A75" s="13" t="s">
        <v>176</v>
      </c>
      <c r="B75" s="13" t="s">
        <v>40</v>
      </c>
      <c r="C75" s="13">
        <v>5.739653886665716E-2</v>
      </c>
      <c r="D75" s="13">
        <v>2021</v>
      </c>
      <c r="E75" s="13" t="s">
        <v>395</v>
      </c>
      <c r="F75" s="13" t="s">
        <v>293</v>
      </c>
      <c r="G75" s="13" t="s">
        <v>309</v>
      </c>
      <c r="H75" s="13" t="s">
        <v>262</v>
      </c>
      <c r="I75" s="13" t="s">
        <v>262</v>
      </c>
      <c r="J75" s="13" t="s">
        <v>3</v>
      </c>
      <c r="K75" s="13" t="s">
        <v>3</v>
      </c>
    </row>
    <row r="76" spans="1:11" x14ac:dyDescent="0.3">
      <c r="A76" s="13" t="s">
        <v>176</v>
      </c>
      <c r="B76" s="13" t="s">
        <v>41</v>
      </c>
      <c r="C76" s="13">
        <v>8.6094808299985726E-2</v>
      </c>
      <c r="D76" s="13">
        <v>2021</v>
      </c>
      <c r="E76" s="13" t="s">
        <v>395</v>
      </c>
      <c r="F76" s="13" t="s">
        <v>293</v>
      </c>
      <c r="G76" s="13" t="s">
        <v>310</v>
      </c>
      <c r="H76" s="13" t="s">
        <v>262</v>
      </c>
      <c r="I76" s="13" t="s">
        <v>262</v>
      </c>
      <c r="J76" s="13" t="s">
        <v>3</v>
      </c>
      <c r="K76" s="13" t="s">
        <v>3</v>
      </c>
    </row>
    <row r="77" spans="1:11" x14ac:dyDescent="0.3">
      <c r="A77" s="13" t="s">
        <v>176</v>
      </c>
      <c r="B77" s="13" t="s">
        <v>38</v>
      </c>
      <c r="C77" s="13">
        <v>0.28698269433328577</v>
      </c>
      <c r="D77" s="13">
        <v>2021</v>
      </c>
      <c r="E77" s="13" t="s">
        <v>395</v>
      </c>
      <c r="F77" s="13" t="s">
        <v>293</v>
      </c>
      <c r="G77" s="13" t="s">
        <v>311</v>
      </c>
      <c r="H77" s="13" t="s">
        <v>262</v>
      </c>
      <c r="I77" s="13" t="s">
        <v>262</v>
      </c>
      <c r="J77" s="13" t="s">
        <v>3</v>
      </c>
      <c r="K77" s="13" t="s">
        <v>3</v>
      </c>
    </row>
    <row r="78" spans="1:11" x14ac:dyDescent="0.3">
      <c r="A78" s="13" t="s">
        <v>205</v>
      </c>
      <c r="B78" s="13" t="s">
        <v>37</v>
      </c>
      <c r="C78" s="13">
        <v>0.40295666494502441</v>
      </c>
      <c r="D78" s="13">
        <v>2021</v>
      </c>
      <c r="E78" s="13" t="s">
        <v>395</v>
      </c>
      <c r="F78" s="13" t="s">
        <v>294</v>
      </c>
      <c r="G78" s="13" t="s">
        <v>307</v>
      </c>
      <c r="H78" s="13" t="s">
        <v>262</v>
      </c>
      <c r="I78" s="13" t="s">
        <v>262</v>
      </c>
      <c r="J78" s="13" t="s">
        <v>3</v>
      </c>
      <c r="K78" s="13" t="s">
        <v>3</v>
      </c>
    </row>
    <row r="79" spans="1:11" x14ac:dyDescent="0.3">
      <c r="A79" s="13" t="s">
        <v>205</v>
      </c>
      <c r="B79" s="13" t="s">
        <v>40</v>
      </c>
      <c r="C79" s="13">
        <v>2.0147833247251223</v>
      </c>
      <c r="D79" s="13">
        <v>2021</v>
      </c>
      <c r="E79" s="13" t="s">
        <v>395</v>
      </c>
      <c r="F79" s="13" t="s">
        <v>294</v>
      </c>
      <c r="G79" s="13" t="s">
        <v>309</v>
      </c>
      <c r="H79" s="13" t="s">
        <v>262</v>
      </c>
      <c r="I79" s="13" t="s">
        <v>262</v>
      </c>
      <c r="J79" s="13" t="s">
        <v>3</v>
      </c>
      <c r="K79" s="13" t="s">
        <v>3</v>
      </c>
    </row>
    <row r="80" spans="1:11" x14ac:dyDescent="0.3">
      <c r="A80" s="13" t="s">
        <v>205</v>
      </c>
      <c r="B80" s="13" t="s">
        <v>41</v>
      </c>
      <c r="C80" s="13">
        <v>3.8280883169777322</v>
      </c>
      <c r="D80" s="13">
        <v>2021</v>
      </c>
      <c r="E80" s="13" t="s">
        <v>395</v>
      </c>
      <c r="F80" s="13" t="s">
        <v>294</v>
      </c>
      <c r="G80" s="13" t="s">
        <v>310</v>
      </c>
      <c r="H80" s="13" t="s">
        <v>262</v>
      </c>
      <c r="I80" s="13" t="s">
        <v>262</v>
      </c>
      <c r="J80" s="13" t="s">
        <v>3</v>
      </c>
      <c r="K80" s="13" t="s">
        <v>3</v>
      </c>
    </row>
    <row r="81" spans="1:11" x14ac:dyDescent="0.3">
      <c r="A81" s="13" t="s">
        <v>205</v>
      </c>
      <c r="B81" s="13" t="s">
        <v>38</v>
      </c>
      <c r="C81" s="13">
        <v>0.47011610910252855</v>
      </c>
      <c r="D81" s="13">
        <v>2021</v>
      </c>
      <c r="E81" s="13" t="s">
        <v>395</v>
      </c>
      <c r="F81" s="13" t="s">
        <v>294</v>
      </c>
      <c r="G81" s="13" t="s">
        <v>311</v>
      </c>
      <c r="H81" s="13" t="s">
        <v>262</v>
      </c>
      <c r="I81" s="13" t="s">
        <v>262</v>
      </c>
      <c r="J81" s="13" t="s">
        <v>3</v>
      </c>
      <c r="K81" s="13" t="s">
        <v>3</v>
      </c>
    </row>
    <row r="82" spans="1:11" x14ac:dyDescent="0.3">
      <c r="A82" s="13" t="s">
        <v>36</v>
      </c>
      <c r="B82" s="13" t="s">
        <v>32</v>
      </c>
      <c r="C82" s="13">
        <v>0.94545795158710666</v>
      </c>
      <c r="D82" s="13">
        <v>2021</v>
      </c>
      <c r="E82" s="13" t="s">
        <v>395</v>
      </c>
      <c r="F82" s="13" t="s">
        <v>306</v>
      </c>
      <c r="G82" s="13" t="s">
        <v>314</v>
      </c>
      <c r="H82" s="13" t="s">
        <v>262</v>
      </c>
      <c r="I82" s="13" t="s">
        <v>262</v>
      </c>
      <c r="J82" s="13" t="s">
        <v>3</v>
      </c>
      <c r="K82" s="13" t="s">
        <v>3</v>
      </c>
    </row>
    <row r="83" spans="1:11" x14ac:dyDescent="0.3">
      <c r="A83" s="13" t="s">
        <v>36</v>
      </c>
      <c r="B83" s="13" t="s">
        <v>33</v>
      </c>
      <c r="C83" s="13">
        <v>1.8909159031742133</v>
      </c>
      <c r="D83" s="13">
        <v>2021</v>
      </c>
      <c r="E83" s="13" t="s">
        <v>395</v>
      </c>
      <c r="F83" s="13" t="s">
        <v>306</v>
      </c>
      <c r="G83" s="13" t="s">
        <v>315</v>
      </c>
      <c r="H83" s="13" t="s">
        <v>262</v>
      </c>
      <c r="I83" s="13" t="s">
        <v>262</v>
      </c>
      <c r="J83" s="13" t="s">
        <v>3</v>
      </c>
      <c r="K83" s="13" t="s">
        <v>3</v>
      </c>
    </row>
    <row r="84" spans="1:11" x14ac:dyDescent="0.3">
      <c r="A84" s="13" t="s">
        <v>36</v>
      </c>
      <c r="B84" s="13" t="s">
        <v>34</v>
      </c>
      <c r="C84" s="13">
        <v>0.94545795158710666</v>
      </c>
      <c r="D84" s="13">
        <v>2021</v>
      </c>
      <c r="E84" s="13" t="s">
        <v>395</v>
      </c>
      <c r="F84" s="13" t="s">
        <v>306</v>
      </c>
      <c r="G84" s="13" t="s">
        <v>316</v>
      </c>
      <c r="H84" s="13" t="s">
        <v>262</v>
      </c>
      <c r="I84" s="13" t="s">
        <v>262</v>
      </c>
      <c r="J84" s="13" t="s">
        <v>3</v>
      </c>
      <c r="K84" s="13" t="s">
        <v>3</v>
      </c>
    </row>
    <row r="85" spans="1:11" x14ac:dyDescent="0.3">
      <c r="A85" s="13" t="s">
        <v>36</v>
      </c>
      <c r="B85" s="13" t="s">
        <v>57</v>
      </c>
      <c r="C85" s="13">
        <v>0.94545795158710666</v>
      </c>
      <c r="D85" s="13">
        <v>2021</v>
      </c>
      <c r="E85" s="13" t="s">
        <v>395</v>
      </c>
      <c r="F85" s="13" t="s">
        <v>306</v>
      </c>
      <c r="G85" s="13" t="s">
        <v>318</v>
      </c>
      <c r="H85" s="13" t="s">
        <v>262</v>
      </c>
      <c r="I85" s="13" t="s">
        <v>262</v>
      </c>
      <c r="J85" s="13" t="s">
        <v>3</v>
      </c>
      <c r="K85" s="13" t="s">
        <v>3</v>
      </c>
    </row>
    <row r="86" spans="1:11" x14ac:dyDescent="0.3">
      <c r="A86" s="13" t="s">
        <v>32</v>
      </c>
      <c r="B86" s="13" t="s">
        <v>371</v>
      </c>
      <c r="C86" s="13">
        <v>3.2895268264427155</v>
      </c>
      <c r="D86" s="13">
        <v>2021</v>
      </c>
      <c r="E86" s="13" t="s">
        <v>395</v>
      </c>
      <c r="F86" s="13" t="s">
        <v>314</v>
      </c>
      <c r="G86" s="13" t="s">
        <v>325</v>
      </c>
      <c r="H86" s="13" t="s">
        <v>262</v>
      </c>
      <c r="I86" s="13" t="s">
        <v>262</v>
      </c>
      <c r="J86" s="13" t="s">
        <v>3</v>
      </c>
      <c r="K86" s="13" t="s">
        <v>3</v>
      </c>
    </row>
    <row r="87" spans="1:11" x14ac:dyDescent="0.3">
      <c r="A87" s="13" t="s">
        <v>33</v>
      </c>
      <c r="B87" s="13" t="s">
        <v>371</v>
      </c>
      <c r="C87" s="13">
        <v>11.571787262562443</v>
      </c>
      <c r="D87" s="13">
        <v>2021</v>
      </c>
      <c r="E87" s="13" t="s">
        <v>395</v>
      </c>
      <c r="F87" s="13" t="s">
        <v>315</v>
      </c>
      <c r="G87" s="13" t="s">
        <v>325</v>
      </c>
      <c r="H87" s="13" t="s">
        <v>262</v>
      </c>
      <c r="I87" s="13" t="s">
        <v>262</v>
      </c>
      <c r="J87" s="13" t="s">
        <v>3</v>
      </c>
      <c r="K87" s="13" t="s">
        <v>3</v>
      </c>
    </row>
    <row r="88" spans="1:11" x14ac:dyDescent="0.3">
      <c r="A88" s="13" t="s">
        <v>34</v>
      </c>
      <c r="B88" s="13" t="s">
        <v>371</v>
      </c>
      <c r="C88" s="13">
        <v>0.91839581448908292</v>
      </c>
      <c r="D88" s="13">
        <v>2021</v>
      </c>
      <c r="E88" s="13" t="s">
        <v>395</v>
      </c>
      <c r="F88" s="13" t="s">
        <v>316</v>
      </c>
      <c r="G88" s="13" t="s">
        <v>325</v>
      </c>
      <c r="H88" s="13" t="s">
        <v>262</v>
      </c>
      <c r="I88" s="13" t="s">
        <v>262</v>
      </c>
      <c r="J88" s="13" t="s">
        <v>3</v>
      </c>
      <c r="K88" s="13" t="s">
        <v>3</v>
      </c>
    </row>
    <row r="89" spans="1:11" x14ac:dyDescent="0.3">
      <c r="A89" s="13" t="s">
        <v>57</v>
      </c>
      <c r="B89" s="13" t="s">
        <v>371</v>
      </c>
      <c r="C89" s="13">
        <v>0.91839581448908292</v>
      </c>
      <c r="D89" s="13">
        <v>2021</v>
      </c>
      <c r="E89" s="13" t="s">
        <v>395</v>
      </c>
      <c r="F89" s="13" t="s">
        <v>318</v>
      </c>
      <c r="G89" s="13" t="s">
        <v>325</v>
      </c>
      <c r="H89" s="13" t="s">
        <v>262</v>
      </c>
      <c r="I89" s="13" t="s">
        <v>262</v>
      </c>
      <c r="J89" s="13" t="s">
        <v>3</v>
      </c>
      <c r="K89" s="13" t="s">
        <v>3</v>
      </c>
    </row>
    <row r="90" spans="1:11" x14ac:dyDescent="0.3">
      <c r="A90" s="13" t="s">
        <v>371</v>
      </c>
      <c r="B90" s="13" t="s">
        <v>392</v>
      </c>
      <c r="C90" s="13">
        <v>6.1745035952204539</v>
      </c>
      <c r="D90" s="13">
        <v>2021</v>
      </c>
      <c r="E90" s="13" t="s">
        <v>395</v>
      </c>
      <c r="F90" s="13" t="s">
        <v>325</v>
      </c>
      <c r="G90" s="13" t="s">
        <v>290</v>
      </c>
      <c r="H90" s="13" t="s">
        <v>262</v>
      </c>
      <c r="I90" s="13" t="s">
        <v>18</v>
      </c>
      <c r="J90" s="13" t="s">
        <v>3</v>
      </c>
      <c r="K90" s="13" t="s">
        <v>404</v>
      </c>
    </row>
    <row r="91" spans="1:11" x14ac:dyDescent="0.3">
      <c r="A91" s="13" t="s">
        <v>371</v>
      </c>
      <c r="B91" s="13" t="s">
        <v>351</v>
      </c>
      <c r="C91" s="13">
        <v>3.5812120852278633</v>
      </c>
      <c r="D91" s="13">
        <v>2021</v>
      </c>
      <c r="E91" s="13" t="s">
        <v>395</v>
      </c>
      <c r="F91" s="13" t="s">
        <v>325</v>
      </c>
      <c r="G91" s="13" t="s">
        <v>332</v>
      </c>
      <c r="H91" s="13" t="s">
        <v>262</v>
      </c>
      <c r="I91" s="13" t="s">
        <v>262</v>
      </c>
      <c r="J91" s="13" t="s">
        <v>3</v>
      </c>
      <c r="K91" s="13" t="s">
        <v>3</v>
      </c>
    </row>
    <row r="92" spans="1:11" x14ac:dyDescent="0.3">
      <c r="A92" s="13" t="s">
        <v>371</v>
      </c>
      <c r="B92" s="13" t="s">
        <v>916</v>
      </c>
      <c r="C92" s="13">
        <v>1.6671159707095229</v>
      </c>
      <c r="D92" s="13">
        <v>2021</v>
      </c>
      <c r="E92" s="13" t="s">
        <v>395</v>
      </c>
      <c r="F92" s="13" t="s">
        <v>325</v>
      </c>
      <c r="G92" s="13" t="s">
        <v>333</v>
      </c>
      <c r="H92" s="13" t="s">
        <v>262</v>
      </c>
      <c r="I92" s="13" t="s">
        <v>262</v>
      </c>
      <c r="J92" s="13" t="s">
        <v>3</v>
      </c>
      <c r="K92" s="13" t="s">
        <v>3</v>
      </c>
    </row>
    <row r="93" spans="1:11" x14ac:dyDescent="0.3">
      <c r="A93" s="13" t="s">
        <v>371</v>
      </c>
      <c r="B93" s="13" t="s">
        <v>391</v>
      </c>
      <c r="C93" s="13">
        <v>0.92617553928306817</v>
      </c>
      <c r="D93" s="13">
        <v>2021</v>
      </c>
      <c r="E93" s="13" t="s">
        <v>395</v>
      </c>
      <c r="F93" s="13" t="s">
        <v>325</v>
      </c>
      <c r="G93" s="13" t="s">
        <v>338</v>
      </c>
      <c r="H93" s="13" t="s">
        <v>262</v>
      </c>
      <c r="I93" s="13" t="s">
        <v>262</v>
      </c>
      <c r="J93" s="13" t="s">
        <v>3</v>
      </c>
      <c r="K93" s="13" t="s">
        <v>3</v>
      </c>
    </row>
    <row r="94" spans="1:11" x14ac:dyDescent="0.3">
      <c r="A94" s="13" t="s">
        <v>371</v>
      </c>
      <c r="B94" s="13" t="s">
        <v>403</v>
      </c>
      <c r="C94" s="13">
        <v>10.52360212276287</v>
      </c>
      <c r="D94" s="13">
        <v>2021</v>
      </c>
      <c r="E94" s="13" t="s">
        <v>395</v>
      </c>
      <c r="F94" s="13" t="s">
        <v>325</v>
      </c>
      <c r="G94" s="13" t="s">
        <v>291</v>
      </c>
      <c r="H94" s="13" t="s">
        <v>262</v>
      </c>
      <c r="I94" s="13" t="s">
        <v>18</v>
      </c>
      <c r="J94" s="13" t="s">
        <v>3</v>
      </c>
      <c r="K94" s="13" t="s">
        <v>407</v>
      </c>
    </row>
    <row r="95" spans="1:11" x14ac:dyDescent="0.3">
      <c r="A95" s="13" t="s">
        <v>371</v>
      </c>
      <c r="B95" s="13" t="s">
        <v>406</v>
      </c>
      <c r="C95" s="13">
        <v>2.5670276067839621</v>
      </c>
      <c r="D95" s="13">
        <v>2021</v>
      </c>
      <c r="E95" s="13" t="s">
        <v>395</v>
      </c>
      <c r="F95" s="13" t="s">
        <v>325</v>
      </c>
      <c r="G95" s="13" t="s">
        <v>349</v>
      </c>
      <c r="H95" s="13" t="s">
        <v>262</v>
      </c>
      <c r="I95" s="13" t="s">
        <v>262</v>
      </c>
      <c r="J95" s="13" t="s">
        <v>3</v>
      </c>
      <c r="K95" s="13" t="s">
        <v>3</v>
      </c>
    </row>
    <row r="96" spans="1:11" x14ac:dyDescent="0.3">
      <c r="A96" s="13" t="s">
        <v>371</v>
      </c>
      <c r="B96" s="13" t="s">
        <v>352</v>
      </c>
      <c r="C96" s="13">
        <v>5.9331607645398918</v>
      </c>
      <c r="D96" s="13">
        <v>2021</v>
      </c>
      <c r="E96" s="13" t="s">
        <v>395</v>
      </c>
      <c r="F96" s="13" t="s">
        <v>325</v>
      </c>
      <c r="G96" s="13" t="s">
        <v>353</v>
      </c>
      <c r="H96" s="13" t="s">
        <v>262</v>
      </c>
      <c r="I96" s="13" t="s">
        <v>262</v>
      </c>
      <c r="J96" s="13" t="s">
        <v>3</v>
      </c>
      <c r="K96" s="13" t="s">
        <v>3</v>
      </c>
    </row>
    <row r="97" spans="1:11" x14ac:dyDescent="0.3">
      <c r="A97" s="13" t="s">
        <v>371</v>
      </c>
      <c r="B97" s="13" t="s">
        <v>373</v>
      </c>
      <c r="C97" s="13">
        <v>2.0234137514390174</v>
      </c>
      <c r="D97" s="13">
        <v>2021</v>
      </c>
      <c r="E97" s="13" t="s">
        <v>395</v>
      </c>
      <c r="F97" s="13" t="s">
        <v>325</v>
      </c>
      <c r="G97" s="13" t="s">
        <v>354</v>
      </c>
      <c r="H97" s="13" t="s">
        <v>262</v>
      </c>
      <c r="I97" s="13" t="s">
        <v>262</v>
      </c>
      <c r="J97" s="13" t="s">
        <v>3</v>
      </c>
      <c r="K97" s="13" t="s">
        <v>3</v>
      </c>
    </row>
    <row r="98" spans="1:11" x14ac:dyDescent="0.3">
      <c r="A98" s="13" t="s">
        <v>372</v>
      </c>
      <c r="B98" s="13" t="s">
        <v>392</v>
      </c>
      <c r="C98" s="13">
        <v>23.060336312302685</v>
      </c>
      <c r="D98" s="13">
        <v>2021</v>
      </c>
      <c r="E98" s="13" t="s">
        <v>395</v>
      </c>
      <c r="F98" s="13" t="s">
        <v>326</v>
      </c>
      <c r="G98" s="13" t="s">
        <v>290</v>
      </c>
      <c r="H98" s="13" t="s">
        <v>262</v>
      </c>
      <c r="I98" s="13" t="s">
        <v>18</v>
      </c>
      <c r="J98" s="13" t="s">
        <v>3</v>
      </c>
      <c r="K98" s="13" t="s">
        <v>404</v>
      </c>
    </row>
    <row r="99" spans="1:11" x14ac:dyDescent="0.3">
      <c r="A99" s="13" t="s">
        <v>372</v>
      </c>
      <c r="B99" s="13" t="s">
        <v>351</v>
      </c>
      <c r="C99" s="13">
        <v>2.6795726478740773</v>
      </c>
      <c r="D99" s="13">
        <v>2021</v>
      </c>
      <c r="E99" s="13" t="s">
        <v>395</v>
      </c>
      <c r="F99" s="13" t="s">
        <v>326</v>
      </c>
      <c r="G99" s="13" t="s">
        <v>332</v>
      </c>
      <c r="H99" s="13" t="s">
        <v>262</v>
      </c>
      <c r="I99" s="13" t="s">
        <v>262</v>
      </c>
      <c r="J99" s="13" t="s">
        <v>3</v>
      </c>
      <c r="K99" s="13" t="s">
        <v>3</v>
      </c>
    </row>
    <row r="100" spans="1:11" x14ac:dyDescent="0.3">
      <c r="A100" s="13" t="s">
        <v>372</v>
      </c>
      <c r="B100" s="13" t="s">
        <v>391</v>
      </c>
      <c r="C100" s="13">
        <v>1.1049984644286086</v>
      </c>
      <c r="D100" s="13">
        <v>2021</v>
      </c>
      <c r="E100" s="13" t="s">
        <v>395</v>
      </c>
      <c r="F100" s="13" t="s">
        <v>326</v>
      </c>
      <c r="G100" s="13" t="s">
        <v>338</v>
      </c>
      <c r="H100" s="13" t="s">
        <v>262</v>
      </c>
      <c r="I100" s="13" t="s">
        <v>262</v>
      </c>
      <c r="J100" s="13" t="s">
        <v>3</v>
      </c>
      <c r="K100" s="13" t="s">
        <v>3</v>
      </c>
    </row>
    <row r="101" spans="1:11" x14ac:dyDescent="0.3">
      <c r="A101" s="13" t="s">
        <v>372</v>
      </c>
      <c r="B101" s="13" t="s">
        <v>403</v>
      </c>
      <c r="C101" s="13">
        <v>13.013261202197308</v>
      </c>
      <c r="D101" s="13">
        <v>2021</v>
      </c>
      <c r="E101" s="13" t="s">
        <v>395</v>
      </c>
      <c r="F101" s="13" t="s">
        <v>326</v>
      </c>
      <c r="G101" s="13" t="s">
        <v>291</v>
      </c>
      <c r="H101" s="13" t="s">
        <v>262</v>
      </c>
      <c r="I101" s="13" t="s">
        <v>18</v>
      </c>
      <c r="J101" s="13" t="s">
        <v>3</v>
      </c>
      <c r="K101" s="13" t="s">
        <v>407</v>
      </c>
    </row>
    <row r="102" spans="1:11" x14ac:dyDescent="0.3">
      <c r="A102" s="13" t="s">
        <v>372</v>
      </c>
      <c r="B102" s="13" t="s">
        <v>406</v>
      </c>
      <c r="C102" s="13">
        <v>1.1483882776603191</v>
      </c>
      <c r="D102" s="13">
        <v>2021</v>
      </c>
      <c r="E102" s="13" t="s">
        <v>395</v>
      </c>
      <c r="F102" s="13" t="s">
        <v>326</v>
      </c>
      <c r="G102" s="13" t="s">
        <v>349</v>
      </c>
      <c r="H102" s="13" t="s">
        <v>262</v>
      </c>
      <c r="I102" s="13" t="s">
        <v>262</v>
      </c>
      <c r="J102" s="13" t="s">
        <v>3</v>
      </c>
      <c r="K102" s="13" t="s">
        <v>3</v>
      </c>
    </row>
    <row r="103" spans="1:11" x14ac:dyDescent="0.3">
      <c r="A103" s="13" t="s">
        <v>372</v>
      </c>
      <c r="B103" s="13" t="s">
        <v>352</v>
      </c>
      <c r="C103" s="13">
        <v>8.8475509618794277</v>
      </c>
      <c r="D103" s="13">
        <v>2021</v>
      </c>
      <c r="E103" s="13" t="s">
        <v>395</v>
      </c>
      <c r="F103" s="13" t="s">
        <v>326</v>
      </c>
      <c r="G103" s="13" t="s">
        <v>353</v>
      </c>
      <c r="H103" s="13" t="s">
        <v>262</v>
      </c>
      <c r="I103" s="13" t="s">
        <v>262</v>
      </c>
      <c r="J103" s="13" t="s">
        <v>3</v>
      </c>
      <c r="K103" s="13" t="s">
        <v>3</v>
      </c>
    </row>
    <row r="104" spans="1:11" x14ac:dyDescent="0.3">
      <c r="A104" s="13" t="s">
        <v>372</v>
      </c>
      <c r="B104" s="13" t="s">
        <v>373</v>
      </c>
      <c r="C104" s="13">
        <v>3.0173219626575607</v>
      </c>
      <c r="D104" s="13">
        <v>2021</v>
      </c>
      <c r="E104" s="13" t="s">
        <v>395</v>
      </c>
      <c r="F104" s="13" t="s">
        <v>326</v>
      </c>
      <c r="G104" s="13" t="s">
        <v>354</v>
      </c>
      <c r="H104" s="13" t="s">
        <v>262</v>
      </c>
      <c r="I104" s="13" t="s">
        <v>262</v>
      </c>
      <c r="J104" s="13" t="s">
        <v>3</v>
      </c>
      <c r="K104" s="13" t="s">
        <v>3</v>
      </c>
    </row>
    <row r="105" spans="1:11" x14ac:dyDescent="0.3">
      <c r="A105" s="13" t="s">
        <v>29</v>
      </c>
      <c r="B105" s="13" t="s">
        <v>392</v>
      </c>
      <c r="C105" s="13">
        <v>12.521868810173016</v>
      </c>
      <c r="D105" s="13" t="s">
        <v>19</v>
      </c>
      <c r="E105" s="13" t="s">
        <v>395</v>
      </c>
      <c r="F105" s="13" t="s">
        <v>319</v>
      </c>
      <c r="G105" s="13" t="s">
        <v>290</v>
      </c>
      <c r="H105" s="13" t="s">
        <v>262</v>
      </c>
      <c r="I105" s="13" t="s">
        <v>18</v>
      </c>
      <c r="J105" s="13" t="s">
        <v>3</v>
      </c>
      <c r="K105" s="13" t="s">
        <v>404</v>
      </c>
    </row>
    <row r="106" spans="1:11" x14ac:dyDescent="0.3">
      <c r="A106" s="13" t="s">
        <v>29</v>
      </c>
      <c r="B106" s="13" t="s">
        <v>351</v>
      </c>
      <c r="C106" s="13">
        <v>11.383517100157286</v>
      </c>
      <c r="D106" s="13" t="s">
        <v>19</v>
      </c>
      <c r="E106" s="13" t="s">
        <v>395</v>
      </c>
      <c r="F106" s="13" t="s">
        <v>319</v>
      </c>
      <c r="G106" s="13" t="s">
        <v>332</v>
      </c>
      <c r="H106" s="13" t="s">
        <v>262</v>
      </c>
      <c r="I106" s="13" t="s">
        <v>262</v>
      </c>
      <c r="J106" s="13" t="s">
        <v>3</v>
      </c>
      <c r="K106" s="13" t="s">
        <v>3</v>
      </c>
    </row>
    <row r="107" spans="1:11" x14ac:dyDescent="0.3">
      <c r="A107" s="13" t="s">
        <v>29</v>
      </c>
      <c r="B107" s="13" t="s">
        <v>391</v>
      </c>
      <c r="C107" s="13">
        <v>1.1383517100157288</v>
      </c>
      <c r="D107" s="13" t="s">
        <v>19</v>
      </c>
      <c r="E107" s="13" t="s">
        <v>395</v>
      </c>
      <c r="F107" s="13" t="s">
        <v>319</v>
      </c>
      <c r="G107" s="13" t="s">
        <v>338</v>
      </c>
      <c r="H107" s="13" t="s">
        <v>262</v>
      </c>
      <c r="I107" s="13" t="s">
        <v>262</v>
      </c>
      <c r="J107" s="13" t="s">
        <v>3</v>
      </c>
      <c r="K107" s="13" t="s">
        <v>3</v>
      </c>
    </row>
    <row r="108" spans="1:11" x14ac:dyDescent="0.3">
      <c r="A108" s="13" t="s">
        <v>29</v>
      </c>
      <c r="B108" s="13" t="s">
        <v>403</v>
      </c>
      <c r="C108" s="13">
        <v>2.2768034200314577</v>
      </c>
      <c r="D108" s="13" t="s">
        <v>19</v>
      </c>
      <c r="E108" s="13" t="s">
        <v>395</v>
      </c>
      <c r="F108" s="13" t="s">
        <v>319</v>
      </c>
      <c r="G108" s="13" t="s">
        <v>291</v>
      </c>
      <c r="H108" s="13" t="s">
        <v>262</v>
      </c>
      <c r="I108" s="13" t="s">
        <v>18</v>
      </c>
      <c r="J108" s="13" t="s">
        <v>3</v>
      </c>
      <c r="K108" s="13" t="s">
        <v>407</v>
      </c>
    </row>
    <row r="109" spans="1:11" x14ac:dyDescent="0.3">
      <c r="A109" s="13" t="s">
        <v>29</v>
      </c>
      <c r="B109" s="13" t="s">
        <v>406</v>
      </c>
      <c r="C109" s="13">
        <v>1.1383517100157288</v>
      </c>
      <c r="D109" s="13" t="s">
        <v>19</v>
      </c>
      <c r="E109" s="13" t="s">
        <v>395</v>
      </c>
      <c r="F109" s="13" t="s">
        <v>319</v>
      </c>
      <c r="G109" s="13" t="s">
        <v>349</v>
      </c>
      <c r="H109" s="13" t="s">
        <v>262</v>
      </c>
      <c r="I109" s="13" t="s">
        <v>262</v>
      </c>
      <c r="J109" s="13" t="s">
        <v>3</v>
      </c>
      <c r="K109" s="13" t="s">
        <v>3</v>
      </c>
    </row>
    <row r="110" spans="1:11" x14ac:dyDescent="0.3">
      <c r="A110" s="13" t="s">
        <v>29</v>
      </c>
      <c r="B110" s="13" t="s">
        <v>352</v>
      </c>
      <c r="C110" s="13">
        <v>1.1383517100157288</v>
      </c>
      <c r="D110" s="13" t="s">
        <v>19</v>
      </c>
      <c r="E110" s="13" t="s">
        <v>395</v>
      </c>
      <c r="F110" s="13" t="s">
        <v>319</v>
      </c>
      <c r="G110" s="13" t="s">
        <v>353</v>
      </c>
      <c r="H110" s="13" t="s">
        <v>262</v>
      </c>
      <c r="I110" s="13" t="s">
        <v>262</v>
      </c>
      <c r="J110" s="13" t="s">
        <v>3</v>
      </c>
      <c r="K110" s="13" t="s">
        <v>3</v>
      </c>
    </row>
    <row r="111" spans="1:11" x14ac:dyDescent="0.3">
      <c r="A111" s="13" t="s">
        <v>29</v>
      </c>
      <c r="B111" s="13" t="s">
        <v>373</v>
      </c>
      <c r="C111" s="13">
        <v>1E-4</v>
      </c>
      <c r="D111" s="13" t="s">
        <v>19</v>
      </c>
      <c r="E111" s="13" t="s">
        <v>395</v>
      </c>
      <c r="F111" s="13" t="s">
        <v>319</v>
      </c>
      <c r="G111" s="13" t="s">
        <v>354</v>
      </c>
      <c r="H111" s="13" t="s">
        <v>262</v>
      </c>
      <c r="I111" s="13" t="s">
        <v>262</v>
      </c>
      <c r="J111" s="13" t="s">
        <v>3</v>
      </c>
      <c r="K111" s="13" t="s">
        <v>3</v>
      </c>
    </row>
    <row r="112" spans="1:11" x14ac:dyDescent="0.3">
      <c r="A112" s="13" t="s">
        <v>73</v>
      </c>
      <c r="B112" s="13" t="s">
        <v>392</v>
      </c>
      <c r="C112" s="13">
        <v>6.0389402720523195</v>
      </c>
      <c r="D112" s="13" t="s">
        <v>19</v>
      </c>
      <c r="E112" s="13" t="s">
        <v>395</v>
      </c>
      <c r="F112" s="13" t="s">
        <v>320</v>
      </c>
      <c r="G112" s="13" t="s">
        <v>290</v>
      </c>
      <c r="H112" s="13" t="s">
        <v>262</v>
      </c>
      <c r="I112" s="13" t="s">
        <v>18</v>
      </c>
      <c r="J112" s="13" t="s">
        <v>3</v>
      </c>
      <c r="K112" s="13" t="s">
        <v>404</v>
      </c>
    </row>
    <row r="113" spans="1:11" x14ac:dyDescent="0.3">
      <c r="A113" s="13" t="s">
        <v>73</v>
      </c>
      <c r="B113" s="13" t="s">
        <v>351</v>
      </c>
      <c r="C113" s="13">
        <v>5.4899457018657456</v>
      </c>
      <c r="D113" s="13" t="s">
        <v>19</v>
      </c>
      <c r="E113" s="13" t="s">
        <v>395</v>
      </c>
      <c r="F113" s="13" t="s">
        <v>320</v>
      </c>
      <c r="G113" s="13" t="s">
        <v>332</v>
      </c>
      <c r="H113" s="13" t="s">
        <v>262</v>
      </c>
      <c r="I113" s="13" t="s">
        <v>262</v>
      </c>
      <c r="J113" s="13" t="s">
        <v>3</v>
      </c>
      <c r="K113" s="13" t="s">
        <v>3</v>
      </c>
    </row>
    <row r="114" spans="1:11" x14ac:dyDescent="0.3">
      <c r="A114" s="13" t="s">
        <v>73</v>
      </c>
      <c r="B114" s="13" t="s">
        <v>391</v>
      </c>
      <c r="C114" s="13">
        <v>0.5489945701865746</v>
      </c>
      <c r="D114" s="13" t="s">
        <v>19</v>
      </c>
      <c r="E114" s="13" t="s">
        <v>395</v>
      </c>
      <c r="F114" s="13" t="s">
        <v>320</v>
      </c>
      <c r="G114" s="13" t="s">
        <v>338</v>
      </c>
      <c r="H114" s="13" t="s">
        <v>262</v>
      </c>
      <c r="I114" s="13" t="s">
        <v>262</v>
      </c>
      <c r="J114" s="13" t="s">
        <v>3</v>
      </c>
      <c r="K114" s="13" t="s">
        <v>3</v>
      </c>
    </row>
    <row r="115" spans="1:11" x14ac:dyDescent="0.3">
      <c r="A115" s="13" t="s">
        <v>73</v>
      </c>
      <c r="B115" s="13" t="s">
        <v>403</v>
      </c>
      <c r="C115" s="13">
        <v>1.0980891403731492</v>
      </c>
      <c r="D115" s="13" t="s">
        <v>19</v>
      </c>
      <c r="E115" s="13" t="s">
        <v>395</v>
      </c>
      <c r="F115" s="13" t="s">
        <v>320</v>
      </c>
      <c r="G115" s="13" t="s">
        <v>291</v>
      </c>
      <c r="H115" s="13" t="s">
        <v>262</v>
      </c>
      <c r="I115" s="13" t="s">
        <v>18</v>
      </c>
      <c r="J115" s="13" t="s">
        <v>3</v>
      </c>
      <c r="K115" s="13" t="s">
        <v>407</v>
      </c>
    </row>
    <row r="116" spans="1:11" x14ac:dyDescent="0.3">
      <c r="A116" s="13" t="s">
        <v>73</v>
      </c>
      <c r="B116" s="13" t="s">
        <v>406</v>
      </c>
      <c r="C116" s="13">
        <v>0.5489945701865746</v>
      </c>
      <c r="D116" s="13" t="s">
        <v>19</v>
      </c>
      <c r="E116" s="13" t="s">
        <v>395</v>
      </c>
      <c r="F116" s="13" t="s">
        <v>320</v>
      </c>
      <c r="G116" s="13" t="s">
        <v>349</v>
      </c>
      <c r="H116" s="13" t="s">
        <v>262</v>
      </c>
      <c r="I116" s="13" t="s">
        <v>262</v>
      </c>
      <c r="J116" s="13" t="s">
        <v>3</v>
      </c>
      <c r="K116" s="13" t="s">
        <v>3</v>
      </c>
    </row>
    <row r="117" spans="1:11" x14ac:dyDescent="0.3">
      <c r="A117" s="13" t="s">
        <v>73</v>
      </c>
      <c r="B117" s="13" t="s">
        <v>352</v>
      </c>
      <c r="C117" s="13">
        <v>0.5489945701865746</v>
      </c>
      <c r="D117" s="13" t="s">
        <v>19</v>
      </c>
      <c r="E117" s="13" t="s">
        <v>395</v>
      </c>
      <c r="F117" s="13" t="s">
        <v>320</v>
      </c>
      <c r="G117" s="13" t="s">
        <v>353</v>
      </c>
      <c r="H117" s="13" t="s">
        <v>262</v>
      </c>
      <c r="I117" s="13" t="s">
        <v>262</v>
      </c>
      <c r="J117" s="13" t="s">
        <v>3</v>
      </c>
      <c r="K117" s="13" t="s">
        <v>3</v>
      </c>
    </row>
    <row r="118" spans="1:11" x14ac:dyDescent="0.3">
      <c r="A118" s="13" t="s">
        <v>73</v>
      </c>
      <c r="B118" s="13" t="s">
        <v>373</v>
      </c>
      <c r="C118" s="13">
        <v>1E-4</v>
      </c>
      <c r="D118" s="13" t="s">
        <v>19</v>
      </c>
      <c r="E118" s="13" t="s">
        <v>395</v>
      </c>
      <c r="F118" s="13" t="s">
        <v>320</v>
      </c>
      <c r="G118" s="13" t="s">
        <v>354</v>
      </c>
      <c r="H118" s="13" t="s">
        <v>262</v>
      </c>
      <c r="I118" s="13" t="s">
        <v>262</v>
      </c>
      <c r="J118" s="13" t="s">
        <v>3</v>
      </c>
      <c r="K118" s="13" t="s">
        <v>3</v>
      </c>
    </row>
    <row r="119" spans="1:11" x14ac:dyDescent="0.3">
      <c r="A119" s="13" t="s">
        <v>30</v>
      </c>
      <c r="B119" s="13" t="s">
        <v>392</v>
      </c>
      <c r="C119" s="13">
        <v>4.4260218769655593</v>
      </c>
      <c r="D119" s="13" t="s">
        <v>19</v>
      </c>
      <c r="E119" s="13" t="s">
        <v>395</v>
      </c>
      <c r="F119" s="13" t="s">
        <v>321</v>
      </c>
      <c r="G119" s="13" t="s">
        <v>290</v>
      </c>
      <c r="H119" s="13" t="s">
        <v>262</v>
      </c>
      <c r="I119" s="13" t="s">
        <v>18</v>
      </c>
      <c r="J119" s="13" t="s">
        <v>3</v>
      </c>
      <c r="K119" s="13" t="s">
        <v>404</v>
      </c>
    </row>
    <row r="120" spans="1:11" x14ac:dyDescent="0.3">
      <c r="A120" s="13" t="s">
        <v>30</v>
      </c>
      <c r="B120" s="13" t="s">
        <v>351</v>
      </c>
      <c r="C120" s="13">
        <v>4.1493955096552124</v>
      </c>
      <c r="D120" s="13" t="s">
        <v>19</v>
      </c>
      <c r="E120" s="13" t="s">
        <v>395</v>
      </c>
      <c r="F120" s="13" t="s">
        <v>321</v>
      </c>
      <c r="G120" s="13" t="s">
        <v>332</v>
      </c>
      <c r="H120" s="13" t="s">
        <v>262</v>
      </c>
      <c r="I120" s="13" t="s">
        <v>262</v>
      </c>
      <c r="J120" s="13" t="s">
        <v>3</v>
      </c>
      <c r="K120" s="13" t="s">
        <v>3</v>
      </c>
    </row>
    <row r="121" spans="1:11" x14ac:dyDescent="0.3">
      <c r="A121" s="13" t="s">
        <v>30</v>
      </c>
      <c r="B121" s="13" t="s">
        <v>391</v>
      </c>
      <c r="C121" s="13">
        <v>0.27662636731034745</v>
      </c>
      <c r="D121" s="13" t="s">
        <v>19</v>
      </c>
      <c r="E121" s="13" t="s">
        <v>395</v>
      </c>
      <c r="F121" s="13" t="s">
        <v>321</v>
      </c>
      <c r="G121" s="13" t="s">
        <v>338</v>
      </c>
      <c r="H121" s="13" t="s">
        <v>262</v>
      </c>
      <c r="I121" s="13" t="s">
        <v>262</v>
      </c>
      <c r="J121" s="13" t="s">
        <v>3</v>
      </c>
      <c r="K121" s="13" t="s">
        <v>3</v>
      </c>
    </row>
    <row r="122" spans="1:11" x14ac:dyDescent="0.3">
      <c r="A122" s="13" t="s">
        <v>30</v>
      </c>
      <c r="B122" s="13" t="s">
        <v>403</v>
      </c>
      <c r="C122" s="13">
        <v>0.55335273462069501</v>
      </c>
      <c r="D122" s="13" t="s">
        <v>19</v>
      </c>
      <c r="E122" s="13" t="s">
        <v>395</v>
      </c>
      <c r="F122" s="13" t="s">
        <v>321</v>
      </c>
      <c r="G122" s="13" t="s">
        <v>291</v>
      </c>
      <c r="H122" s="13" t="s">
        <v>262</v>
      </c>
      <c r="I122" s="13" t="s">
        <v>18</v>
      </c>
      <c r="J122" s="13" t="s">
        <v>3</v>
      </c>
      <c r="K122" s="13" t="s">
        <v>407</v>
      </c>
    </row>
    <row r="123" spans="1:11" x14ac:dyDescent="0.3">
      <c r="A123" s="13" t="s">
        <v>30</v>
      </c>
      <c r="B123" s="13" t="s">
        <v>406</v>
      </c>
      <c r="C123" s="13">
        <v>0.27662636731034745</v>
      </c>
      <c r="D123" s="13" t="s">
        <v>19</v>
      </c>
      <c r="E123" s="13" t="s">
        <v>395</v>
      </c>
      <c r="F123" s="13" t="s">
        <v>321</v>
      </c>
      <c r="G123" s="13" t="s">
        <v>349</v>
      </c>
      <c r="H123" s="13" t="s">
        <v>262</v>
      </c>
      <c r="I123" s="13" t="s">
        <v>262</v>
      </c>
      <c r="J123" s="13" t="s">
        <v>3</v>
      </c>
      <c r="K123" s="13" t="s">
        <v>3</v>
      </c>
    </row>
    <row r="124" spans="1:11" x14ac:dyDescent="0.3">
      <c r="A124" s="13" t="s">
        <v>30</v>
      </c>
      <c r="B124" s="13" t="s">
        <v>352</v>
      </c>
      <c r="C124" s="13">
        <v>0.27662636731034745</v>
      </c>
      <c r="D124" s="13" t="s">
        <v>19</v>
      </c>
      <c r="E124" s="13" t="s">
        <v>395</v>
      </c>
      <c r="F124" s="13" t="s">
        <v>321</v>
      </c>
      <c r="G124" s="13" t="s">
        <v>353</v>
      </c>
      <c r="H124" s="13" t="s">
        <v>262</v>
      </c>
      <c r="I124" s="13" t="s">
        <v>262</v>
      </c>
      <c r="J124" s="13" t="s">
        <v>3</v>
      </c>
      <c r="K124" s="13" t="s">
        <v>3</v>
      </c>
    </row>
    <row r="125" spans="1:11" x14ac:dyDescent="0.3">
      <c r="A125" s="13" t="s">
        <v>30</v>
      </c>
      <c r="B125" s="13" t="s">
        <v>373</v>
      </c>
      <c r="C125" s="13">
        <v>1E-4</v>
      </c>
      <c r="D125" s="13" t="s">
        <v>19</v>
      </c>
      <c r="E125" s="13" t="s">
        <v>395</v>
      </c>
      <c r="F125" s="13" t="s">
        <v>321</v>
      </c>
      <c r="G125" s="13" t="s">
        <v>354</v>
      </c>
      <c r="H125" s="13" t="s">
        <v>262</v>
      </c>
      <c r="I125" s="13" t="s">
        <v>262</v>
      </c>
      <c r="J125" s="13" t="s">
        <v>3</v>
      </c>
      <c r="K125" s="13" t="s">
        <v>3</v>
      </c>
    </row>
    <row r="126" spans="1:11" x14ac:dyDescent="0.3">
      <c r="A126" s="13" t="s">
        <v>80</v>
      </c>
      <c r="B126" s="13" t="s">
        <v>392</v>
      </c>
      <c r="C126" s="13">
        <v>19.337801048856619</v>
      </c>
      <c r="D126" s="13" t="s">
        <v>19</v>
      </c>
      <c r="E126" s="13" t="s">
        <v>395</v>
      </c>
      <c r="F126" s="13" t="s">
        <v>322</v>
      </c>
      <c r="G126" s="13" t="s">
        <v>290</v>
      </c>
      <c r="H126" s="13" t="s">
        <v>262</v>
      </c>
      <c r="I126" s="13" t="s">
        <v>18</v>
      </c>
      <c r="J126" s="13" t="s">
        <v>3</v>
      </c>
      <c r="K126" s="13" t="s">
        <v>404</v>
      </c>
    </row>
    <row r="127" spans="1:11" x14ac:dyDescent="0.3">
      <c r="A127" s="13" t="s">
        <v>80</v>
      </c>
      <c r="B127" s="13" t="s">
        <v>351</v>
      </c>
      <c r="C127" s="13">
        <v>16.787761350106294</v>
      </c>
      <c r="D127" s="13" t="s">
        <v>19</v>
      </c>
      <c r="E127" s="13" t="s">
        <v>395</v>
      </c>
      <c r="F127" s="13" t="s">
        <v>322</v>
      </c>
      <c r="G127" s="13" t="s">
        <v>332</v>
      </c>
      <c r="H127" s="13" t="s">
        <v>262</v>
      </c>
      <c r="I127" s="13" t="s">
        <v>262</v>
      </c>
      <c r="J127" s="13" t="s">
        <v>3</v>
      </c>
      <c r="K127" s="13" t="s">
        <v>3</v>
      </c>
    </row>
    <row r="128" spans="1:11" x14ac:dyDescent="0.3">
      <c r="A128" s="13" t="s">
        <v>80</v>
      </c>
      <c r="B128" s="13" t="s">
        <v>391</v>
      </c>
      <c r="C128" s="13">
        <v>2.5500396987503233</v>
      </c>
      <c r="D128" s="13" t="s">
        <v>19</v>
      </c>
      <c r="E128" s="13" t="s">
        <v>395</v>
      </c>
      <c r="F128" s="13" t="s">
        <v>322</v>
      </c>
      <c r="G128" s="13" t="s">
        <v>338</v>
      </c>
      <c r="H128" s="13" t="s">
        <v>262</v>
      </c>
      <c r="I128" s="13" t="s">
        <v>262</v>
      </c>
      <c r="J128" s="13" t="s">
        <v>3</v>
      </c>
      <c r="K128" s="13" t="s">
        <v>3</v>
      </c>
    </row>
    <row r="129" spans="1:11" x14ac:dyDescent="0.3">
      <c r="A129" s="13" t="s">
        <v>80</v>
      </c>
      <c r="B129" s="13" t="s">
        <v>403</v>
      </c>
      <c r="C129" s="13">
        <v>2.5502396987503237</v>
      </c>
      <c r="D129" s="13" t="s">
        <v>19</v>
      </c>
      <c r="E129" s="13" t="s">
        <v>395</v>
      </c>
      <c r="F129" s="13" t="s">
        <v>322</v>
      </c>
      <c r="G129" s="13" t="s">
        <v>291</v>
      </c>
      <c r="H129" s="13" t="s">
        <v>262</v>
      </c>
      <c r="I129" s="13" t="s">
        <v>18</v>
      </c>
      <c r="J129" s="13" t="s">
        <v>3</v>
      </c>
      <c r="K129" s="13" t="s">
        <v>407</v>
      </c>
    </row>
    <row r="130" spans="1:11" x14ac:dyDescent="0.3">
      <c r="A130" s="13" t="s">
        <v>80</v>
      </c>
      <c r="B130" s="13" t="s">
        <v>406</v>
      </c>
      <c r="C130" s="13">
        <v>1E-4</v>
      </c>
      <c r="D130" s="13" t="s">
        <v>19</v>
      </c>
      <c r="E130" s="13" t="s">
        <v>395</v>
      </c>
      <c r="F130" s="13" t="s">
        <v>322</v>
      </c>
      <c r="G130" s="13" t="s">
        <v>349</v>
      </c>
      <c r="H130" s="13" t="s">
        <v>262</v>
      </c>
      <c r="I130" s="13" t="s">
        <v>262</v>
      </c>
      <c r="J130" s="13" t="s">
        <v>3</v>
      </c>
      <c r="K130" s="13" t="s">
        <v>3</v>
      </c>
    </row>
    <row r="131" spans="1:11" x14ac:dyDescent="0.3">
      <c r="A131" s="13" t="s">
        <v>80</v>
      </c>
      <c r="B131" s="13" t="s">
        <v>352</v>
      </c>
      <c r="C131" s="13">
        <v>2.5500396987503233</v>
      </c>
      <c r="D131" s="13" t="s">
        <v>19</v>
      </c>
      <c r="E131" s="13" t="s">
        <v>395</v>
      </c>
      <c r="F131" s="13" t="s">
        <v>322</v>
      </c>
      <c r="G131" s="13" t="s">
        <v>353</v>
      </c>
      <c r="H131" s="13" t="s">
        <v>262</v>
      </c>
      <c r="I131" s="13" t="s">
        <v>262</v>
      </c>
      <c r="J131" s="13" t="s">
        <v>3</v>
      </c>
      <c r="K131" s="13" t="s">
        <v>3</v>
      </c>
    </row>
    <row r="132" spans="1:11" x14ac:dyDescent="0.3">
      <c r="A132" s="13" t="s">
        <v>80</v>
      </c>
      <c r="B132" s="13" t="s">
        <v>373</v>
      </c>
      <c r="C132" s="13">
        <v>1E-4</v>
      </c>
      <c r="D132" s="13" t="s">
        <v>19</v>
      </c>
      <c r="E132" s="13" t="s">
        <v>395</v>
      </c>
      <c r="F132" s="13" t="s">
        <v>322</v>
      </c>
      <c r="G132" s="13" t="s">
        <v>354</v>
      </c>
      <c r="H132" s="13" t="s">
        <v>262</v>
      </c>
      <c r="I132" s="13" t="s">
        <v>262</v>
      </c>
      <c r="J132" s="13" t="s">
        <v>3</v>
      </c>
      <c r="K132" s="13" t="s">
        <v>3</v>
      </c>
    </row>
    <row r="133" spans="1:11" x14ac:dyDescent="0.3">
      <c r="A133" s="13" t="s">
        <v>351</v>
      </c>
      <c r="B133" s="13" t="s">
        <v>408</v>
      </c>
      <c r="C133" s="13">
        <v>44.071404394886478</v>
      </c>
      <c r="D133" s="13">
        <v>2021</v>
      </c>
      <c r="E133" s="13" t="s">
        <v>395</v>
      </c>
      <c r="F133" s="13" t="s">
        <v>332</v>
      </c>
      <c r="G133" s="13" t="s">
        <v>312</v>
      </c>
      <c r="H133" s="13" t="s">
        <v>262</v>
      </c>
      <c r="I133" s="13" t="s">
        <v>262</v>
      </c>
      <c r="J133" s="13" t="s">
        <v>3</v>
      </c>
      <c r="K133" s="13" t="s">
        <v>3</v>
      </c>
    </row>
  </sheetData>
  <autoFilter ref="A1:V133" xr:uid="{D362F7ED-69C7-4C40-9316-BA7D99120535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9FB1-0C0B-4D05-B038-27B8018DF131}">
  <sheetPr codeName="Sheet13"/>
  <dimension ref="A1:I118"/>
  <sheetViews>
    <sheetView zoomScale="70" zoomScaleNormal="70" workbookViewId="0"/>
  </sheetViews>
  <sheetFormatPr defaultRowHeight="14.4" x14ac:dyDescent="0.3"/>
  <cols>
    <col min="9" max="9" width="8.88671875" style="105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05" t="s">
        <v>28</v>
      </c>
    </row>
    <row r="2" spans="1:9" x14ac:dyDescent="0.3">
      <c r="A2" t="s">
        <v>914</v>
      </c>
      <c r="B2" t="s">
        <v>258</v>
      </c>
      <c r="C2" t="s">
        <v>269</v>
      </c>
      <c r="D2" t="s">
        <v>271</v>
      </c>
      <c r="E2" t="s">
        <v>914</v>
      </c>
      <c r="F2" t="s">
        <v>61</v>
      </c>
      <c r="G2" t="s">
        <v>269</v>
      </c>
      <c r="H2" t="s">
        <v>327</v>
      </c>
      <c r="I2" s="105">
        <v>5.5238153948963899E-2</v>
      </c>
    </row>
    <row r="3" spans="1:9" x14ac:dyDescent="0.3">
      <c r="A3" t="s">
        <v>914</v>
      </c>
      <c r="B3" t="s">
        <v>259</v>
      </c>
      <c r="C3" t="s">
        <v>269</v>
      </c>
      <c r="D3" t="s">
        <v>272</v>
      </c>
      <c r="E3" t="s">
        <v>914</v>
      </c>
      <c r="F3" t="s">
        <v>61</v>
      </c>
      <c r="G3" t="s">
        <v>269</v>
      </c>
      <c r="H3" t="s">
        <v>327</v>
      </c>
      <c r="I3" s="105">
        <v>0.94476184605103619</v>
      </c>
    </row>
    <row r="4" spans="1:9" x14ac:dyDescent="0.3">
      <c r="A4" t="s">
        <v>914</v>
      </c>
      <c r="B4" t="s">
        <v>260</v>
      </c>
      <c r="C4" t="s">
        <v>269</v>
      </c>
      <c r="D4" t="s">
        <v>273</v>
      </c>
      <c r="E4" t="s">
        <v>914</v>
      </c>
      <c r="F4" t="s">
        <v>62</v>
      </c>
      <c r="G4" t="s">
        <v>269</v>
      </c>
      <c r="H4" t="s">
        <v>328</v>
      </c>
      <c r="I4" s="105">
        <v>0.481117541686996</v>
      </c>
    </row>
    <row r="5" spans="1:9" x14ac:dyDescent="0.3">
      <c r="A5" t="s">
        <v>914</v>
      </c>
      <c r="B5" t="s">
        <v>261</v>
      </c>
      <c r="C5" t="s">
        <v>269</v>
      </c>
      <c r="D5" t="s">
        <v>276</v>
      </c>
      <c r="E5" t="s">
        <v>914</v>
      </c>
      <c r="F5" t="s">
        <v>62</v>
      </c>
      <c r="G5" t="s">
        <v>269</v>
      </c>
      <c r="H5" t="s">
        <v>328</v>
      </c>
      <c r="I5" s="105">
        <v>0.51888245831300406</v>
      </c>
    </row>
    <row r="6" spans="1:9" x14ac:dyDescent="0.3">
      <c r="A6" t="s">
        <v>914</v>
      </c>
      <c r="B6" t="s">
        <v>263</v>
      </c>
      <c r="C6" t="s">
        <v>269</v>
      </c>
      <c r="D6" t="s">
        <v>277</v>
      </c>
      <c r="E6" t="s">
        <v>914</v>
      </c>
      <c r="F6" t="s">
        <v>63</v>
      </c>
      <c r="G6" t="s">
        <v>269</v>
      </c>
      <c r="H6" t="s">
        <v>329</v>
      </c>
      <c r="I6" s="105">
        <v>0.35563592746349543</v>
      </c>
    </row>
    <row r="7" spans="1:9" x14ac:dyDescent="0.3">
      <c r="A7" t="s">
        <v>914</v>
      </c>
      <c r="B7" t="s">
        <v>264</v>
      </c>
      <c r="C7" t="s">
        <v>269</v>
      </c>
      <c r="D7" t="s">
        <v>278</v>
      </c>
      <c r="E7" t="s">
        <v>914</v>
      </c>
      <c r="F7" t="s">
        <v>63</v>
      </c>
      <c r="G7" t="s">
        <v>269</v>
      </c>
      <c r="H7" t="s">
        <v>329</v>
      </c>
      <c r="I7" s="105">
        <v>0.64436407253650463</v>
      </c>
    </row>
    <row r="8" spans="1:9" x14ac:dyDescent="0.3">
      <c r="A8" t="s">
        <v>914</v>
      </c>
      <c r="B8" t="s">
        <v>265</v>
      </c>
      <c r="C8" t="s">
        <v>269</v>
      </c>
      <c r="D8" t="s">
        <v>279</v>
      </c>
      <c r="E8" t="s">
        <v>914</v>
      </c>
      <c r="F8" t="s">
        <v>64</v>
      </c>
      <c r="G8" t="s">
        <v>269</v>
      </c>
      <c r="H8" t="s">
        <v>330</v>
      </c>
      <c r="I8" s="105">
        <v>0.15925810385782871</v>
      </c>
    </row>
    <row r="9" spans="1:9" x14ac:dyDescent="0.3">
      <c r="A9" t="s">
        <v>914</v>
      </c>
      <c r="B9" t="s">
        <v>266</v>
      </c>
      <c r="C9" t="s">
        <v>269</v>
      </c>
      <c r="D9" t="s">
        <v>280</v>
      </c>
      <c r="E9" t="s">
        <v>914</v>
      </c>
      <c r="F9" t="s">
        <v>64</v>
      </c>
      <c r="G9" t="s">
        <v>269</v>
      </c>
      <c r="H9" t="s">
        <v>330</v>
      </c>
      <c r="I9" s="105">
        <v>0.84074189614217121</v>
      </c>
    </row>
    <row r="10" spans="1:9" x14ac:dyDescent="0.3">
      <c r="A10" t="s">
        <v>258</v>
      </c>
      <c r="B10" t="s">
        <v>408</v>
      </c>
      <c r="C10" t="s">
        <v>271</v>
      </c>
      <c r="D10" t="s">
        <v>312</v>
      </c>
      <c r="E10" t="s">
        <v>61</v>
      </c>
      <c r="F10" t="s">
        <v>408</v>
      </c>
      <c r="G10" t="s">
        <v>327</v>
      </c>
      <c r="H10" t="s">
        <v>312</v>
      </c>
      <c r="I10" s="105">
        <v>8.7544526506671203E-2</v>
      </c>
    </row>
    <row r="11" spans="1:9" x14ac:dyDescent="0.3">
      <c r="A11" t="s">
        <v>259</v>
      </c>
      <c r="B11" t="s">
        <v>408</v>
      </c>
      <c r="C11" t="s">
        <v>272</v>
      </c>
      <c r="D11" t="s">
        <v>312</v>
      </c>
      <c r="E11" t="s">
        <v>61</v>
      </c>
      <c r="F11" t="s">
        <v>408</v>
      </c>
      <c r="G11" t="s">
        <v>327</v>
      </c>
      <c r="H11" t="s">
        <v>312</v>
      </c>
      <c r="I11" s="105">
        <v>0.91245472399785099</v>
      </c>
    </row>
    <row r="12" spans="1:9" x14ac:dyDescent="0.3">
      <c r="A12" t="s">
        <v>260</v>
      </c>
      <c r="B12" t="s">
        <v>49</v>
      </c>
      <c r="C12" t="s">
        <v>273</v>
      </c>
      <c r="D12" t="s">
        <v>289</v>
      </c>
      <c r="E12" t="s">
        <v>62</v>
      </c>
      <c r="F12" t="s">
        <v>49</v>
      </c>
      <c r="G12" t="s">
        <v>328</v>
      </c>
      <c r="H12" t="s">
        <v>289</v>
      </c>
      <c r="I12" s="105">
        <v>0.58631457240436091</v>
      </c>
    </row>
    <row r="13" spans="1:9" x14ac:dyDescent="0.3">
      <c r="A13" t="s">
        <v>261</v>
      </c>
      <c r="B13" t="s">
        <v>49</v>
      </c>
      <c r="C13" t="s">
        <v>276</v>
      </c>
      <c r="D13" t="s">
        <v>289</v>
      </c>
      <c r="E13" t="s">
        <v>62</v>
      </c>
      <c r="F13" t="s">
        <v>49</v>
      </c>
      <c r="G13" t="s">
        <v>328</v>
      </c>
      <c r="H13" t="s">
        <v>289</v>
      </c>
      <c r="I13" s="105">
        <v>0.41368542759563909</v>
      </c>
    </row>
    <row r="14" spans="1:9" x14ac:dyDescent="0.3">
      <c r="A14" t="s">
        <v>260</v>
      </c>
      <c r="B14" t="s">
        <v>44</v>
      </c>
      <c r="C14" t="s">
        <v>273</v>
      </c>
      <c r="D14" t="s">
        <v>290</v>
      </c>
      <c r="E14" t="s">
        <v>62</v>
      </c>
      <c r="F14" t="s">
        <v>44</v>
      </c>
      <c r="G14" t="s">
        <v>328</v>
      </c>
      <c r="H14" t="s">
        <v>290</v>
      </c>
      <c r="I14" s="105">
        <v>0.58631457240436091</v>
      </c>
    </row>
    <row r="15" spans="1:9" x14ac:dyDescent="0.3">
      <c r="A15" t="s">
        <v>261</v>
      </c>
      <c r="B15" t="s">
        <v>44</v>
      </c>
      <c r="C15" t="s">
        <v>276</v>
      </c>
      <c r="D15" t="s">
        <v>290</v>
      </c>
      <c r="E15" t="s">
        <v>62</v>
      </c>
      <c r="F15" t="s">
        <v>44</v>
      </c>
      <c r="G15" t="s">
        <v>328</v>
      </c>
      <c r="H15" t="s">
        <v>290</v>
      </c>
      <c r="I15" s="105">
        <v>0.41368542759563909</v>
      </c>
    </row>
    <row r="16" spans="1:9" x14ac:dyDescent="0.3">
      <c r="A16" t="s">
        <v>265</v>
      </c>
      <c r="B16" t="s">
        <v>175</v>
      </c>
      <c r="C16" t="s">
        <v>279</v>
      </c>
      <c r="D16" t="s">
        <v>283</v>
      </c>
      <c r="E16" t="s">
        <v>64</v>
      </c>
      <c r="F16" t="s">
        <v>175</v>
      </c>
      <c r="G16" t="s">
        <v>330</v>
      </c>
      <c r="H16" t="s">
        <v>283</v>
      </c>
      <c r="I16" s="105">
        <v>0.22453310251240893</v>
      </c>
    </row>
    <row r="17" spans="1:9" x14ac:dyDescent="0.3">
      <c r="A17" t="s">
        <v>266</v>
      </c>
      <c r="B17" t="s">
        <v>175</v>
      </c>
      <c r="C17" t="s">
        <v>280</v>
      </c>
      <c r="D17" t="s">
        <v>283</v>
      </c>
      <c r="E17" t="s">
        <v>64</v>
      </c>
      <c r="F17" t="s">
        <v>175</v>
      </c>
      <c r="G17" t="s">
        <v>330</v>
      </c>
      <c r="H17" t="s">
        <v>283</v>
      </c>
      <c r="I17" s="105">
        <v>0.77546689748759112</v>
      </c>
    </row>
    <row r="18" spans="1:9" x14ac:dyDescent="0.3">
      <c r="A18" t="s">
        <v>208</v>
      </c>
      <c r="B18" t="s">
        <v>37</v>
      </c>
      <c r="C18" t="s">
        <v>281</v>
      </c>
      <c r="D18" t="s">
        <v>307</v>
      </c>
      <c r="E18" t="s">
        <v>208</v>
      </c>
      <c r="F18" t="s">
        <v>51</v>
      </c>
      <c r="G18" t="s">
        <v>281</v>
      </c>
      <c r="H18" t="s">
        <v>360</v>
      </c>
      <c r="I18" s="105">
        <v>0.1</v>
      </c>
    </row>
    <row r="19" spans="1:9" x14ac:dyDescent="0.3">
      <c r="A19" t="s">
        <v>208</v>
      </c>
      <c r="B19" t="s">
        <v>40</v>
      </c>
      <c r="C19" t="s">
        <v>281</v>
      </c>
      <c r="D19" t="s">
        <v>309</v>
      </c>
      <c r="E19" t="s">
        <v>208</v>
      </c>
      <c r="F19" t="s">
        <v>51</v>
      </c>
      <c r="G19" t="s">
        <v>281</v>
      </c>
      <c r="H19" t="s">
        <v>360</v>
      </c>
      <c r="I19" s="105">
        <v>0.2</v>
      </c>
    </row>
    <row r="20" spans="1:9" x14ac:dyDescent="0.3">
      <c r="A20" t="s">
        <v>208</v>
      </c>
      <c r="B20" t="s">
        <v>41</v>
      </c>
      <c r="C20" t="s">
        <v>281</v>
      </c>
      <c r="D20" t="s">
        <v>310</v>
      </c>
      <c r="E20" t="s">
        <v>208</v>
      </c>
      <c r="F20" t="s">
        <v>51</v>
      </c>
      <c r="G20" t="s">
        <v>281</v>
      </c>
      <c r="H20" t="s">
        <v>360</v>
      </c>
      <c r="I20" s="105">
        <v>0.1</v>
      </c>
    </row>
    <row r="21" spans="1:9" x14ac:dyDescent="0.3">
      <c r="A21" t="s">
        <v>208</v>
      </c>
      <c r="B21" t="s">
        <v>38</v>
      </c>
      <c r="C21" t="s">
        <v>281</v>
      </c>
      <c r="D21" t="s">
        <v>311</v>
      </c>
      <c r="E21" t="s">
        <v>208</v>
      </c>
      <c r="F21" t="s">
        <v>51</v>
      </c>
      <c r="G21" t="s">
        <v>281</v>
      </c>
      <c r="H21" t="s">
        <v>360</v>
      </c>
      <c r="I21" s="105">
        <v>0.6</v>
      </c>
    </row>
    <row r="22" spans="1:9" x14ac:dyDescent="0.3">
      <c r="A22" t="s">
        <v>175</v>
      </c>
      <c r="B22" t="s">
        <v>408</v>
      </c>
      <c r="C22" t="s">
        <v>283</v>
      </c>
      <c r="D22" t="s">
        <v>312</v>
      </c>
      <c r="E22" t="s">
        <v>56</v>
      </c>
      <c r="F22" t="s">
        <v>59</v>
      </c>
      <c r="G22" t="s">
        <v>283</v>
      </c>
      <c r="H22" t="s">
        <v>361</v>
      </c>
      <c r="I22" s="105">
        <v>0.1</v>
      </c>
    </row>
    <row r="23" spans="1:9" x14ac:dyDescent="0.3">
      <c r="A23" t="s">
        <v>175</v>
      </c>
      <c r="B23" t="s">
        <v>33</v>
      </c>
      <c r="C23" t="s">
        <v>283</v>
      </c>
      <c r="D23" t="s">
        <v>315</v>
      </c>
      <c r="E23" t="s">
        <v>56</v>
      </c>
      <c r="F23" t="s">
        <v>59</v>
      </c>
      <c r="G23" t="s">
        <v>283</v>
      </c>
      <c r="H23" t="s">
        <v>361</v>
      </c>
      <c r="I23" s="105">
        <v>0.8</v>
      </c>
    </row>
    <row r="24" spans="1:9" x14ac:dyDescent="0.3">
      <c r="A24" t="s">
        <v>175</v>
      </c>
      <c r="B24" t="s">
        <v>57</v>
      </c>
      <c r="C24" t="s">
        <v>283</v>
      </c>
      <c r="D24" t="s">
        <v>318</v>
      </c>
      <c r="E24" t="s">
        <v>56</v>
      </c>
      <c r="F24" t="s">
        <v>59</v>
      </c>
      <c r="G24" t="s">
        <v>283</v>
      </c>
      <c r="H24" t="s">
        <v>361</v>
      </c>
      <c r="I24" s="105">
        <v>0.1</v>
      </c>
    </row>
    <row r="25" spans="1:9" x14ac:dyDescent="0.3">
      <c r="A25" t="s">
        <v>175</v>
      </c>
      <c r="B25" t="s">
        <v>29</v>
      </c>
      <c r="C25" t="s">
        <v>283</v>
      </c>
      <c r="D25" t="s">
        <v>319</v>
      </c>
      <c r="E25" t="s">
        <v>9</v>
      </c>
      <c r="F25" t="s">
        <v>58</v>
      </c>
      <c r="G25" t="s">
        <v>283</v>
      </c>
      <c r="H25" t="s">
        <v>362</v>
      </c>
      <c r="I25" s="105">
        <v>0.38948497854077246</v>
      </c>
    </row>
    <row r="26" spans="1:9" x14ac:dyDescent="0.3">
      <c r="A26" t="s">
        <v>175</v>
      </c>
      <c r="B26" t="s">
        <v>73</v>
      </c>
      <c r="C26" t="s">
        <v>283</v>
      </c>
      <c r="D26" t="s">
        <v>320</v>
      </c>
      <c r="E26" t="s">
        <v>9</v>
      </c>
      <c r="F26" t="s">
        <v>58</v>
      </c>
      <c r="G26" t="s">
        <v>283</v>
      </c>
      <c r="H26" t="s">
        <v>362</v>
      </c>
      <c r="I26" s="105">
        <v>0.22103004291845518</v>
      </c>
    </row>
    <row r="27" spans="1:9" x14ac:dyDescent="0.3">
      <c r="A27" t="s">
        <v>175</v>
      </c>
      <c r="B27" t="s">
        <v>30</v>
      </c>
      <c r="C27" t="s">
        <v>283</v>
      </c>
      <c r="D27" t="s">
        <v>321</v>
      </c>
      <c r="E27" t="s">
        <v>9</v>
      </c>
      <c r="F27" t="s">
        <v>58</v>
      </c>
      <c r="G27" t="s">
        <v>283</v>
      </c>
      <c r="H27" t="s">
        <v>362</v>
      </c>
      <c r="I27" s="105">
        <v>0.24785407725321887</v>
      </c>
    </row>
    <row r="28" spans="1:9" x14ac:dyDescent="0.3">
      <c r="A28" t="s">
        <v>175</v>
      </c>
      <c r="B28" t="s">
        <v>74</v>
      </c>
      <c r="C28" t="s">
        <v>283</v>
      </c>
      <c r="D28" t="s">
        <v>324</v>
      </c>
      <c r="E28" t="s">
        <v>9</v>
      </c>
      <c r="F28" t="s">
        <v>58</v>
      </c>
      <c r="G28" t="s">
        <v>283</v>
      </c>
      <c r="H28" t="s">
        <v>362</v>
      </c>
      <c r="I28" s="105">
        <v>0.14163090128755335</v>
      </c>
    </row>
    <row r="29" spans="1:9" x14ac:dyDescent="0.3">
      <c r="A29" t="s">
        <v>267</v>
      </c>
      <c r="B29" t="s">
        <v>36</v>
      </c>
      <c r="C29" t="s">
        <v>287</v>
      </c>
      <c r="D29" t="s">
        <v>306</v>
      </c>
      <c r="E29" t="s">
        <v>48</v>
      </c>
      <c r="F29" t="s">
        <v>51</v>
      </c>
      <c r="G29" t="s">
        <v>287</v>
      </c>
      <c r="H29" t="s">
        <v>360</v>
      </c>
      <c r="I29" s="105">
        <v>0.2036</v>
      </c>
    </row>
    <row r="30" spans="1:9" x14ac:dyDescent="0.3">
      <c r="A30" t="s">
        <v>267</v>
      </c>
      <c r="B30" t="s">
        <v>37</v>
      </c>
      <c r="C30" t="s">
        <v>287</v>
      </c>
      <c r="D30" t="s">
        <v>307</v>
      </c>
      <c r="E30" t="s">
        <v>48</v>
      </c>
      <c r="F30" t="s">
        <v>51</v>
      </c>
      <c r="G30" t="s">
        <v>287</v>
      </c>
      <c r="H30" t="s">
        <v>360</v>
      </c>
      <c r="I30" s="105">
        <v>0.19</v>
      </c>
    </row>
    <row r="31" spans="1:9" x14ac:dyDescent="0.3">
      <c r="A31" t="s">
        <v>267</v>
      </c>
      <c r="B31" t="s">
        <v>39</v>
      </c>
      <c r="C31" t="s">
        <v>287</v>
      </c>
      <c r="D31" t="s">
        <v>308</v>
      </c>
      <c r="E31" t="s">
        <v>48</v>
      </c>
      <c r="F31" t="s">
        <v>51</v>
      </c>
      <c r="G31" t="s">
        <v>287</v>
      </c>
      <c r="H31" t="s">
        <v>360</v>
      </c>
      <c r="I31" s="105">
        <v>2.64E-2</v>
      </c>
    </row>
    <row r="32" spans="1:9" x14ac:dyDescent="0.3">
      <c r="A32" t="s">
        <v>267</v>
      </c>
      <c r="B32" t="s">
        <v>40</v>
      </c>
      <c r="C32" t="s">
        <v>287</v>
      </c>
      <c r="D32" t="s">
        <v>309</v>
      </c>
      <c r="E32" t="s">
        <v>48</v>
      </c>
      <c r="F32" t="s">
        <v>51</v>
      </c>
      <c r="G32" t="s">
        <v>287</v>
      </c>
      <c r="H32" t="s">
        <v>360</v>
      </c>
      <c r="I32" s="105">
        <v>0.47</v>
      </c>
    </row>
    <row r="33" spans="1:9" x14ac:dyDescent="0.3">
      <c r="A33" t="s">
        <v>267</v>
      </c>
      <c r="B33" t="s">
        <v>41</v>
      </c>
      <c r="C33" t="s">
        <v>287</v>
      </c>
      <c r="D33" t="s">
        <v>310</v>
      </c>
      <c r="E33" t="s">
        <v>48</v>
      </c>
      <c r="F33" t="s">
        <v>51</v>
      </c>
      <c r="G33" t="s">
        <v>287</v>
      </c>
      <c r="H33" t="s">
        <v>360</v>
      </c>
      <c r="I33" s="105">
        <v>0.03</v>
      </c>
    </row>
    <row r="34" spans="1:9" x14ac:dyDescent="0.3">
      <c r="A34" t="s">
        <v>267</v>
      </c>
      <c r="B34" t="s">
        <v>38</v>
      </c>
      <c r="C34" t="s">
        <v>287</v>
      </c>
      <c r="D34" t="s">
        <v>311</v>
      </c>
      <c r="E34" t="s">
        <v>48</v>
      </c>
      <c r="F34" t="s">
        <v>51</v>
      </c>
      <c r="G34" t="s">
        <v>287</v>
      </c>
      <c r="H34" t="s">
        <v>360</v>
      </c>
      <c r="I34" s="105">
        <v>0.08</v>
      </c>
    </row>
    <row r="35" spans="1:9" x14ac:dyDescent="0.3">
      <c r="A35" t="s">
        <v>268</v>
      </c>
      <c r="B35" t="s">
        <v>36</v>
      </c>
      <c r="C35" t="s">
        <v>288</v>
      </c>
      <c r="D35" t="s">
        <v>306</v>
      </c>
      <c r="E35" t="s">
        <v>48</v>
      </c>
      <c r="F35" t="s">
        <v>51</v>
      </c>
      <c r="G35" t="s">
        <v>288</v>
      </c>
      <c r="H35" t="s">
        <v>360</v>
      </c>
      <c r="I35" s="105">
        <v>0.2036</v>
      </c>
    </row>
    <row r="36" spans="1:9" x14ac:dyDescent="0.3">
      <c r="A36" t="s">
        <v>268</v>
      </c>
      <c r="B36" t="s">
        <v>37</v>
      </c>
      <c r="C36" t="s">
        <v>288</v>
      </c>
      <c r="D36" t="s">
        <v>307</v>
      </c>
      <c r="E36" t="s">
        <v>48</v>
      </c>
      <c r="F36" t="s">
        <v>51</v>
      </c>
      <c r="G36" t="s">
        <v>288</v>
      </c>
      <c r="H36" t="s">
        <v>360</v>
      </c>
      <c r="I36" s="105">
        <v>0.19</v>
      </c>
    </row>
    <row r="37" spans="1:9" x14ac:dyDescent="0.3">
      <c r="A37" t="s">
        <v>268</v>
      </c>
      <c r="B37" t="s">
        <v>39</v>
      </c>
      <c r="C37" t="s">
        <v>288</v>
      </c>
      <c r="D37" t="s">
        <v>308</v>
      </c>
      <c r="E37" t="s">
        <v>48</v>
      </c>
      <c r="F37" t="s">
        <v>51</v>
      </c>
      <c r="G37" t="s">
        <v>288</v>
      </c>
      <c r="H37" t="s">
        <v>360</v>
      </c>
      <c r="I37" s="105">
        <v>2.64E-2</v>
      </c>
    </row>
    <row r="38" spans="1:9" x14ac:dyDescent="0.3">
      <c r="A38" t="s">
        <v>268</v>
      </c>
      <c r="B38" t="s">
        <v>40</v>
      </c>
      <c r="C38" t="s">
        <v>288</v>
      </c>
      <c r="D38" t="s">
        <v>309</v>
      </c>
      <c r="E38" t="s">
        <v>48</v>
      </c>
      <c r="F38" t="s">
        <v>51</v>
      </c>
      <c r="G38" t="s">
        <v>288</v>
      </c>
      <c r="H38" t="s">
        <v>360</v>
      </c>
      <c r="I38" s="105">
        <v>0.47</v>
      </c>
    </row>
    <row r="39" spans="1:9" x14ac:dyDescent="0.3">
      <c r="A39" t="s">
        <v>268</v>
      </c>
      <c r="B39" t="s">
        <v>41</v>
      </c>
      <c r="C39" t="s">
        <v>288</v>
      </c>
      <c r="D39" t="s">
        <v>310</v>
      </c>
      <c r="E39" t="s">
        <v>48</v>
      </c>
      <c r="F39" t="s">
        <v>51</v>
      </c>
      <c r="G39" t="s">
        <v>288</v>
      </c>
      <c r="H39" t="s">
        <v>360</v>
      </c>
      <c r="I39" s="105">
        <v>0.03</v>
      </c>
    </row>
    <row r="40" spans="1:9" x14ac:dyDescent="0.3">
      <c r="A40" t="s">
        <v>268</v>
      </c>
      <c r="B40" t="s">
        <v>38</v>
      </c>
      <c r="C40" t="s">
        <v>288</v>
      </c>
      <c r="D40" t="s">
        <v>311</v>
      </c>
      <c r="E40" t="s">
        <v>48</v>
      </c>
      <c r="F40" t="s">
        <v>51</v>
      </c>
      <c r="G40" t="s">
        <v>288</v>
      </c>
      <c r="H40" t="s">
        <v>360</v>
      </c>
      <c r="I40" s="105">
        <v>0.08</v>
      </c>
    </row>
    <row r="41" spans="1:9" x14ac:dyDescent="0.3">
      <c r="A41" t="s">
        <v>267</v>
      </c>
      <c r="B41" t="s">
        <v>29</v>
      </c>
      <c r="C41" t="s">
        <v>287</v>
      </c>
      <c r="D41" t="s">
        <v>319</v>
      </c>
      <c r="E41" t="s">
        <v>48</v>
      </c>
      <c r="F41" t="s">
        <v>58</v>
      </c>
      <c r="G41" t="s">
        <v>287</v>
      </c>
      <c r="H41" t="s">
        <v>362</v>
      </c>
      <c r="I41" s="105">
        <v>0.57148817906132898</v>
      </c>
    </row>
    <row r="42" spans="1:9" x14ac:dyDescent="0.3">
      <c r="A42" t="s">
        <v>267</v>
      </c>
      <c r="B42" t="s">
        <v>73</v>
      </c>
      <c r="C42" t="s">
        <v>287</v>
      </c>
      <c r="D42" t="s">
        <v>320</v>
      </c>
      <c r="E42" t="s">
        <v>48</v>
      </c>
      <c r="F42" t="s">
        <v>58</v>
      </c>
      <c r="G42" t="s">
        <v>287</v>
      </c>
      <c r="H42" t="s">
        <v>362</v>
      </c>
      <c r="I42" s="105">
        <v>0.20544515725238621</v>
      </c>
    </row>
    <row r="43" spans="1:9" x14ac:dyDescent="0.3">
      <c r="A43" t="s">
        <v>267</v>
      </c>
      <c r="B43" t="s">
        <v>30</v>
      </c>
      <c r="C43" t="s">
        <v>287</v>
      </c>
      <c r="D43" t="s">
        <v>321</v>
      </c>
      <c r="E43" t="s">
        <v>48</v>
      </c>
      <c r="F43" t="s">
        <v>58</v>
      </c>
      <c r="G43" t="s">
        <v>287</v>
      </c>
      <c r="H43" t="s">
        <v>362</v>
      </c>
      <c r="I43" s="105">
        <v>0.14238773274917857</v>
      </c>
    </row>
    <row r="44" spans="1:9" x14ac:dyDescent="0.3">
      <c r="A44" t="s">
        <v>267</v>
      </c>
      <c r="B44" t="s">
        <v>74</v>
      </c>
      <c r="C44" t="s">
        <v>287</v>
      </c>
      <c r="D44" t="s">
        <v>324</v>
      </c>
      <c r="E44" t="s">
        <v>48</v>
      </c>
      <c r="F44" t="s">
        <v>58</v>
      </c>
      <c r="G44" t="s">
        <v>287</v>
      </c>
      <c r="H44" t="s">
        <v>362</v>
      </c>
      <c r="I44" s="105">
        <v>8.0678930937106333E-2</v>
      </c>
    </row>
    <row r="45" spans="1:9" x14ac:dyDescent="0.3">
      <c r="A45" t="s">
        <v>268</v>
      </c>
      <c r="B45" t="s">
        <v>29</v>
      </c>
      <c r="C45" t="s">
        <v>288</v>
      </c>
      <c r="D45" t="s">
        <v>319</v>
      </c>
      <c r="E45" t="s">
        <v>48</v>
      </c>
      <c r="F45" t="s">
        <v>58</v>
      </c>
      <c r="G45" t="s">
        <v>288</v>
      </c>
      <c r="H45" t="s">
        <v>362</v>
      </c>
      <c r="I45" s="105">
        <v>0.57114800928405662</v>
      </c>
    </row>
    <row r="46" spans="1:9" x14ac:dyDescent="0.3">
      <c r="A46" t="s">
        <v>268</v>
      </c>
      <c r="B46" t="s">
        <v>73</v>
      </c>
      <c r="C46" t="s">
        <v>288</v>
      </c>
      <c r="D46" t="s">
        <v>320</v>
      </c>
      <c r="E46" t="s">
        <v>48</v>
      </c>
      <c r="F46" t="s">
        <v>58</v>
      </c>
      <c r="G46" t="s">
        <v>288</v>
      </c>
      <c r="H46" t="s">
        <v>362</v>
      </c>
      <c r="I46" s="105">
        <v>0.20796286377432607</v>
      </c>
    </row>
    <row r="47" spans="1:9" x14ac:dyDescent="0.3">
      <c r="A47" t="s">
        <v>268</v>
      </c>
      <c r="B47" t="s">
        <v>30</v>
      </c>
      <c r="C47" t="s">
        <v>288</v>
      </c>
      <c r="D47" t="s">
        <v>321</v>
      </c>
      <c r="E47" t="s">
        <v>48</v>
      </c>
      <c r="F47" t="s">
        <v>58</v>
      </c>
      <c r="G47" t="s">
        <v>288</v>
      </c>
      <c r="H47" t="s">
        <v>362</v>
      </c>
      <c r="I47" s="105">
        <v>0.13997500446348871</v>
      </c>
    </row>
    <row r="48" spans="1:9" x14ac:dyDescent="0.3">
      <c r="A48" t="s">
        <v>268</v>
      </c>
      <c r="B48" t="s">
        <v>74</v>
      </c>
      <c r="C48" t="s">
        <v>288</v>
      </c>
      <c r="D48" t="s">
        <v>324</v>
      </c>
      <c r="E48" t="s">
        <v>48</v>
      </c>
      <c r="F48" t="s">
        <v>58</v>
      </c>
      <c r="G48" t="s">
        <v>288</v>
      </c>
      <c r="H48" t="s">
        <v>362</v>
      </c>
      <c r="I48" s="105">
        <v>8.0914122478128736E-2</v>
      </c>
    </row>
    <row r="49" spans="1:9" x14ac:dyDescent="0.3">
      <c r="A49" t="s">
        <v>49</v>
      </c>
      <c r="B49" t="s">
        <v>37</v>
      </c>
      <c r="C49" t="s">
        <v>289</v>
      </c>
      <c r="D49" t="s">
        <v>307</v>
      </c>
      <c r="E49" t="s">
        <v>49</v>
      </c>
      <c r="F49" t="s">
        <v>51</v>
      </c>
      <c r="G49" t="s">
        <v>289</v>
      </c>
      <c r="H49" t="s">
        <v>360</v>
      </c>
      <c r="I49" s="105">
        <v>0.2</v>
      </c>
    </row>
    <row r="50" spans="1:9" x14ac:dyDescent="0.3">
      <c r="A50" t="s">
        <v>49</v>
      </c>
      <c r="B50" t="s">
        <v>39</v>
      </c>
      <c r="C50" t="s">
        <v>289</v>
      </c>
      <c r="D50" t="s">
        <v>308</v>
      </c>
      <c r="E50" t="s">
        <v>49</v>
      </c>
      <c r="F50" t="s">
        <v>51</v>
      </c>
      <c r="G50" t="s">
        <v>289</v>
      </c>
      <c r="H50" t="s">
        <v>360</v>
      </c>
      <c r="I50" s="105">
        <v>0.05</v>
      </c>
    </row>
    <row r="51" spans="1:9" x14ac:dyDescent="0.3">
      <c r="A51" t="s">
        <v>49</v>
      </c>
      <c r="B51" t="s">
        <v>40</v>
      </c>
      <c r="C51" t="s">
        <v>289</v>
      </c>
      <c r="D51" t="s">
        <v>309</v>
      </c>
      <c r="E51" t="s">
        <v>49</v>
      </c>
      <c r="F51" t="s">
        <v>51</v>
      </c>
      <c r="G51" t="s">
        <v>289</v>
      </c>
      <c r="H51" t="s">
        <v>360</v>
      </c>
      <c r="I51" s="105">
        <v>0.35</v>
      </c>
    </row>
    <row r="52" spans="1:9" x14ac:dyDescent="0.3">
      <c r="A52" t="s">
        <v>49</v>
      </c>
      <c r="B52" t="s">
        <v>41</v>
      </c>
      <c r="C52" t="s">
        <v>289</v>
      </c>
      <c r="D52" t="s">
        <v>310</v>
      </c>
      <c r="E52" t="s">
        <v>49</v>
      </c>
      <c r="F52" t="s">
        <v>51</v>
      </c>
      <c r="G52" t="s">
        <v>289</v>
      </c>
      <c r="H52" t="s">
        <v>360</v>
      </c>
      <c r="I52" s="105">
        <v>0.2</v>
      </c>
    </row>
    <row r="53" spans="1:9" x14ac:dyDescent="0.3">
      <c r="A53" t="s">
        <v>49</v>
      </c>
      <c r="B53" t="s">
        <v>38</v>
      </c>
      <c r="C53" t="s">
        <v>289</v>
      </c>
      <c r="D53" t="s">
        <v>311</v>
      </c>
      <c r="E53" t="s">
        <v>49</v>
      </c>
      <c r="F53" t="s">
        <v>51</v>
      </c>
      <c r="G53" t="s">
        <v>289</v>
      </c>
      <c r="H53" t="s">
        <v>360</v>
      </c>
      <c r="I53" s="105">
        <v>0.2</v>
      </c>
    </row>
    <row r="54" spans="1:9" x14ac:dyDescent="0.3">
      <c r="A54" t="s">
        <v>44</v>
      </c>
      <c r="B54" t="s">
        <v>37</v>
      </c>
      <c r="C54" t="s">
        <v>290</v>
      </c>
      <c r="D54" t="s">
        <v>307</v>
      </c>
      <c r="E54" t="s">
        <v>44</v>
      </c>
      <c r="F54" t="s">
        <v>51</v>
      </c>
      <c r="G54" t="s">
        <v>290</v>
      </c>
      <c r="H54" t="s">
        <v>360</v>
      </c>
      <c r="I54" s="105">
        <v>0.08</v>
      </c>
    </row>
    <row r="55" spans="1:9" x14ac:dyDescent="0.3">
      <c r="A55" t="s">
        <v>44</v>
      </c>
      <c r="B55" t="s">
        <v>39</v>
      </c>
      <c r="C55" t="s">
        <v>290</v>
      </c>
      <c r="D55" t="s">
        <v>308</v>
      </c>
      <c r="E55" t="s">
        <v>44</v>
      </c>
      <c r="F55" t="s">
        <v>51</v>
      </c>
      <c r="G55" t="s">
        <v>290</v>
      </c>
      <c r="H55" t="s">
        <v>360</v>
      </c>
      <c r="I55" s="105">
        <v>2E-3</v>
      </c>
    </row>
    <row r="56" spans="1:9" x14ac:dyDescent="0.3">
      <c r="A56" t="s">
        <v>44</v>
      </c>
      <c r="B56" t="s">
        <v>40</v>
      </c>
      <c r="C56" t="s">
        <v>290</v>
      </c>
      <c r="D56" t="s">
        <v>309</v>
      </c>
      <c r="E56" t="s">
        <v>44</v>
      </c>
      <c r="F56" t="s">
        <v>51</v>
      </c>
      <c r="G56" t="s">
        <v>290</v>
      </c>
      <c r="H56" t="s">
        <v>360</v>
      </c>
      <c r="I56" s="105">
        <v>0.4</v>
      </c>
    </row>
    <row r="57" spans="1:9" x14ac:dyDescent="0.3">
      <c r="A57" t="s">
        <v>44</v>
      </c>
      <c r="B57" t="s">
        <v>41</v>
      </c>
      <c r="C57" t="s">
        <v>290</v>
      </c>
      <c r="D57" t="s">
        <v>310</v>
      </c>
      <c r="E57" t="s">
        <v>44</v>
      </c>
      <c r="F57" t="s">
        <v>51</v>
      </c>
      <c r="G57" t="s">
        <v>290</v>
      </c>
      <c r="H57" t="s">
        <v>360</v>
      </c>
      <c r="I57" s="105">
        <v>0.26800000000000002</v>
      </c>
    </row>
    <row r="58" spans="1:9" x14ac:dyDescent="0.3">
      <c r="A58" t="s">
        <v>44</v>
      </c>
      <c r="B58" t="s">
        <v>38</v>
      </c>
      <c r="C58" t="s">
        <v>290</v>
      </c>
      <c r="D58" t="s">
        <v>311</v>
      </c>
      <c r="E58" t="s">
        <v>44</v>
      </c>
      <c r="F58" t="s">
        <v>51</v>
      </c>
      <c r="G58" t="s">
        <v>290</v>
      </c>
      <c r="H58" t="s">
        <v>360</v>
      </c>
      <c r="I58" s="105">
        <v>0.25</v>
      </c>
    </row>
    <row r="59" spans="1:9" x14ac:dyDescent="0.3">
      <c r="A59" t="s">
        <v>44</v>
      </c>
      <c r="B59" t="s">
        <v>29</v>
      </c>
      <c r="C59" t="s">
        <v>290</v>
      </c>
      <c r="D59" t="s">
        <v>319</v>
      </c>
      <c r="E59" t="s">
        <v>44</v>
      </c>
      <c r="F59" t="s">
        <v>58</v>
      </c>
      <c r="G59" t="s">
        <v>290</v>
      </c>
      <c r="H59" t="s">
        <v>362</v>
      </c>
      <c r="I59" s="105">
        <v>0.7400000000000001</v>
      </c>
    </row>
    <row r="60" spans="1:9" x14ac:dyDescent="0.3">
      <c r="A60" t="s">
        <v>44</v>
      </c>
      <c r="B60" t="s">
        <v>73</v>
      </c>
      <c r="C60" t="s">
        <v>290</v>
      </c>
      <c r="D60" t="s">
        <v>320</v>
      </c>
      <c r="E60" t="s">
        <v>44</v>
      </c>
      <c r="F60" t="s">
        <v>58</v>
      </c>
      <c r="G60" t="s">
        <v>290</v>
      </c>
      <c r="H60" t="s">
        <v>362</v>
      </c>
      <c r="I60" s="105">
        <v>6.0000000000000005E-2</v>
      </c>
    </row>
    <row r="61" spans="1:9" x14ac:dyDescent="0.3">
      <c r="A61" t="s">
        <v>44</v>
      </c>
      <c r="B61" t="s">
        <v>30</v>
      </c>
      <c r="C61" t="s">
        <v>290</v>
      </c>
      <c r="D61" t="s">
        <v>321</v>
      </c>
      <c r="E61" t="s">
        <v>44</v>
      </c>
      <c r="F61" t="s">
        <v>58</v>
      </c>
      <c r="G61" t="s">
        <v>290</v>
      </c>
      <c r="H61" t="s">
        <v>362</v>
      </c>
      <c r="I61" s="105">
        <v>0.14000000000000004</v>
      </c>
    </row>
    <row r="62" spans="1:9" x14ac:dyDescent="0.3">
      <c r="A62" t="s">
        <v>44</v>
      </c>
      <c r="B62" t="s">
        <v>74</v>
      </c>
      <c r="C62" t="s">
        <v>290</v>
      </c>
      <c r="D62" t="s">
        <v>324</v>
      </c>
      <c r="E62" t="s">
        <v>44</v>
      </c>
      <c r="F62" t="s">
        <v>58</v>
      </c>
      <c r="G62" t="s">
        <v>290</v>
      </c>
      <c r="H62" t="s">
        <v>362</v>
      </c>
      <c r="I62" s="105">
        <v>5.9999999999999838E-2</v>
      </c>
    </row>
    <row r="63" spans="1:9" x14ac:dyDescent="0.3">
      <c r="A63" t="s">
        <v>45</v>
      </c>
      <c r="B63" t="s">
        <v>37</v>
      </c>
      <c r="C63" t="s">
        <v>291</v>
      </c>
      <c r="D63" t="s">
        <v>307</v>
      </c>
      <c r="E63" t="s">
        <v>45</v>
      </c>
      <c r="F63" t="s">
        <v>51</v>
      </c>
      <c r="G63" t="s">
        <v>291</v>
      </c>
      <c r="H63" t="s">
        <v>360</v>
      </c>
      <c r="I63" s="105">
        <v>0.02</v>
      </c>
    </row>
    <row r="64" spans="1:9" x14ac:dyDescent="0.3">
      <c r="A64" t="s">
        <v>45</v>
      </c>
      <c r="B64" t="s">
        <v>40</v>
      </c>
      <c r="C64" t="s">
        <v>291</v>
      </c>
      <c r="D64" t="s">
        <v>309</v>
      </c>
      <c r="E64" t="s">
        <v>45</v>
      </c>
      <c r="F64" t="s">
        <v>51</v>
      </c>
      <c r="G64" t="s">
        <v>291</v>
      </c>
      <c r="H64" t="s">
        <v>360</v>
      </c>
      <c r="I64" s="105">
        <v>0.27</v>
      </c>
    </row>
    <row r="65" spans="1:9" x14ac:dyDescent="0.3">
      <c r="A65" t="s">
        <v>45</v>
      </c>
      <c r="B65" t="s">
        <v>41</v>
      </c>
      <c r="C65" t="s">
        <v>291</v>
      </c>
      <c r="D65" t="s">
        <v>310</v>
      </c>
      <c r="E65" t="s">
        <v>45</v>
      </c>
      <c r="F65" t="s">
        <v>51</v>
      </c>
      <c r="G65" t="s">
        <v>291</v>
      </c>
      <c r="H65" t="s">
        <v>360</v>
      </c>
      <c r="I65" s="105">
        <v>0.66</v>
      </c>
    </row>
    <row r="66" spans="1:9" x14ac:dyDescent="0.3">
      <c r="A66" t="s">
        <v>45</v>
      </c>
      <c r="B66" t="s">
        <v>38</v>
      </c>
      <c r="C66" t="s">
        <v>291</v>
      </c>
      <c r="D66" t="s">
        <v>311</v>
      </c>
      <c r="E66" t="s">
        <v>45</v>
      </c>
      <c r="F66" t="s">
        <v>51</v>
      </c>
      <c r="G66" t="s">
        <v>291</v>
      </c>
      <c r="H66" t="s">
        <v>360</v>
      </c>
      <c r="I66" s="105">
        <v>0.05</v>
      </c>
    </row>
    <row r="67" spans="1:9" x14ac:dyDescent="0.3">
      <c r="A67" t="s">
        <v>46</v>
      </c>
      <c r="B67" t="s">
        <v>37</v>
      </c>
      <c r="C67" t="s">
        <v>292</v>
      </c>
      <c r="D67" t="s">
        <v>307</v>
      </c>
      <c r="E67" t="s">
        <v>46</v>
      </c>
      <c r="F67" t="s">
        <v>51</v>
      </c>
      <c r="G67" t="s">
        <v>292</v>
      </c>
      <c r="H67" t="s">
        <v>360</v>
      </c>
      <c r="I67" s="105">
        <v>0.06</v>
      </c>
    </row>
    <row r="68" spans="1:9" x14ac:dyDescent="0.3">
      <c r="A68" t="s">
        <v>46</v>
      </c>
      <c r="B68" t="s">
        <v>39</v>
      </c>
      <c r="C68" t="s">
        <v>292</v>
      </c>
      <c r="D68" t="s">
        <v>308</v>
      </c>
      <c r="E68" t="s">
        <v>46</v>
      </c>
      <c r="F68" t="s">
        <v>51</v>
      </c>
      <c r="G68" t="s">
        <v>292</v>
      </c>
      <c r="H68" t="s">
        <v>360</v>
      </c>
      <c r="I68" s="105">
        <v>1E-3</v>
      </c>
    </row>
    <row r="69" spans="1:9" x14ac:dyDescent="0.3">
      <c r="A69" t="s">
        <v>46</v>
      </c>
      <c r="B69" t="s">
        <v>40</v>
      </c>
      <c r="C69" t="s">
        <v>292</v>
      </c>
      <c r="D69" t="s">
        <v>309</v>
      </c>
      <c r="E69" t="s">
        <v>46</v>
      </c>
      <c r="F69" t="s">
        <v>51</v>
      </c>
      <c r="G69" t="s">
        <v>292</v>
      </c>
      <c r="H69" t="s">
        <v>360</v>
      </c>
      <c r="I69" s="105">
        <v>0.84899999999999998</v>
      </c>
    </row>
    <row r="70" spans="1:9" x14ac:dyDescent="0.3">
      <c r="A70" t="s">
        <v>46</v>
      </c>
      <c r="B70" t="s">
        <v>41</v>
      </c>
      <c r="C70" t="s">
        <v>292</v>
      </c>
      <c r="D70" t="s">
        <v>310</v>
      </c>
      <c r="E70" t="s">
        <v>46</v>
      </c>
      <c r="F70" t="s">
        <v>51</v>
      </c>
      <c r="G70" t="s">
        <v>292</v>
      </c>
      <c r="H70" t="s">
        <v>360</v>
      </c>
      <c r="I70" s="105">
        <v>0.03</v>
      </c>
    </row>
    <row r="71" spans="1:9" x14ac:dyDescent="0.3">
      <c r="A71" t="s">
        <v>46</v>
      </c>
      <c r="B71" t="s">
        <v>38</v>
      </c>
      <c r="C71" t="s">
        <v>292</v>
      </c>
      <c r="D71" t="s">
        <v>311</v>
      </c>
      <c r="E71" t="s">
        <v>46</v>
      </c>
      <c r="F71" t="s">
        <v>51</v>
      </c>
      <c r="G71" t="s">
        <v>292</v>
      </c>
      <c r="H71" t="s">
        <v>360</v>
      </c>
      <c r="I71" s="105">
        <v>0.06</v>
      </c>
    </row>
    <row r="72" spans="1:9" x14ac:dyDescent="0.3">
      <c r="A72" t="s">
        <v>176</v>
      </c>
      <c r="B72" t="s">
        <v>37</v>
      </c>
      <c r="C72" t="s">
        <v>293</v>
      </c>
      <c r="D72" t="s">
        <v>307</v>
      </c>
      <c r="E72" t="s">
        <v>176</v>
      </c>
      <c r="F72" t="s">
        <v>51</v>
      </c>
      <c r="G72" t="s">
        <v>293</v>
      </c>
      <c r="H72" t="s">
        <v>360</v>
      </c>
      <c r="I72" s="105">
        <v>0.25</v>
      </c>
    </row>
    <row r="73" spans="1:9" x14ac:dyDescent="0.3">
      <c r="A73" t="s">
        <v>176</v>
      </c>
      <c r="B73" t="s">
        <v>40</v>
      </c>
      <c r="C73" t="s">
        <v>293</v>
      </c>
      <c r="D73" t="s">
        <v>309</v>
      </c>
      <c r="E73" t="s">
        <v>176</v>
      </c>
      <c r="F73" t="s">
        <v>51</v>
      </c>
      <c r="G73" t="s">
        <v>293</v>
      </c>
      <c r="H73" t="s">
        <v>360</v>
      </c>
      <c r="I73" s="105">
        <v>0.1</v>
      </c>
    </row>
    <row r="74" spans="1:9" x14ac:dyDescent="0.3">
      <c r="A74" t="s">
        <v>176</v>
      </c>
      <c r="B74" t="s">
        <v>41</v>
      </c>
      <c r="C74" t="s">
        <v>293</v>
      </c>
      <c r="D74" t="s">
        <v>310</v>
      </c>
      <c r="E74" t="s">
        <v>176</v>
      </c>
      <c r="F74" t="s">
        <v>51</v>
      </c>
      <c r="G74" t="s">
        <v>293</v>
      </c>
      <c r="H74" t="s">
        <v>360</v>
      </c>
      <c r="I74" s="105">
        <v>0.15</v>
      </c>
    </row>
    <row r="75" spans="1:9" x14ac:dyDescent="0.3">
      <c r="A75" t="s">
        <v>176</v>
      </c>
      <c r="B75" t="s">
        <v>38</v>
      </c>
      <c r="C75" t="s">
        <v>293</v>
      </c>
      <c r="D75" t="s">
        <v>311</v>
      </c>
      <c r="E75" t="s">
        <v>176</v>
      </c>
      <c r="F75" t="s">
        <v>51</v>
      </c>
      <c r="G75" t="s">
        <v>293</v>
      </c>
      <c r="H75" t="s">
        <v>360</v>
      </c>
      <c r="I75" s="105">
        <v>0.5</v>
      </c>
    </row>
    <row r="76" spans="1:9" x14ac:dyDescent="0.3">
      <c r="A76" t="s">
        <v>205</v>
      </c>
      <c r="B76" t="s">
        <v>37</v>
      </c>
      <c r="C76" t="s">
        <v>294</v>
      </c>
      <c r="D76" t="s">
        <v>307</v>
      </c>
      <c r="E76" t="s">
        <v>205</v>
      </c>
      <c r="F76" t="s">
        <v>51</v>
      </c>
      <c r="G76" t="s">
        <v>294</v>
      </c>
      <c r="H76" t="s">
        <v>360</v>
      </c>
      <c r="I76" s="105">
        <v>0.06</v>
      </c>
    </row>
    <row r="77" spans="1:9" x14ac:dyDescent="0.3">
      <c r="A77" t="s">
        <v>205</v>
      </c>
      <c r="B77" t="s">
        <v>40</v>
      </c>
      <c r="C77" t="s">
        <v>294</v>
      </c>
      <c r="D77" t="s">
        <v>309</v>
      </c>
      <c r="E77" t="s">
        <v>205</v>
      </c>
      <c r="F77" t="s">
        <v>51</v>
      </c>
      <c r="G77" t="s">
        <v>294</v>
      </c>
      <c r="H77" t="s">
        <v>360</v>
      </c>
      <c r="I77" s="105">
        <v>0.3</v>
      </c>
    </row>
    <row r="78" spans="1:9" x14ac:dyDescent="0.3">
      <c r="A78" t="s">
        <v>205</v>
      </c>
      <c r="B78" t="s">
        <v>41</v>
      </c>
      <c r="C78" t="s">
        <v>294</v>
      </c>
      <c r="D78" t="s">
        <v>310</v>
      </c>
      <c r="E78" t="s">
        <v>205</v>
      </c>
      <c r="F78" t="s">
        <v>51</v>
      </c>
      <c r="G78" t="s">
        <v>294</v>
      </c>
      <c r="H78" t="s">
        <v>360</v>
      </c>
      <c r="I78" s="105">
        <v>0.56999999999999995</v>
      </c>
    </row>
    <row r="79" spans="1:9" x14ac:dyDescent="0.3">
      <c r="A79" t="s">
        <v>205</v>
      </c>
      <c r="B79" t="s">
        <v>38</v>
      </c>
      <c r="C79" t="s">
        <v>294</v>
      </c>
      <c r="D79" t="s">
        <v>311</v>
      </c>
      <c r="E79" t="s">
        <v>205</v>
      </c>
      <c r="F79" t="s">
        <v>51</v>
      </c>
      <c r="G79" t="s">
        <v>294</v>
      </c>
      <c r="H79" t="s">
        <v>360</v>
      </c>
      <c r="I79" s="105">
        <v>7.0000000000000007E-2</v>
      </c>
    </row>
    <row r="80" spans="1:9" x14ac:dyDescent="0.3">
      <c r="A80" t="s">
        <v>78</v>
      </c>
      <c r="B80" t="s">
        <v>31</v>
      </c>
      <c r="C80" t="s">
        <v>301</v>
      </c>
      <c r="D80" t="s">
        <v>313</v>
      </c>
      <c r="E80" t="s">
        <v>50</v>
      </c>
      <c r="F80" t="s">
        <v>31</v>
      </c>
      <c r="G80" t="s">
        <v>359</v>
      </c>
      <c r="H80" t="s">
        <v>313</v>
      </c>
      <c r="I80" s="105">
        <v>9.1806221596582971E-2</v>
      </c>
    </row>
    <row r="81" spans="1:9" x14ac:dyDescent="0.3">
      <c r="A81" t="s">
        <v>79</v>
      </c>
      <c r="B81" t="s">
        <v>31</v>
      </c>
      <c r="C81" t="s">
        <v>302</v>
      </c>
      <c r="D81" t="s">
        <v>313</v>
      </c>
      <c r="E81" t="s">
        <v>50</v>
      </c>
      <c r="F81" t="s">
        <v>31</v>
      </c>
      <c r="G81" t="s">
        <v>359</v>
      </c>
      <c r="H81" t="s">
        <v>313</v>
      </c>
      <c r="I81" s="105">
        <v>0.53536163476151766</v>
      </c>
    </row>
    <row r="82" spans="1:9" x14ac:dyDescent="0.3">
      <c r="A82" t="s">
        <v>67</v>
      </c>
      <c r="B82" t="s">
        <v>31</v>
      </c>
      <c r="C82" t="s">
        <v>303</v>
      </c>
      <c r="D82" t="s">
        <v>313</v>
      </c>
      <c r="E82" t="s">
        <v>50</v>
      </c>
      <c r="F82" t="s">
        <v>31</v>
      </c>
      <c r="G82" t="s">
        <v>359</v>
      </c>
      <c r="H82" t="s">
        <v>313</v>
      </c>
      <c r="I82" s="105">
        <v>0.24670131881720012</v>
      </c>
    </row>
    <row r="83" spans="1:9" x14ac:dyDescent="0.3">
      <c r="A83" t="s">
        <v>69</v>
      </c>
      <c r="B83" t="s">
        <v>31</v>
      </c>
      <c r="C83" t="s">
        <v>305</v>
      </c>
      <c r="D83" t="s">
        <v>313</v>
      </c>
      <c r="E83" t="s">
        <v>50</v>
      </c>
      <c r="F83" t="s">
        <v>31</v>
      </c>
      <c r="G83" t="s">
        <v>359</v>
      </c>
      <c r="H83" t="s">
        <v>313</v>
      </c>
      <c r="I83" s="105">
        <v>0.12613082482469931</v>
      </c>
    </row>
    <row r="84" spans="1:9" x14ac:dyDescent="0.3">
      <c r="A84" t="s">
        <v>36</v>
      </c>
      <c r="B84" t="s">
        <v>32</v>
      </c>
      <c r="C84" t="s">
        <v>306</v>
      </c>
      <c r="D84" t="s">
        <v>314</v>
      </c>
      <c r="E84" t="s">
        <v>36</v>
      </c>
      <c r="F84" t="s">
        <v>59</v>
      </c>
      <c r="G84" t="s">
        <v>306</v>
      </c>
      <c r="H84" t="s">
        <v>361</v>
      </c>
      <c r="I84" s="105">
        <v>0.2</v>
      </c>
    </row>
    <row r="85" spans="1:9" x14ac:dyDescent="0.3">
      <c r="A85" t="s">
        <v>36</v>
      </c>
      <c r="B85" t="s">
        <v>33</v>
      </c>
      <c r="C85" t="s">
        <v>306</v>
      </c>
      <c r="D85" t="s">
        <v>315</v>
      </c>
      <c r="E85" t="s">
        <v>36</v>
      </c>
      <c r="F85" t="s">
        <v>59</v>
      </c>
      <c r="G85" t="s">
        <v>306</v>
      </c>
      <c r="H85" t="s">
        <v>361</v>
      </c>
      <c r="I85" s="105">
        <v>0.4</v>
      </c>
    </row>
    <row r="86" spans="1:9" x14ac:dyDescent="0.3">
      <c r="A86" t="s">
        <v>36</v>
      </c>
      <c r="B86" t="s">
        <v>34</v>
      </c>
      <c r="C86" t="s">
        <v>306</v>
      </c>
      <c r="D86" t="s">
        <v>316</v>
      </c>
      <c r="E86" t="s">
        <v>36</v>
      </c>
      <c r="F86" t="s">
        <v>59</v>
      </c>
      <c r="G86" t="s">
        <v>306</v>
      </c>
      <c r="H86" t="s">
        <v>361</v>
      </c>
      <c r="I86" s="105">
        <v>0.2</v>
      </c>
    </row>
    <row r="87" spans="1:9" x14ac:dyDescent="0.3">
      <c r="A87" t="s">
        <v>36</v>
      </c>
      <c r="B87" t="s">
        <v>57</v>
      </c>
      <c r="C87" t="s">
        <v>306</v>
      </c>
      <c r="D87" t="s">
        <v>318</v>
      </c>
      <c r="E87" t="s">
        <v>36</v>
      </c>
      <c r="F87" t="s">
        <v>59</v>
      </c>
      <c r="G87" t="s">
        <v>306</v>
      </c>
      <c r="H87" t="s">
        <v>361</v>
      </c>
      <c r="I87" s="105">
        <v>0.2</v>
      </c>
    </row>
    <row r="88" spans="1:9" x14ac:dyDescent="0.3">
      <c r="A88" t="s">
        <v>32</v>
      </c>
      <c r="B88" t="s">
        <v>371</v>
      </c>
      <c r="C88" t="s">
        <v>314</v>
      </c>
      <c r="D88" t="s">
        <v>325</v>
      </c>
      <c r="E88" t="s">
        <v>59</v>
      </c>
      <c r="F88" t="s">
        <v>371</v>
      </c>
      <c r="G88" t="s">
        <v>361</v>
      </c>
      <c r="H88" t="s">
        <v>325</v>
      </c>
      <c r="I88" s="105">
        <v>0.19700000000000001</v>
      </c>
    </row>
    <row r="89" spans="1:9" x14ac:dyDescent="0.3">
      <c r="A89" t="s">
        <v>33</v>
      </c>
      <c r="B89" t="s">
        <v>371</v>
      </c>
      <c r="C89" t="s">
        <v>315</v>
      </c>
      <c r="D89" t="s">
        <v>325</v>
      </c>
      <c r="E89" t="s">
        <v>59</v>
      </c>
      <c r="F89" t="s">
        <v>371</v>
      </c>
      <c r="G89" t="s">
        <v>361</v>
      </c>
      <c r="H89" t="s">
        <v>325</v>
      </c>
      <c r="I89" s="105">
        <v>0.69299999999999995</v>
      </c>
    </row>
    <row r="90" spans="1:9" x14ac:dyDescent="0.3">
      <c r="A90" t="s">
        <v>34</v>
      </c>
      <c r="B90" t="s">
        <v>371</v>
      </c>
      <c r="C90" t="s">
        <v>316</v>
      </c>
      <c r="D90" t="s">
        <v>325</v>
      </c>
      <c r="E90" t="s">
        <v>59</v>
      </c>
      <c r="F90" t="s">
        <v>371</v>
      </c>
      <c r="G90" t="s">
        <v>361</v>
      </c>
      <c r="H90" t="s">
        <v>325</v>
      </c>
      <c r="I90" s="105">
        <v>5.5E-2</v>
      </c>
    </row>
    <row r="91" spans="1:9" x14ac:dyDescent="0.3">
      <c r="A91" t="s">
        <v>57</v>
      </c>
      <c r="B91" t="s">
        <v>371</v>
      </c>
      <c r="C91" t="s">
        <v>318</v>
      </c>
      <c r="D91" t="s">
        <v>325</v>
      </c>
      <c r="E91" t="s">
        <v>59</v>
      </c>
      <c r="F91" t="s">
        <v>371</v>
      </c>
      <c r="G91" t="s">
        <v>361</v>
      </c>
      <c r="H91" t="s">
        <v>325</v>
      </c>
      <c r="I91" s="105">
        <v>5.5E-2</v>
      </c>
    </row>
    <row r="92" spans="1:9" x14ac:dyDescent="0.3">
      <c r="A92" t="s">
        <v>371</v>
      </c>
      <c r="B92" t="s">
        <v>351</v>
      </c>
      <c r="C92" t="s">
        <v>325</v>
      </c>
      <c r="D92" t="s">
        <v>332</v>
      </c>
      <c r="E92" t="s">
        <v>371</v>
      </c>
      <c r="F92" t="s">
        <v>350</v>
      </c>
      <c r="G92" t="s">
        <v>325</v>
      </c>
      <c r="H92" t="s">
        <v>405</v>
      </c>
      <c r="I92" s="105">
        <v>0.2144681645757586</v>
      </c>
    </row>
    <row r="93" spans="1:9" x14ac:dyDescent="0.3">
      <c r="A93" t="s">
        <v>371</v>
      </c>
      <c r="B93" t="s">
        <v>916</v>
      </c>
      <c r="C93" t="s">
        <v>325</v>
      </c>
      <c r="D93" t="s">
        <v>333</v>
      </c>
      <c r="E93" t="s">
        <v>371</v>
      </c>
      <c r="F93" t="s">
        <v>350</v>
      </c>
      <c r="G93" t="s">
        <v>325</v>
      </c>
      <c r="H93" t="s">
        <v>405</v>
      </c>
      <c r="I93" s="105">
        <v>9.9838628336991087E-2</v>
      </c>
    </row>
    <row r="94" spans="1:9" x14ac:dyDescent="0.3">
      <c r="A94" t="s">
        <v>371</v>
      </c>
      <c r="B94" t="s">
        <v>391</v>
      </c>
      <c r="C94" t="s">
        <v>325</v>
      </c>
      <c r="D94" t="s">
        <v>338</v>
      </c>
      <c r="E94" t="s">
        <v>371</v>
      </c>
      <c r="F94" t="s">
        <v>350</v>
      </c>
      <c r="G94" t="s">
        <v>325</v>
      </c>
      <c r="H94" t="s">
        <v>405</v>
      </c>
      <c r="I94" s="105">
        <v>5.5465904631661705E-2</v>
      </c>
    </row>
    <row r="95" spans="1:9" x14ac:dyDescent="0.3">
      <c r="A95" t="s">
        <v>371</v>
      </c>
      <c r="B95" t="s">
        <v>406</v>
      </c>
      <c r="C95" t="s">
        <v>325</v>
      </c>
      <c r="D95" t="s">
        <v>349</v>
      </c>
      <c r="E95" t="s">
        <v>371</v>
      </c>
      <c r="F95" t="s">
        <v>350</v>
      </c>
      <c r="G95" t="s">
        <v>325</v>
      </c>
      <c r="H95" t="s">
        <v>405</v>
      </c>
      <c r="I95" s="105">
        <v>0.15373166574333971</v>
      </c>
    </row>
    <row r="96" spans="1:9" x14ac:dyDescent="0.3">
      <c r="A96" t="s">
        <v>371</v>
      </c>
      <c r="B96" t="s">
        <v>352</v>
      </c>
      <c r="C96" t="s">
        <v>325</v>
      </c>
      <c r="D96" t="s">
        <v>353</v>
      </c>
      <c r="E96" t="s">
        <v>371</v>
      </c>
      <c r="F96" t="s">
        <v>350</v>
      </c>
      <c r="G96" t="s">
        <v>325</v>
      </c>
      <c r="H96" t="s">
        <v>405</v>
      </c>
      <c r="I96" s="105">
        <v>0.35531939159721976</v>
      </c>
    </row>
    <row r="97" spans="1:9" x14ac:dyDescent="0.3">
      <c r="A97" t="s">
        <v>371</v>
      </c>
      <c r="B97" t="s">
        <v>373</v>
      </c>
      <c r="C97" t="s">
        <v>325</v>
      </c>
      <c r="D97" t="s">
        <v>354</v>
      </c>
      <c r="E97" t="s">
        <v>371</v>
      </c>
      <c r="F97" t="s">
        <v>350</v>
      </c>
      <c r="G97" t="s">
        <v>325</v>
      </c>
      <c r="H97" t="s">
        <v>405</v>
      </c>
      <c r="I97" s="105">
        <v>0.12117624511502915</v>
      </c>
    </row>
    <row r="98" spans="1:9" x14ac:dyDescent="0.3">
      <c r="A98" t="s">
        <v>372</v>
      </c>
      <c r="B98" t="s">
        <v>351</v>
      </c>
      <c r="C98" t="s">
        <v>326</v>
      </c>
      <c r="D98" t="s">
        <v>332</v>
      </c>
      <c r="E98" t="s">
        <v>372</v>
      </c>
      <c r="F98" t="s">
        <v>350</v>
      </c>
      <c r="G98" t="s">
        <v>326</v>
      </c>
      <c r="H98" t="s">
        <v>405</v>
      </c>
      <c r="I98" s="105">
        <v>7.4280715883604548E-2</v>
      </c>
    </row>
    <row r="99" spans="1:9" x14ac:dyDescent="0.3">
      <c r="A99" t="s">
        <v>372</v>
      </c>
      <c r="B99" t="s">
        <v>917</v>
      </c>
      <c r="C99" t="s">
        <v>326</v>
      </c>
      <c r="D99" t="s">
        <v>337</v>
      </c>
      <c r="E99" t="s">
        <v>372</v>
      </c>
      <c r="F99" t="s">
        <v>350</v>
      </c>
      <c r="G99" t="s">
        <v>326</v>
      </c>
      <c r="H99" t="s">
        <v>405</v>
      </c>
      <c r="I99" s="105">
        <v>0.53434551938580543</v>
      </c>
    </row>
    <row r="100" spans="1:9" x14ac:dyDescent="0.3">
      <c r="A100" t="s">
        <v>372</v>
      </c>
      <c r="B100" t="s">
        <v>391</v>
      </c>
      <c r="C100" t="s">
        <v>326</v>
      </c>
      <c r="D100" t="s">
        <v>338</v>
      </c>
      <c r="E100" t="s">
        <v>372</v>
      </c>
      <c r="F100" t="s">
        <v>350</v>
      </c>
      <c r="G100" t="s">
        <v>326</v>
      </c>
      <c r="H100" t="s">
        <v>405</v>
      </c>
      <c r="I100" s="105">
        <v>3.0631778934286993E-2</v>
      </c>
    </row>
    <row r="101" spans="1:9" x14ac:dyDescent="0.3">
      <c r="A101" t="s">
        <v>372</v>
      </c>
      <c r="B101" t="s">
        <v>406</v>
      </c>
      <c r="C101" t="s">
        <v>326</v>
      </c>
      <c r="D101" t="s">
        <v>349</v>
      </c>
      <c r="E101" t="s">
        <v>372</v>
      </c>
      <c r="F101" t="s">
        <v>350</v>
      </c>
      <c r="G101" t="s">
        <v>326</v>
      </c>
      <c r="H101" t="s">
        <v>405</v>
      </c>
      <c r="I101" s="105">
        <v>3.1834592521544809E-2</v>
      </c>
    </row>
    <row r="102" spans="1:9" x14ac:dyDescent="0.3">
      <c r="A102" t="s">
        <v>372</v>
      </c>
      <c r="B102" t="s">
        <v>352</v>
      </c>
      <c r="C102" t="s">
        <v>326</v>
      </c>
      <c r="D102" t="s">
        <v>353</v>
      </c>
      <c r="E102" t="s">
        <v>372</v>
      </c>
      <c r="F102" t="s">
        <v>350</v>
      </c>
      <c r="G102" t="s">
        <v>326</v>
      </c>
      <c r="H102" t="s">
        <v>405</v>
      </c>
      <c r="I102" s="105">
        <v>0.24526389302655779</v>
      </c>
    </row>
    <row r="103" spans="1:9" x14ac:dyDescent="0.3">
      <c r="A103" t="s">
        <v>372</v>
      </c>
      <c r="B103" t="s">
        <v>373</v>
      </c>
      <c r="C103" t="s">
        <v>326</v>
      </c>
      <c r="D103" t="s">
        <v>354</v>
      </c>
      <c r="E103" t="s">
        <v>372</v>
      </c>
      <c r="F103" t="s">
        <v>350</v>
      </c>
      <c r="G103" t="s">
        <v>326</v>
      </c>
      <c r="H103" t="s">
        <v>405</v>
      </c>
      <c r="I103" s="105">
        <v>8.3643500248200373E-2</v>
      </c>
    </row>
    <row r="104" spans="1:9" x14ac:dyDescent="0.3">
      <c r="A104" t="s">
        <v>29</v>
      </c>
      <c r="B104" t="s">
        <v>351</v>
      </c>
      <c r="C104" t="s">
        <v>319</v>
      </c>
      <c r="D104" t="s">
        <v>332</v>
      </c>
      <c r="E104" t="s">
        <v>29</v>
      </c>
      <c r="F104" t="s">
        <v>350</v>
      </c>
      <c r="G104" t="s">
        <v>319</v>
      </c>
      <c r="H104" t="s">
        <v>405</v>
      </c>
      <c r="I104" s="105">
        <v>0.76923076923076916</v>
      </c>
    </row>
    <row r="105" spans="1:9" x14ac:dyDescent="0.3">
      <c r="A105" t="s">
        <v>29</v>
      </c>
      <c r="B105" t="s">
        <v>391</v>
      </c>
      <c r="C105" t="s">
        <v>319</v>
      </c>
      <c r="D105" t="s">
        <v>338</v>
      </c>
      <c r="E105" t="s">
        <v>29</v>
      </c>
      <c r="F105" t="s">
        <v>350</v>
      </c>
      <c r="G105" t="s">
        <v>319</v>
      </c>
      <c r="H105" t="s">
        <v>405</v>
      </c>
      <c r="I105" s="105">
        <v>7.6923076923076927E-2</v>
      </c>
    </row>
    <row r="106" spans="1:9" x14ac:dyDescent="0.3">
      <c r="A106" t="s">
        <v>29</v>
      </c>
      <c r="B106" t="s">
        <v>406</v>
      </c>
      <c r="C106" t="s">
        <v>319</v>
      </c>
      <c r="D106" t="s">
        <v>349</v>
      </c>
      <c r="E106" t="s">
        <v>29</v>
      </c>
      <c r="F106" t="s">
        <v>350</v>
      </c>
      <c r="G106" t="s">
        <v>319</v>
      </c>
      <c r="H106" t="s">
        <v>405</v>
      </c>
      <c r="I106" s="105">
        <v>7.6923076923076927E-2</v>
      </c>
    </row>
    <row r="107" spans="1:9" x14ac:dyDescent="0.3">
      <c r="A107" t="s">
        <v>29</v>
      </c>
      <c r="B107" t="s">
        <v>352</v>
      </c>
      <c r="C107" t="s">
        <v>319</v>
      </c>
      <c r="D107" t="s">
        <v>353</v>
      </c>
      <c r="E107" t="s">
        <v>29</v>
      </c>
      <c r="F107" t="s">
        <v>350</v>
      </c>
      <c r="G107" t="s">
        <v>319</v>
      </c>
      <c r="H107" t="s">
        <v>405</v>
      </c>
      <c r="I107" s="105">
        <v>7.6923076923076927E-2</v>
      </c>
    </row>
    <row r="108" spans="1:9" x14ac:dyDescent="0.3">
      <c r="A108" t="s">
        <v>73</v>
      </c>
      <c r="B108" t="s">
        <v>351</v>
      </c>
      <c r="C108" t="s">
        <v>320</v>
      </c>
      <c r="D108" t="s">
        <v>332</v>
      </c>
      <c r="E108" t="s">
        <v>73</v>
      </c>
      <c r="F108" t="s">
        <v>350</v>
      </c>
      <c r="G108" t="s">
        <v>320</v>
      </c>
      <c r="H108" t="s">
        <v>405</v>
      </c>
      <c r="I108" s="105">
        <v>0.76923076923076916</v>
      </c>
    </row>
    <row r="109" spans="1:9" x14ac:dyDescent="0.3">
      <c r="A109" t="s">
        <v>73</v>
      </c>
      <c r="B109" t="s">
        <v>391</v>
      </c>
      <c r="C109" t="s">
        <v>320</v>
      </c>
      <c r="D109" t="s">
        <v>338</v>
      </c>
      <c r="E109" t="s">
        <v>73</v>
      </c>
      <c r="F109" t="s">
        <v>350</v>
      </c>
      <c r="G109" t="s">
        <v>320</v>
      </c>
      <c r="H109" t="s">
        <v>405</v>
      </c>
      <c r="I109" s="105">
        <v>7.6923076923076927E-2</v>
      </c>
    </row>
    <row r="110" spans="1:9" x14ac:dyDescent="0.3">
      <c r="A110" t="s">
        <v>73</v>
      </c>
      <c r="B110" t="s">
        <v>406</v>
      </c>
      <c r="C110" t="s">
        <v>320</v>
      </c>
      <c r="D110" t="s">
        <v>349</v>
      </c>
      <c r="E110" t="s">
        <v>73</v>
      </c>
      <c r="F110" t="s">
        <v>350</v>
      </c>
      <c r="G110" t="s">
        <v>320</v>
      </c>
      <c r="H110" t="s">
        <v>405</v>
      </c>
      <c r="I110" s="105">
        <v>7.6923076923076927E-2</v>
      </c>
    </row>
    <row r="111" spans="1:9" x14ac:dyDescent="0.3">
      <c r="A111" t="s">
        <v>73</v>
      </c>
      <c r="B111" t="s">
        <v>352</v>
      </c>
      <c r="C111" t="s">
        <v>320</v>
      </c>
      <c r="D111" t="s">
        <v>353</v>
      </c>
      <c r="E111" t="s">
        <v>73</v>
      </c>
      <c r="F111" t="s">
        <v>350</v>
      </c>
      <c r="G111" t="s">
        <v>320</v>
      </c>
      <c r="H111" t="s">
        <v>405</v>
      </c>
      <c r="I111" s="105">
        <v>7.6923076923076927E-2</v>
      </c>
    </row>
    <row r="112" spans="1:9" x14ac:dyDescent="0.3">
      <c r="A112" t="s">
        <v>30</v>
      </c>
      <c r="B112" t="s">
        <v>351</v>
      </c>
      <c r="C112" t="s">
        <v>321</v>
      </c>
      <c r="D112" t="s">
        <v>332</v>
      </c>
      <c r="E112" t="s">
        <v>30</v>
      </c>
      <c r="F112" t="s">
        <v>350</v>
      </c>
      <c r="G112" t="s">
        <v>321</v>
      </c>
      <c r="H112" t="s">
        <v>405</v>
      </c>
      <c r="I112" s="105">
        <v>0.83333333333333337</v>
      </c>
    </row>
    <row r="113" spans="1:9" x14ac:dyDescent="0.3">
      <c r="A113" t="s">
        <v>30</v>
      </c>
      <c r="B113" t="s">
        <v>391</v>
      </c>
      <c r="C113" t="s">
        <v>321</v>
      </c>
      <c r="D113" t="s">
        <v>338</v>
      </c>
      <c r="E113" t="s">
        <v>30</v>
      </c>
      <c r="F113" t="s">
        <v>350</v>
      </c>
      <c r="G113" t="s">
        <v>321</v>
      </c>
      <c r="H113" t="s">
        <v>405</v>
      </c>
      <c r="I113" s="105">
        <v>5.5555555555555559E-2</v>
      </c>
    </row>
    <row r="114" spans="1:9" x14ac:dyDescent="0.3">
      <c r="A114" t="s">
        <v>30</v>
      </c>
      <c r="B114" t="s">
        <v>406</v>
      </c>
      <c r="C114" t="s">
        <v>321</v>
      </c>
      <c r="D114" t="s">
        <v>349</v>
      </c>
      <c r="E114" t="s">
        <v>30</v>
      </c>
      <c r="F114" t="s">
        <v>350</v>
      </c>
      <c r="G114" t="s">
        <v>321</v>
      </c>
      <c r="H114" t="s">
        <v>405</v>
      </c>
      <c r="I114" s="105">
        <v>5.5555555555555559E-2</v>
      </c>
    </row>
    <row r="115" spans="1:9" x14ac:dyDescent="0.3">
      <c r="A115" t="s">
        <v>30</v>
      </c>
      <c r="B115" t="s">
        <v>352</v>
      </c>
      <c r="C115" t="s">
        <v>321</v>
      </c>
      <c r="D115" t="s">
        <v>353</v>
      </c>
      <c r="E115" t="s">
        <v>30</v>
      </c>
      <c r="F115" t="s">
        <v>350</v>
      </c>
      <c r="G115" t="s">
        <v>321</v>
      </c>
      <c r="H115" t="s">
        <v>405</v>
      </c>
      <c r="I115" s="105">
        <v>5.5555555555555559E-2</v>
      </c>
    </row>
    <row r="116" spans="1:9" x14ac:dyDescent="0.3">
      <c r="A116" t="s">
        <v>80</v>
      </c>
      <c r="B116" t="s">
        <v>351</v>
      </c>
      <c r="C116" t="s">
        <v>322</v>
      </c>
      <c r="D116" t="s">
        <v>332</v>
      </c>
      <c r="E116" t="s">
        <v>80</v>
      </c>
      <c r="F116" t="s">
        <v>350</v>
      </c>
      <c r="G116" t="s">
        <v>322</v>
      </c>
      <c r="H116" t="s">
        <v>405</v>
      </c>
      <c r="I116" s="105">
        <v>0.76699029126213591</v>
      </c>
    </row>
    <row r="117" spans="1:9" x14ac:dyDescent="0.3">
      <c r="A117" t="s">
        <v>80</v>
      </c>
      <c r="B117" t="s">
        <v>391</v>
      </c>
      <c r="C117" t="s">
        <v>322</v>
      </c>
      <c r="D117" t="s">
        <v>338</v>
      </c>
      <c r="E117" t="s">
        <v>80</v>
      </c>
      <c r="F117" t="s">
        <v>350</v>
      </c>
      <c r="G117" t="s">
        <v>322</v>
      </c>
      <c r="H117" t="s">
        <v>405</v>
      </c>
      <c r="I117" s="105">
        <v>0.11650485436893204</v>
      </c>
    </row>
    <row r="118" spans="1:9" x14ac:dyDescent="0.3">
      <c r="A118" t="s">
        <v>80</v>
      </c>
      <c r="B118" t="s">
        <v>352</v>
      </c>
      <c r="C118" t="s">
        <v>322</v>
      </c>
      <c r="D118" t="s">
        <v>353</v>
      </c>
      <c r="E118" t="s">
        <v>80</v>
      </c>
      <c r="F118" t="s">
        <v>350</v>
      </c>
      <c r="G118" t="s">
        <v>322</v>
      </c>
      <c r="H118" t="s">
        <v>405</v>
      </c>
      <c r="I118" s="105">
        <v>0.11650485436893204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1353-EE9D-4D4A-9E0C-AE2FF4DFA612}">
  <sheetPr codeName="Sheet14"/>
  <dimension ref="A1:R2081"/>
  <sheetViews>
    <sheetView zoomScale="70" zoomScaleNormal="70" workbookViewId="0"/>
  </sheetViews>
  <sheetFormatPr defaultColWidth="12.6640625" defaultRowHeight="14.4" x14ac:dyDescent="0.3"/>
  <cols>
    <col min="1" max="1" width="5.88671875" customWidth="1"/>
    <col min="3" max="3" width="8.44140625" customWidth="1"/>
    <col min="4" max="4" width="7.44140625" customWidth="1"/>
    <col min="5" max="5" width="8.88671875" customWidth="1"/>
    <col min="8" max="8" width="28.33203125" customWidth="1"/>
    <col min="13" max="13" width="8.5546875" customWidth="1"/>
    <col min="14" max="14" width="5.44140625" customWidth="1"/>
    <col min="16" max="16" width="14.88671875" customWidth="1"/>
    <col min="17" max="17" width="16.6640625" customWidth="1"/>
    <col min="18" max="18" width="20" style="141" bestFit="1" customWidth="1"/>
    <col min="19" max="19" width="13.33203125" customWidth="1"/>
  </cols>
  <sheetData>
    <row r="1" spans="1:18" x14ac:dyDescent="0.3">
      <c r="A1" t="s">
        <v>172</v>
      </c>
      <c r="B1" t="s">
        <v>171</v>
      </c>
      <c r="C1" t="s">
        <v>393</v>
      </c>
      <c r="D1" t="s">
        <v>93</v>
      </c>
      <c r="E1" t="s">
        <v>170</v>
      </c>
      <c r="F1" t="s">
        <v>169</v>
      </c>
      <c r="G1" t="s">
        <v>168</v>
      </c>
      <c r="H1" t="s">
        <v>167</v>
      </c>
      <c r="I1" t="s">
        <v>166</v>
      </c>
      <c r="J1" t="s">
        <v>165</v>
      </c>
      <c r="K1" t="s">
        <v>164</v>
      </c>
      <c r="L1" t="s">
        <v>163</v>
      </c>
      <c r="M1" t="s">
        <v>162</v>
      </c>
      <c r="N1" t="s">
        <v>161</v>
      </c>
      <c r="O1" t="s">
        <v>906</v>
      </c>
      <c r="P1" t="s">
        <v>907</v>
      </c>
      <c r="Q1" t="s">
        <v>173</v>
      </c>
      <c r="R1" s="141" t="s">
        <v>90</v>
      </c>
    </row>
    <row r="2" spans="1:18" x14ac:dyDescent="0.3">
      <c r="A2" t="s">
        <v>126</v>
      </c>
      <c r="B2" t="s">
        <v>125</v>
      </c>
      <c r="C2" t="s">
        <v>462</v>
      </c>
      <c r="D2" t="s">
        <v>462</v>
      </c>
      <c r="E2">
        <v>5516</v>
      </c>
      <c r="F2" t="s">
        <v>128</v>
      </c>
      <c r="G2">
        <v>1627</v>
      </c>
      <c r="H2" t="s">
        <v>121</v>
      </c>
      <c r="I2">
        <v>2021</v>
      </c>
      <c r="J2">
        <v>2021</v>
      </c>
      <c r="K2" t="s">
        <v>143</v>
      </c>
      <c r="L2">
        <v>623951</v>
      </c>
      <c r="O2">
        <v>266583.06475000002</v>
      </c>
      <c r="P2">
        <v>0.26658306474999999</v>
      </c>
      <c r="Q2" t="s">
        <v>724</v>
      </c>
      <c r="R2" s="141">
        <v>0.42725000000000002</v>
      </c>
    </row>
    <row r="3" spans="1:18" x14ac:dyDescent="0.3">
      <c r="A3" t="s">
        <v>126</v>
      </c>
      <c r="B3" t="s">
        <v>125</v>
      </c>
      <c r="C3" t="s">
        <v>462</v>
      </c>
      <c r="D3" t="s">
        <v>462</v>
      </c>
      <c r="E3">
        <v>5616</v>
      </c>
      <c r="F3" t="s">
        <v>127</v>
      </c>
      <c r="G3">
        <v>1627</v>
      </c>
      <c r="H3" t="s">
        <v>121</v>
      </c>
      <c r="I3">
        <v>2021</v>
      </c>
      <c r="J3">
        <v>2021</v>
      </c>
      <c r="K3" t="s">
        <v>143</v>
      </c>
      <c r="L3">
        <v>2329</v>
      </c>
      <c r="O3">
        <v>995.06524999999999</v>
      </c>
      <c r="P3">
        <v>9.9506524999999992E-4</v>
      </c>
      <c r="Q3" t="s">
        <v>725</v>
      </c>
      <c r="R3" s="141">
        <v>0.42725000000000002</v>
      </c>
    </row>
    <row r="4" spans="1:18" x14ac:dyDescent="0.3">
      <c r="A4" t="s">
        <v>126</v>
      </c>
      <c r="B4" t="s">
        <v>125</v>
      </c>
      <c r="C4" t="s">
        <v>462</v>
      </c>
      <c r="D4" t="s">
        <v>462</v>
      </c>
      <c r="E4">
        <v>5916</v>
      </c>
      <c r="F4" t="s">
        <v>124</v>
      </c>
      <c r="G4">
        <v>1627</v>
      </c>
      <c r="H4" t="s">
        <v>121</v>
      </c>
      <c r="I4">
        <v>2021</v>
      </c>
      <c r="J4">
        <v>2021</v>
      </c>
      <c r="K4" t="s">
        <v>143</v>
      </c>
      <c r="L4">
        <v>122615</v>
      </c>
      <c r="O4">
        <v>52387.258750000001</v>
      </c>
      <c r="P4">
        <v>5.2387258749999999E-2</v>
      </c>
      <c r="Q4" t="s">
        <v>726</v>
      </c>
      <c r="R4" s="141">
        <v>0.42725000000000002</v>
      </c>
    </row>
    <row r="5" spans="1:18" x14ac:dyDescent="0.3">
      <c r="A5" t="s">
        <v>126</v>
      </c>
      <c r="B5" t="s">
        <v>125</v>
      </c>
      <c r="C5" t="s">
        <v>462</v>
      </c>
      <c r="D5" t="s">
        <v>462</v>
      </c>
      <c r="E5">
        <v>5516</v>
      </c>
      <c r="F5" t="s">
        <v>128</v>
      </c>
      <c r="G5">
        <v>1628</v>
      </c>
      <c r="H5" t="s">
        <v>120</v>
      </c>
      <c r="I5">
        <v>2021</v>
      </c>
      <c r="J5">
        <v>2021</v>
      </c>
      <c r="K5" t="s">
        <v>143</v>
      </c>
      <c r="L5">
        <v>4675514</v>
      </c>
      <c r="O5">
        <v>2758974.05626</v>
      </c>
      <c r="P5">
        <v>2.75897405626</v>
      </c>
      <c r="Q5" t="s">
        <v>727</v>
      </c>
      <c r="R5" s="141">
        <v>0.59009</v>
      </c>
    </row>
    <row r="6" spans="1:18" x14ac:dyDescent="0.3">
      <c r="A6" t="s">
        <v>126</v>
      </c>
      <c r="B6" t="s">
        <v>125</v>
      </c>
      <c r="C6" t="s">
        <v>462</v>
      </c>
      <c r="D6" t="s">
        <v>462</v>
      </c>
      <c r="E6">
        <v>5616</v>
      </c>
      <c r="F6" t="s">
        <v>127</v>
      </c>
      <c r="G6">
        <v>1628</v>
      </c>
      <c r="H6" t="s">
        <v>120</v>
      </c>
      <c r="I6">
        <v>2021</v>
      </c>
      <c r="J6">
        <v>2021</v>
      </c>
      <c r="K6" t="s">
        <v>143</v>
      </c>
      <c r="L6">
        <v>2104.4300000000003</v>
      </c>
      <c r="O6">
        <v>1241.8030987000002</v>
      </c>
      <c r="P6">
        <v>1.2418030987000001E-3</v>
      </c>
      <c r="Q6" t="s">
        <v>728</v>
      </c>
      <c r="R6" s="141">
        <v>0.59009</v>
      </c>
    </row>
    <row r="7" spans="1:18" x14ac:dyDescent="0.3">
      <c r="A7" t="s">
        <v>126</v>
      </c>
      <c r="B7" t="s">
        <v>125</v>
      </c>
      <c r="C7" t="s">
        <v>462</v>
      </c>
      <c r="D7" t="s">
        <v>462</v>
      </c>
      <c r="E7">
        <v>5916</v>
      </c>
      <c r="F7" t="s">
        <v>124</v>
      </c>
      <c r="G7">
        <v>1628</v>
      </c>
      <c r="H7" t="s">
        <v>120</v>
      </c>
      <c r="I7">
        <v>2021</v>
      </c>
      <c r="J7">
        <v>2021</v>
      </c>
      <c r="K7" t="s">
        <v>143</v>
      </c>
      <c r="L7">
        <v>18988</v>
      </c>
      <c r="O7">
        <v>11204.628919999999</v>
      </c>
      <c r="P7">
        <v>1.1204628919999999E-2</v>
      </c>
      <c r="Q7" t="s">
        <v>729</v>
      </c>
      <c r="R7" s="141">
        <v>0.59009</v>
      </c>
    </row>
    <row r="8" spans="1:18" x14ac:dyDescent="0.3">
      <c r="A8" t="s">
        <v>126</v>
      </c>
      <c r="B8" t="s">
        <v>125</v>
      </c>
      <c r="C8" t="s">
        <v>462</v>
      </c>
      <c r="D8" t="s">
        <v>462</v>
      </c>
      <c r="E8">
        <v>5616</v>
      </c>
      <c r="F8" t="s">
        <v>127</v>
      </c>
      <c r="G8">
        <v>1629</v>
      </c>
      <c r="H8" t="s">
        <v>160</v>
      </c>
      <c r="I8">
        <v>2021</v>
      </c>
      <c r="J8">
        <v>2021</v>
      </c>
      <c r="L8">
        <v>0</v>
      </c>
    </row>
    <row r="9" spans="1:18" x14ac:dyDescent="0.3">
      <c r="A9" t="s">
        <v>126</v>
      </c>
      <c r="B9" t="s">
        <v>125</v>
      </c>
      <c r="C9" t="s">
        <v>462</v>
      </c>
      <c r="D9" t="s">
        <v>462</v>
      </c>
      <c r="E9">
        <v>5916</v>
      </c>
      <c r="F9" t="s">
        <v>124</v>
      </c>
      <c r="G9">
        <v>1629</v>
      </c>
      <c r="H9" t="s">
        <v>160</v>
      </c>
      <c r="I9">
        <v>2021</v>
      </c>
      <c r="J9">
        <v>2021</v>
      </c>
      <c r="L9">
        <v>0</v>
      </c>
    </row>
    <row r="10" spans="1:18" x14ac:dyDescent="0.3">
      <c r="A10" t="s">
        <v>126</v>
      </c>
      <c r="B10" t="s">
        <v>125</v>
      </c>
      <c r="C10" t="s">
        <v>462</v>
      </c>
      <c r="D10" t="s">
        <v>462</v>
      </c>
      <c r="E10">
        <v>5616</v>
      </c>
      <c r="F10" t="s">
        <v>127</v>
      </c>
      <c r="G10">
        <v>1651</v>
      </c>
      <c r="H10" t="s">
        <v>159</v>
      </c>
      <c r="I10">
        <v>2021</v>
      </c>
      <c r="J10">
        <v>2021</v>
      </c>
      <c r="K10" t="s">
        <v>143</v>
      </c>
      <c r="L10">
        <v>3191538</v>
      </c>
      <c r="O10">
        <v>1381935.9539999999</v>
      </c>
      <c r="P10">
        <v>1.3819359539999998</v>
      </c>
      <c r="Q10" t="s">
        <v>730</v>
      </c>
      <c r="R10" s="141">
        <v>0.433</v>
      </c>
    </row>
    <row r="11" spans="1:18" x14ac:dyDescent="0.3">
      <c r="A11" t="s">
        <v>126</v>
      </c>
      <c r="B11" t="s">
        <v>125</v>
      </c>
      <c r="C11" t="s">
        <v>462</v>
      </c>
      <c r="D11" t="s">
        <v>462</v>
      </c>
      <c r="E11">
        <v>5916</v>
      </c>
      <c r="F11" t="s">
        <v>124</v>
      </c>
      <c r="G11">
        <v>1651</v>
      </c>
      <c r="H11" t="s">
        <v>159</v>
      </c>
      <c r="I11">
        <v>2021</v>
      </c>
      <c r="J11">
        <v>2021</v>
      </c>
      <c r="K11" t="s">
        <v>143</v>
      </c>
      <c r="L11">
        <v>30764122</v>
      </c>
      <c r="O11">
        <v>13320864.825999999</v>
      </c>
      <c r="P11">
        <v>13.320864825999999</v>
      </c>
      <c r="Q11" t="s">
        <v>731</v>
      </c>
      <c r="R11" s="141">
        <v>0.433</v>
      </c>
    </row>
    <row r="12" spans="1:18" x14ac:dyDescent="0.3">
      <c r="A12" t="s">
        <v>126</v>
      </c>
      <c r="B12" t="s">
        <v>125</v>
      </c>
      <c r="C12" t="s">
        <v>462</v>
      </c>
      <c r="D12" t="s">
        <v>462</v>
      </c>
      <c r="E12">
        <v>5616</v>
      </c>
      <c r="F12" t="s">
        <v>127</v>
      </c>
      <c r="G12">
        <v>1657</v>
      </c>
      <c r="H12" t="s">
        <v>158</v>
      </c>
      <c r="I12">
        <v>2021</v>
      </c>
      <c r="J12">
        <v>2021</v>
      </c>
      <c r="K12" t="s">
        <v>143</v>
      </c>
      <c r="L12">
        <v>3137</v>
      </c>
      <c r="O12">
        <v>1772.0875654761905</v>
      </c>
      <c r="P12">
        <v>1.7720875654761905E-3</v>
      </c>
      <c r="Q12" t="s">
        <v>732</v>
      </c>
      <c r="R12" s="141">
        <v>0.56489880952380955</v>
      </c>
    </row>
    <row r="13" spans="1:18" x14ac:dyDescent="0.3">
      <c r="A13" t="s">
        <v>126</v>
      </c>
      <c r="B13" t="s">
        <v>125</v>
      </c>
      <c r="C13" t="s">
        <v>462</v>
      </c>
      <c r="D13" t="s">
        <v>462</v>
      </c>
      <c r="E13">
        <v>5916</v>
      </c>
      <c r="F13" t="s">
        <v>124</v>
      </c>
      <c r="G13">
        <v>1657</v>
      </c>
      <c r="H13" t="s">
        <v>158</v>
      </c>
      <c r="I13">
        <v>2021</v>
      </c>
      <c r="J13">
        <v>2021</v>
      </c>
      <c r="K13" t="s">
        <v>143</v>
      </c>
      <c r="L13">
        <v>2738</v>
      </c>
      <c r="O13">
        <v>1546.6929404761906</v>
      </c>
      <c r="P13">
        <v>1.5466929404761905E-3</v>
      </c>
      <c r="Q13" t="s">
        <v>733</v>
      </c>
      <c r="R13" s="141">
        <v>0.56489880952380955</v>
      </c>
    </row>
    <row r="14" spans="1:18" x14ac:dyDescent="0.3">
      <c r="A14" t="s">
        <v>126</v>
      </c>
      <c r="B14" t="s">
        <v>125</v>
      </c>
      <c r="C14" t="s">
        <v>462</v>
      </c>
      <c r="D14" t="s">
        <v>462</v>
      </c>
      <c r="E14">
        <v>5616</v>
      </c>
      <c r="F14" t="s">
        <v>127</v>
      </c>
      <c r="G14">
        <v>1670</v>
      </c>
      <c r="H14" t="s">
        <v>157</v>
      </c>
      <c r="I14">
        <v>2021</v>
      </c>
      <c r="J14">
        <v>2021</v>
      </c>
      <c r="K14" t="s">
        <v>143</v>
      </c>
      <c r="L14">
        <v>1195608</v>
      </c>
      <c r="O14">
        <v>675397.53585714288</v>
      </c>
      <c r="P14">
        <v>0.67539753585714291</v>
      </c>
      <c r="Q14" t="s">
        <v>734</v>
      </c>
      <c r="R14" s="141">
        <v>0.56489880952380955</v>
      </c>
    </row>
    <row r="15" spans="1:18" x14ac:dyDescent="0.3">
      <c r="A15" t="s">
        <v>126</v>
      </c>
      <c r="B15" t="s">
        <v>125</v>
      </c>
      <c r="C15" t="s">
        <v>462</v>
      </c>
      <c r="D15" t="s">
        <v>462</v>
      </c>
      <c r="E15">
        <v>5916</v>
      </c>
      <c r="F15" t="s">
        <v>124</v>
      </c>
      <c r="G15">
        <v>1670</v>
      </c>
      <c r="H15" t="s">
        <v>157</v>
      </c>
      <c r="I15">
        <v>2021</v>
      </c>
      <c r="J15">
        <v>2021</v>
      </c>
      <c r="K15" t="s">
        <v>143</v>
      </c>
      <c r="L15">
        <v>771565</v>
      </c>
      <c r="O15">
        <v>435856.1499702381</v>
      </c>
      <c r="P15">
        <v>0.43585614997023808</v>
      </c>
      <c r="Q15" t="s">
        <v>735</v>
      </c>
      <c r="R15" s="141">
        <v>0.56489880952380955</v>
      </c>
    </row>
    <row r="16" spans="1:18" x14ac:dyDescent="0.3">
      <c r="A16" t="s">
        <v>126</v>
      </c>
      <c r="B16" t="s">
        <v>125</v>
      </c>
      <c r="C16" t="s">
        <v>462</v>
      </c>
      <c r="D16" t="s">
        <v>462</v>
      </c>
      <c r="E16">
        <v>5516</v>
      </c>
      <c r="F16" t="s">
        <v>128</v>
      </c>
      <c r="G16">
        <v>1601</v>
      </c>
      <c r="H16" t="s">
        <v>119</v>
      </c>
      <c r="I16">
        <v>2021</v>
      </c>
      <c r="J16">
        <v>2021</v>
      </c>
      <c r="K16" t="s">
        <v>143</v>
      </c>
      <c r="L16">
        <v>152712322</v>
      </c>
      <c r="O16">
        <v>66124435.425999999</v>
      </c>
      <c r="P16">
        <v>66.124435425999991</v>
      </c>
      <c r="Q16" t="s">
        <v>736</v>
      </c>
      <c r="R16" s="141">
        <v>0.433</v>
      </c>
    </row>
    <row r="17" spans="1:18" x14ac:dyDescent="0.3">
      <c r="A17" t="s">
        <v>126</v>
      </c>
      <c r="B17" t="s">
        <v>125</v>
      </c>
      <c r="C17" t="s">
        <v>462</v>
      </c>
      <c r="D17" t="s">
        <v>462</v>
      </c>
      <c r="E17">
        <v>5616</v>
      </c>
      <c r="F17" t="s">
        <v>127</v>
      </c>
      <c r="G17">
        <v>1601</v>
      </c>
      <c r="H17" t="s">
        <v>119</v>
      </c>
      <c r="I17">
        <v>2021</v>
      </c>
      <c r="J17">
        <v>2021</v>
      </c>
      <c r="L17">
        <v>0</v>
      </c>
    </row>
    <row r="18" spans="1:18" x14ac:dyDescent="0.3">
      <c r="A18" t="s">
        <v>126</v>
      </c>
      <c r="B18" t="s">
        <v>125</v>
      </c>
      <c r="C18" t="s">
        <v>462</v>
      </c>
      <c r="D18" t="s">
        <v>462</v>
      </c>
      <c r="E18">
        <v>5916</v>
      </c>
      <c r="F18" t="s">
        <v>124</v>
      </c>
      <c r="G18">
        <v>1601</v>
      </c>
      <c r="H18" t="s">
        <v>119</v>
      </c>
      <c r="I18">
        <v>2021</v>
      </c>
      <c r="J18">
        <v>2021</v>
      </c>
      <c r="L18">
        <v>0</v>
      </c>
    </row>
    <row r="19" spans="1:18" x14ac:dyDescent="0.3">
      <c r="A19" t="s">
        <v>126</v>
      </c>
      <c r="B19" t="s">
        <v>125</v>
      </c>
      <c r="C19" t="s">
        <v>462</v>
      </c>
      <c r="D19" t="s">
        <v>462</v>
      </c>
      <c r="E19">
        <v>5516</v>
      </c>
      <c r="F19" t="s">
        <v>128</v>
      </c>
      <c r="G19">
        <v>1604</v>
      </c>
      <c r="H19" t="s">
        <v>118</v>
      </c>
      <c r="I19">
        <v>2021</v>
      </c>
      <c r="J19">
        <v>2021</v>
      </c>
      <c r="K19" t="s">
        <v>143</v>
      </c>
      <c r="L19">
        <v>15135852</v>
      </c>
      <c r="O19">
        <v>8929612.1138571426</v>
      </c>
      <c r="P19">
        <v>8.9296121138571429</v>
      </c>
      <c r="Q19" t="s">
        <v>737</v>
      </c>
      <c r="R19" s="141">
        <v>0.58996428571428572</v>
      </c>
    </row>
    <row r="20" spans="1:18" x14ac:dyDescent="0.3">
      <c r="A20" t="s">
        <v>126</v>
      </c>
      <c r="B20" t="s">
        <v>125</v>
      </c>
      <c r="C20" t="s">
        <v>462</v>
      </c>
      <c r="D20" t="s">
        <v>462</v>
      </c>
      <c r="E20">
        <v>5616</v>
      </c>
      <c r="F20" t="s">
        <v>127</v>
      </c>
      <c r="G20">
        <v>1604</v>
      </c>
      <c r="H20" t="s">
        <v>118</v>
      </c>
      <c r="I20">
        <v>2021</v>
      </c>
      <c r="J20">
        <v>2021</v>
      </c>
      <c r="L20">
        <v>0</v>
      </c>
    </row>
    <row r="21" spans="1:18" x14ac:dyDescent="0.3">
      <c r="A21" t="s">
        <v>126</v>
      </c>
      <c r="B21" t="s">
        <v>125</v>
      </c>
      <c r="C21" t="s">
        <v>462</v>
      </c>
      <c r="D21" t="s">
        <v>462</v>
      </c>
      <c r="E21">
        <v>5916</v>
      </c>
      <c r="F21" t="s">
        <v>124</v>
      </c>
      <c r="G21">
        <v>1604</v>
      </c>
      <c r="H21" t="s">
        <v>118</v>
      </c>
      <c r="I21">
        <v>2021</v>
      </c>
      <c r="J21">
        <v>2021</v>
      </c>
      <c r="L21">
        <v>0</v>
      </c>
    </row>
    <row r="22" spans="1:18" x14ac:dyDescent="0.3">
      <c r="A22" t="s">
        <v>126</v>
      </c>
      <c r="B22" t="s">
        <v>125</v>
      </c>
      <c r="C22" t="s">
        <v>462</v>
      </c>
      <c r="D22" t="s">
        <v>462</v>
      </c>
      <c r="E22">
        <v>5516</v>
      </c>
      <c r="F22" t="s">
        <v>128</v>
      </c>
      <c r="G22">
        <v>1602</v>
      </c>
      <c r="H22" t="s">
        <v>156</v>
      </c>
      <c r="I22">
        <v>2021</v>
      </c>
      <c r="J22">
        <v>2021</v>
      </c>
      <c r="K22" t="s">
        <v>143</v>
      </c>
      <c r="L22">
        <v>14437223</v>
      </c>
      <c r="O22">
        <v>6251317.5590000004</v>
      </c>
      <c r="P22">
        <v>6.2513175590000003</v>
      </c>
      <c r="Q22" t="s">
        <v>738</v>
      </c>
      <c r="R22" s="141">
        <v>0.433</v>
      </c>
    </row>
    <row r="23" spans="1:18" x14ac:dyDescent="0.3">
      <c r="A23" t="s">
        <v>126</v>
      </c>
      <c r="B23" t="s">
        <v>125</v>
      </c>
      <c r="C23" t="s">
        <v>462</v>
      </c>
      <c r="D23" t="s">
        <v>462</v>
      </c>
      <c r="E23">
        <v>5516</v>
      </c>
      <c r="F23" t="s">
        <v>128</v>
      </c>
      <c r="G23">
        <v>1603</v>
      </c>
      <c r="H23" t="s">
        <v>155</v>
      </c>
      <c r="I23">
        <v>2021</v>
      </c>
      <c r="J23">
        <v>2021</v>
      </c>
      <c r="K23" t="s">
        <v>143</v>
      </c>
      <c r="L23">
        <v>18980731</v>
      </c>
      <c r="O23">
        <v>10246431.284833334</v>
      </c>
      <c r="P23">
        <v>10.246431284833333</v>
      </c>
      <c r="Q23" t="s">
        <v>739</v>
      </c>
      <c r="R23" s="141">
        <v>0.53983333333333339</v>
      </c>
    </row>
    <row r="24" spans="1:18" x14ac:dyDescent="0.3">
      <c r="A24" t="s">
        <v>126</v>
      </c>
      <c r="B24" t="s">
        <v>125</v>
      </c>
      <c r="C24" t="s">
        <v>462</v>
      </c>
      <c r="D24" t="s">
        <v>462</v>
      </c>
      <c r="E24">
        <v>5516</v>
      </c>
      <c r="F24" t="s">
        <v>128</v>
      </c>
      <c r="G24">
        <v>1614</v>
      </c>
      <c r="H24" t="s">
        <v>154</v>
      </c>
      <c r="I24">
        <v>2021</v>
      </c>
      <c r="J24">
        <v>2021</v>
      </c>
      <c r="L24">
        <v>0</v>
      </c>
    </row>
    <row r="25" spans="1:18" x14ac:dyDescent="0.3">
      <c r="A25" t="s">
        <v>126</v>
      </c>
      <c r="B25" t="s">
        <v>125</v>
      </c>
      <c r="C25" t="s">
        <v>462</v>
      </c>
      <c r="D25" t="s">
        <v>462</v>
      </c>
      <c r="E25">
        <v>5616</v>
      </c>
      <c r="F25" t="s">
        <v>127</v>
      </c>
      <c r="G25">
        <v>1614</v>
      </c>
      <c r="H25" t="s">
        <v>154</v>
      </c>
      <c r="I25">
        <v>2021</v>
      </c>
      <c r="J25">
        <v>2021</v>
      </c>
      <c r="L25">
        <v>0</v>
      </c>
    </row>
    <row r="26" spans="1:18" x14ac:dyDescent="0.3">
      <c r="A26" t="s">
        <v>126</v>
      </c>
      <c r="B26" t="s">
        <v>125</v>
      </c>
      <c r="C26" t="s">
        <v>462</v>
      </c>
      <c r="D26" t="s">
        <v>462</v>
      </c>
      <c r="E26">
        <v>5916</v>
      </c>
      <c r="F26" t="s">
        <v>124</v>
      </c>
      <c r="G26">
        <v>1614</v>
      </c>
      <c r="H26" t="s">
        <v>154</v>
      </c>
      <c r="I26">
        <v>2021</v>
      </c>
      <c r="J26">
        <v>2021</v>
      </c>
      <c r="L26">
        <v>0</v>
      </c>
    </row>
    <row r="27" spans="1:18" x14ac:dyDescent="0.3">
      <c r="A27" t="s">
        <v>126</v>
      </c>
      <c r="B27" t="s">
        <v>125</v>
      </c>
      <c r="C27" t="s">
        <v>462</v>
      </c>
      <c r="D27" t="s">
        <v>462</v>
      </c>
      <c r="E27">
        <v>5516</v>
      </c>
      <c r="F27" t="s">
        <v>128</v>
      </c>
      <c r="G27">
        <v>1608</v>
      </c>
      <c r="H27" t="s">
        <v>153</v>
      </c>
      <c r="I27">
        <v>2021</v>
      </c>
      <c r="J27">
        <v>2021</v>
      </c>
      <c r="L27">
        <v>0</v>
      </c>
    </row>
    <row r="28" spans="1:18" x14ac:dyDescent="0.3">
      <c r="A28" t="s">
        <v>126</v>
      </c>
      <c r="B28" t="s">
        <v>125</v>
      </c>
      <c r="C28" t="s">
        <v>462</v>
      </c>
      <c r="D28" t="s">
        <v>462</v>
      </c>
      <c r="E28">
        <v>5516</v>
      </c>
      <c r="F28" t="s">
        <v>128</v>
      </c>
      <c r="G28">
        <v>1611</v>
      </c>
      <c r="H28" t="s">
        <v>152</v>
      </c>
      <c r="I28">
        <v>2021</v>
      </c>
      <c r="J28">
        <v>2021</v>
      </c>
      <c r="L28">
        <v>0</v>
      </c>
    </row>
    <row r="29" spans="1:18" x14ac:dyDescent="0.3">
      <c r="A29" t="s">
        <v>126</v>
      </c>
      <c r="B29" t="s">
        <v>125</v>
      </c>
      <c r="C29" t="s">
        <v>462</v>
      </c>
      <c r="D29" t="s">
        <v>462</v>
      </c>
      <c r="E29">
        <v>5516</v>
      </c>
      <c r="F29" t="s">
        <v>128</v>
      </c>
      <c r="G29">
        <v>1623</v>
      </c>
      <c r="H29" t="s">
        <v>151</v>
      </c>
      <c r="I29">
        <v>2021</v>
      </c>
      <c r="J29">
        <v>2021</v>
      </c>
      <c r="K29" t="s">
        <v>143</v>
      </c>
      <c r="L29">
        <v>845034</v>
      </c>
      <c r="O29">
        <v>365899.72200000001</v>
      </c>
      <c r="P29">
        <v>0.36589972199999998</v>
      </c>
      <c r="Q29" t="s">
        <v>740</v>
      </c>
      <c r="R29" s="141">
        <v>0.433</v>
      </c>
    </row>
    <row r="30" spans="1:18" x14ac:dyDescent="0.3">
      <c r="A30" t="s">
        <v>126</v>
      </c>
      <c r="B30" t="s">
        <v>125</v>
      </c>
      <c r="C30" t="s">
        <v>462</v>
      </c>
      <c r="D30" t="s">
        <v>462</v>
      </c>
      <c r="E30">
        <v>5516</v>
      </c>
      <c r="F30" t="s">
        <v>128</v>
      </c>
      <c r="G30">
        <v>1626</v>
      </c>
      <c r="H30" t="s">
        <v>150</v>
      </c>
      <c r="I30">
        <v>2021</v>
      </c>
      <c r="J30">
        <v>2021</v>
      </c>
      <c r="K30" t="s">
        <v>143</v>
      </c>
      <c r="L30">
        <v>2022920</v>
      </c>
      <c r="O30">
        <v>1142745.0997619049</v>
      </c>
      <c r="P30">
        <v>1.1427450997619049</v>
      </c>
      <c r="Q30" t="s">
        <v>741</v>
      </c>
      <c r="R30" s="141">
        <v>0.56489880952380955</v>
      </c>
    </row>
    <row r="31" spans="1:18" x14ac:dyDescent="0.3">
      <c r="A31" t="s">
        <v>126</v>
      </c>
      <c r="B31" t="s">
        <v>125</v>
      </c>
      <c r="C31" t="s">
        <v>462</v>
      </c>
      <c r="D31" t="s">
        <v>462</v>
      </c>
      <c r="E31">
        <v>5616</v>
      </c>
      <c r="F31" t="s">
        <v>127</v>
      </c>
      <c r="G31">
        <v>1625</v>
      </c>
      <c r="H31" t="s">
        <v>149</v>
      </c>
      <c r="I31">
        <v>2021</v>
      </c>
      <c r="J31">
        <v>2021</v>
      </c>
      <c r="L31">
        <v>0</v>
      </c>
    </row>
    <row r="32" spans="1:18" x14ac:dyDescent="0.3">
      <c r="A32" t="s">
        <v>126</v>
      </c>
      <c r="B32" t="s">
        <v>125</v>
      </c>
      <c r="C32" t="s">
        <v>462</v>
      </c>
      <c r="D32" t="s">
        <v>462</v>
      </c>
      <c r="E32">
        <v>5916</v>
      </c>
      <c r="F32" t="s">
        <v>124</v>
      </c>
      <c r="G32">
        <v>1625</v>
      </c>
      <c r="H32" t="s">
        <v>149</v>
      </c>
      <c r="I32">
        <v>2021</v>
      </c>
      <c r="J32">
        <v>2021</v>
      </c>
      <c r="L32">
        <v>0</v>
      </c>
    </row>
    <row r="33" spans="1:18" x14ac:dyDescent="0.3">
      <c r="A33" t="s">
        <v>126</v>
      </c>
      <c r="B33" t="s">
        <v>125</v>
      </c>
      <c r="C33" t="s">
        <v>462</v>
      </c>
      <c r="D33" t="s">
        <v>462</v>
      </c>
      <c r="E33">
        <v>5510</v>
      </c>
      <c r="F33" t="s">
        <v>128</v>
      </c>
      <c r="G33">
        <v>1630</v>
      </c>
      <c r="H33" t="s">
        <v>117</v>
      </c>
      <c r="I33">
        <v>2021</v>
      </c>
      <c r="J33">
        <v>2021</v>
      </c>
      <c r="K33" t="s">
        <v>339</v>
      </c>
      <c r="L33">
        <v>24000</v>
      </c>
      <c r="O33">
        <v>23160</v>
      </c>
      <c r="P33">
        <v>2.316E-2</v>
      </c>
      <c r="Q33" t="s">
        <v>742</v>
      </c>
      <c r="R33" s="141">
        <v>0.96499999999999997</v>
      </c>
    </row>
    <row r="34" spans="1:18" x14ac:dyDescent="0.3">
      <c r="A34" t="s">
        <v>126</v>
      </c>
      <c r="B34" t="s">
        <v>125</v>
      </c>
      <c r="C34" t="s">
        <v>462</v>
      </c>
      <c r="D34" t="s">
        <v>462</v>
      </c>
      <c r="E34">
        <v>5510</v>
      </c>
      <c r="F34" t="s">
        <v>128</v>
      </c>
      <c r="G34">
        <v>1694</v>
      </c>
      <c r="H34" t="s">
        <v>348</v>
      </c>
      <c r="I34">
        <v>2021</v>
      </c>
      <c r="J34">
        <v>2021</v>
      </c>
      <c r="K34" t="s">
        <v>339</v>
      </c>
      <c r="L34">
        <v>150175</v>
      </c>
      <c r="O34">
        <v>138911.875</v>
      </c>
      <c r="P34">
        <v>0.13891187499999999</v>
      </c>
      <c r="Q34" t="s">
        <v>743</v>
      </c>
      <c r="R34" s="141">
        <v>0.92500000000000004</v>
      </c>
    </row>
    <row r="35" spans="1:18" x14ac:dyDescent="0.3">
      <c r="A35" t="s">
        <v>126</v>
      </c>
      <c r="B35" t="s">
        <v>125</v>
      </c>
      <c r="C35" t="s">
        <v>462</v>
      </c>
      <c r="D35" t="s">
        <v>462</v>
      </c>
      <c r="E35">
        <v>5610</v>
      </c>
      <c r="F35" t="s">
        <v>127</v>
      </c>
      <c r="G35">
        <v>1630</v>
      </c>
      <c r="H35" t="s">
        <v>117</v>
      </c>
      <c r="I35">
        <v>2021</v>
      </c>
      <c r="J35">
        <v>2021</v>
      </c>
      <c r="K35" t="s">
        <v>339</v>
      </c>
      <c r="L35">
        <v>196948.55</v>
      </c>
      <c r="O35">
        <v>190055.35074999998</v>
      </c>
      <c r="P35">
        <v>0.19005535074999996</v>
      </c>
      <c r="Q35" t="s">
        <v>744</v>
      </c>
      <c r="R35" s="141">
        <v>0.96499999999999997</v>
      </c>
    </row>
    <row r="36" spans="1:18" x14ac:dyDescent="0.3">
      <c r="A36" t="s">
        <v>126</v>
      </c>
      <c r="B36" t="s">
        <v>125</v>
      </c>
      <c r="C36" t="s">
        <v>462</v>
      </c>
      <c r="D36" t="s">
        <v>462</v>
      </c>
      <c r="E36">
        <v>5610</v>
      </c>
      <c r="F36" t="s">
        <v>127</v>
      </c>
      <c r="G36">
        <v>1694</v>
      </c>
      <c r="H36" t="s">
        <v>348</v>
      </c>
      <c r="I36">
        <v>2021</v>
      </c>
      <c r="J36">
        <v>2021</v>
      </c>
      <c r="K36" t="s">
        <v>339</v>
      </c>
      <c r="L36">
        <v>43366.34</v>
      </c>
      <c r="O36">
        <v>40113.864499999996</v>
      </c>
      <c r="P36">
        <v>4.0113864499999992E-2</v>
      </c>
      <c r="Q36" t="s">
        <v>745</v>
      </c>
      <c r="R36" s="141">
        <v>0.92500000000000004</v>
      </c>
    </row>
    <row r="37" spans="1:18" x14ac:dyDescent="0.3">
      <c r="A37" t="s">
        <v>126</v>
      </c>
      <c r="B37" t="s">
        <v>125</v>
      </c>
      <c r="C37" t="s">
        <v>462</v>
      </c>
      <c r="D37" t="s">
        <v>462</v>
      </c>
      <c r="E37">
        <v>5910</v>
      </c>
      <c r="F37" t="s">
        <v>124</v>
      </c>
      <c r="G37">
        <v>1630</v>
      </c>
      <c r="H37" t="s">
        <v>117</v>
      </c>
      <c r="I37">
        <v>2021</v>
      </c>
      <c r="J37">
        <v>2021</v>
      </c>
      <c r="K37" t="s">
        <v>339</v>
      </c>
      <c r="L37">
        <v>1356.11</v>
      </c>
      <c r="O37">
        <v>1308.6461499999998</v>
      </c>
      <c r="P37">
        <v>1.3086461499999997E-3</v>
      </c>
      <c r="Q37" t="s">
        <v>746</v>
      </c>
      <c r="R37" s="141">
        <v>0.96499999999999997</v>
      </c>
    </row>
    <row r="38" spans="1:18" x14ac:dyDescent="0.3">
      <c r="A38" t="s">
        <v>126</v>
      </c>
      <c r="B38" t="s">
        <v>125</v>
      </c>
      <c r="C38" t="s">
        <v>462</v>
      </c>
      <c r="D38" t="s">
        <v>462</v>
      </c>
      <c r="E38">
        <v>5910</v>
      </c>
      <c r="F38" t="s">
        <v>124</v>
      </c>
      <c r="G38">
        <v>1694</v>
      </c>
      <c r="H38" t="s">
        <v>348</v>
      </c>
      <c r="I38">
        <v>2021</v>
      </c>
      <c r="J38">
        <v>2021</v>
      </c>
      <c r="K38" t="s">
        <v>339</v>
      </c>
      <c r="L38">
        <v>167945</v>
      </c>
      <c r="O38">
        <v>155349.125</v>
      </c>
      <c r="P38">
        <v>0.155349125</v>
      </c>
      <c r="Q38" t="s">
        <v>747</v>
      </c>
      <c r="R38" s="141">
        <v>0.92500000000000004</v>
      </c>
    </row>
    <row r="39" spans="1:18" x14ac:dyDescent="0.3">
      <c r="A39" t="s">
        <v>126</v>
      </c>
      <c r="B39" t="s">
        <v>125</v>
      </c>
      <c r="C39" t="s">
        <v>462</v>
      </c>
      <c r="D39" t="s">
        <v>462</v>
      </c>
      <c r="E39">
        <v>5516</v>
      </c>
      <c r="F39" t="s">
        <v>128</v>
      </c>
      <c r="G39">
        <v>1619</v>
      </c>
      <c r="H39" t="s">
        <v>92</v>
      </c>
      <c r="I39">
        <v>2021</v>
      </c>
      <c r="J39">
        <v>2021</v>
      </c>
      <c r="K39" t="s">
        <v>143</v>
      </c>
      <c r="L39">
        <v>28057771</v>
      </c>
      <c r="O39">
        <v>11728984.605597964</v>
      </c>
      <c r="P39">
        <v>11.728984605597963</v>
      </c>
      <c r="Q39" t="s">
        <v>748</v>
      </c>
      <c r="R39" s="141">
        <v>0.41802980734278444</v>
      </c>
    </row>
    <row r="40" spans="1:18" x14ac:dyDescent="0.3">
      <c r="A40" t="s">
        <v>126</v>
      </c>
      <c r="B40" t="s">
        <v>125</v>
      </c>
      <c r="C40" t="s">
        <v>462</v>
      </c>
      <c r="D40" t="s">
        <v>462</v>
      </c>
      <c r="E40">
        <v>5616</v>
      </c>
      <c r="F40" t="s">
        <v>127</v>
      </c>
      <c r="G40">
        <v>1619</v>
      </c>
      <c r="H40" t="s">
        <v>92</v>
      </c>
      <c r="I40">
        <v>2021</v>
      </c>
      <c r="J40">
        <v>2021</v>
      </c>
      <c r="K40" t="s">
        <v>143</v>
      </c>
      <c r="L40">
        <v>2215550.81</v>
      </c>
      <c r="O40">
        <v>926166.27826245001</v>
      </c>
      <c r="P40">
        <v>0.92616627826245002</v>
      </c>
      <c r="Q40" t="s">
        <v>749</v>
      </c>
      <c r="R40" s="141">
        <v>0.41802980734278444</v>
      </c>
    </row>
    <row r="41" spans="1:18" x14ac:dyDescent="0.3">
      <c r="A41" t="s">
        <v>126</v>
      </c>
      <c r="B41" t="s">
        <v>125</v>
      </c>
      <c r="C41" t="s">
        <v>462</v>
      </c>
      <c r="D41" t="s">
        <v>462</v>
      </c>
      <c r="E41">
        <v>5916</v>
      </c>
      <c r="F41" t="s">
        <v>124</v>
      </c>
      <c r="G41">
        <v>1619</v>
      </c>
      <c r="H41" t="s">
        <v>92</v>
      </c>
      <c r="I41">
        <v>2021</v>
      </c>
      <c r="J41">
        <v>2021</v>
      </c>
      <c r="K41" t="s">
        <v>143</v>
      </c>
      <c r="L41">
        <v>12364367.869999999</v>
      </c>
      <c r="O41">
        <v>5168674.3186114132</v>
      </c>
      <c r="P41">
        <v>5.168674318611413</v>
      </c>
      <c r="Q41" t="s">
        <v>750</v>
      </c>
      <c r="R41" s="141">
        <v>0.41802980734278444</v>
      </c>
    </row>
    <row r="42" spans="1:18" x14ac:dyDescent="0.3">
      <c r="A42" t="s">
        <v>126</v>
      </c>
      <c r="B42" t="s">
        <v>125</v>
      </c>
      <c r="C42" t="s">
        <v>462</v>
      </c>
      <c r="D42" t="s">
        <v>462</v>
      </c>
      <c r="E42">
        <v>5516</v>
      </c>
      <c r="F42" t="s">
        <v>128</v>
      </c>
      <c r="G42">
        <v>1620</v>
      </c>
      <c r="H42" t="s">
        <v>115</v>
      </c>
      <c r="I42">
        <v>2021</v>
      </c>
      <c r="J42">
        <v>2021</v>
      </c>
      <c r="K42" t="s">
        <v>143</v>
      </c>
      <c r="L42">
        <v>11351000</v>
      </c>
      <c r="O42">
        <v>4154831.6251830156</v>
      </c>
      <c r="P42">
        <v>4.1548316251830153</v>
      </c>
      <c r="Q42" t="s">
        <v>751</v>
      </c>
      <c r="R42" s="141">
        <v>0.3660322108345534</v>
      </c>
    </row>
    <row r="43" spans="1:18" x14ac:dyDescent="0.3">
      <c r="A43" t="s">
        <v>126</v>
      </c>
      <c r="B43" t="s">
        <v>125</v>
      </c>
      <c r="C43" t="s">
        <v>462</v>
      </c>
      <c r="D43" t="s">
        <v>462</v>
      </c>
      <c r="E43">
        <v>5616</v>
      </c>
      <c r="F43" t="s">
        <v>127</v>
      </c>
      <c r="G43">
        <v>1620</v>
      </c>
      <c r="H43" t="s">
        <v>115</v>
      </c>
      <c r="I43">
        <v>2021</v>
      </c>
      <c r="J43">
        <v>2021</v>
      </c>
      <c r="K43" t="s">
        <v>143</v>
      </c>
      <c r="L43">
        <v>310267</v>
      </c>
      <c r="O43">
        <v>113567.71595900437</v>
      </c>
      <c r="P43">
        <v>0.11356771595900438</v>
      </c>
      <c r="Q43" t="s">
        <v>752</v>
      </c>
      <c r="R43" s="141">
        <v>0.3660322108345534</v>
      </c>
    </row>
    <row r="44" spans="1:18" x14ac:dyDescent="0.3">
      <c r="A44" t="s">
        <v>126</v>
      </c>
      <c r="B44" t="s">
        <v>125</v>
      </c>
      <c r="C44" t="s">
        <v>462</v>
      </c>
      <c r="D44" t="s">
        <v>462</v>
      </c>
      <c r="E44">
        <v>5916</v>
      </c>
      <c r="F44" t="s">
        <v>124</v>
      </c>
      <c r="G44">
        <v>1620</v>
      </c>
      <c r="H44" t="s">
        <v>115</v>
      </c>
      <c r="I44">
        <v>2021</v>
      </c>
      <c r="J44">
        <v>2021</v>
      </c>
      <c r="K44" t="s">
        <v>143</v>
      </c>
      <c r="L44">
        <v>139992</v>
      </c>
      <c r="O44">
        <v>51241.5812591508</v>
      </c>
      <c r="P44">
        <v>5.1241581259150799E-2</v>
      </c>
      <c r="Q44" t="s">
        <v>753</v>
      </c>
      <c r="R44" s="141">
        <v>0.3660322108345534</v>
      </c>
    </row>
    <row r="45" spans="1:18" x14ac:dyDescent="0.3">
      <c r="A45" t="s">
        <v>126</v>
      </c>
      <c r="B45" t="s">
        <v>125</v>
      </c>
      <c r="C45" t="s">
        <v>462</v>
      </c>
      <c r="D45" t="s">
        <v>462</v>
      </c>
      <c r="E45">
        <v>5510</v>
      </c>
      <c r="F45" t="s">
        <v>128</v>
      </c>
      <c r="G45">
        <v>1600</v>
      </c>
      <c r="H45" t="s">
        <v>148</v>
      </c>
      <c r="I45">
        <v>2021</v>
      </c>
      <c r="J45">
        <v>2021</v>
      </c>
      <c r="L45">
        <v>0</v>
      </c>
      <c r="O45">
        <v>0</v>
      </c>
      <c r="P45">
        <v>0</v>
      </c>
      <c r="Q45" t="s">
        <v>754</v>
      </c>
      <c r="R45" s="141">
        <v>0.77500000000000002</v>
      </c>
    </row>
    <row r="46" spans="1:18" x14ac:dyDescent="0.3">
      <c r="A46" t="s">
        <v>126</v>
      </c>
      <c r="B46" t="s">
        <v>125</v>
      </c>
      <c r="C46" t="s">
        <v>462</v>
      </c>
      <c r="D46" t="s">
        <v>462</v>
      </c>
      <c r="E46">
        <v>5610</v>
      </c>
      <c r="F46" t="s">
        <v>127</v>
      </c>
      <c r="G46">
        <v>1600</v>
      </c>
      <c r="H46" t="s">
        <v>148</v>
      </c>
      <c r="I46">
        <v>2021</v>
      </c>
      <c r="J46">
        <v>2021</v>
      </c>
      <c r="K46" t="s">
        <v>339</v>
      </c>
      <c r="L46">
        <v>0</v>
      </c>
      <c r="O46">
        <v>0</v>
      </c>
      <c r="P46">
        <v>0</v>
      </c>
      <c r="Q46" t="s">
        <v>755</v>
      </c>
      <c r="R46" s="141">
        <v>0.77500000000000002</v>
      </c>
    </row>
    <row r="47" spans="1:18" x14ac:dyDescent="0.3">
      <c r="A47" t="s">
        <v>126</v>
      </c>
      <c r="B47" t="s">
        <v>125</v>
      </c>
      <c r="C47" t="s">
        <v>462</v>
      </c>
      <c r="D47" t="s">
        <v>462</v>
      </c>
      <c r="E47">
        <v>5910</v>
      </c>
      <c r="F47" t="s">
        <v>124</v>
      </c>
      <c r="G47">
        <v>1600</v>
      </c>
      <c r="H47" t="s">
        <v>148</v>
      </c>
      <c r="I47">
        <v>2021</v>
      </c>
      <c r="J47">
        <v>2021</v>
      </c>
      <c r="L47">
        <v>0</v>
      </c>
      <c r="O47">
        <v>0</v>
      </c>
      <c r="P47">
        <v>0</v>
      </c>
      <c r="Q47" t="s">
        <v>756</v>
      </c>
      <c r="R47" s="141">
        <v>0.77500000000000002</v>
      </c>
    </row>
    <row r="48" spans="1:18" x14ac:dyDescent="0.3">
      <c r="A48" t="s">
        <v>126</v>
      </c>
      <c r="B48" t="s">
        <v>125</v>
      </c>
      <c r="C48" t="s">
        <v>462</v>
      </c>
      <c r="D48" t="s">
        <v>462</v>
      </c>
      <c r="E48">
        <v>5510</v>
      </c>
      <c r="F48" t="s">
        <v>128</v>
      </c>
      <c r="G48">
        <v>1693</v>
      </c>
      <c r="H48" t="s">
        <v>114</v>
      </c>
      <c r="I48">
        <v>2021</v>
      </c>
      <c r="J48">
        <v>2021</v>
      </c>
      <c r="K48" t="s">
        <v>339</v>
      </c>
      <c r="L48">
        <v>4004910</v>
      </c>
      <c r="O48">
        <v>3704541.75</v>
      </c>
      <c r="P48">
        <v>3.7045417499999997</v>
      </c>
      <c r="Q48" t="s">
        <v>757</v>
      </c>
      <c r="R48" s="141">
        <v>0.92500000000000004</v>
      </c>
    </row>
    <row r="49" spans="1:18" x14ac:dyDescent="0.3">
      <c r="A49" t="s">
        <v>126</v>
      </c>
      <c r="B49" t="s">
        <v>125</v>
      </c>
      <c r="C49" t="s">
        <v>462</v>
      </c>
      <c r="D49" t="s">
        <v>462</v>
      </c>
      <c r="E49">
        <v>5610</v>
      </c>
      <c r="F49" t="s">
        <v>127</v>
      </c>
      <c r="G49">
        <v>1693</v>
      </c>
      <c r="H49" t="s">
        <v>114</v>
      </c>
      <c r="I49">
        <v>2021</v>
      </c>
      <c r="J49">
        <v>2021</v>
      </c>
      <c r="K49" t="s">
        <v>339</v>
      </c>
      <c r="L49">
        <v>36083.11</v>
      </c>
      <c r="O49">
        <v>33376.876750000003</v>
      </c>
      <c r="P49">
        <v>3.3376876749999999E-2</v>
      </c>
      <c r="Q49" t="s">
        <v>758</v>
      </c>
      <c r="R49" s="141">
        <v>0.92500000000000004</v>
      </c>
    </row>
    <row r="50" spans="1:18" x14ac:dyDescent="0.3">
      <c r="A50" t="s">
        <v>126</v>
      </c>
      <c r="B50" t="s">
        <v>125</v>
      </c>
      <c r="C50" t="s">
        <v>462</v>
      </c>
      <c r="D50" t="s">
        <v>462</v>
      </c>
      <c r="E50">
        <v>5910</v>
      </c>
      <c r="F50" t="s">
        <v>124</v>
      </c>
      <c r="G50">
        <v>1693</v>
      </c>
      <c r="H50" t="s">
        <v>114</v>
      </c>
      <c r="I50">
        <v>2021</v>
      </c>
      <c r="J50">
        <v>2021</v>
      </c>
      <c r="K50" t="s">
        <v>339</v>
      </c>
      <c r="L50">
        <v>3234915.89</v>
      </c>
      <c r="O50">
        <v>2992297.1982500004</v>
      </c>
      <c r="P50">
        <v>2.9922971982500002</v>
      </c>
      <c r="Q50" t="s">
        <v>759</v>
      </c>
      <c r="R50" s="141">
        <v>0.92500000000000004</v>
      </c>
    </row>
    <row r="51" spans="1:18" x14ac:dyDescent="0.3">
      <c r="A51" t="s">
        <v>126</v>
      </c>
      <c r="B51" t="s">
        <v>125</v>
      </c>
      <c r="C51" t="s">
        <v>462</v>
      </c>
      <c r="D51" t="s">
        <v>462</v>
      </c>
      <c r="E51">
        <v>5516</v>
      </c>
      <c r="F51" t="s">
        <v>128</v>
      </c>
      <c r="G51">
        <v>1632</v>
      </c>
      <c r="H51" t="s">
        <v>110</v>
      </c>
      <c r="I51">
        <v>2021</v>
      </c>
      <c r="J51">
        <v>2021</v>
      </c>
      <c r="K51" t="s">
        <v>143</v>
      </c>
      <c r="L51">
        <v>48660295</v>
      </c>
      <c r="O51">
        <v>21891518.100576926</v>
      </c>
      <c r="P51">
        <v>21.891518100576924</v>
      </c>
      <c r="Q51" t="s">
        <v>760</v>
      </c>
      <c r="R51" s="141">
        <v>0.44988461538461544</v>
      </c>
    </row>
    <row r="52" spans="1:18" x14ac:dyDescent="0.3">
      <c r="A52" t="s">
        <v>126</v>
      </c>
      <c r="B52" t="s">
        <v>125</v>
      </c>
      <c r="C52" t="s">
        <v>462</v>
      </c>
      <c r="D52" t="s">
        <v>462</v>
      </c>
      <c r="E52">
        <v>5616</v>
      </c>
      <c r="F52" t="s">
        <v>127</v>
      </c>
      <c r="G52">
        <v>1632</v>
      </c>
      <c r="H52" t="s">
        <v>110</v>
      </c>
      <c r="I52">
        <v>2021</v>
      </c>
      <c r="J52">
        <v>2021</v>
      </c>
      <c r="K52" t="s">
        <v>143</v>
      </c>
      <c r="L52">
        <v>1470855</v>
      </c>
      <c r="O52">
        <v>661715.03596153855</v>
      </c>
      <c r="P52">
        <v>0.66171503596153858</v>
      </c>
      <c r="Q52" t="s">
        <v>761</v>
      </c>
      <c r="R52" s="141">
        <v>0.44988461538461544</v>
      </c>
    </row>
    <row r="53" spans="1:18" x14ac:dyDescent="0.3">
      <c r="A53" t="s">
        <v>126</v>
      </c>
      <c r="B53" t="s">
        <v>125</v>
      </c>
      <c r="C53" t="s">
        <v>462</v>
      </c>
      <c r="D53" t="s">
        <v>462</v>
      </c>
      <c r="E53">
        <v>5916</v>
      </c>
      <c r="F53" t="s">
        <v>124</v>
      </c>
      <c r="G53">
        <v>1632</v>
      </c>
      <c r="H53" t="s">
        <v>110</v>
      </c>
      <c r="I53">
        <v>2021</v>
      </c>
      <c r="J53">
        <v>2021</v>
      </c>
      <c r="K53" t="s">
        <v>143</v>
      </c>
      <c r="L53">
        <v>28816067</v>
      </c>
      <c r="O53">
        <v>12963905.219192309</v>
      </c>
      <c r="P53">
        <v>12.963905219192309</v>
      </c>
      <c r="Q53" t="s">
        <v>762</v>
      </c>
      <c r="R53" s="141">
        <v>0.44988461538461544</v>
      </c>
    </row>
    <row r="54" spans="1:18" x14ac:dyDescent="0.3">
      <c r="A54" t="s">
        <v>126</v>
      </c>
      <c r="B54" t="s">
        <v>125</v>
      </c>
      <c r="C54" t="s">
        <v>462</v>
      </c>
      <c r="D54" t="s">
        <v>462</v>
      </c>
      <c r="E54">
        <v>5516</v>
      </c>
      <c r="F54" t="s">
        <v>128</v>
      </c>
      <c r="G54">
        <v>1633</v>
      </c>
      <c r="H54" t="s">
        <v>109</v>
      </c>
      <c r="I54">
        <v>2021</v>
      </c>
      <c r="J54">
        <v>2021</v>
      </c>
      <c r="K54" t="s">
        <v>143</v>
      </c>
      <c r="L54">
        <v>1544847</v>
      </c>
      <c r="O54">
        <v>942569.08646249981</v>
      </c>
      <c r="P54">
        <v>0.94256908646249982</v>
      </c>
      <c r="Q54" t="s">
        <v>763</v>
      </c>
      <c r="R54" s="141">
        <v>0.61013749999999989</v>
      </c>
    </row>
    <row r="55" spans="1:18" x14ac:dyDescent="0.3">
      <c r="A55" t="s">
        <v>126</v>
      </c>
      <c r="B55" t="s">
        <v>125</v>
      </c>
      <c r="C55" t="s">
        <v>462</v>
      </c>
      <c r="D55" t="s">
        <v>462</v>
      </c>
      <c r="E55">
        <v>5616</v>
      </c>
      <c r="F55" t="s">
        <v>127</v>
      </c>
      <c r="G55">
        <v>1633</v>
      </c>
      <c r="H55" t="s">
        <v>109</v>
      </c>
      <c r="I55">
        <v>2021</v>
      </c>
      <c r="J55">
        <v>2021</v>
      </c>
      <c r="K55" t="s">
        <v>143</v>
      </c>
      <c r="L55">
        <v>887490</v>
      </c>
      <c r="O55">
        <v>541490.92987499991</v>
      </c>
      <c r="P55">
        <v>0.54149092987499992</v>
      </c>
      <c r="Q55" t="s">
        <v>764</v>
      </c>
      <c r="R55" s="141">
        <v>0.61013749999999989</v>
      </c>
    </row>
    <row r="56" spans="1:18" x14ac:dyDescent="0.3">
      <c r="A56" t="s">
        <v>126</v>
      </c>
      <c r="B56" t="s">
        <v>125</v>
      </c>
      <c r="C56" t="s">
        <v>462</v>
      </c>
      <c r="D56" t="s">
        <v>462</v>
      </c>
      <c r="E56">
        <v>5916</v>
      </c>
      <c r="F56" t="s">
        <v>124</v>
      </c>
      <c r="G56">
        <v>1633</v>
      </c>
      <c r="H56" t="s">
        <v>109</v>
      </c>
      <c r="I56">
        <v>2021</v>
      </c>
      <c r="J56">
        <v>2021</v>
      </c>
      <c r="K56" t="s">
        <v>143</v>
      </c>
      <c r="L56">
        <v>519775</v>
      </c>
      <c r="O56">
        <v>317134.21906249993</v>
      </c>
      <c r="P56">
        <v>0.31713421906249994</v>
      </c>
      <c r="Q56" t="s">
        <v>765</v>
      </c>
      <c r="R56" s="141">
        <v>0.61013749999999989</v>
      </c>
    </row>
    <row r="57" spans="1:18" x14ac:dyDescent="0.3">
      <c r="A57" t="s">
        <v>126</v>
      </c>
      <c r="B57" t="s">
        <v>125</v>
      </c>
      <c r="C57" t="s">
        <v>462</v>
      </c>
      <c r="D57" t="s">
        <v>462</v>
      </c>
      <c r="E57">
        <v>5516</v>
      </c>
      <c r="F57" t="s">
        <v>128</v>
      </c>
      <c r="G57">
        <v>1634</v>
      </c>
      <c r="H57" t="s">
        <v>108</v>
      </c>
      <c r="I57">
        <v>2021</v>
      </c>
      <c r="J57">
        <v>2021</v>
      </c>
      <c r="K57" t="s">
        <v>143</v>
      </c>
      <c r="L57">
        <v>1125479</v>
      </c>
      <c r="O57">
        <v>571597.01972999994</v>
      </c>
      <c r="P57">
        <v>0.57159701972999988</v>
      </c>
      <c r="Q57" t="s">
        <v>766</v>
      </c>
      <c r="R57" s="141">
        <v>0.50786999999999993</v>
      </c>
    </row>
    <row r="58" spans="1:18" x14ac:dyDescent="0.3">
      <c r="A58" t="s">
        <v>126</v>
      </c>
      <c r="B58" t="s">
        <v>125</v>
      </c>
      <c r="C58" t="s">
        <v>462</v>
      </c>
      <c r="D58" t="s">
        <v>462</v>
      </c>
      <c r="E58">
        <v>5616</v>
      </c>
      <c r="F58" t="s">
        <v>127</v>
      </c>
      <c r="G58">
        <v>1634</v>
      </c>
      <c r="H58" t="s">
        <v>108</v>
      </c>
      <c r="I58">
        <v>2021</v>
      </c>
      <c r="J58">
        <v>2021</v>
      </c>
      <c r="K58" t="s">
        <v>143</v>
      </c>
      <c r="L58">
        <v>201742</v>
      </c>
      <c r="O58">
        <v>102458.70953999998</v>
      </c>
      <c r="P58">
        <v>0.10245870953999997</v>
      </c>
      <c r="Q58" t="s">
        <v>767</v>
      </c>
      <c r="R58" s="141">
        <v>0.50786999999999993</v>
      </c>
    </row>
    <row r="59" spans="1:18" x14ac:dyDescent="0.3">
      <c r="A59" t="s">
        <v>126</v>
      </c>
      <c r="B59" t="s">
        <v>125</v>
      </c>
      <c r="C59" t="s">
        <v>462</v>
      </c>
      <c r="D59" t="s">
        <v>462</v>
      </c>
      <c r="E59">
        <v>5916</v>
      </c>
      <c r="F59" t="s">
        <v>124</v>
      </c>
      <c r="G59">
        <v>1634</v>
      </c>
      <c r="H59" t="s">
        <v>108</v>
      </c>
      <c r="I59">
        <v>2021</v>
      </c>
      <c r="J59">
        <v>2021</v>
      </c>
      <c r="K59" t="s">
        <v>143</v>
      </c>
      <c r="L59">
        <v>765245</v>
      </c>
      <c r="O59">
        <v>388644.97814999992</v>
      </c>
      <c r="P59">
        <v>0.38864497814999993</v>
      </c>
      <c r="Q59" t="s">
        <v>768</v>
      </c>
      <c r="R59" s="141">
        <v>0.50786999999999993</v>
      </c>
    </row>
    <row r="60" spans="1:18" x14ac:dyDescent="0.3">
      <c r="A60" t="s">
        <v>126</v>
      </c>
      <c r="B60" t="s">
        <v>125</v>
      </c>
      <c r="C60" t="s">
        <v>462</v>
      </c>
      <c r="D60" t="s">
        <v>462</v>
      </c>
      <c r="E60">
        <v>5516</v>
      </c>
      <c r="F60" t="s">
        <v>128</v>
      </c>
      <c r="G60">
        <v>1640</v>
      </c>
      <c r="H60" t="s">
        <v>104</v>
      </c>
      <c r="I60">
        <v>2021</v>
      </c>
      <c r="J60">
        <v>2021</v>
      </c>
      <c r="K60" t="s">
        <v>143</v>
      </c>
      <c r="L60">
        <v>2115000</v>
      </c>
      <c r="O60">
        <v>1074145.0499999998</v>
      </c>
      <c r="P60">
        <v>1.0741450499999998</v>
      </c>
      <c r="Q60" t="s">
        <v>769</v>
      </c>
      <c r="R60" s="141">
        <v>0.50786999999999993</v>
      </c>
    </row>
    <row r="61" spans="1:18" x14ac:dyDescent="0.3">
      <c r="A61" t="s">
        <v>126</v>
      </c>
      <c r="B61" t="s">
        <v>125</v>
      </c>
      <c r="C61" t="s">
        <v>462</v>
      </c>
      <c r="D61" t="s">
        <v>462</v>
      </c>
      <c r="E61">
        <v>5616</v>
      </c>
      <c r="F61" t="s">
        <v>127</v>
      </c>
      <c r="G61">
        <v>1640</v>
      </c>
      <c r="H61" t="s">
        <v>104</v>
      </c>
      <c r="I61">
        <v>2021</v>
      </c>
      <c r="J61">
        <v>2021</v>
      </c>
      <c r="K61" t="s">
        <v>143</v>
      </c>
      <c r="L61">
        <v>2058646</v>
      </c>
      <c r="O61">
        <v>1045524.5440199999</v>
      </c>
      <c r="P61">
        <v>1.0455245440199998</v>
      </c>
      <c r="Q61" t="s">
        <v>770</v>
      </c>
      <c r="R61" s="141">
        <v>0.50786999999999993</v>
      </c>
    </row>
    <row r="62" spans="1:18" x14ac:dyDescent="0.3">
      <c r="A62" t="s">
        <v>126</v>
      </c>
      <c r="B62" t="s">
        <v>125</v>
      </c>
      <c r="C62" t="s">
        <v>462</v>
      </c>
      <c r="D62" t="s">
        <v>462</v>
      </c>
      <c r="E62">
        <v>5916</v>
      </c>
      <c r="F62" t="s">
        <v>124</v>
      </c>
      <c r="G62">
        <v>1640</v>
      </c>
      <c r="H62" t="s">
        <v>104</v>
      </c>
      <c r="I62">
        <v>2021</v>
      </c>
      <c r="J62">
        <v>2021</v>
      </c>
      <c r="K62" t="s">
        <v>143</v>
      </c>
      <c r="L62">
        <v>682192</v>
      </c>
      <c r="O62">
        <v>346464.85103999998</v>
      </c>
      <c r="P62">
        <v>0.34646485103999997</v>
      </c>
      <c r="Q62" t="s">
        <v>771</v>
      </c>
      <c r="R62" s="141">
        <v>0.50786999999999993</v>
      </c>
    </row>
    <row r="63" spans="1:18" x14ac:dyDescent="0.3">
      <c r="A63" t="s">
        <v>126</v>
      </c>
      <c r="B63" t="s">
        <v>125</v>
      </c>
      <c r="C63" t="s">
        <v>462</v>
      </c>
      <c r="D63" t="s">
        <v>462</v>
      </c>
      <c r="E63">
        <v>5516</v>
      </c>
      <c r="F63" t="s">
        <v>128</v>
      </c>
      <c r="G63">
        <v>1646</v>
      </c>
      <c r="H63" t="s">
        <v>147</v>
      </c>
      <c r="I63">
        <v>2021</v>
      </c>
      <c r="J63">
        <v>2021</v>
      </c>
      <c r="L63">
        <v>0</v>
      </c>
    </row>
    <row r="64" spans="1:18" x14ac:dyDescent="0.3">
      <c r="A64" t="s">
        <v>126</v>
      </c>
      <c r="B64" t="s">
        <v>125</v>
      </c>
      <c r="C64" t="s">
        <v>462</v>
      </c>
      <c r="D64" t="s">
        <v>462</v>
      </c>
      <c r="E64">
        <v>5616</v>
      </c>
      <c r="F64" t="s">
        <v>127</v>
      </c>
      <c r="G64">
        <v>1646</v>
      </c>
      <c r="H64" t="s">
        <v>147</v>
      </c>
      <c r="I64">
        <v>2021</v>
      </c>
      <c r="J64">
        <v>2021</v>
      </c>
      <c r="L64">
        <v>0</v>
      </c>
    </row>
    <row r="65" spans="1:18" x14ac:dyDescent="0.3">
      <c r="A65" t="s">
        <v>126</v>
      </c>
      <c r="B65" t="s">
        <v>125</v>
      </c>
      <c r="C65" t="s">
        <v>462</v>
      </c>
      <c r="D65" t="s">
        <v>462</v>
      </c>
      <c r="E65">
        <v>5916</v>
      </c>
      <c r="F65" t="s">
        <v>124</v>
      </c>
      <c r="G65">
        <v>1646</v>
      </c>
      <c r="H65" t="s">
        <v>147</v>
      </c>
      <c r="I65">
        <v>2021</v>
      </c>
      <c r="J65">
        <v>2021</v>
      </c>
      <c r="L65">
        <v>0</v>
      </c>
    </row>
    <row r="66" spans="1:18" x14ac:dyDescent="0.3">
      <c r="A66" t="s">
        <v>126</v>
      </c>
      <c r="B66" t="s">
        <v>125</v>
      </c>
      <c r="C66" t="s">
        <v>462</v>
      </c>
      <c r="D66" t="s">
        <v>462</v>
      </c>
      <c r="E66">
        <v>5516</v>
      </c>
      <c r="F66" t="s">
        <v>128</v>
      </c>
      <c r="G66">
        <v>1697</v>
      </c>
      <c r="H66" t="s">
        <v>103</v>
      </c>
      <c r="I66">
        <v>2021</v>
      </c>
      <c r="J66">
        <v>2021</v>
      </c>
      <c r="K66" t="s">
        <v>143</v>
      </c>
      <c r="L66">
        <v>2753000</v>
      </c>
      <c r="O66">
        <v>1515334.6639682539</v>
      </c>
      <c r="P66">
        <v>1.5153346639682539</v>
      </c>
      <c r="Q66" t="s">
        <v>772</v>
      </c>
      <c r="R66" s="141">
        <v>0.55043031746031745</v>
      </c>
    </row>
    <row r="67" spans="1:18" x14ac:dyDescent="0.3">
      <c r="A67" t="s">
        <v>126</v>
      </c>
      <c r="B67" t="s">
        <v>125</v>
      </c>
      <c r="C67" t="s">
        <v>462</v>
      </c>
      <c r="D67" t="s">
        <v>462</v>
      </c>
      <c r="E67">
        <v>5616</v>
      </c>
      <c r="F67" t="s">
        <v>127</v>
      </c>
      <c r="G67">
        <v>1697</v>
      </c>
      <c r="H67" t="s">
        <v>103</v>
      </c>
      <c r="I67">
        <v>2021</v>
      </c>
      <c r="J67">
        <v>2021</v>
      </c>
      <c r="K67" t="s">
        <v>143</v>
      </c>
      <c r="L67">
        <v>681346</v>
      </c>
      <c r="O67">
        <v>375033.49508031743</v>
      </c>
      <c r="P67">
        <v>0.37503349508031741</v>
      </c>
      <c r="Q67" t="s">
        <v>773</v>
      </c>
      <c r="R67" s="141">
        <v>0.55043031746031745</v>
      </c>
    </row>
    <row r="68" spans="1:18" x14ac:dyDescent="0.3">
      <c r="A68" t="s">
        <v>126</v>
      </c>
      <c r="B68" t="s">
        <v>125</v>
      </c>
      <c r="C68" t="s">
        <v>462</v>
      </c>
      <c r="D68" t="s">
        <v>462</v>
      </c>
      <c r="E68">
        <v>5916</v>
      </c>
      <c r="F68" t="s">
        <v>124</v>
      </c>
      <c r="G68">
        <v>1697</v>
      </c>
      <c r="H68" t="s">
        <v>103</v>
      </c>
      <c r="I68">
        <v>2021</v>
      </c>
      <c r="J68">
        <v>2021</v>
      </c>
      <c r="K68" t="s">
        <v>143</v>
      </c>
      <c r="L68">
        <v>815554</v>
      </c>
      <c r="O68">
        <v>448905.64712603175</v>
      </c>
      <c r="P68">
        <v>0.4489056471260317</v>
      </c>
      <c r="Q68" t="s">
        <v>774</v>
      </c>
      <c r="R68" s="141">
        <v>0.55043031746031745</v>
      </c>
    </row>
    <row r="69" spans="1:18" x14ac:dyDescent="0.3">
      <c r="A69" t="s">
        <v>126</v>
      </c>
      <c r="B69" t="s">
        <v>125</v>
      </c>
      <c r="C69" t="s">
        <v>462</v>
      </c>
      <c r="D69" t="s">
        <v>462</v>
      </c>
      <c r="E69">
        <v>5516</v>
      </c>
      <c r="F69" t="s">
        <v>128</v>
      </c>
      <c r="G69">
        <v>1606</v>
      </c>
      <c r="H69" t="s">
        <v>102</v>
      </c>
      <c r="I69">
        <v>2021</v>
      </c>
      <c r="J69">
        <v>2021</v>
      </c>
      <c r="K69" t="s">
        <v>143</v>
      </c>
      <c r="L69">
        <v>7240000</v>
      </c>
      <c r="O69">
        <v>3923339.4514285708</v>
      </c>
      <c r="P69">
        <v>3.9233394514285704</v>
      </c>
      <c r="Q69" t="s">
        <v>775</v>
      </c>
      <c r="R69" s="141">
        <v>0.5418977142857142</v>
      </c>
    </row>
    <row r="70" spans="1:18" x14ac:dyDescent="0.3">
      <c r="A70" t="s">
        <v>126</v>
      </c>
      <c r="B70" t="s">
        <v>125</v>
      </c>
      <c r="C70" t="s">
        <v>462</v>
      </c>
      <c r="D70" t="s">
        <v>462</v>
      </c>
      <c r="E70">
        <v>5616</v>
      </c>
      <c r="F70" t="s">
        <v>127</v>
      </c>
      <c r="G70">
        <v>1606</v>
      </c>
      <c r="H70" t="s">
        <v>102</v>
      </c>
      <c r="I70">
        <v>2021</v>
      </c>
      <c r="J70">
        <v>2021</v>
      </c>
      <c r="K70" t="s">
        <v>143</v>
      </c>
      <c r="L70">
        <v>151043</v>
      </c>
      <c r="O70">
        <v>81849.856458857132</v>
      </c>
      <c r="P70">
        <v>8.1849856458857131E-2</v>
      </c>
      <c r="Q70" t="s">
        <v>776</v>
      </c>
      <c r="R70" s="141">
        <v>0.5418977142857142</v>
      </c>
    </row>
    <row r="71" spans="1:18" x14ac:dyDescent="0.3">
      <c r="A71" t="s">
        <v>126</v>
      </c>
      <c r="B71" t="s">
        <v>125</v>
      </c>
      <c r="C71" t="s">
        <v>462</v>
      </c>
      <c r="D71" t="s">
        <v>462</v>
      </c>
      <c r="E71">
        <v>5916</v>
      </c>
      <c r="F71" t="s">
        <v>124</v>
      </c>
      <c r="G71">
        <v>1606</v>
      </c>
      <c r="H71" t="s">
        <v>102</v>
      </c>
      <c r="I71">
        <v>2021</v>
      </c>
      <c r="J71">
        <v>2021</v>
      </c>
      <c r="K71" t="s">
        <v>143</v>
      </c>
      <c r="L71">
        <v>5766472</v>
      </c>
      <c r="O71">
        <v>3124837.9962925711</v>
      </c>
      <c r="P71">
        <v>3.124837996292571</v>
      </c>
      <c r="Q71" t="s">
        <v>777</v>
      </c>
      <c r="R71" s="141">
        <v>0.5418977142857142</v>
      </c>
    </row>
    <row r="72" spans="1:18" x14ac:dyDescent="0.3">
      <c r="A72" t="s">
        <v>126</v>
      </c>
      <c r="B72" t="s">
        <v>125</v>
      </c>
      <c r="C72" t="s">
        <v>462</v>
      </c>
      <c r="D72" t="s">
        <v>462</v>
      </c>
      <c r="E72">
        <v>5516</v>
      </c>
      <c r="F72" t="s">
        <v>128</v>
      </c>
      <c r="G72">
        <v>1647</v>
      </c>
      <c r="H72" t="s">
        <v>146</v>
      </c>
      <c r="I72">
        <v>2021</v>
      </c>
      <c r="J72">
        <v>2021</v>
      </c>
      <c r="K72" t="s">
        <v>143</v>
      </c>
      <c r="L72">
        <v>90000</v>
      </c>
      <c r="O72">
        <v>70699.371428571438</v>
      </c>
      <c r="P72">
        <v>7.0699371428571439E-2</v>
      </c>
      <c r="Q72" t="s">
        <v>778</v>
      </c>
      <c r="R72" s="141">
        <v>0.78554857142857148</v>
      </c>
    </row>
    <row r="73" spans="1:18" x14ac:dyDescent="0.3">
      <c r="A73" t="s">
        <v>126</v>
      </c>
      <c r="B73" t="s">
        <v>125</v>
      </c>
      <c r="C73" t="s">
        <v>462</v>
      </c>
      <c r="D73" t="s">
        <v>462</v>
      </c>
      <c r="E73">
        <v>5616</v>
      </c>
      <c r="F73" t="s">
        <v>127</v>
      </c>
      <c r="G73">
        <v>1647</v>
      </c>
      <c r="H73" t="s">
        <v>146</v>
      </c>
      <c r="I73">
        <v>2021</v>
      </c>
      <c r="J73">
        <v>2021</v>
      </c>
      <c r="K73" t="s">
        <v>143</v>
      </c>
      <c r="L73">
        <v>133528</v>
      </c>
      <c r="O73">
        <v>104892.72964571429</v>
      </c>
      <c r="P73">
        <v>0.10489272964571429</v>
      </c>
      <c r="Q73" t="s">
        <v>779</v>
      </c>
      <c r="R73" s="141">
        <v>0.78554857142857148</v>
      </c>
    </row>
    <row r="74" spans="1:18" x14ac:dyDescent="0.3">
      <c r="A74" t="s">
        <v>126</v>
      </c>
      <c r="B74" t="s">
        <v>125</v>
      </c>
      <c r="C74" t="s">
        <v>462</v>
      </c>
      <c r="D74" t="s">
        <v>462</v>
      </c>
      <c r="E74">
        <v>5916</v>
      </c>
      <c r="F74" t="s">
        <v>124</v>
      </c>
      <c r="G74">
        <v>1647</v>
      </c>
      <c r="H74" t="s">
        <v>146</v>
      </c>
      <c r="I74">
        <v>2021</v>
      </c>
      <c r="J74">
        <v>2021</v>
      </c>
      <c r="K74" t="s">
        <v>143</v>
      </c>
      <c r="L74">
        <v>123055</v>
      </c>
      <c r="O74">
        <v>96665.679457142862</v>
      </c>
      <c r="P74">
        <v>9.6665679457142856E-2</v>
      </c>
      <c r="Q74" t="s">
        <v>780</v>
      </c>
      <c r="R74" s="141">
        <v>0.78554857142857148</v>
      </c>
    </row>
    <row r="75" spans="1:18" x14ac:dyDescent="0.3">
      <c r="A75" t="s">
        <v>126</v>
      </c>
      <c r="B75" t="s">
        <v>125</v>
      </c>
      <c r="C75" t="s">
        <v>462</v>
      </c>
      <c r="D75" t="s">
        <v>462</v>
      </c>
      <c r="E75">
        <v>5516</v>
      </c>
      <c r="F75" t="s">
        <v>128</v>
      </c>
      <c r="G75">
        <v>1648</v>
      </c>
      <c r="H75" t="s">
        <v>145</v>
      </c>
      <c r="I75">
        <v>2021</v>
      </c>
      <c r="J75">
        <v>2021</v>
      </c>
      <c r="K75" t="s">
        <v>143</v>
      </c>
      <c r="L75">
        <v>2487000</v>
      </c>
      <c r="O75">
        <v>1599790.6653061225</v>
      </c>
      <c r="P75">
        <v>1.5997906653061225</v>
      </c>
      <c r="Q75" t="s">
        <v>781</v>
      </c>
      <c r="R75" s="141">
        <v>0.64326122448979595</v>
      </c>
    </row>
    <row r="76" spans="1:18" x14ac:dyDescent="0.3">
      <c r="A76" t="s">
        <v>126</v>
      </c>
      <c r="B76" t="s">
        <v>125</v>
      </c>
      <c r="C76" t="s">
        <v>462</v>
      </c>
      <c r="D76" t="s">
        <v>462</v>
      </c>
      <c r="E76">
        <v>5616</v>
      </c>
      <c r="F76" t="s">
        <v>127</v>
      </c>
      <c r="G76">
        <v>1648</v>
      </c>
      <c r="H76" t="s">
        <v>145</v>
      </c>
      <c r="I76">
        <v>2021</v>
      </c>
      <c r="J76">
        <v>2021</v>
      </c>
      <c r="K76" t="s">
        <v>143</v>
      </c>
      <c r="L76">
        <v>909967</v>
      </c>
      <c r="O76">
        <v>585346.48666530615</v>
      </c>
      <c r="P76">
        <v>0.58534648666530609</v>
      </c>
      <c r="Q76" t="s">
        <v>782</v>
      </c>
      <c r="R76" s="141">
        <v>0.64326122448979595</v>
      </c>
    </row>
    <row r="77" spans="1:18" x14ac:dyDescent="0.3">
      <c r="A77" t="s">
        <v>126</v>
      </c>
      <c r="B77" t="s">
        <v>125</v>
      </c>
      <c r="C77" t="s">
        <v>462</v>
      </c>
      <c r="D77" t="s">
        <v>462</v>
      </c>
      <c r="E77">
        <v>5916</v>
      </c>
      <c r="F77" t="s">
        <v>124</v>
      </c>
      <c r="G77">
        <v>1648</v>
      </c>
      <c r="H77" t="s">
        <v>145</v>
      </c>
      <c r="I77">
        <v>2021</v>
      </c>
      <c r="J77">
        <v>2021</v>
      </c>
      <c r="K77" t="s">
        <v>143</v>
      </c>
      <c r="L77">
        <v>1207953</v>
      </c>
      <c r="O77">
        <v>777029.32590612245</v>
      </c>
      <c r="P77">
        <v>0.77702932590612239</v>
      </c>
      <c r="Q77" t="s">
        <v>783</v>
      </c>
      <c r="R77" s="141">
        <v>0.64326122448979595</v>
      </c>
    </row>
    <row r="78" spans="1:18" x14ac:dyDescent="0.3">
      <c r="A78" t="s">
        <v>126</v>
      </c>
      <c r="B78" t="s">
        <v>125</v>
      </c>
      <c r="C78" t="s">
        <v>462</v>
      </c>
      <c r="D78" t="s">
        <v>462</v>
      </c>
      <c r="E78">
        <v>5516</v>
      </c>
      <c r="F78" t="s">
        <v>128</v>
      </c>
      <c r="G78">
        <v>1650</v>
      </c>
      <c r="H78" t="s">
        <v>144</v>
      </c>
      <c r="I78">
        <v>2021</v>
      </c>
      <c r="J78">
        <v>2021</v>
      </c>
      <c r="K78" t="s">
        <v>143</v>
      </c>
      <c r="L78">
        <v>100000</v>
      </c>
      <c r="O78">
        <v>24401.250000000004</v>
      </c>
      <c r="P78">
        <v>2.4401250000000003E-2</v>
      </c>
      <c r="Q78" t="s">
        <v>784</v>
      </c>
      <c r="R78" s="141">
        <v>0.24401250000000002</v>
      </c>
    </row>
    <row r="79" spans="1:18" x14ac:dyDescent="0.3">
      <c r="A79" t="s">
        <v>126</v>
      </c>
      <c r="B79" t="s">
        <v>125</v>
      </c>
      <c r="C79" t="s">
        <v>462</v>
      </c>
      <c r="D79" t="s">
        <v>462</v>
      </c>
      <c r="E79">
        <v>5616</v>
      </c>
      <c r="F79" t="s">
        <v>127</v>
      </c>
      <c r="G79">
        <v>1650</v>
      </c>
      <c r="H79" t="s">
        <v>144</v>
      </c>
      <c r="I79">
        <v>2021</v>
      </c>
      <c r="J79">
        <v>2021</v>
      </c>
      <c r="K79" t="s">
        <v>143</v>
      </c>
      <c r="L79">
        <v>169155</v>
      </c>
      <c r="O79">
        <v>41275.9344375</v>
      </c>
      <c r="P79">
        <v>4.1275934437499995E-2</v>
      </c>
      <c r="Q79" t="s">
        <v>785</v>
      </c>
      <c r="R79" s="141">
        <v>0.24401250000000002</v>
      </c>
    </row>
    <row r="80" spans="1:18" x14ac:dyDescent="0.3">
      <c r="A80" t="s">
        <v>126</v>
      </c>
      <c r="B80" t="s">
        <v>125</v>
      </c>
      <c r="C80" t="s">
        <v>462</v>
      </c>
      <c r="D80" t="s">
        <v>462</v>
      </c>
      <c r="E80">
        <v>5916</v>
      </c>
      <c r="F80" t="s">
        <v>124</v>
      </c>
      <c r="G80">
        <v>1650</v>
      </c>
      <c r="H80" t="s">
        <v>144</v>
      </c>
      <c r="I80">
        <v>2021</v>
      </c>
      <c r="J80">
        <v>2021</v>
      </c>
      <c r="K80" t="s">
        <v>143</v>
      </c>
      <c r="L80">
        <v>119701</v>
      </c>
      <c r="O80">
        <v>29208.540262500002</v>
      </c>
      <c r="P80">
        <v>2.9208540262500002E-2</v>
      </c>
      <c r="Q80" t="s">
        <v>786</v>
      </c>
      <c r="R80" s="141">
        <v>0.24401250000000002</v>
      </c>
    </row>
    <row r="81" spans="1:18" x14ac:dyDescent="0.3">
      <c r="A81" t="s">
        <v>126</v>
      </c>
      <c r="B81" t="s">
        <v>125</v>
      </c>
      <c r="C81" t="s">
        <v>462</v>
      </c>
      <c r="D81" t="s">
        <v>462</v>
      </c>
      <c r="E81">
        <v>5516</v>
      </c>
      <c r="F81" t="s">
        <v>128</v>
      </c>
      <c r="G81">
        <v>1649</v>
      </c>
      <c r="H81" t="s">
        <v>142</v>
      </c>
      <c r="I81">
        <v>2021</v>
      </c>
      <c r="J81">
        <v>2021</v>
      </c>
      <c r="L81">
        <v>0</v>
      </c>
    </row>
    <row r="82" spans="1:18" x14ac:dyDescent="0.3">
      <c r="A82" t="s">
        <v>126</v>
      </c>
      <c r="B82" t="s">
        <v>125</v>
      </c>
      <c r="C82" t="s">
        <v>462</v>
      </c>
      <c r="D82" t="s">
        <v>462</v>
      </c>
      <c r="E82">
        <v>5616</v>
      </c>
      <c r="F82" t="s">
        <v>127</v>
      </c>
      <c r="G82">
        <v>1649</v>
      </c>
      <c r="H82" t="s">
        <v>142</v>
      </c>
      <c r="I82">
        <v>2021</v>
      </c>
      <c r="J82">
        <v>2021</v>
      </c>
      <c r="L82">
        <v>0</v>
      </c>
    </row>
    <row r="83" spans="1:18" x14ac:dyDescent="0.3">
      <c r="A83" t="s">
        <v>126</v>
      </c>
      <c r="B83" t="s">
        <v>125</v>
      </c>
      <c r="C83" t="s">
        <v>462</v>
      </c>
      <c r="D83" t="s">
        <v>462</v>
      </c>
      <c r="E83">
        <v>5916</v>
      </c>
      <c r="F83" t="s">
        <v>124</v>
      </c>
      <c r="G83">
        <v>1649</v>
      </c>
      <c r="H83" t="s">
        <v>142</v>
      </c>
      <c r="I83">
        <v>2021</v>
      </c>
      <c r="J83">
        <v>2021</v>
      </c>
      <c r="L83">
        <v>0</v>
      </c>
    </row>
    <row r="84" spans="1:18" x14ac:dyDescent="0.3">
      <c r="A84" t="s">
        <v>126</v>
      </c>
      <c r="B84" t="s">
        <v>125</v>
      </c>
      <c r="C84" t="s">
        <v>462</v>
      </c>
      <c r="D84" t="s">
        <v>462</v>
      </c>
      <c r="E84">
        <v>5510</v>
      </c>
      <c r="F84" t="s">
        <v>128</v>
      </c>
      <c r="G84">
        <v>1685</v>
      </c>
      <c r="H84" t="s">
        <v>98</v>
      </c>
      <c r="I84">
        <v>2021</v>
      </c>
      <c r="J84">
        <v>2021</v>
      </c>
      <c r="K84" t="s">
        <v>339</v>
      </c>
      <c r="L84">
        <v>6815000</v>
      </c>
      <c r="O84">
        <v>6133500</v>
      </c>
      <c r="P84">
        <v>6.1334999999999997</v>
      </c>
      <c r="Q84" t="s">
        <v>787</v>
      </c>
      <c r="R84" s="141">
        <v>0.9</v>
      </c>
    </row>
    <row r="85" spans="1:18" x14ac:dyDescent="0.3">
      <c r="A85" t="s">
        <v>126</v>
      </c>
      <c r="B85" t="s">
        <v>125</v>
      </c>
      <c r="C85" t="s">
        <v>462</v>
      </c>
      <c r="D85" t="s">
        <v>462</v>
      </c>
      <c r="E85">
        <v>5610</v>
      </c>
      <c r="F85" t="s">
        <v>127</v>
      </c>
      <c r="G85">
        <v>1685</v>
      </c>
      <c r="H85" t="s">
        <v>98</v>
      </c>
      <c r="I85">
        <v>2021</v>
      </c>
      <c r="J85">
        <v>2021</v>
      </c>
      <c r="K85" t="s">
        <v>339</v>
      </c>
      <c r="L85">
        <v>24372.5</v>
      </c>
      <c r="O85">
        <v>21935.25</v>
      </c>
      <c r="P85">
        <v>2.193525E-2</v>
      </c>
      <c r="Q85" t="s">
        <v>788</v>
      </c>
      <c r="R85" s="141">
        <v>0.9</v>
      </c>
    </row>
    <row r="86" spans="1:18" x14ac:dyDescent="0.3">
      <c r="A86" t="s">
        <v>126</v>
      </c>
      <c r="B86" t="s">
        <v>125</v>
      </c>
      <c r="C86" t="s">
        <v>462</v>
      </c>
      <c r="D86" t="s">
        <v>462</v>
      </c>
      <c r="E86">
        <v>5910</v>
      </c>
      <c r="F86" t="s">
        <v>124</v>
      </c>
      <c r="G86">
        <v>1685</v>
      </c>
      <c r="H86" t="s">
        <v>98</v>
      </c>
      <c r="I86">
        <v>2021</v>
      </c>
      <c r="J86">
        <v>2021</v>
      </c>
      <c r="K86" t="s">
        <v>339</v>
      </c>
      <c r="L86">
        <v>2747727.55</v>
      </c>
      <c r="O86">
        <v>2472954.7949999999</v>
      </c>
      <c r="P86">
        <v>2.4729547949999997</v>
      </c>
      <c r="Q86" t="s">
        <v>789</v>
      </c>
      <c r="R86" s="141">
        <v>0.9</v>
      </c>
    </row>
    <row r="87" spans="1:18" x14ac:dyDescent="0.3">
      <c r="A87" t="s">
        <v>126</v>
      </c>
      <c r="B87" t="s">
        <v>125</v>
      </c>
      <c r="C87" t="s">
        <v>462</v>
      </c>
      <c r="D87" t="s">
        <v>462</v>
      </c>
      <c r="E87">
        <v>5510</v>
      </c>
      <c r="F87" t="s">
        <v>128</v>
      </c>
      <c r="G87">
        <v>1654</v>
      </c>
      <c r="H87" t="s">
        <v>141</v>
      </c>
      <c r="I87">
        <v>2021</v>
      </c>
      <c r="J87">
        <v>2021</v>
      </c>
      <c r="L87">
        <v>0</v>
      </c>
    </row>
    <row r="88" spans="1:18" x14ac:dyDescent="0.3">
      <c r="A88" t="s">
        <v>126</v>
      </c>
      <c r="B88" t="s">
        <v>125</v>
      </c>
      <c r="C88" t="s">
        <v>462</v>
      </c>
      <c r="D88" t="s">
        <v>462</v>
      </c>
      <c r="E88">
        <v>5610</v>
      </c>
      <c r="F88" t="s">
        <v>127</v>
      </c>
      <c r="G88">
        <v>1654</v>
      </c>
      <c r="H88" t="s">
        <v>141</v>
      </c>
      <c r="I88">
        <v>2021</v>
      </c>
      <c r="J88">
        <v>2021</v>
      </c>
      <c r="L88">
        <v>0</v>
      </c>
    </row>
    <row r="89" spans="1:18" x14ac:dyDescent="0.3">
      <c r="A89" t="s">
        <v>126</v>
      </c>
      <c r="B89" t="s">
        <v>125</v>
      </c>
      <c r="C89" t="s">
        <v>462</v>
      </c>
      <c r="D89" t="s">
        <v>462</v>
      </c>
      <c r="E89">
        <v>5910</v>
      </c>
      <c r="F89" t="s">
        <v>124</v>
      </c>
      <c r="G89">
        <v>1654</v>
      </c>
      <c r="H89" t="s">
        <v>141</v>
      </c>
      <c r="I89">
        <v>2021</v>
      </c>
      <c r="J89">
        <v>2021</v>
      </c>
      <c r="L89">
        <v>0</v>
      </c>
    </row>
    <row r="90" spans="1:18" x14ac:dyDescent="0.3">
      <c r="A90" t="s">
        <v>126</v>
      </c>
      <c r="B90" t="s">
        <v>125</v>
      </c>
      <c r="C90" t="s">
        <v>462</v>
      </c>
      <c r="D90" t="s">
        <v>462</v>
      </c>
      <c r="E90">
        <v>5510</v>
      </c>
      <c r="F90" t="s">
        <v>128</v>
      </c>
      <c r="G90">
        <v>1655</v>
      </c>
      <c r="H90" t="s">
        <v>140</v>
      </c>
      <c r="I90">
        <v>2021</v>
      </c>
      <c r="J90">
        <v>2021</v>
      </c>
      <c r="L90">
        <v>0</v>
      </c>
    </row>
    <row r="91" spans="1:18" x14ac:dyDescent="0.3">
      <c r="A91" t="s">
        <v>126</v>
      </c>
      <c r="B91" t="s">
        <v>125</v>
      </c>
      <c r="C91" t="s">
        <v>462</v>
      </c>
      <c r="D91" t="s">
        <v>462</v>
      </c>
      <c r="E91">
        <v>5610</v>
      </c>
      <c r="F91" t="s">
        <v>127</v>
      </c>
      <c r="G91">
        <v>1655</v>
      </c>
      <c r="H91" t="s">
        <v>140</v>
      </c>
      <c r="I91">
        <v>2021</v>
      </c>
      <c r="J91">
        <v>2021</v>
      </c>
      <c r="L91">
        <v>0</v>
      </c>
    </row>
    <row r="92" spans="1:18" x14ac:dyDescent="0.3">
      <c r="A92" t="s">
        <v>126</v>
      </c>
      <c r="B92" t="s">
        <v>125</v>
      </c>
      <c r="C92" t="s">
        <v>462</v>
      </c>
      <c r="D92" t="s">
        <v>462</v>
      </c>
      <c r="E92">
        <v>5910</v>
      </c>
      <c r="F92" t="s">
        <v>124</v>
      </c>
      <c r="G92">
        <v>1655</v>
      </c>
      <c r="H92" t="s">
        <v>140</v>
      </c>
      <c r="I92">
        <v>2021</v>
      </c>
      <c r="J92">
        <v>2021</v>
      </c>
      <c r="L92">
        <v>0</v>
      </c>
    </row>
    <row r="93" spans="1:18" x14ac:dyDescent="0.3">
      <c r="A93" t="s">
        <v>126</v>
      </c>
      <c r="B93" t="s">
        <v>125</v>
      </c>
      <c r="C93" t="s">
        <v>462</v>
      </c>
      <c r="D93" t="s">
        <v>462</v>
      </c>
      <c r="E93">
        <v>5510</v>
      </c>
      <c r="F93" t="s">
        <v>128</v>
      </c>
      <c r="G93">
        <v>1656</v>
      </c>
      <c r="H93" t="s">
        <v>97</v>
      </c>
      <c r="I93">
        <v>2021</v>
      </c>
      <c r="J93">
        <v>2021</v>
      </c>
      <c r="K93" t="s">
        <v>339</v>
      </c>
      <c r="L93">
        <v>9966000</v>
      </c>
      <c r="O93">
        <v>8969400</v>
      </c>
      <c r="P93">
        <v>8.9694000000000003</v>
      </c>
      <c r="Q93" t="s">
        <v>790</v>
      </c>
      <c r="R93" s="141">
        <v>0.9</v>
      </c>
    </row>
    <row r="94" spans="1:18" x14ac:dyDescent="0.3">
      <c r="A94" t="s">
        <v>126</v>
      </c>
      <c r="B94" t="s">
        <v>125</v>
      </c>
      <c r="C94" t="s">
        <v>462</v>
      </c>
      <c r="D94" t="s">
        <v>462</v>
      </c>
      <c r="E94">
        <v>5610</v>
      </c>
      <c r="F94" t="s">
        <v>127</v>
      </c>
      <c r="G94">
        <v>1656</v>
      </c>
      <c r="H94" t="s">
        <v>97</v>
      </c>
      <c r="I94">
        <v>2021</v>
      </c>
      <c r="J94">
        <v>2021</v>
      </c>
      <c r="K94" t="s">
        <v>339</v>
      </c>
      <c r="L94">
        <v>886578.04</v>
      </c>
      <c r="O94">
        <v>797920.23600000003</v>
      </c>
      <c r="P94">
        <v>0.79792023599999995</v>
      </c>
      <c r="Q94" t="s">
        <v>791</v>
      </c>
      <c r="R94" s="141">
        <v>0.9</v>
      </c>
    </row>
    <row r="95" spans="1:18" x14ac:dyDescent="0.3">
      <c r="A95" t="s">
        <v>126</v>
      </c>
      <c r="B95" t="s">
        <v>125</v>
      </c>
      <c r="C95" t="s">
        <v>462</v>
      </c>
      <c r="D95" t="s">
        <v>462</v>
      </c>
      <c r="E95">
        <v>5910</v>
      </c>
      <c r="F95" t="s">
        <v>124</v>
      </c>
      <c r="G95">
        <v>1656</v>
      </c>
      <c r="H95" t="s">
        <v>97</v>
      </c>
      <c r="I95">
        <v>2021</v>
      </c>
      <c r="J95">
        <v>2021</v>
      </c>
      <c r="K95" t="s">
        <v>339</v>
      </c>
      <c r="L95">
        <v>6773766.9499999993</v>
      </c>
      <c r="O95">
        <v>6096390.2549999999</v>
      </c>
      <c r="P95">
        <v>6.0963902549999993</v>
      </c>
      <c r="Q95" t="s">
        <v>792</v>
      </c>
      <c r="R95" s="141">
        <v>0.9</v>
      </c>
    </row>
    <row r="96" spans="1:18" x14ac:dyDescent="0.3">
      <c r="A96" t="s">
        <v>126</v>
      </c>
      <c r="B96" t="s">
        <v>125</v>
      </c>
      <c r="C96" t="s">
        <v>462</v>
      </c>
      <c r="D96" t="s">
        <v>462</v>
      </c>
      <c r="E96">
        <v>5510</v>
      </c>
      <c r="F96" t="s">
        <v>128</v>
      </c>
      <c r="G96">
        <v>1662</v>
      </c>
      <c r="H96" t="s">
        <v>139</v>
      </c>
      <c r="I96">
        <v>2021</v>
      </c>
      <c r="J96">
        <v>2021</v>
      </c>
      <c r="K96" t="s">
        <v>339</v>
      </c>
      <c r="L96">
        <v>1720000</v>
      </c>
    </row>
    <row r="97" spans="1:18" x14ac:dyDescent="0.3">
      <c r="A97" t="s">
        <v>126</v>
      </c>
      <c r="B97" t="s">
        <v>125</v>
      </c>
      <c r="C97" t="s">
        <v>462</v>
      </c>
      <c r="D97" t="s">
        <v>462</v>
      </c>
      <c r="E97">
        <v>5610</v>
      </c>
      <c r="F97" t="s">
        <v>127</v>
      </c>
      <c r="G97">
        <v>1662</v>
      </c>
      <c r="H97" t="s">
        <v>139</v>
      </c>
      <c r="I97">
        <v>2021</v>
      </c>
      <c r="J97">
        <v>2021</v>
      </c>
      <c r="K97" t="s">
        <v>339</v>
      </c>
      <c r="L97">
        <v>70749.540000000008</v>
      </c>
    </row>
    <row r="98" spans="1:18" x14ac:dyDescent="0.3">
      <c r="A98" t="s">
        <v>126</v>
      </c>
      <c r="B98" t="s">
        <v>125</v>
      </c>
      <c r="C98" t="s">
        <v>462</v>
      </c>
      <c r="D98" t="s">
        <v>462</v>
      </c>
      <c r="E98">
        <v>5910</v>
      </c>
      <c r="F98" t="s">
        <v>124</v>
      </c>
      <c r="G98">
        <v>1662</v>
      </c>
      <c r="H98" t="s">
        <v>139</v>
      </c>
      <c r="I98">
        <v>2021</v>
      </c>
      <c r="J98">
        <v>2021</v>
      </c>
      <c r="K98" t="s">
        <v>339</v>
      </c>
      <c r="L98">
        <v>809509.35</v>
      </c>
    </row>
    <row r="99" spans="1:18" x14ac:dyDescent="0.3">
      <c r="A99" t="s">
        <v>126</v>
      </c>
      <c r="B99" t="s">
        <v>125</v>
      </c>
      <c r="C99" t="s">
        <v>462</v>
      </c>
      <c r="D99" t="s">
        <v>462</v>
      </c>
      <c r="E99">
        <v>5510</v>
      </c>
      <c r="F99" t="s">
        <v>128</v>
      </c>
      <c r="G99">
        <v>1663</v>
      </c>
      <c r="H99" t="s">
        <v>138</v>
      </c>
      <c r="I99">
        <v>2021</v>
      </c>
      <c r="J99">
        <v>2021</v>
      </c>
      <c r="K99" t="s">
        <v>339</v>
      </c>
      <c r="L99">
        <v>7563000</v>
      </c>
    </row>
    <row r="100" spans="1:18" x14ac:dyDescent="0.3">
      <c r="A100" t="s">
        <v>126</v>
      </c>
      <c r="B100" t="s">
        <v>125</v>
      </c>
      <c r="C100" t="s">
        <v>462</v>
      </c>
      <c r="D100" t="s">
        <v>462</v>
      </c>
      <c r="E100">
        <v>5610</v>
      </c>
      <c r="F100" t="s">
        <v>127</v>
      </c>
      <c r="G100">
        <v>1663</v>
      </c>
      <c r="H100" t="s">
        <v>138</v>
      </c>
      <c r="I100">
        <v>2021</v>
      </c>
      <c r="J100">
        <v>2021</v>
      </c>
      <c r="K100" t="s">
        <v>339</v>
      </c>
      <c r="L100">
        <v>804035.89</v>
      </c>
    </row>
    <row r="101" spans="1:18" x14ac:dyDescent="0.3">
      <c r="A101" t="s">
        <v>126</v>
      </c>
      <c r="B101" t="s">
        <v>125</v>
      </c>
      <c r="C101" t="s">
        <v>462</v>
      </c>
      <c r="D101" t="s">
        <v>462</v>
      </c>
      <c r="E101">
        <v>5910</v>
      </c>
      <c r="F101" t="s">
        <v>124</v>
      </c>
      <c r="G101">
        <v>1663</v>
      </c>
      <c r="H101" t="s">
        <v>138</v>
      </c>
      <c r="I101">
        <v>2021</v>
      </c>
      <c r="J101">
        <v>2021</v>
      </c>
      <c r="K101" t="s">
        <v>339</v>
      </c>
      <c r="L101">
        <v>5831196.5099999998</v>
      </c>
    </row>
    <row r="102" spans="1:18" x14ac:dyDescent="0.3">
      <c r="A102" t="s">
        <v>126</v>
      </c>
      <c r="B102" t="s">
        <v>125</v>
      </c>
      <c r="C102" t="s">
        <v>462</v>
      </c>
      <c r="D102" t="s">
        <v>462</v>
      </c>
      <c r="E102">
        <v>5510</v>
      </c>
      <c r="F102" t="s">
        <v>128</v>
      </c>
      <c r="G102">
        <v>1686</v>
      </c>
      <c r="H102" t="s">
        <v>137</v>
      </c>
      <c r="I102">
        <v>2021</v>
      </c>
      <c r="J102">
        <v>2021</v>
      </c>
      <c r="K102" t="s">
        <v>339</v>
      </c>
      <c r="L102">
        <v>683000</v>
      </c>
    </row>
    <row r="103" spans="1:18" x14ac:dyDescent="0.3">
      <c r="A103" t="s">
        <v>126</v>
      </c>
      <c r="B103" t="s">
        <v>125</v>
      </c>
      <c r="C103" t="s">
        <v>462</v>
      </c>
      <c r="D103" t="s">
        <v>462</v>
      </c>
      <c r="E103">
        <v>5610</v>
      </c>
      <c r="F103" t="s">
        <v>127</v>
      </c>
      <c r="G103">
        <v>1686</v>
      </c>
      <c r="H103" t="s">
        <v>137</v>
      </c>
      <c r="I103">
        <v>2021</v>
      </c>
      <c r="J103">
        <v>2021</v>
      </c>
      <c r="K103" t="s">
        <v>339</v>
      </c>
      <c r="L103">
        <v>11792.6</v>
      </c>
    </row>
    <row r="104" spans="1:18" x14ac:dyDescent="0.3">
      <c r="A104" t="s">
        <v>126</v>
      </c>
      <c r="B104" t="s">
        <v>125</v>
      </c>
      <c r="C104" t="s">
        <v>462</v>
      </c>
      <c r="D104" t="s">
        <v>462</v>
      </c>
      <c r="E104">
        <v>5910</v>
      </c>
      <c r="F104" t="s">
        <v>124</v>
      </c>
      <c r="G104">
        <v>1686</v>
      </c>
      <c r="H104" t="s">
        <v>137</v>
      </c>
      <c r="I104">
        <v>2021</v>
      </c>
      <c r="J104">
        <v>2021</v>
      </c>
      <c r="K104" t="s">
        <v>339</v>
      </c>
      <c r="L104">
        <v>133061.09</v>
      </c>
    </row>
    <row r="105" spans="1:18" x14ac:dyDescent="0.3">
      <c r="A105" t="s">
        <v>126</v>
      </c>
      <c r="B105" t="s">
        <v>125</v>
      </c>
      <c r="C105" t="s">
        <v>462</v>
      </c>
      <c r="D105" t="s">
        <v>462</v>
      </c>
      <c r="E105">
        <v>5510</v>
      </c>
      <c r="F105" t="s">
        <v>128</v>
      </c>
      <c r="G105">
        <v>1660</v>
      </c>
      <c r="H105" t="s">
        <v>136</v>
      </c>
      <c r="I105">
        <v>2021</v>
      </c>
      <c r="J105">
        <v>2021</v>
      </c>
      <c r="L105">
        <v>0</v>
      </c>
    </row>
    <row r="106" spans="1:18" x14ac:dyDescent="0.3">
      <c r="A106" t="s">
        <v>126</v>
      </c>
      <c r="B106" t="s">
        <v>125</v>
      </c>
      <c r="C106" t="s">
        <v>462</v>
      </c>
      <c r="D106" t="s">
        <v>462</v>
      </c>
      <c r="E106">
        <v>5610</v>
      </c>
      <c r="F106" t="s">
        <v>127</v>
      </c>
      <c r="G106">
        <v>1660</v>
      </c>
      <c r="H106" t="s">
        <v>136</v>
      </c>
      <c r="I106">
        <v>2021</v>
      </c>
      <c r="J106">
        <v>2021</v>
      </c>
      <c r="L106">
        <v>0</v>
      </c>
    </row>
    <row r="107" spans="1:18" x14ac:dyDescent="0.3">
      <c r="A107" t="s">
        <v>126</v>
      </c>
      <c r="B107" t="s">
        <v>125</v>
      </c>
      <c r="C107" t="s">
        <v>462</v>
      </c>
      <c r="D107" t="s">
        <v>462</v>
      </c>
      <c r="E107">
        <v>5910</v>
      </c>
      <c r="F107" t="s">
        <v>124</v>
      </c>
      <c r="G107">
        <v>1660</v>
      </c>
      <c r="H107" t="s">
        <v>136</v>
      </c>
      <c r="I107">
        <v>2021</v>
      </c>
      <c r="J107">
        <v>2021</v>
      </c>
      <c r="L107">
        <v>0</v>
      </c>
    </row>
    <row r="108" spans="1:18" x14ac:dyDescent="0.3">
      <c r="A108" t="s">
        <v>126</v>
      </c>
      <c r="B108" t="s">
        <v>125</v>
      </c>
      <c r="C108" t="s">
        <v>462</v>
      </c>
      <c r="D108" t="s">
        <v>462</v>
      </c>
      <c r="E108">
        <v>5510</v>
      </c>
      <c r="F108" t="s">
        <v>128</v>
      </c>
      <c r="G108">
        <v>1661</v>
      </c>
      <c r="H108" t="s">
        <v>135</v>
      </c>
      <c r="I108">
        <v>2021</v>
      </c>
      <c r="J108">
        <v>2021</v>
      </c>
      <c r="L108">
        <v>0</v>
      </c>
    </row>
    <row r="109" spans="1:18" x14ac:dyDescent="0.3">
      <c r="A109" t="s">
        <v>126</v>
      </c>
      <c r="B109" t="s">
        <v>125</v>
      </c>
      <c r="C109" t="s">
        <v>462</v>
      </c>
      <c r="D109" t="s">
        <v>462</v>
      </c>
      <c r="E109">
        <v>5610</v>
      </c>
      <c r="F109" t="s">
        <v>127</v>
      </c>
      <c r="G109">
        <v>1661</v>
      </c>
      <c r="H109" t="s">
        <v>135</v>
      </c>
      <c r="I109">
        <v>2021</v>
      </c>
      <c r="J109">
        <v>2021</v>
      </c>
      <c r="L109">
        <v>0</v>
      </c>
    </row>
    <row r="110" spans="1:18" x14ac:dyDescent="0.3">
      <c r="A110" t="s">
        <v>126</v>
      </c>
      <c r="B110" t="s">
        <v>125</v>
      </c>
      <c r="C110" t="s">
        <v>462</v>
      </c>
      <c r="D110" t="s">
        <v>462</v>
      </c>
      <c r="E110">
        <v>5910</v>
      </c>
      <c r="F110" t="s">
        <v>124</v>
      </c>
      <c r="G110">
        <v>1661</v>
      </c>
      <c r="H110" t="s">
        <v>135</v>
      </c>
      <c r="I110">
        <v>2021</v>
      </c>
      <c r="J110">
        <v>2021</v>
      </c>
      <c r="L110">
        <v>0</v>
      </c>
    </row>
    <row r="111" spans="1:18" x14ac:dyDescent="0.3">
      <c r="A111" t="s">
        <v>126</v>
      </c>
      <c r="B111" t="s">
        <v>125</v>
      </c>
      <c r="C111" t="s">
        <v>462</v>
      </c>
      <c r="D111" t="s">
        <v>462</v>
      </c>
      <c r="E111">
        <v>5510</v>
      </c>
      <c r="F111" t="s">
        <v>128</v>
      </c>
      <c r="G111">
        <v>1667</v>
      </c>
      <c r="H111" t="s">
        <v>96</v>
      </c>
      <c r="I111">
        <v>2021</v>
      </c>
      <c r="J111">
        <v>2021</v>
      </c>
      <c r="K111" t="s">
        <v>339</v>
      </c>
      <c r="L111">
        <v>620000</v>
      </c>
      <c r="O111">
        <v>558000</v>
      </c>
      <c r="P111">
        <v>0.55799999999999994</v>
      </c>
      <c r="Q111" t="s">
        <v>793</v>
      </c>
      <c r="R111" s="141">
        <v>0.9</v>
      </c>
    </row>
    <row r="112" spans="1:18" x14ac:dyDescent="0.3">
      <c r="A112" t="s">
        <v>126</v>
      </c>
      <c r="B112" t="s">
        <v>125</v>
      </c>
      <c r="C112" t="s">
        <v>462</v>
      </c>
      <c r="D112" t="s">
        <v>462</v>
      </c>
      <c r="E112">
        <v>5610</v>
      </c>
      <c r="F112" t="s">
        <v>127</v>
      </c>
      <c r="G112">
        <v>1667</v>
      </c>
      <c r="H112" t="s">
        <v>96</v>
      </c>
      <c r="I112">
        <v>2021</v>
      </c>
      <c r="J112">
        <v>2021</v>
      </c>
      <c r="K112" t="s">
        <v>339</v>
      </c>
      <c r="L112">
        <v>1161.3200000000002</v>
      </c>
      <c r="O112">
        <v>1045.1880000000001</v>
      </c>
      <c r="P112">
        <v>1.0451880000000001E-3</v>
      </c>
      <c r="Q112" t="s">
        <v>794</v>
      </c>
      <c r="R112" s="141">
        <v>0.9</v>
      </c>
    </row>
    <row r="113" spans="1:18" x14ac:dyDescent="0.3">
      <c r="A113" t="s">
        <v>126</v>
      </c>
      <c r="B113" t="s">
        <v>125</v>
      </c>
      <c r="C113" t="s">
        <v>462</v>
      </c>
      <c r="D113" t="s">
        <v>462</v>
      </c>
      <c r="E113">
        <v>5910</v>
      </c>
      <c r="F113" t="s">
        <v>124</v>
      </c>
      <c r="G113">
        <v>1667</v>
      </c>
      <c r="H113" t="s">
        <v>96</v>
      </c>
      <c r="I113">
        <v>2021</v>
      </c>
      <c r="J113">
        <v>2021</v>
      </c>
      <c r="K113" t="s">
        <v>339</v>
      </c>
      <c r="L113">
        <v>376731.04</v>
      </c>
      <c r="O113">
        <v>339057.93599999999</v>
      </c>
      <c r="P113">
        <v>0.33905793599999995</v>
      </c>
      <c r="Q113" t="s">
        <v>795</v>
      </c>
      <c r="R113" s="141">
        <v>0.9</v>
      </c>
    </row>
    <row r="114" spans="1:18" x14ac:dyDescent="0.3">
      <c r="A114" t="s">
        <v>126</v>
      </c>
      <c r="B114" t="s">
        <v>125</v>
      </c>
      <c r="C114" t="s">
        <v>462</v>
      </c>
      <c r="D114" t="s">
        <v>462</v>
      </c>
      <c r="E114">
        <v>5510</v>
      </c>
      <c r="F114" t="s">
        <v>128</v>
      </c>
      <c r="G114">
        <v>1668</v>
      </c>
      <c r="H114" t="s">
        <v>95</v>
      </c>
      <c r="I114">
        <v>2021</v>
      </c>
      <c r="J114">
        <v>2021</v>
      </c>
      <c r="K114" t="s">
        <v>339</v>
      </c>
      <c r="L114">
        <v>40000</v>
      </c>
      <c r="O114">
        <v>36000</v>
      </c>
      <c r="P114">
        <v>3.5999999999999997E-2</v>
      </c>
      <c r="Q114" t="s">
        <v>796</v>
      </c>
      <c r="R114" s="141">
        <v>0.9</v>
      </c>
    </row>
    <row r="115" spans="1:18" x14ac:dyDescent="0.3">
      <c r="A115" t="s">
        <v>126</v>
      </c>
      <c r="B115" t="s">
        <v>125</v>
      </c>
      <c r="C115" t="s">
        <v>462</v>
      </c>
      <c r="D115" t="s">
        <v>462</v>
      </c>
      <c r="E115">
        <v>5610</v>
      </c>
      <c r="F115" t="s">
        <v>127</v>
      </c>
      <c r="G115">
        <v>1668</v>
      </c>
      <c r="H115" t="s">
        <v>95</v>
      </c>
      <c r="I115">
        <v>2021</v>
      </c>
      <c r="J115">
        <v>2021</v>
      </c>
      <c r="K115" t="s">
        <v>339</v>
      </c>
      <c r="L115">
        <v>7680.63</v>
      </c>
      <c r="O115">
        <v>6912.567</v>
      </c>
      <c r="P115">
        <v>6.9125669999999997E-3</v>
      </c>
      <c r="Q115" t="s">
        <v>797</v>
      </c>
      <c r="R115" s="141">
        <v>0.9</v>
      </c>
    </row>
    <row r="116" spans="1:18" x14ac:dyDescent="0.3">
      <c r="A116" t="s">
        <v>126</v>
      </c>
      <c r="B116" t="s">
        <v>125</v>
      </c>
      <c r="C116" t="s">
        <v>462</v>
      </c>
      <c r="D116" t="s">
        <v>462</v>
      </c>
      <c r="E116">
        <v>5910</v>
      </c>
      <c r="F116" t="s">
        <v>124</v>
      </c>
      <c r="G116">
        <v>1668</v>
      </c>
      <c r="H116" t="s">
        <v>95</v>
      </c>
      <c r="I116">
        <v>2021</v>
      </c>
      <c r="J116">
        <v>2021</v>
      </c>
      <c r="K116" t="s">
        <v>339</v>
      </c>
      <c r="L116">
        <v>29171</v>
      </c>
      <c r="O116">
        <v>26253.9</v>
      </c>
      <c r="P116">
        <v>2.62539E-2</v>
      </c>
      <c r="Q116" t="s">
        <v>798</v>
      </c>
      <c r="R116" s="141">
        <v>0.9</v>
      </c>
    </row>
    <row r="117" spans="1:18" x14ac:dyDescent="0.3">
      <c r="A117" t="s">
        <v>126</v>
      </c>
      <c r="B117" t="s">
        <v>125</v>
      </c>
      <c r="C117" t="s">
        <v>462</v>
      </c>
      <c r="D117" t="s">
        <v>462</v>
      </c>
      <c r="E117">
        <v>5510</v>
      </c>
      <c r="F117" t="s">
        <v>128</v>
      </c>
      <c r="G117">
        <v>1609</v>
      </c>
      <c r="H117" t="s">
        <v>94</v>
      </c>
      <c r="I117">
        <v>2021</v>
      </c>
      <c r="J117">
        <v>2021</v>
      </c>
      <c r="L117">
        <v>0</v>
      </c>
      <c r="O117">
        <v>0</v>
      </c>
      <c r="P117">
        <v>0</v>
      </c>
      <c r="Q117" t="s">
        <v>799</v>
      </c>
      <c r="R117" s="141">
        <v>0.9</v>
      </c>
    </row>
    <row r="118" spans="1:18" x14ac:dyDescent="0.3">
      <c r="A118" t="s">
        <v>126</v>
      </c>
      <c r="B118" t="s">
        <v>125</v>
      </c>
      <c r="C118" t="s">
        <v>462</v>
      </c>
      <c r="D118" t="s">
        <v>462</v>
      </c>
      <c r="E118">
        <v>5610</v>
      </c>
      <c r="F118" t="s">
        <v>127</v>
      </c>
      <c r="G118">
        <v>1609</v>
      </c>
      <c r="H118" t="s">
        <v>94</v>
      </c>
      <c r="I118">
        <v>2021</v>
      </c>
      <c r="J118">
        <v>2021</v>
      </c>
      <c r="K118" t="s">
        <v>339</v>
      </c>
      <c r="L118">
        <v>250339.82</v>
      </c>
      <c r="O118">
        <v>225305.83800000002</v>
      </c>
      <c r="P118">
        <v>0.22530583800000001</v>
      </c>
      <c r="Q118" t="s">
        <v>800</v>
      </c>
      <c r="R118" s="141">
        <v>0.9</v>
      </c>
    </row>
    <row r="119" spans="1:18" x14ac:dyDescent="0.3">
      <c r="A119" t="s">
        <v>126</v>
      </c>
      <c r="B119" t="s">
        <v>125</v>
      </c>
      <c r="C119" t="s">
        <v>462</v>
      </c>
      <c r="D119" t="s">
        <v>462</v>
      </c>
      <c r="E119">
        <v>5910</v>
      </c>
      <c r="F119" t="s">
        <v>124</v>
      </c>
      <c r="G119">
        <v>1609</v>
      </c>
      <c r="H119" t="s">
        <v>94</v>
      </c>
      <c r="I119">
        <v>2021</v>
      </c>
      <c r="J119">
        <v>2021</v>
      </c>
      <c r="K119" t="s">
        <v>339</v>
      </c>
      <c r="L119">
        <v>43424</v>
      </c>
      <c r="O119">
        <v>39081.599999999999</v>
      </c>
      <c r="P119">
        <v>3.9081599999999994E-2</v>
      </c>
      <c r="Q119" t="s">
        <v>801</v>
      </c>
      <c r="R119" s="141">
        <v>0.9</v>
      </c>
    </row>
    <row r="120" spans="1:18" x14ac:dyDescent="0.3">
      <c r="A120" t="s">
        <v>126</v>
      </c>
      <c r="B120" t="s">
        <v>125</v>
      </c>
      <c r="C120" t="s">
        <v>462</v>
      </c>
      <c r="D120" t="s">
        <v>462</v>
      </c>
      <c r="E120">
        <v>5510</v>
      </c>
      <c r="F120" t="s">
        <v>128</v>
      </c>
      <c r="G120">
        <v>1669</v>
      </c>
      <c r="H120" t="s">
        <v>134</v>
      </c>
      <c r="I120">
        <v>2021</v>
      </c>
      <c r="J120">
        <v>2021</v>
      </c>
      <c r="K120" t="s">
        <v>339</v>
      </c>
      <c r="L120">
        <v>5824251</v>
      </c>
      <c r="O120">
        <v>5096219.625</v>
      </c>
      <c r="P120">
        <v>5.0962196249999998</v>
      </c>
      <c r="Q120" t="s">
        <v>802</v>
      </c>
      <c r="R120" s="141">
        <v>0.875</v>
      </c>
    </row>
    <row r="121" spans="1:18" x14ac:dyDescent="0.3">
      <c r="A121" t="s">
        <v>126</v>
      </c>
      <c r="B121" t="s">
        <v>125</v>
      </c>
      <c r="C121" t="s">
        <v>462</v>
      </c>
      <c r="D121" t="s">
        <v>462</v>
      </c>
      <c r="E121">
        <v>5610</v>
      </c>
      <c r="F121" t="s">
        <v>127</v>
      </c>
      <c r="G121">
        <v>1669</v>
      </c>
      <c r="H121" t="s">
        <v>134</v>
      </c>
      <c r="I121">
        <v>2021</v>
      </c>
      <c r="J121">
        <v>2021</v>
      </c>
      <c r="K121" t="s">
        <v>339</v>
      </c>
      <c r="L121">
        <v>944582</v>
      </c>
      <c r="O121">
        <v>826509.25</v>
      </c>
      <c r="P121">
        <v>0.82650924999999997</v>
      </c>
      <c r="Q121" t="s">
        <v>803</v>
      </c>
      <c r="R121" s="141">
        <v>0.875</v>
      </c>
    </row>
    <row r="122" spans="1:18" x14ac:dyDescent="0.3">
      <c r="A122" t="s">
        <v>126</v>
      </c>
      <c r="B122" t="s">
        <v>125</v>
      </c>
      <c r="C122" t="s">
        <v>462</v>
      </c>
      <c r="D122" t="s">
        <v>462</v>
      </c>
      <c r="E122">
        <v>5910</v>
      </c>
      <c r="F122" t="s">
        <v>124</v>
      </c>
      <c r="G122">
        <v>1669</v>
      </c>
      <c r="H122" t="s">
        <v>134</v>
      </c>
      <c r="I122">
        <v>2021</v>
      </c>
      <c r="J122">
        <v>2021</v>
      </c>
      <c r="K122" t="s">
        <v>339</v>
      </c>
      <c r="L122">
        <v>3089407.46</v>
      </c>
      <c r="O122">
        <v>2703231.5274999999</v>
      </c>
      <c r="P122">
        <v>2.7032315274999998</v>
      </c>
      <c r="Q122" t="s">
        <v>804</v>
      </c>
      <c r="R122" s="141">
        <v>0.875</v>
      </c>
    </row>
    <row r="123" spans="1:18" x14ac:dyDescent="0.3">
      <c r="A123" t="s">
        <v>126</v>
      </c>
      <c r="B123" t="s">
        <v>125</v>
      </c>
      <c r="C123" t="s">
        <v>462</v>
      </c>
      <c r="D123" t="s">
        <v>462</v>
      </c>
      <c r="E123">
        <v>5510</v>
      </c>
      <c r="F123" t="s">
        <v>128</v>
      </c>
      <c r="G123">
        <v>1671</v>
      </c>
      <c r="H123" t="s">
        <v>89</v>
      </c>
      <c r="I123">
        <v>2021</v>
      </c>
      <c r="J123">
        <v>2021</v>
      </c>
      <c r="K123" t="s">
        <v>339</v>
      </c>
      <c r="L123">
        <v>2142526</v>
      </c>
      <c r="O123">
        <v>2035399.7</v>
      </c>
      <c r="P123">
        <v>2.0353996999999997</v>
      </c>
      <c r="Q123" t="s">
        <v>805</v>
      </c>
      <c r="R123" s="141">
        <v>0.95</v>
      </c>
    </row>
    <row r="124" spans="1:18" x14ac:dyDescent="0.3">
      <c r="A124" t="s">
        <v>126</v>
      </c>
      <c r="B124" t="s">
        <v>125</v>
      </c>
      <c r="C124" t="s">
        <v>462</v>
      </c>
      <c r="D124" t="s">
        <v>462</v>
      </c>
      <c r="E124">
        <v>5610</v>
      </c>
      <c r="F124" t="s">
        <v>127</v>
      </c>
      <c r="G124">
        <v>1671</v>
      </c>
      <c r="H124" t="s">
        <v>89</v>
      </c>
      <c r="I124">
        <v>2021</v>
      </c>
      <c r="J124">
        <v>2021</v>
      </c>
      <c r="K124" t="s">
        <v>339</v>
      </c>
      <c r="L124">
        <v>95822.41</v>
      </c>
      <c r="O124">
        <v>91031.289499999999</v>
      </c>
      <c r="P124">
        <v>9.1031289500000001E-2</v>
      </c>
      <c r="Q124" t="s">
        <v>806</v>
      </c>
      <c r="R124" s="141">
        <v>0.95</v>
      </c>
    </row>
    <row r="125" spans="1:18" x14ac:dyDescent="0.3">
      <c r="A125" t="s">
        <v>126</v>
      </c>
      <c r="B125" t="s">
        <v>125</v>
      </c>
      <c r="C125" t="s">
        <v>462</v>
      </c>
      <c r="D125" t="s">
        <v>462</v>
      </c>
      <c r="E125">
        <v>5910</v>
      </c>
      <c r="F125" t="s">
        <v>124</v>
      </c>
      <c r="G125">
        <v>1671</v>
      </c>
      <c r="H125" t="s">
        <v>89</v>
      </c>
      <c r="I125">
        <v>2021</v>
      </c>
      <c r="J125">
        <v>2021</v>
      </c>
      <c r="K125" t="s">
        <v>339</v>
      </c>
      <c r="L125">
        <v>2100256.73</v>
      </c>
      <c r="O125">
        <v>1995243.8934999998</v>
      </c>
      <c r="P125">
        <v>1.9952438934999996</v>
      </c>
      <c r="Q125" t="s">
        <v>807</v>
      </c>
      <c r="R125" s="141">
        <v>0.95</v>
      </c>
    </row>
    <row r="126" spans="1:18" x14ac:dyDescent="0.3">
      <c r="A126" t="s">
        <v>126</v>
      </c>
      <c r="B126" t="s">
        <v>125</v>
      </c>
      <c r="C126" t="s">
        <v>462</v>
      </c>
      <c r="D126" t="s">
        <v>462</v>
      </c>
      <c r="E126">
        <v>5510</v>
      </c>
      <c r="F126" t="s">
        <v>128</v>
      </c>
      <c r="G126">
        <v>1674</v>
      </c>
      <c r="H126" t="s">
        <v>88</v>
      </c>
      <c r="I126">
        <v>2021</v>
      </c>
      <c r="J126">
        <v>2021</v>
      </c>
      <c r="K126" t="s">
        <v>339</v>
      </c>
      <c r="L126">
        <v>2785000</v>
      </c>
      <c r="O126">
        <v>2645750</v>
      </c>
      <c r="P126">
        <v>2.64575</v>
      </c>
      <c r="Q126" t="s">
        <v>808</v>
      </c>
      <c r="R126" s="141">
        <v>0.95</v>
      </c>
    </row>
    <row r="127" spans="1:18" x14ac:dyDescent="0.3">
      <c r="A127" t="s">
        <v>126</v>
      </c>
      <c r="B127" t="s">
        <v>125</v>
      </c>
      <c r="C127" t="s">
        <v>462</v>
      </c>
      <c r="D127" t="s">
        <v>462</v>
      </c>
      <c r="E127">
        <v>5610</v>
      </c>
      <c r="F127" t="s">
        <v>127</v>
      </c>
      <c r="G127">
        <v>1674</v>
      </c>
      <c r="H127" t="s">
        <v>88</v>
      </c>
      <c r="I127">
        <v>2021</v>
      </c>
      <c r="J127">
        <v>2021</v>
      </c>
      <c r="K127" t="s">
        <v>339</v>
      </c>
      <c r="L127">
        <v>914428.21000000008</v>
      </c>
      <c r="O127">
        <v>868706.79950000008</v>
      </c>
      <c r="P127">
        <v>0.86870679950000007</v>
      </c>
      <c r="Q127" t="s">
        <v>809</v>
      </c>
      <c r="R127" s="141">
        <v>0.95</v>
      </c>
    </row>
    <row r="128" spans="1:18" x14ac:dyDescent="0.3">
      <c r="A128" t="s">
        <v>126</v>
      </c>
      <c r="B128" t="s">
        <v>125</v>
      </c>
      <c r="C128" t="s">
        <v>462</v>
      </c>
      <c r="D128" t="s">
        <v>462</v>
      </c>
      <c r="E128">
        <v>5910</v>
      </c>
      <c r="F128" t="s">
        <v>124</v>
      </c>
      <c r="G128">
        <v>1674</v>
      </c>
      <c r="H128" t="s">
        <v>88</v>
      </c>
      <c r="I128">
        <v>2021</v>
      </c>
      <c r="J128">
        <v>2021</v>
      </c>
      <c r="K128" t="s">
        <v>339</v>
      </c>
      <c r="L128">
        <v>1999248.78</v>
      </c>
      <c r="O128">
        <v>1899286.341</v>
      </c>
      <c r="P128">
        <v>1.8992863409999998</v>
      </c>
      <c r="Q128" t="s">
        <v>810</v>
      </c>
      <c r="R128" s="141">
        <v>0.95</v>
      </c>
    </row>
    <row r="129" spans="1:18" x14ac:dyDescent="0.3">
      <c r="A129" t="s">
        <v>126</v>
      </c>
      <c r="B129" t="s">
        <v>125</v>
      </c>
      <c r="C129" t="s">
        <v>462</v>
      </c>
      <c r="D129" t="s">
        <v>462</v>
      </c>
      <c r="E129">
        <v>5510</v>
      </c>
      <c r="F129" t="s">
        <v>128</v>
      </c>
      <c r="G129">
        <v>1612</v>
      </c>
      <c r="H129" t="s">
        <v>133</v>
      </c>
      <c r="I129">
        <v>2021</v>
      </c>
      <c r="J129">
        <v>2021</v>
      </c>
      <c r="K129" t="s">
        <v>339</v>
      </c>
      <c r="L129">
        <v>1693000</v>
      </c>
    </row>
    <row r="130" spans="1:18" x14ac:dyDescent="0.3">
      <c r="A130" t="s">
        <v>126</v>
      </c>
      <c r="B130" t="s">
        <v>125</v>
      </c>
      <c r="C130" t="s">
        <v>462</v>
      </c>
      <c r="D130" t="s">
        <v>462</v>
      </c>
      <c r="E130">
        <v>5610</v>
      </c>
      <c r="F130" t="s">
        <v>127</v>
      </c>
      <c r="G130">
        <v>1612</v>
      </c>
      <c r="H130" t="s">
        <v>133</v>
      </c>
      <c r="I130">
        <v>2021</v>
      </c>
      <c r="J130">
        <v>2021</v>
      </c>
      <c r="K130" t="s">
        <v>339</v>
      </c>
      <c r="L130">
        <v>62507.95</v>
      </c>
    </row>
    <row r="131" spans="1:18" x14ac:dyDescent="0.3">
      <c r="A131" t="s">
        <v>126</v>
      </c>
      <c r="B131" t="s">
        <v>125</v>
      </c>
      <c r="C131" t="s">
        <v>462</v>
      </c>
      <c r="D131" t="s">
        <v>462</v>
      </c>
      <c r="E131">
        <v>5910</v>
      </c>
      <c r="F131" t="s">
        <v>124</v>
      </c>
      <c r="G131">
        <v>1612</v>
      </c>
      <c r="H131" t="s">
        <v>133</v>
      </c>
      <c r="I131">
        <v>2021</v>
      </c>
      <c r="J131">
        <v>2021</v>
      </c>
      <c r="K131" t="s">
        <v>339</v>
      </c>
      <c r="L131">
        <v>1112660</v>
      </c>
    </row>
    <row r="132" spans="1:18" x14ac:dyDescent="0.3">
      <c r="A132" t="s">
        <v>126</v>
      </c>
      <c r="B132" t="s">
        <v>125</v>
      </c>
      <c r="C132" t="s">
        <v>462</v>
      </c>
      <c r="D132" t="s">
        <v>462</v>
      </c>
      <c r="E132">
        <v>5510</v>
      </c>
      <c r="F132" t="s">
        <v>128</v>
      </c>
      <c r="G132">
        <v>1615</v>
      </c>
      <c r="H132" t="s">
        <v>132</v>
      </c>
      <c r="I132">
        <v>2021</v>
      </c>
      <c r="J132">
        <v>2021</v>
      </c>
      <c r="K132" t="s">
        <v>339</v>
      </c>
      <c r="L132">
        <v>652000</v>
      </c>
    </row>
    <row r="133" spans="1:18" x14ac:dyDescent="0.3">
      <c r="A133" t="s">
        <v>126</v>
      </c>
      <c r="B133" t="s">
        <v>125</v>
      </c>
      <c r="C133" t="s">
        <v>462</v>
      </c>
      <c r="D133" t="s">
        <v>462</v>
      </c>
      <c r="E133">
        <v>5610</v>
      </c>
      <c r="F133" t="s">
        <v>127</v>
      </c>
      <c r="G133">
        <v>1615</v>
      </c>
      <c r="H133" t="s">
        <v>132</v>
      </c>
      <c r="I133">
        <v>2021</v>
      </c>
      <c r="J133">
        <v>2021</v>
      </c>
      <c r="K133" t="s">
        <v>339</v>
      </c>
      <c r="L133">
        <v>307837.99</v>
      </c>
    </row>
    <row r="134" spans="1:18" x14ac:dyDescent="0.3">
      <c r="A134" t="s">
        <v>126</v>
      </c>
      <c r="B134" t="s">
        <v>125</v>
      </c>
      <c r="C134" t="s">
        <v>462</v>
      </c>
      <c r="D134" t="s">
        <v>462</v>
      </c>
      <c r="E134">
        <v>5910</v>
      </c>
      <c r="F134" t="s">
        <v>124</v>
      </c>
      <c r="G134">
        <v>1615</v>
      </c>
      <c r="H134" t="s">
        <v>132</v>
      </c>
      <c r="I134">
        <v>2021</v>
      </c>
      <c r="J134">
        <v>2021</v>
      </c>
      <c r="K134" t="s">
        <v>339</v>
      </c>
      <c r="L134">
        <v>531780.78</v>
      </c>
    </row>
    <row r="135" spans="1:18" x14ac:dyDescent="0.3">
      <c r="A135" t="s">
        <v>126</v>
      </c>
      <c r="B135" t="s">
        <v>125</v>
      </c>
      <c r="C135" t="s">
        <v>462</v>
      </c>
      <c r="D135" t="s">
        <v>462</v>
      </c>
      <c r="E135">
        <v>5510</v>
      </c>
      <c r="F135" t="s">
        <v>128</v>
      </c>
      <c r="G135">
        <v>1616</v>
      </c>
      <c r="H135" t="s">
        <v>131</v>
      </c>
      <c r="I135">
        <v>2021</v>
      </c>
      <c r="J135">
        <v>2021</v>
      </c>
      <c r="K135" t="s">
        <v>339</v>
      </c>
      <c r="L135">
        <v>440000</v>
      </c>
    </row>
    <row r="136" spans="1:18" x14ac:dyDescent="0.3">
      <c r="A136" t="s">
        <v>126</v>
      </c>
      <c r="B136" t="s">
        <v>125</v>
      </c>
      <c r="C136" t="s">
        <v>462</v>
      </c>
      <c r="D136" t="s">
        <v>462</v>
      </c>
      <c r="E136">
        <v>5610</v>
      </c>
      <c r="F136" t="s">
        <v>127</v>
      </c>
      <c r="G136">
        <v>1616</v>
      </c>
      <c r="H136" t="s">
        <v>131</v>
      </c>
      <c r="I136">
        <v>2021</v>
      </c>
      <c r="J136">
        <v>2021</v>
      </c>
      <c r="K136" t="s">
        <v>339</v>
      </c>
      <c r="L136">
        <v>544082.26</v>
      </c>
    </row>
    <row r="137" spans="1:18" x14ac:dyDescent="0.3">
      <c r="A137" t="s">
        <v>126</v>
      </c>
      <c r="B137" t="s">
        <v>125</v>
      </c>
      <c r="C137" t="s">
        <v>462</v>
      </c>
      <c r="D137" t="s">
        <v>462</v>
      </c>
      <c r="E137">
        <v>5910</v>
      </c>
      <c r="F137" t="s">
        <v>124</v>
      </c>
      <c r="G137">
        <v>1616</v>
      </c>
      <c r="H137" t="s">
        <v>131</v>
      </c>
      <c r="I137">
        <v>2021</v>
      </c>
      <c r="J137">
        <v>2021</v>
      </c>
      <c r="K137" t="s">
        <v>339</v>
      </c>
      <c r="L137">
        <v>354808</v>
      </c>
    </row>
    <row r="138" spans="1:18" x14ac:dyDescent="0.3">
      <c r="A138" t="s">
        <v>126</v>
      </c>
      <c r="B138" t="s">
        <v>125</v>
      </c>
      <c r="C138" t="s">
        <v>462</v>
      </c>
      <c r="D138" t="s">
        <v>462</v>
      </c>
      <c r="E138">
        <v>5510</v>
      </c>
      <c r="F138" t="s">
        <v>128</v>
      </c>
      <c r="G138">
        <v>1675</v>
      </c>
      <c r="H138" t="s">
        <v>87</v>
      </c>
      <c r="I138">
        <v>2021</v>
      </c>
      <c r="J138">
        <v>2021</v>
      </c>
      <c r="K138" t="s">
        <v>339</v>
      </c>
      <c r="L138">
        <v>7866400</v>
      </c>
    </row>
    <row r="139" spans="1:18" x14ac:dyDescent="0.3">
      <c r="A139" t="s">
        <v>126</v>
      </c>
      <c r="B139" t="s">
        <v>125</v>
      </c>
      <c r="C139" t="s">
        <v>462</v>
      </c>
      <c r="D139" t="s">
        <v>462</v>
      </c>
      <c r="E139">
        <v>5610</v>
      </c>
      <c r="F139" t="s">
        <v>127</v>
      </c>
      <c r="G139">
        <v>1675</v>
      </c>
      <c r="H139" t="s">
        <v>87</v>
      </c>
      <c r="I139">
        <v>2021</v>
      </c>
      <c r="J139">
        <v>2021</v>
      </c>
      <c r="K139" t="s">
        <v>339</v>
      </c>
      <c r="L139">
        <v>2758674.59</v>
      </c>
    </row>
    <row r="140" spans="1:18" x14ac:dyDescent="0.3">
      <c r="A140" t="s">
        <v>126</v>
      </c>
      <c r="B140" t="s">
        <v>125</v>
      </c>
      <c r="C140" t="s">
        <v>462</v>
      </c>
      <c r="D140" t="s">
        <v>462</v>
      </c>
      <c r="E140">
        <v>5910</v>
      </c>
      <c r="F140" t="s">
        <v>124</v>
      </c>
      <c r="G140">
        <v>1675</v>
      </c>
      <c r="H140" t="s">
        <v>87</v>
      </c>
      <c r="I140">
        <v>2021</v>
      </c>
      <c r="J140">
        <v>2021</v>
      </c>
      <c r="K140" t="s">
        <v>339</v>
      </c>
      <c r="L140">
        <v>3594017.4099999997</v>
      </c>
    </row>
    <row r="141" spans="1:18" x14ac:dyDescent="0.3">
      <c r="A141" t="s">
        <v>126</v>
      </c>
      <c r="B141" t="s">
        <v>125</v>
      </c>
      <c r="C141" t="s">
        <v>462</v>
      </c>
      <c r="D141" t="s">
        <v>462</v>
      </c>
      <c r="E141">
        <v>5510</v>
      </c>
      <c r="F141" t="s">
        <v>128</v>
      </c>
      <c r="G141">
        <v>1676</v>
      </c>
      <c r="H141" t="s">
        <v>86</v>
      </c>
      <c r="I141">
        <v>2021</v>
      </c>
      <c r="J141">
        <v>2021</v>
      </c>
      <c r="K141" t="s">
        <v>339</v>
      </c>
      <c r="L141">
        <v>1809000</v>
      </c>
      <c r="O141">
        <v>1718550</v>
      </c>
      <c r="P141">
        <v>1.71855</v>
      </c>
      <c r="Q141" t="s">
        <v>811</v>
      </c>
      <c r="R141" s="141">
        <v>0.95</v>
      </c>
    </row>
    <row r="142" spans="1:18" x14ac:dyDescent="0.3">
      <c r="A142" t="s">
        <v>126</v>
      </c>
      <c r="B142" t="s">
        <v>125</v>
      </c>
      <c r="C142" t="s">
        <v>462</v>
      </c>
      <c r="D142" t="s">
        <v>462</v>
      </c>
      <c r="E142">
        <v>5610</v>
      </c>
      <c r="F142" t="s">
        <v>127</v>
      </c>
      <c r="G142">
        <v>1676</v>
      </c>
      <c r="H142" t="s">
        <v>86</v>
      </c>
      <c r="I142">
        <v>2021</v>
      </c>
      <c r="J142">
        <v>2021</v>
      </c>
      <c r="K142" t="s">
        <v>339</v>
      </c>
      <c r="L142">
        <v>222691.20999999996</v>
      </c>
      <c r="O142">
        <v>211556.64949999994</v>
      </c>
      <c r="P142">
        <v>0.21155664949999994</v>
      </c>
      <c r="Q142" t="s">
        <v>812</v>
      </c>
      <c r="R142" s="141">
        <v>0.95</v>
      </c>
    </row>
    <row r="143" spans="1:18" x14ac:dyDescent="0.3">
      <c r="A143" t="s">
        <v>126</v>
      </c>
      <c r="B143" t="s">
        <v>125</v>
      </c>
      <c r="C143" t="s">
        <v>462</v>
      </c>
      <c r="D143" t="s">
        <v>462</v>
      </c>
      <c r="E143">
        <v>5910</v>
      </c>
      <c r="F143" t="s">
        <v>124</v>
      </c>
      <c r="G143">
        <v>1676</v>
      </c>
      <c r="H143" t="s">
        <v>86</v>
      </c>
      <c r="I143">
        <v>2021</v>
      </c>
      <c r="J143">
        <v>2021</v>
      </c>
      <c r="K143" t="s">
        <v>339</v>
      </c>
      <c r="L143">
        <v>106440.20000000001</v>
      </c>
      <c r="O143">
        <v>101118.19</v>
      </c>
      <c r="P143">
        <v>0.10111819</v>
      </c>
      <c r="Q143" t="s">
        <v>813</v>
      </c>
      <c r="R143" s="141">
        <v>0.95</v>
      </c>
    </row>
    <row r="144" spans="1:18" x14ac:dyDescent="0.3">
      <c r="A144" t="s">
        <v>126</v>
      </c>
      <c r="B144" t="s">
        <v>125</v>
      </c>
      <c r="C144" t="s">
        <v>462</v>
      </c>
      <c r="D144" t="s">
        <v>462</v>
      </c>
      <c r="E144">
        <v>5510</v>
      </c>
      <c r="F144" t="s">
        <v>128</v>
      </c>
      <c r="G144">
        <v>1681</v>
      </c>
      <c r="H144" t="s">
        <v>130</v>
      </c>
      <c r="I144">
        <v>2021</v>
      </c>
      <c r="J144">
        <v>2021</v>
      </c>
      <c r="L144">
        <v>0</v>
      </c>
    </row>
    <row r="145" spans="1:18" x14ac:dyDescent="0.3">
      <c r="A145" t="s">
        <v>126</v>
      </c>
      <c r="B145" t="s">
        <v>125</v>
      </c>
      <c r="C145" t="s">
        <v>462</v>
      </c>
      <c r="D145" t="s">
        <v>462</v>
      </c>
      <c r="E145">
        <v>5610</v>
      </c>
      <c r="F145" t="s">
        <v>127</v>
      </c>
      <c r="G145">
        <v>1681</v>
      </c>
      <c r="H145" t="s">
        <v>130</v>
      </c>
      <c r="I145">
        <v>2021</v>
      </c>
      <c r="J145">
        <v>2021</v>
      </c>
      <c r="L145">
        <v>0</v>
      </c>
    </row>
    <row r="146" spans="1:18" x14ac:dyDescent="0.3">
      <c r="A146" t="s">
        <v>126</v>
      </c>
      <c r="B146" t="s">
        <v>125</v>
      </c>
      <c r="C146" t="s">
        <v>462</v>
      </c>
      <c r="D146" t="s">
        <v>462</v>
      </c>
      <c r="E146">
        <v>5910</v>
      </c>
      <c r="F146" t="s">
        <v>124</v>
      </c>
      <c r="G146">
        <v>1681</v>
      </c>
      <c r="H146" t="s">
        <v>130</v>
      </c>
      <c r="I146">
        <v>2021</v>
      </c>
      <c r="J146">
        <v>2021</v>
      </c>
      <c r="L146">
        <v>0</v>
      </c>
    </row>
    <row r="147" spans="1:18" x14ac:dyDescent="0.3">
      <c r="A147" t="s">
        <v>126</v>
      </c>
      <c r="B147" t="s">
        <v>125</v>
      </c>
      <c r="C147" t="s">
        <v>462</v>
      </c>
      <c r="D147" t="s">
        <v>462</v>
      </c>
      <c r="E147">
        <v>5510</v>
      </c>
      <c r="F147" t="s">
        <v>128</v>
      </c>
      <c r="G147">
        <v>1617</v>
      </c>
      <c r="H147" t="s">
        <v>85</v>
      </c>
      <c r="I147">
        <v>2021</v>
      </c>
      <c r="J147">
        <v>2021</v>
      </c>
      <c r="K147" t="s">
        <v>339</v>
      </c>
      <c r="L147">
        <v>4844000</v>
      </c>
      <c r="O147">
        <v>4601800</v>
      </c>
      <c r="P147">
        <v>4.6017999999999999</v>
      </c>
      <c r="Q147" t="s">
        <v>814</v>
      </c>
      <c r="R147" s="141">
        <v>0.95</v>
      </c>
    </row>
    <row r="148" spans="1:18" x14ac:dyDescent="0.3">
      <c r="A148" t="s">
        <v>126</v>
      </c>
      <c r="B148" t="s">
        <v>125</v>
      </c>
      <c r="C148" t="s">
        <v>462</v>
      </c>
      <c r="D148" t="s">
        <v>462</v>
      </c>
      <c r="E148">
        <v>5610</v>
      </c>
      <c r="F148" t="s">
        <v>127</v>
      </c>
      <c r="G148">
        <v>1617</v>
      </c>
      <c r="H148" t="s">
        <v>85</v>
      </c>
      <c r="I148">
        <v>2021</v>
      </c>
      <c r="J148">
        <v>2021</v>
      </c>
      <c r="K148" t="s">
        <v>339</v>
      </c>
      <c r="L148">
        <v>1137833.27</v>
      </c>
      <c r="O148">
        <v>1080941.6065</v>
      </c>
      <c r="P148">
        <v>1.0809416064999999</v>
      </c>
      <c r="Q148" t="s">
        <v>815</v>
      </c>
      <c r="R148" s="141">
        <v>0.95</v>
      </c>
    </row>
    <row r="149" spans="1:18" x14ac:dyDescent="0.3">
      <c r="A149" t="s">
        <v>126</v>
      </c>
      <c r="B149" t="s">
        <v>125</v>
      </c>
      <c r="C149" t="s">
        <v>462</v>
      </c>
      <c r="D149" t="s">
        <v>462</v>
      </c>
      <c r="E149">
        <v>5910</v>
      </c>
      <c r="F149" t="s">
        <v>124</v>
      </c>
      <c r="G149">
        <v>1617</v>
      </c>
      <c r="H149" t="s">
        <v>85</v>
      </c>
      <c r="I149">
        <v>2021</v>
      </c>
      <c r="J149">
        <v>2021</v>
      </c>
      <c r="K149" t="s">
        <v>339</v>
      </c>
      <c r="L149">
        <v>2009318.44</v>
      </c>
      <c r="O149">
        <v>1908852.5179999999</v>
      </c>
      <c r="P149">
        <v>1.9088525179999998</v>
      </c>
      <c r="Q149" t="s">
        <v>816</v>
      </c>
      <c r="R149" s="141">
        <v>0.95</v>
      </c>
    </row>
    <row r="150" spans="1:18" x14ac:dyDescent="0.3">
      <c r="A150" t="s">
        <v>126</v>
      </c>
      <c r="B150" t="s">
        <v>125</v>
      </c>
      <c r="C150" t="s">
        <v>462</v>
      </c>
      <c r="D150" t="s">
        <v>462</v>
      </c>
      <c r="E150">
        <v>5510</v>
      </c>
      <c r="F150" t="s">
        <v>128</v>
      </c>
      <c r="G150">
        <v>1618</v>
      </c>
      <c r="H150" t="s">
        <v>84</v>
      </c>
      <c r="I150">
        <v>2021</v>
      </c>
      <c r="J150">
        <v>2021</v>
      </c>
      <c r="K150" t="s">
        <v>339</v>
      </c>
      <c r="L150">
        <v>806000</v>
      </c>
      <c r="O150">
        <v>765700</v>
      </c>
      <c r="P150">
        <v>0.76569999999999994</v>
      </c>
      <c r="Q150" t="s">
        <v>817</v>
      </c>
      <c r="R150" s="141">
        <v>0.95</v>
      </c>
    </row>
    <row r="151" spans="1:18" x14ac:dyDescent="0.3">
      <c r="A151" t="s">
        <v>126</v>
      </c>
      <c r="B151" t="s">
        <v>125</v>
      </c>
      <c r="C151" t="s">
        <v>462</v>
      </c>
      <c r="D151" t="s">
        <v>462</v>
      </c>
      <c r="E151">
        <v>5610</v>
      </c>
      <c r="F151" t="s">
        <v>127</v>
      </c>
      <c r="G151">
        <v>1618</v>
      </c>
      <c r="H151" t="s">
        <v>84</v>
      </c>
      <c r="I151">
        <v>2021</v>
      </c>
      <c r="J151">
        <v>2021</v>
      </c>
      <c r="K151" t="s">
        <v>339</v>
      </c>
      <c r="L151">
        <v>867971.83</v>
      </c>
      <c r="O151">
        <v>824573.23849999998</v>
      </c>
      <c r="P151">
        <v>0.82457323849999997</v>
      </c>
      <c r="Q151" t="s">
        <v>818</v>
      </c>
      <c r="R151" s="141">
        <v>0.95</v>
      </c>
    </row>
    <row r="152" spans="1:18" x14ac:dyDescent="0.3">
      <c r="A152" t="s">
        <v>126</v>
      </c>
      <c r="B152" t="s">
        <v>125</v>
      </c>
      <c r="C152" t="s">
        <v>462</v>
      </c>
      <c r="D152" t="s">
        <v>462</v>
      </c>
      <c r="E152">
        <v>5910</v>
      </c>
      <c r="F152" t="s">
        <v>124</v>
      </c>
      <c r="G152">
        <v>1618</v>
      </c>
      <c r="H152" t="s">
        <v>84</v>
      </c>
      <c r="I152">
        <v>2021</v>
      </c>
      <c r="J152">
        <v>2021</v>
      </c>
      <c r="K152" t="s">
        <v>339</v>
      </c>
      <c r="L152">
        <v>761229.14</v>
      </c>
      <c r="O152">
        <v>723167.68299999996</v>
      </c>
      <c r="P152">
        <v>0.72316768299999989</v>
      </c>
      <c r="Q152" t="s">
        <v>819</v>
      </c>
      <c r="R152" s="141">
        <v>0.95</v>
      </c>
    </row>
    <row r="153" spans="1:18" x14ac:dyDescent="0.3">
      <c r="A153" t="s">
        <v>126</v>
      </c>
      <c r="B153" t="s">
        <v>125</v>
      </c>
      <c r="C153" t="s">
        <v>462</v>
      </c>
      <c r="D153" t="s">
        <v>462</v>
      </c>
      <c r="E153">
        <v>5510</v>
      </c>
      <c r="F153" t="s">
        <v>128</v>
      </c>
      <c r="G153">
        <v>1621</v>
      </c>
      <c r="H153" t="s">
        <v>129</v>
      </c>
      <c r="I153">
        <v>2021</v>
      </c>
      <c r="J153">
        <v>2021</v>
      </c>
      <c r="K153" t="s">
        <v>339</v>
      </c>
      <c r="L153">
        <v>387400</v>
      </c>
      <c r="O153">
        <v>368030</v>
      </c>
      <c r="P153">
        <v>0.36802999999999997</v>
      </c>
      <c r="Q153" t="s">
        <v>820</v>
      </c>
      <c r="R153" s="141">
        <v>0.95</v>
      </c>
    </row>
    <row r="154" spans="1:18" x14ac:dyDescent="0.3">
      <c r="A154" t="s">
        <v>126</v>
      </c>
      <c r="B154" t="s">
        <v>125</v>
      </c>
      <c r="C154" t="s">
        <v>462</v>
      </c>
      <c r="D154" t="s">
        <v>462</v>
      </c>
      <c r="E154">
        <v>5610</v>
      </c>
      <c r="F154" t="s">
        <v>127</v>
      </c>
      <c r="G154">
        <v>1621</v>
      </c>
      <c r="H154" t="s">
        <v>129</v>
      </c>
      <c r="I154">
        <v>2021</v>
      </c>
      <c r="J154">
        <v>2021</v>
      </c>
      <c r="K154" t="s">
        <v>339</v>
      </c>
      <c r="L154">
        <v>463891.25</v>
      </c>
      <c r="O154">
        <v>440696.6875</v>
      </c>
      <c r="P154">
        <v>0.44069668749999996</v>
      </c>
      <c r="Q154" t="s">
        <v>821</v>
      </c>
      <c r="R154" s="141">
        <v>0.95</v>
      </c>
    </row>
    <row r="155" spans="1:18" x14ac:dyDescent="0.3">
      <c r="A155" t="s">
        <v>126</v>
      </c>
      <c r="B155" t="s">
        <v>125</v>
      </c>
      <c r="C155" t="s">
        <v>462</v>
      </c>
      <c r="D155" t="s">
        <v>462</v>
      </c>
      <c r="E155">
        <v>5910</v>
      </c>
      <c r="F155" t="s">
        <v>124</v>
      </c>
      <c r="G155">
        <v>1621</v>
      </c>
      <c r="H155" t="s">
        <v>129</v>
      </c>
      <c r="I155">
        <v>2021</v>
      </c>
      <c r="J155">
        <v>2021</v>
      </c>
      <c r="K155" t="s">
        <v>339</v>
      </c>
      <c r="L155">
        <v>460134.38</v>
      </c>
      <c r="O155">
        <v>437127.66099999996</v>
      </c>
      <c r="P155">
        <v>0.43712766099999995</v>
      </c>
      <c r="Q155" t="s">
        <v>822</v>
      </c>
      <c r="R155" s="141">
        <v>0.95</v>
      </c>
    </row>
    <row r="156" spans="1:18" x14ac:dyDescent="0.3">
      <c r="A156" t="s">
        <v>126</v>
      </c>
      <c r="B156" t="s">
        <v>125</v>
      </c>
      <c r="C156" t="s">
        <v>462</v>
      </c>
      <c r="D156" t="s">
        <v>462</v>
      </c>
      <c r="E156">
        <v>5510</v>
      </c>
      <c r="F156" t="s">
        <v>128</v>
      </c>
      <c r="G156">
        <v>1622</v>
      </c>
      <c r="H156" t="s">
        <v>83</v>
      </c>
      <c r="I156">
        <v>2021</v>
      </c>
      <c r="J156">
        <v>2021</v>
      </c>
      <c r="K156" t="s">
        <v>339</v>
      </c>
      <c r="L156">
        <v>0</v>
      </c>
      <c r="O156">
        <v>0</v>
      </c>
      <c r="P156">
        <v>0</v>
      </c>
      <c r="Q156" t="s">
        <v>823</v>
      </c>
      <c r="R156" s="141">
        <v>0.95</v>
      </c>
    </row>
    <row r="157" spans="1:18" x14ac:dyDescent="0.3">
      <c r="A157" t="s">
        <v>126</v>
      </c>
      <c r="B157" t="s">
        <v>125</v>
      </c>
      <c r="C157" t="s">
        <v>462</v>
      </c>
      <c r="D157" t="s">
        <v>462</v>
      </c>
      <c r="E157">
        <v>5610</v>
      </c>
      <c r="F157" t="s">
        <v>127</v>
      </c>
      <c r="G157">
        <v>1622</v>
      </c>
      <c r="H157" t="s">
        <v>83</v>
      </c>
      <c r="I157">
        <v>2021</v>
      </c>
      <c r="J157">
        <v>2021</v>
      </c>
      <c r="K157" t="s">
        <v>339</v>
      </c>
      <c r="L157">
        <v>22318.22</v>
      </c>
      <c r="O157">
        <v>21202.309000000001</v>
      </c>
      <c r="P157">
        <v>2.1202308999999999E-2</v>
      </c>
      <c r="Q157" t="s">
        <v>824</v>
      </c>
      <c r="R157" s="141">
        <v>0.95</v>
      </c>
    </row>
    <row r="158" spans="1:18" x14ac:dyDescent="0.3">
      <c r="A158" t="s">
        <v>126</v>
      </c>
      <c r="B158" t="s">
        <v>125</v>
      </c>
      <c r="C158" t="s">
        <v>462</v>
      </c>
      <c r="D158" t="s">
        <v>462</v>
      </c>
      <c r="E158">
        <v>5910</v>
      </c>
      <c r="F158" t="s">
        <v>124</v>
      </c>
      <c r="G158">
        <v>1622</v>
      </c>
      <c r="H158" t="s">
        <v>83</v>
      </c>
      <c r="I158">
        <v>2021</v>
      </c>
      <c r="J158">
        <v>2021</v>
      </c>
      <c r="K158" t="s">
        <v>339</v>
      </c>
      <c r="L158">
        <v>75648.850000000006</v>
      </c>
      <c r="O158">
        <v>71866.407500000001</v>
      </c>
      <c r="P158">
        <v>7.1866407499999993E-2</v>
      </c>
      <c r="Q158" t="s">
        <v>825</v>
      </c>
      <c r="R158" s="141">
        <v>0.95</v>
      </c>
    </row>
    <row r="159" spans="1:18" x14ac:dyDescent="0.3">
      <c r="A159" t="s">
        <v>126</v>
      </c>
      <c r="B159" t="s">
        <v>125</v>
      </c>
      <c r="C159" t="s">
        <v>462</v>
      </c>
      <c r="D159" t="s">
        <v>462</v>
      </c>
      <c r="E159">
        <v>5510</v>
      </c>
      <c r="F159" t="s">
        <v>128</v>
      </c>
      <c r="G159">
        <v>1683</v>
      </c>
      <c r="H159" t="s">
        <v>123</v>
      </c>
      <c r="I159">
        <v>2021</v>
      </c>
      <c r="J159">
        <v>2021</v>
      </c>
      <c r="K159" t="s">
        <v>339</v>
      </c>
      <c r="L159">
        <v>20000</v>
      </c>
      <c r="O159">
        <v>19000</v>
      </c>
      <c r="P159">
        <v>1.9E-2</v>
      </c>
      <c r="Q159" t="s">
        <v>826</v>
      </c>
      <c r="R159" s="141">
        <v>0.95</v>
      </c>
    </row>
    <row r="160" spans="1:18" x14ac:dyDescent="0.3">
      <c r="A160" t="s">
        <v>126</v>
      </c>
      <c r="B160" t="s">
        <v>125</v>
      </c>
      <c r="C160" t="s">
        <v>462</v>
      </c>
      <c r="D160" t="s">
        <v>462</v>
      </c>
      <c r="E160">
        <v>5610</v>
      </c>
      <c r="F160" t="s">
        <v>127</v>
      </c>
      <c r="G160">
        <v>1683</v>
      </c>
      <c r="H160" t="s">
        <v>123</v>
      </c>
      <c r="I160">
        <v>2021</v>
      </c>
      <c r="J160">
        <v>2021</v>
      </c>
      <c r="K160" t="s">
        <v>339</v>
      </c>
      <c r="L160">
        <v>43968.79</v>
      </c>
      <c r="O160">
        <v>41770.3505</v>
      </c>
      <c r="P160">
        <v>4.1770350499999997E-2</v>
      </c>
      <c r="Q160" t="s">
        <v>827</v>
      </c>
      <c r="R160" s="141">
        <v>0.95</v>
      </c>
    </row>
    <row r="161" spans="1:18" x14ac:dyDescent="0.3">
      <c r="A161" t="s">
        <v>126</v>
      </c>
      <c r="B161" t="s">
        <v>125</v>
      </c>
      <c r="C161" t="s">
        <v>462</v>
      </c>
      <c r="D161" t="s">
        <v>462</v>
      </c>
      <c r="E161">
        <v>5910</v>
      </c>
      <c r="F161" t="s">
        <v>124</v>
      </c>
      <c r="G161">
        <v>1683</v>
      </c>
      <c r="H161" t="s">
        <v>123</v>
      </c>
      <c r="I161">
        <v>2021</v>
      </c>
      <c r="J161">
        <v>2021</v>
      </c>
      <c r="K161" t="s">
        <v>339</v>
      </c>
      <c r="L161">
        <v>181246.4</v>
      </c>
      <c r="O161">
        <v>172184.08</v>
      </c>
      <c r="P161">
        <v>0.17218407999999999</v>
      </c>
      <c r="Q161" t="s">
        <v>828</v>
      </c>
      <c r="R161" s="141">
        <v>0.95</v>
      </c>
    </row>
    <row r="162" spans="1:18" x14ac:dyDescent="0.3">
      <c r="A162" t="s">
        <v>126</v>
      </c>
      <c r="B162" t="s">
        <v>125</v>
      </c>
      <c r="C162" t="s">
        <v>463</v>
      </c>
      <c r="D162" t="s">
        <v>463</v>
      </c>
      <c r="E162">
        <v>5516</v>
      </c>
      <c r="F162" t="s">
        <v>128</v>
      </c>
      <c r="G162">
        <v>1627</v>
      </c>
      <c r="H162" t="s">
        <v>121</v>
      </c>
      <c r="I162">
        <v>2021</v>
      </c>
      <c r="J162">
        <v>2021</v>
      </c>
      <c r="K162" t="s">
        <v>143</v>
      </c>
      <c r="L162">
        <v>62382209</v>
      </c>
      <c r="M162" t="s">
        <v>397</v>
      </c>
      <c r="N162" t="s">
        <v>398</v>
      </c>
      <c r="O162">
        <v>26652798.795250002</v>
      </c>
      <c r="P162">
        <v>26.65279879525</v>
      </c>
      <c r="Q162" t="s">
        <v>724</v>
      </c>
      <c r="R162" s="141">
        <v>0.42725000000000002</v>
      </c>
    </row>
    <row r="163" spans="1:18" x14ac:dyDescent="0.3">
      <c r="A163" t="s">
        <v>126</v>
      </c>
      <c r="B163" t="s">
        <v>125</v>
      </c>
      <c r="C163" t="s">
        <v>463</v>
      </c>
      <c r="D163" t="s">
        <v>463</v>
      </c>
      <c r="E163">
        <v>5616</v>
      </c>
      <c r="F163" t="s">
        <v>127</v>
      </c>
      <c r="G163">
        <v>1627</v>
      </c>
      <c r="H163" t="s">
        <v>121</v>
      </c>
      <c r="I163">
        <v>2021</v>
      </c>
      <c r="J163">
        <v>2021</v>
      </c>
      <c r="K163" t="s">
        <v>143</v>
      </c>
      <c r="L163">
        <v>20488</v>
      </c>
      <c r="M163" t="s">
        <v>397</v>
      </c>
      <c r="N163" t="s">
        <v>398</v>
      </c>
      <c r="O163">
        <v>8753.4979999999996</v>
      </c>
      <c r="P163">
        <v>8.7534979999999984E-3</v>
      </c>
      <c r="Q163" t="s">
        <v>725</v>
      </c>
      <c r="R163" s="141">
        <v>0.42725000000000002</v>
      </c>
    </row>
    <row r="164" spans="1:18" x14ac:dyDescent="0.3">
      <c r="A164" t="s">
        <v>126</v>
      </c>
      <c r="B164" t="s">
        <v>125</v>
      </c>
      <c r="C164" t="s">
        <v>463</v>
      </c>
      <c r="D164" t="s">
        <v>463</v>
      </c>
      <c r="E164">
        <v>5916</v>
      </c>
      <c r="F164" t="s">
        <v>124</v>
      </c>
      <c r="G164">
        <v>1627</v>
      </c>
      <c r="H164" t="s">
        <v>121</v>
      </c>
      <c r="I164">
        <v>2021</v>
      </c>
      <c r="J164">
        <v>2021</v>
      </c>
      <c r="K164" t="s">
        <v>143</v>
      </c>
      <c r="L164">
        <v>628</v>
      </c>
      <c r="M164" t="s">
        <v>397</v>
      </c>
      <c r="N164" t="s">
        <v>398</v>
      </c>
      <c r="O164">
        <v>268.31299999999999</v>
      </c>
      <c r="P164">
        <v>2.6831299999999995E-4</v>
      </c>
      <c r="Q164" t="s">
        <v>726</v>
      </c>
      <c r="R164" s="141">
        <v>0.42725000000000002</v>
      </c>
    </row>
    <row r="165" spans="1:18" x14ac:dyDescent="0.3">
      <c r="A165" t="s">
        <v>126</v>
      </c>
      <c r="B165" t="s">
        <v>125</v>
      </c>
      <c r="C165" t="s">
        <v>463</v>
      </c>
      <c r="D165" t="s">
        <v>463</v>
      </c>
      <c r="E165">
        <v>5516</v>
      </c>
      <c r="F165" t="s">
        <v>128</v>
      </c>
      <c r="G165">
        <v>1628</v>
      </c>
      <c r="H165" t="s">
        <v>120</v>
      </c>
      <c r="I165">
        <v>2021</v>
      </c>
      <c r="J165">
        <v>2021</v>
      </c>
      <c r="K165" t="s">
        <v>143</v>
      </c>
      <c r="L165">
        <v>93433995</v>
      </c>
      <c r="M165" t="s">
        <v>397</v>
      </c>
      <c r="N165" t="s">
        <v>398</v>
      </c>
      <c r="O165">
        <v>74747196</v>
      </c>
      <c r="P165">
        <v>74.747196000000002</v>
      </c>
      <c r="Q165" t="s">
        <v>727</v>
      </c>
      <c r="R165" s="141">
        <v>0.8</v>
      </c>
    </row>
    <row r="166" spans="1:18" x14ac:dyDescent="0.3">
      <c r="A166" t="s">
        <v>126</v>
      </c>
      <c r="B166" t="s">
        <v>125</v>
      </c>
      <c r="C166" t="s">
        <v>463</v>
      </c>
      <c r="D166" t="s">
        <v>463</v>
      </c>
      <c r="E166">
        <v>5616</v>
      </c>
      <c r="F166" t="s">
        <v>127</v>
      </c>
      <c r="G166">
        <v>1628</v>
      </c>
      <c r="H166" t="s">
        <v>120</v>
      </c>
      <c r="I166">
        <v>2021</v>
      </c>
      <c r="J166">
        <v>2021</v>
      </c>
      <c r="K166" t="s">
        <v>143</v>
      </c>
      <c r="L166">
        <v>3458.42</v>
      </c>
      <c r="M166" t="s">
        <v>829</v>
      </c>
      <c r="N166" t="s">
        <v>830</v>
      </c>
      <c r="O166">
        <v>2766.7360000000003</v>
      </c>
      <c r="P166">
        <v>2.7667360000000001E-3</v>
      </c>
      <c r="Q166" t="s">
        <v>728</v>
      </c>
      <c r="R166" s="141">
        <v>0.8</v>
      </c>
    </row>
    <row r="167" spans="1:18" x14ac:dyDescent="0.3">
      <c r="A167" t="s">
        <v>126</v>
      </c>
      <c r="B167" t="s">
        <v>125</v>
      </c>
      <c r="C167" t="s">
        <v>463</v>
      </c>
      <c r="D167" t="s">
        <v>463</v>
      </c>
      <c r="E167">
        <v>5916</v>
      </c>
      <c r="F167" t="s">
        <v>124</v>
      </c>
      <c r="G167">
        <v>1628</v>
      </c>
      <c r="H167" t="s">
        <v>120</v>
      </c>
      <c r="I167">
        <v>2021</v>
      </c>
      <c r="J167">
        <v>2021</v>
      </c>
      <c r="K167" t="s">
        <v>143</v>
      </c>
      <c r="L167">
        <v>1644.41</v>
      </c>
      <c r="M167" t="s">
        <v>397</v>
      </c>
      <c r="N167" t="s">
        <v>398</v>
      </c>
      <c r="O167">
        <v>1315.5280000000002</v>
      </c>
      <c r="P167">
        <v>1.3155280000000003E-3</v>
      </c>
      <c r="Q167" t="s">
        <v>729</v>
      </c>
      <c r="R167" s="141">
        <v>0.8</v>
      </c>
    </row>
    <row r="168" spans="1:18" x14ac:dyDescent="0.3">
      <c r="A168" t="s">
        <v>126</v>
      </c>
      <c r="B168" t="s">
        <v>125</v>
      </c>
      <c r="C168" t="s">
        <v>463</v>
      </c>
      <c r="D168" t="s">
        <v>463</v>
      </c>
      <c r="E168">
        <v>5616</v>
      </c>
      <c r="F168" t="s">
        <v>127</v>
      </c>
      <c r="G168">
        <v>1629</v>
      </c>
      <c r="H168" t="s">
        <v>160</v>
      </c>
      <c r="I168">
        <v>2021</v>
      </c>
      <c r="J168">
        <v>2021</v>
      </c>
    </row>
    <row r="169" spans="1:18" x14ac:dyDescent="0.3">
      <c r="A169" t="s">
        <v>126</v>
      </c>
      <c r="B169" t="s">
        <v>125</v>
      </c>
      <c r="C169" t="s">
        <v>463</v>
      </c>
      <c r="D169" t="s">
        <v>463</v>
      </c>
      <c r="E169">
        <v>5916</v>
      </c>
      <c r="F169" t="s">
        <v>124</v>
      </c>
      <c r="G169">
        <v>1629</v>
      </c>
      <c r="H169" t="s">
        <v>160</v>
      </c>
      <c r="I169">
        <v>2021</v>
      </c>
      <c r="J169">
        <v>2021</v>
      </c>
    </row>
    <row r="170" spans="1:18" x14ac:dyDescent="0.3">
      <c r="A170" t="s">
        <v>126</v>
      </c>
      <c r="B170" t="s">
        <v>125</v>
      </c>
      <c r="C170" t="s">
        <v>463</v>
      </c>
      <c r="D170" t="s">
        <v>463</v>
      </c>
      <c r="E170">
        <v>5616</v>
      </c>
      <c r="F170" t="s">
        <v>127</v>
      </c>
      <c r="G170">
        <v>1651</v>
      </c>
      <c r="H170" t="s">
        <v>159</v>
      </c>
      <c r="I170">
        <v>2021</v>
      </c>
      <c r="J170">
        <v>2021</v>
      </c>
      <c r="K170" t="s">
        <v>143</v>
      </c>
      <c r="L170">
        <v>50184890</v>
      </c>
      <c r="M170" t="s">
        <v>397</v>
      </c>
      <c r="N170" t="s">
        <v>398</v>
      </c>
      <c r="O170">
        <v>20826729.349999998</v>
      </c>
      <c r="P170">
        <v>20.826729349999997</v>
      </c>
      <c r="Q170" t="s">
        <v>730</v>
      </c>
      <c r="R170" s="141">
        <v>0.41499999999999998</v>
      </c>
    </row>
    <row r="171" spans="1:18" x14ac:dyDescent="0.3">
      <c r="A171" t="s">
        <v>126</v>
      </c>
      <c r="B171" t="s">
        <v>125</v>
      </c>
      <c r="C171" t="s">
        <v>463</v>
      </c>
      <c r="D171" t="s">
        <v>463</v>
      </c>
      <c r="E171">
        <v>5916</v>
      </c>
      <c r="F171" t="s">
        <v>124</v>
      </c>
      <c r="G171">
        <v>1651</v>
      </c>
      <c r="H171" t="s">
        <v>159</v>
      </c>
      <c r="I171">
        <v>2021</v>
      </c>
      <c r="J171">
        <v>2021</v>
      </c>
      <c r="K171" t="s">
        <v>143</v>
      </c>
      <c r="L171">
        <v>4930</v>
      </c>
      <c r="M171" t="s">
        <v>397</v>
      </c>
      <c r="N171" t="s">
        <v>398</v>
      </c>
      <c r="O171">
        <v>2045.9499999999998</v>
      </c>
      <c r="P171">
        <v>2.0459499999999999E-3</v>
      </c>
      <c r="Q171" t="s">
        <v>731</v>
      </c>
      <c r="R171" s="141">
        <v>0.41499999999999998</v>
      </c>
    </row>
    <row r="172" spans="1:18" x14ac:dyDescent="0.3">
      <c r="A172" t="s">
        <v>126</v>
      </c>
      <c r="B172" t="s">
        <v>125</v>
      </c>
      <c r="C172" t="s">
        <v>463</v>
      </c>
      <c r="D172" t="s">
        <v>463</v>
      </c>
      <c r="E172">
        <v>5616</v>
      </c>
      <c r="F172" t="s">
        <v>127</v>
      </c>
      <c r="G172">
        <v>1657</v>
      </c>
      <c r="H172" t="s">
        <v>158</v>
      </c>
      <c r="I172">
        <v>2021</v>
      </c>
      <c r="J172">
        <v>2021</v>
      </c>
      <c r="K172" t="s">
        <v>143</v>
      </c>
      <c r="L172">
        <v>8114659</v>
      </c>
      <c r="M172" t="s">
        <v>397</v>
      </c>
      <c r="N172" t="s">
        <v>398</v>
      </c>
      <c r="O172">
        <v>4381915.8600000003</v>
      </c>
      <c r="P172">
        <v>4.3819158600000003</v>
      </c>
      <c r="Q172" t="s">
        <v>732</v>
      </c>
      <c r="R172" s="141">
        <v>0.54</v>
      </c>
    </row>
    <row r="173" spans="1:18" x14ac:dyDescent="0.3">
      <c r="A173" t="s">
        <v>126</v>
      </c>
      <c r="B173" t="s">
        <v>125</v>
      </c>
      <c r="C173" t="s">
        <v>463</v>
      </c>
      <c r="D173" t="s">
        <v>463</v>
      </c>
      <c r="E173">
        <v>5916</v>
      </c>
      <c r="F173" t="s">
        <v>124</v>
      </c>
      <c r="G173">
        <v>1657</v>
      </c>
      <c r="H173" t="s">
        <v>158</v>
      </c>
      <c r="I173">
        <v>2021</v>
      </c>
      <c r="J173">
        <v>2021</v>
      </c>
      <c r="K173" t="s">
        <v>143</v>
      </c>
      <c r="L173">
        <v>15380</v>
      </c>
      <c r="M173" t="s">
        <v>397</v>
      </c>
      <c r="N173" t="s">
        <v>398</v>
      </c>
      <c r="O173">
        <v>8305.2000000000007</v>
      </c>
      <c r="P173">
        <v>8.3052000000000004E-3</v>
      </c>
      <c r="Q173" t="s">
        <v>733</v>
      </c>
      <c r="R173" s="141">
        <v>0.54</v>
      </c>
    </row>
    <row r="174" spans="1:18" x14ac:dyDescent="0.3">
      <c r="A174" t="s">
        <v>126</v>
      </c>
      <c r="B174" t="s">
        <v>125</v>
      </c>
      <c r="C174" t="s">
        <v>463</v>
      </c>
      <c r="D174" t="s">
        <v>463</v>
      </c>
      <c r="E174">
        <v>5616</v>
      </c>
      <c r="F174" t="s">
        <v>127</v>
      </c>
      <c r="G174">
        <v>1670</v>
      </c>
      <c r="H174" t="s">
        <v>157</v>
      </c>
      <c r="I174">
        <v>2021</v>
      </c>
      <c r="J174">
        <v>2021</v>
      </c>
      <c r="K174" t="s">
        <v>143</v>
      </c>
      <c r="L174">
        <v>5357239</v>
      </c>
      <c r="M174" t="s">
        <v>397</v>
      </c>
      <c r="N174" t="s">
        <v>398</v>
      </c>
      <c r="O174">
        <v>2892909.06</v>
      </c>
      <c r="P174">
        <v>2.89290906</v>
      </c>
      <c r="Q174" t="s">
        <v>734</v>
      </c>
      <c r="R174" s="141">
        <v>0.54</v>
      </c>
    </row>
    <row r="175" spans="1:18" x14ac:dyDescent="0.3">
      <c r="A175" t="s">
        <v>126</v>
      </c>
      <c r="B175" t="s">
        <v>125</v>
      </c>
      <c r="C175" t="s">
        <v>463</v>
      </c>
      <c r="D175" t="s">
        <v>463</v>
      </c>
      <c r="E175">
        <v>5916</v>
      </c>
      <c r="F175" t="s">
        <v>124</v>
      </c>
      <c r="G175">
        <v>1670</v>
      </c>
      <c r="H175" t="s">
        <v>157</v>
      </c>
      <c r="I175">
        <v>2021</v>
      </c>
      <c r="J175">
        <v>2021</v>
      </c>
      <c r="K175" t="s">
        <v>143</v>
      </c>
      <c r="L175">
        <v>4114</v>
      </c>
      <c r="M175" t="s">
        <v>397</v>
      </c>
      <c r="N175" t="s">
        <v>398</v>
      </c>
      <c r="O175">
        <v>2221.56</v>
      </c>
      <c r="P175">
        <v>2.22156E-3</v>
      </c>
      <c r="Q175" t="s">
        <v>735</v>
      </c>
      <c r="R175" s="141">
        <v>0.54</v>
      </c>
    </row>
    <row r="176" spans="1:18" x14ac:dyDescent="0.3">
      <c r="A176" t="s">
        <v>126</v>
      </c>
      <c r="B176" t="s">
        <v>125</v>
      </c>
      <c r="C176" t="s">
        <v>463</v>
      </c>
      <c r="D176" t="s">
        <v>463</v>
      </c>
      <c r="E176">
        <v>5516</v>
      </c>
      <c r="F176" t="s">
        <v>128</v>
      </c>
      <c r="G176">
        <v>1601</v>
      </c>
      <c r="H176" t="s">
        <v>119</v>
      </c>
      <c r="I176">
        <v>2021</v>
      </c>
      <c r="J176">
        <v>2021</v>
      </c>
      <c r="K176" t="s">
        <v>143</v>
      </c>
      <c r="L176">
        <v>12956337</v>
      </c>
      <c r="M176" t="s">
        <v>397</v>
      </c>
      <c r="N176" t="s">
        <v>398</v>
      </c>
      <c r="O176">
        <v>5441661.54</v>
      </c>
      <c r="P176">
        <v>5.4416615400000001</v>
      </c>
      <c r="Q176" t="s">
        <v>736</v>
      </c>
      <c r="R176" s="141">
        <v>0.42</v>
      </c>
    </row>
    <row r="177" spans="1:18" x14ac:dyDescent="0.3">
      <c r="A177" t="s">
        <v>126</v>
      </c>
      <c r="B177" t="s">
        <v>125</v>
      </c>
      <c r="C177" t="s">
        <v>463</v>
      </c>
      <c r="D177" t="s">
        <v>463</v>
      </c>
      <c r="E177">
        <v>5616</v>
      </c>
      <c r="F177" t="s">
        <v>127</v>
      </c>
      <c r="G177">
        <v>1601</v>
      </c>
      <c r="H177" t="s">
        <v>119</v>
      </c>
      <c r="I177">
        <v>2021</v>
      </c>
      <c r="J177">
        <v>2021</v>
      </c>
    </row>
    <row r="178" spans="1:18" x14ac:dyDescent="0.3">
      <c r="A178" t="s">
        <v>126</v>
      </c>
      <c r="B178" t="s">
        <v>125</v>
      </c>
      <c r="C178" t="s">
        <v>463</v>
      </c>
      <c r="D178" t="s">
        <v>463</v>
      </c>
      <c r="E178">
        <v>5916</v>
      </c>
      <c r="F178" t="s">
        <v>124</v>
      </c>
      <c r="G178">
        <v>1601</v>
      </c>
      <c r="H178" t="s">
        <v>119</v>
      </c>
      <c r="I178">
        <v>2021</v>
      </c>
      <c r="J178">
        <v>2021</v>
      </c>
    </row>
    <row r="179" spans="1:18" x14ac:dyDescent="0.3">
      <c r="A179" t="s">
        <v>126</v>
      </c>
      <c r="B179" t="s">
        <v>125</v>
      </c>
      <c r="C179" t="s">
        <v>463</v>
      </c>
      <c r="D179" t="s">
        <v>463</v>
      </c>
      <c r="E179">
        <v>5516</v>
      </c>
      <c r="F179" t="s">
        <v>128</v>
      </c>
      <c r="G179">
        <v>1604</v>
      </c>
      <c r="H179" t="s">
        <v>118</v>
      </c>
      <c r="I179">
        <v>2021</v>
      </c>
      <c r="J179">
        <v>2021</v>
      </c>
      <c r="K179" t="s">
        <v>143</v>
      </c>
      <c r="L179">
        <v>83417540</v>
      </c>
      <c r="M179" t="s">
        <v>397</v>
      </c>
      <c r="N179" t="s">
        <v>398</v>
      </c>
      <c r="O179">
        <v>51718874.799999997</v>
      </c>
      <c r="P179">
        <v>51.718874799999995</v>
      </c>
      <c r="Q179" t="s">
        <v>737</v>
      </c>
      <c r="R179" s="141">
        <v>0.62</v>
      </c>
    </row>
    <row r="180" spans="1:18" x14ac:dyDescent="0.3">
      <c r="A180" t="s">
        <v>126</v>
      </c>
      <c r="B180" t="s">
        <v>125</v>
      </c>
      <c r="C180" t="s">
        <v>463</v>
      </c>
      <c r="D180" t="s">
        <v>463</v>
      </c>
      <c r="E180">
        <v>5616</v>
      </c>
      <c r="F180" t="s">
        <v>127</v>
      </c>
      <c r="G180">
        <v>1604</v>
      </c>
      <c r="H180" t="s">
        <v>118</v>
      </c>
      <c r="I180">
        <v>2021</v>
      </c>
      <c r="J180">
        <v>2021</v>
      </c>
    </row>
    <row r="181" spans="1:18" x14ac:dyDescent="0.3">
      <c r="A181" t="s">
        <v>126</v>
      </c>
      <c r="B181" t="s">
        <v>125</v>
      </c>
      <c r="C181" t="s">
        <v>463</v>
      </c>
      <c r="D181" t="s">
        <v>463</v>
      </c>
      <c r="E181">
        <v>5916</v>
      </c>
      <c r="F181" t="s">
        <v>124</v>
      </c>
      <c r="G181">
        <v>1604</v>
      </c>
      <c r="H181" t="s">
        <v>118</v>
      </c>
      <c r="I181">
        <v>2021</v>
      </c>
      <c r="J181">
        <v>2021</v>
      </c>
    </row>
    <row r="182" spans="1:18" x14ac:dyDescent="0.3">
      <c r="A182" t="s">
        <v>126</v>
      </c>
      <c r="B182" t="s">
        <v>125</v>
      </c>
      <c r="C182" t="s">
        <v>463</v>
      </c>
      <c r="D182" t="s">
        <v>463</v>
      </c>
      <c r="E182">
        <v>5516</v>
      </c>
      <c r="F182" t="s">
        <v>128</v>
      </c>
      <c r="G182">
        <v>1602</v>
      </c>
      <c r="H182" t="s">
        <v>156</v>
      </c>
      <c r="I182">
        <v>2021</v>
      </c>
      <c r="J182">
        <v>2021</v>
      </c>
      <c r="K182" t="s">
        <v>143</v>
      </c>
      <c r="L182">
        <v>7668000</v>
      </c>
      <c r="M182" t="s">
        <v>397</v>
      </c>
      <c r="N182" t="s">
        <v>398</v>
      </c>
      <c r="O182">
        <v>3143880</v>
      </c>
      <c r="P182">
        <v>3.1438799999999998</v>
      </c>
      <c r="Q182" t="s">
        <v>738</v>
      </c>
      <c r="R182" s="141">
        <v>0.41</v>
      </c>
    </row>
    <row r="183" spans="1:18" x14ac:dyDescent="0.3">
      <c r="A183" t="s">
        <v>126</v>
      </c>
      <c r="B183" t="s">
        <v>125</v>
      </c>
      <c r="C183" t="s">
        <v>463</v>
      </c>
      <c r="D183" t="s">
        <v>463</v>
      </c>
      <c r="E183">
        <v>5516</v>
      </c>
      <c r="F183" t="s">
        <v>128</v>
      </c>
      <c r="G183">
        <v>1603</v>
      </c>
      <c r="H183" t="s">
        <v>155</v>
      </c>
      <c r="I183">
        <v>2021</v>
      </c>
      <c r="J183">
        <v>2021</v>
      </c>
      <c r="K183" t="s">
        <v>143</v>
      </c>
      <c r="L183">
        <v>30647000</v>
      </c>
      <c r="M183" t="s">
        <v>397</v>
      </c>
      <c r="N183" t="s">
        <v>398</v>
      </c>
      <c r="O183">
        <v>14097620</v>
      </c>
      <c r="P183">
        <v>14.097619999999999</v>
      </c>
      <c r="Q183" t="s">
        <v>739</v>
      </c>
      <c r="R183" s="141">
        <v>0.46</v>
      </c>
    </row>
    <row r="184" spans="1:18" x14ac:dyDescent="0.3">
      <c r="A184" t="s">
        <v>126</v>
      </c>
      <c r="B184" t="s">
        <v>125</v>
      </c>
      <c r="C184" t="s">
        <v>463</v>
      </c>
      <c r="D184" t="s">
        <v>463</v>
      </c>
      <c r="E184">
        <v>5516</v>
      </c>
      <c r="F184" t="s">
        <v>128</v>
      </c>
      <c r="G184">
        <v>1614</v>
      </c>
      <c r="H184" t="s">
        <v>154</v>
      </c>
      <c r="I184">
        <v>2021</v>
      </c>
      <c r="J184">
        <v>2021</v>
      </c>
    </row>
    <row r="185" spans="1:18" x14ac:dyDescent="0.3">
      <c r="A185" t="s">
        <v>126</v>
      </c>
      <c r="B185" t="s">
        <v>125</v>
      </c>
      <c r="C185" t="s">
        <v>463</v>
      </c>
      <c r="D185" t="s">
        <v>463</v>
      </c>
      <c r="E185">
        <v>5616</v>
      </c>
      <c r="F185" t="s">
        <v>127</v>
      </c>
      <c r="G185">
        <v>1614</v>
      </c>
      <c r="H185" t="s">
        <v>154</v>
      </c>
      <c r="I185">
        <v>2021</v>
      </c>
      <c r="J185">
        <v>2021</v>
      </c>
    </row>
    <row r="186" spans="1:18" x14ac:dyDescent="0.3">
      <c r="A186" t="s">
        <v>126</v>
      </c>
      <c r="B186" t="s">
        <v>125</v>
      </c>
      <c r="C186" t="s">
        <v>463</v>
      </c>
      <c r="D186" t="s">
        <v>463</v>
      </c>
      <c r="E186">
        <v>5916</v>
      </c>
      <c r="F186" t="s">
        <v>124</v>
      </c>
      <c r="G186">
        <v>1614</v>
      </c>
      <c r="H186" t="s">
        <v>154</v>
      </c>
      <c r="I186">
        <v>2021</v>
      </c>
      <c r="J186">
        <v>2021</v>
      </c>
    </row>
    <row r="187" spans="1:18" x14ac:dyDescent="0.3">
      <c r="A187" t="s">
        <v>126</v>
      </c>
      <c r="B187" t="s">
        <v>125</v>
      </c>
      <c r="C187" t="s">
        <v>463</v>
      </c>
      <c r="D187" t="s">
        <v>463</v>
      </c>
      <c r="E187">
        <v>5516</v>
      </c>
      <c r="F187" t="s">
        <v>128</v>
      </c>
      <c r="G187">
        <v>1608</v>
      </c>
      <c r="H187" t="s">
        <v>153</v>
      </c>
      <c r="I187">
        <v>2021</v>
      </c>
      <c r="J187">
        <v>2021</v>
      </c>
    </row>
    <row r="188" spans="1:18" x14ac:dyDescent="0.3">
      <c r="A188" t="s">
        <v>126</v>
      </c>
      <c r="B188" t="s">
        <v>125</v>
      </c>
      <c r="C188" t="s">
        <v>463</v>
      </c>
      <c r="D188" t="s">
        <v>463</v>
      </c>
      <c r="E188">
        <v>5516</v>
      </c>
      <c r="F188" t="s">
        <v>128</v>
      </c>
      <c r="G188">
        <v>1611</v>
      </c>
      <c r="H188" t="s">
        <v>152</v>
      </c>
      <c r="I188">
        <v>2021</v>
      </c>
      <c r="J188">
        <v>2021</v>
      </c>
    </row>
    <row r="189" spans="1:18" x14ac:dyDescent="0.3">
      <c r="A189" t="s">
        <v>126</v>
      </c>
      <c r="B189" t="s">
        <v>125</v>
      </c>
      <c r="C189" t="s">
        <v>463</v>
      </c>
      <c r="D189" t="s">
        <v>463</v>
      </c>
      <c r="E189">
        <v>5516</v>
      </c>
      <c r="F189" t="s">
        <v>128</v>
      </c>
      <c r="G189">
        <v>1623</v>
      </c>
      <c r="H189" t="s">
        <v>151</v>
      </c>
      <c r="I189">
        <v>2021</v>
      </c>
      <c r="J189">
        <v>2021</v>
      </c>
      <c r="K189" t="s">
        <v>143</v>
      </c>
      <c r="L189">
        <v>8834000</v>
      </c>
      <c r="M189" t="s">
        <v>397</v>
      </c>
      <c r="N189" t="s">
        <v>398</v>
      </c>
      <c r="O189">
        <v>3666110</v>
      </c>
      <c r="P189">
        <v>3.6661099999999998</v>
      </c>
      <c r="Q189" t="s">
        <v>740</v>
      </c>
      <c r="R189" s="141">
        <v>0.41499999999999998</v>
      </c>
    </row>
    <row r="190" spans="1:18" x14ac:dyDescent="0.3">
      <c r="A190" t="s">
        <v>126</v>
      </c>
      <c r="B190" t="s">
        <v>125</v>
      </c>
      <c r="C190" t="s">
        <v>463</v>
      </c>
      <c r="D190" t="s">
        <v>463</v>
      </c>
      <c r="E190">
        <v>5516</v>
      </c>
      <c r="F190" t="s">
        <v>128</v>
      </c>
      <c r="G190">
        <v>1626</v>
      </c>
      <c r="H190" t="s">
        <v>150</v>
      </c>
      <c r="I190">
        <v>2021</v>
      </c>
      <c r="J190">
        <v>2021</v>
      </c>
      <c r="K190" t="s">
        <v>143</v>
      </c>
      <c r="L190">
        <v>38180000</v>
      </c>
      <c r="M190" t="s">
        <v>397</v>
      </c>
      <c r="N190" t="s">
        <v>398</v>
      </c>
      <c r="O190">
        <v>20617200</v>
      </c>
      <c r="P190">
        <v>20.6172</v>
      </c>
      <c r="Q190" t="s">
        <v>741</v>
      </c>
      <c r="R190" s="141">
        <v>0.54</v>
      </c>
    </row>
    <row r="191" spans="1:18" x14ac:dyDescent="0.3">
      <c r="A191" t="s">
        <v>126</v>
      </c>
      <c r="B191" t="s">
        <v>125</v>
      </c>
      <c r="C191" t="s">
        <v>463</v>
      </c>
      <c r="D191" t="s">
        <v>463</v>
      </c>
      <c r="E191">
        <v>5616</v>
      </c>
      <c r="F191" t="s">
        <v>127</v>
      </c>
      <c r="G191">
        <v>1625</v>
      </c>
      <c r="H191" t="s">
        <v>149</v>
      </c>
      <c r="I191">
        <v>2021</v>
      </c>
      <c r="J191">
        <v>2021</v>
      </c>
    </row>
    <row r="192" spans="1:18" x14ac:dyDescent="0.3">
      <c r="A192" t="s">
        <v>126</v>
      </c>
      <c r="B192" t="s">
        <v>125</v>
      </c>
      <c r="C192" t="s">
        <v>463</v>
      </c>
      <c r="D192" t="s">
        <v>463</v>
      </c>
      <c r="E192">
        <v>5916</v>
      </c>
      <c r="F192" t="s">
        <v>124</v>
      </c>
      <c r="G192">
        <v>1625</v>
      </c>
      <c r="H192" t="s">
        <v>149</v>
      </c>
      <c r="I192">
        <v>2021</v>
      </c>
      <c r="J192">
        <v>2021</v>
      </c>
    </row>
    <row r="193" spans="1:18" x14ac:dyDescent="0.3">
      <c r="A193" t="s">
        <v>126</v>
      </c>
      <c r="B193" t="s">
        <v>125</v>
      </c>
      <c r="C193" t="s">
        <v>463</v>
      </c>
      <c r="D193" t="s">
        <v>463</v>
      </c>
      <c r="E193">
        <v>5510</v>
      </c>
      <c r="F193" t="s">
        <v>128</v>
      </c>
      <c r="G193">
        <v>1630</v>
      </c>
      <c r="H193" t="s">
        <v>117</v>
      </c>
      <c r="I193">
        <v>2021</v>
      </c>
      <c r="J193">
        <v>2021</v>
      </c>
      <c r="K193" t="s">
        <v>339</v>
      </c>
      <c r="L193">
        <v>1596487</v>
      </c>
      <c r="M193" t="s">
        <v>397</v>
      </c>
      <c r="N193" t="s">
        <v>398</v>
      </c>
      <c r="O193">
        <v>1540609.9549999998</v>
      </c>
      <c r="P193">
        <v>1.5406099549999999</v>
      </c>
      <c r="Q193" t="s">
        <v>742</v>
      </c>
      <c r="R193" s="141">
        <v>0.96499999999999997</v>
      </c>
    </row>
    <row r="194" spans="1:18" x14ac:dyDescent="0.3">
      <c r="A194" t="s">
        <v>126</v>
      </c>
      <c r="B194" t="s">
        <v>125</v>
      </c>
      <c r="C194" t="s">
        <v>463</v>
      </c>
      <c r="D194" t="s">
        <v>463</v>
      </c>
      <c r="E194">
        <v>5510</v>
      </c>
      <c r="F194" t="s">
        <v>128</v>
      </c>
      <c r="G194">
        <v>1694</v>
      </c>
      <c r="H194" t="s">
        <v>348</v>
      </c>
      <c r="I194">
        <v>2021</v>
      </c>
      <c r="J194">
        <v>2021</v>
      </c>
      <c r="K194" t="s">
        <v>339</v>
      </c>
      <c r="L194">
        <v>20000</v>
      </c>
      <c r="M194" t="s">
        <v>397</v>
      </c>
      <c r="N194" t="s">
        <v>398</v>
      </c>
      <c r="O194">
        <v>18500</v>
      </c>
      <c r="P194">
        <v>1.8499999999999999E-2</v>
      </c>
      <c r="Q194" t="s">
        <v>743</v>
      </c>
      <c r="R194" s="141">
        <v>0.92500000000000004</v>
      </c>
    </row>
    <row r="195" spans="1:18" x14ac:dyDescent="0.3">
      <c r="A195" t="s">
        <v>126</v>
      </c>
      <c r="B195" t="s">
        <v>125</v>
      </c>
      <c r="C195" t="s">
        <v>463</v>
      </c>
      <c r="D195" t="s">
        <v>463</v>
      </c>
      <c r="E195">
        <v>5610</v>
      </c>
      <c r="F195" t="s">
        <v>127</v>
      </c>
      <c r="G195">
        <v>1630</v>
      </c>
      <c r="H195" t="s">
        <v>117</v>
      </c>
      <c r="I195">
        <v>2021</v>
      </c>
      <c r="J195">
        <v>2021</v>
      </c>
      <c r="K195" t="s">
        <v>339</v>
      </c>
      <c r="L195">
        <v>296264.40999999997</v>
      </c>
      <c r="M195" t="s">
        <v>829</v>
      </c>
      <c r="N195" t="s">
        <v>830</v>
      </c>
      <c r="O195">
        <v>285895.15564999997</v>
      </c>
      <c r="P195">
        <v>0.28589515564999995</v>
      </c>
      <c r="Q195" t="s">
        <v>744</v>
      </c>
      <c r="R195" s="141">
        <v>0.96499999999999997</v>
      </c>
    </row>
    <row r="196" spans="1:18" x14ac:dyDescent="0.3">
      <c r="A196" t="s">
        <v>126</v>
      </c>
      <c r="B196" t="s">
        <v>125</v>
      </c>
      <c r="C196" t="s">
        <v>463</v>
      </c>
      <c r="D196" t="s">
        <v>463</v>
      </c>
      <c r="E196">
        <v>5610</v>
      </c>
      <c r="F196" t="s">
        <v>127</v>
      </c>
      <c r="G196">
        <v>1694</v>
      </c>
      <c r="H196" t="s">
        <v>348</v>
      </c>
      <c r="I196">
        <v>2021</v>
      </c>
      <c r="J196">
        <v>2021</v>
      </c>
      <c r="K196" t="s">
        <v>339</v>
      </c>
      <c r="L196">
        <v>12852.78</v>
      </c>
      <c r="M196" t="s">
        <v>397</v>
      </c>
      <c r="N196" t="s">
        <v>398</v>
      </c>
      <c r="O196">
        <v>11888.821500000002</v>
      </c>
      <c r="P196">
        <v>1.1888821500000001E-2</v>
      </c>
      <c r="Q196" t="s">
        <v>745</v>
      </c>
      <c r="R196" s="141">
        <v>0.92500000000000004</v>
      </c>
    </row>
    <row r="197" spans="1:18" x14ac:dyDescent="0.3">
      <c r="A197" t="s">
        <v>126</v>
      </c>
      <c r="B197" t="s">
        <v>125</v>
      </c>
      <c r="C197" t="s">
        <v>463</v>
      </c>
      <c r="D197" t="s">
        <v>463</v>
      </c>
      <c r="E197">
        <v>5910</v>
      </c>
      <c r="F197" t="s">
        <v>124</v>
      </c>
      <c r="G197">
        <v>1630</v>
      </c>
      <c r="H197" t="s">
        <v>117</v>
      </c>
      <c r="I197">
        <v>2021</v>
      </c>
      <c r="J197">
        <v>2021</v>
      </c>
      <c r="K197" t="s">
        <v>339</v>
      </c>
      <c r="L197">
        <v>59676.23</v>
      </c>
      <c r="M197" t="s">
        <v>397</v>
      </c>
      <c r="N197" t="s">
        <v>398</v>
      </c>
      <c r="O197">
        <v>57587.561950000003</v>
      </c>
      <c r="P197">
        <v>5.7587561949999998E-2</v>
      </c>
      <c r="Q197" t="s">
        <v>746</v>
      </c>
      <c r="R197" s="141">
        <v>0.96499999999999997</v>
      </c>
    </row>
    <row r="198" spans="1:18" x14ac:dyDescent="0.3">
      <c r="A198" t="s">
        <v>126</v>
      </c>
      <c r="B198" t="s">
        <v>125</v>
      </c>
      <c r="C198" t="s">
        <v>463</v>
      </c>
      <c r="D198" t="s">
        <v>463</v>
      </c>
      <c r="E198">
        <v>5910</v>
      </c>
      <c r="F198" t="s">
        <v>124</v>
      </c>
      <c r="G198">
        <v>1694</v>
      </c>
      <c r="H198" t="s">
        <v>348</v>
      </c>
      <c r="I198">
        <v>2021</v>
      </c>
      <c r="J198">
        <v>2021</v>
      </c>
      <c r="K198" t="s">
        <v>339</v>
      </c>
      <c r="L198">
        <v>14490.29</v>
      </c>
      <c r="M198" t="s">
        <v>397</v>
      </c>
      <c r="N198" t="s">
        <v>398</v>
      </c>
      <c r="O198">
        <v>13403.518250000001</v>
      </c>
      <c r="P198">
        <v>1.340351825E-2</v>
      </c>
      <c r="Q198" t="s">
        <v>747</v>
      </c>
      <c r="R198" s="141">
        <v>0.92500000000000004</v>
      </c>
    </row>
    <row r="199" spans="1:18" x14ac:dyDescent="0.3">
      <c r="A199" t="s">
        <v>126</v>
      </c>
      <c r="B199" t="s">
        <v>125</v>
      </c>
      <c r="C199" t="s">
        <v>463</v>
      </c>
      <c r="D199" t="s">
        <v>463</v>
      </c>
      <c r="E199">
        <v>5516</v>
      </c>
      <c r="F199" t="s">
        <v>128</v>
      </c>
      <c r="G199">
        <v>1619</v>
      </c>
      <c r="H199" t="s">
        <v>92</v>
      </c>
      <c r="I199">
        <v>2021</v>
      </c>
      <c r="J199">
        <v>2021</v>
      </c>
      <c r="K199" t="s">
        <v>143</v>
      </c>
      <c r="L199">
        <v>44381000</v>
      </c>
      <c r="M199" t="s">
        <v>397</v>
      </c>
      <c r="N199" t="s">
        <v>398</v>
      </c>
      <c r="O199">
        <v>19296086.956521742</v>
      </c>
      <c r="P199">
        <v>19.296086956521741</v>
      </c>
      <c r="Q199" t="s">
        <v>748</v>
      </c>
      <c r="R199" s="141">
        <v>0.43478260869565222</v>
      </c>
    </row>
    <row r="200" spans="1:18" x14ac:dyDescent="0.3">
      <c r="A200" t="s">
        <v>126</v>
      </c>
      <c r="B200" t="s">
        <v>125</v>
      </c>
      <c r="C200" t="s">
        <v>463</v>
      </c>
      <c r="D200" t="s">
        <v>463</v>
      </c>
      <c r="E200">
        <v>5616</v>
      </c>
      <c r="F200" t="s">
        <v>127</v>
      </c>
      <c r="G200">
        <v>1619</v>
      </c>
      <c r="H200" t="s">
        <v>92</v>
      </c>
      <c r="I200">
        <v>2021</v>
      </c>
      <c r="J200">
        <v>2021</v>
      </c>
      <c r="K200" t="s">
        <v>143</v>
      </c>
      <c r="L200">
        <v>17572509.289999999</v>
      </c>
      <c r="M200" t="s">
        <v>397</v>
      </c>
      <c r="N200" t="s">
        <v>398</v>
      </c>
      <c r="O200">
        <v>7640221.430434783</v>
      </c>
      <c r="P200">
        <v>7.6402214304347824</v>
      </c>
      <c r="Q200" t="s">
        <v>749</v>
      </c>
      <c r="R200" s="141">
        <v>0.43478260869565222</v>
      </c>
    </row>
    <row r="201" spans="1:18" x14ac:dyDescent="0.3">
      <c r="A201" t="s">
        <v>126</v>
      </c>
      <c r="B201" t="s">
        <v>125</v>
      </c>
      <c r="C201" t="s">
        <v>463</v>
      </c>
      <c r="D201" t="s">
        <v>463</v>
      </c>
      <c r="E201">
        <v>5916</v>
      </c>
      <c r="F201" t="s">
        <v>124</v>
      </c>
      <c r="G201">
        <v>1619</v>
      </c>
      <c r="H201" t="s">
        <v>92</v>
      </c>
      <c r="I201">
        <v>2021</v>
      </c>
      <c r="J201">
        <v>2021</v>
      </c>
      <c r="K201" t="s">
        <v>143</v>
      </c>
      <c r="L201">
        <v>2957.35</v>
      </c>
      <c r="M201" t="s">
        <v>397</v>
      </c>
      <c r="N201" t="s">
        <v>398</v>
      </c>
      <c r="O201">
        <v>1285.804347826087</v>
      </c>
      <c r="P201">
        <v>1.2858043478260869E-3</v>
      </c>
      <c r="Q201" t="s">
        <v>750</v>
      </c>
      <c r="R201" s="141">
        <v>0.43478260869565222</v>
      </c>
    </row>
    <row r="202" spans="1:18" x14ac:dyDescent="0.3">
      <c r="A202" t="s">
        <v>126</v>
      </c>
      <c r="B202" t="s">
        <v>125</v>
      </c>
      <c r="C202" t="s">
        <v>463</v>
      </c>
      <c r="D202" t="s">
        <v>463</v>
      </c>
      <c r="E202">
        <v>5516</v>
      </c>
      <c r="F202" t="s">
        <v>128</v>
      </c>
      <c r="G202">
        <v>1620</v>
      </c>
      <c r="H202" t="s">
        <v>115</v>
      </c>
      <c r="I202">
        <v>2021</v>
      </c>
      <c r="J202">
        <v>2021</v>
      </c>
      <c r="K202" t="s">
        <v>143</v>
      </c>
      <c r="L202">
        <v>104000000</v>
      </c>
      <c r="M202" t="s">
        <v>397</v>
      </c>
      <c r="N202" t="s">
        <v>398</v>
      </c>
      <c r="O202">
        <v>44539614.56102784</v>
      </c>
      <c r="P202">
        <v>44.53961456102784</v>
      </c>
      <c r="Q202" t="s">
        <v>751</v>
      </c>
      <c r="R202" s="141">
        <v>0.42826552462526768</v>
      </c>
    </row>
    <row r="203" spans="1:18" x14ac:dyDescent="0.3">
      <c r="A203" t="s">
        <v>126</v>
      </c>
      <c r="B203" t="s">
        <v>125</v>
      </c>
      <c r="C203" t="s">
        <v>463</v>
      </c>
      <c r="D203" t="s">
        <v>463</v>
      </c>
      <c r="E203">
        <v>5616</v>
      </c>
      <c r="F203" t="s">
        <v>127</v>
      </c>
      <c r="G203">
        <v>1620</v>
      </c>
      <c r="H203" t="s">
        <v>115</v>
      </c>
      <c r="I203">
        <v>2021</v>
      </c>
      <c r="J203">
        <v>2021</v>
      </c>
      <c r="K203" t="s">
        <v>143</v>
      </c>
      <c r="L203">
        <v>39784.78</v>
      </c>
      <c r="M203" t="s">
        <v>829</v>
      </c>
      <c r="N203" t="s">
        <v>830</v>
      </c>
      <c r="O203">
        <v>17038.449678800858</v>
      </c>
      <c r="P203">
        <v>1.7038449678800856E-2</v>
      </c>
      <c r="Q203" t="s">
        <v>752</v>
      </c>
      <c r="R203" s="141">
        <v>0.42826552462526768</v>
      </c>
    </row>
    <row r="204" spans="1:18" x14ac:dyDescent="0.3">
      <c r="A204" t="s">
        <v>126</v>
      </c>
      <c r="B204" t="s">
        <v>125</v>
      </c>
      <c r="C204" t="s">
        <v>463</v>
      </c>
      <c r="D204" t="s">
        <v>463</v>
      </c>
      <c r="E204">
        <v>5916</v>
      </c>
      <c r="F204" t="s">
        <v>124</v>
      </c>
      <c r="G204">
        <v>1620</v>
      </c>
      <c r="H204" t="s">
        <v>115</v>
      </c>
      <c r="I204">
        <v>2021</v>
      </c>
      <c r="J204">
        <v>2021</v>
      </c>
      <c r="K204" t="s">
        <v>143</v>
      </c>
      <c r="L204">
        <v>9693.91</v>
      </c>
      <c r="M204" t="s">
        <v>397</v>
      </c>
      <c r="N204" t="s">
        <v>398</v>
      </c>
      <c r="O204">
        <v>4151.5674518201286</v>
      </c>
      <c r="P204">
        <v>4.1515674518201283E-3</v>
      </c>
      <c r="Q204" t="s">
        <v>753</v>
      </c>
      <c r="R204" s="141">
        <v>0.42826552462526768</v>
      </c>
    </row>
    <row r="205" spans="1:18" x14ac:dyDescent="0.3">
      <c r="A205" t="s">
        <v>126</v>
      </c>
      <c r="B205" t="s">
        <v>125</v>
      </c>
      <c r="C205" t="s">
        <v>463</v>
      </c>
      <c r="D205" t="s">
        <v>463</v>
      </c>
      <c r="E205">
        <v>5510</v>
      </c>
      <c r="F205" t="s">
        <v>128</v>
      </c>
      <c r="G205">
        <v>1600</v>
      </c>
      <c r="H205" t="s">
        <v>148</v>
      </c>
      <c r="I205">
        <v>2021</v>
      </c>
      <c r="J205">
        <v>2021</v>
      </c>
      <c r="K205" t="s">
        <v>339</v>
      </c>
      <c r="L205">
        <v>2001300</v>
      </c>
      <c r="M205" t="s">
        <v>397</v>
      </c>
      <c r="N205" t="s">
        <v>398</v>
      </c>
      <c r="O205">
        <v>1551007.5</v>
      </c>
      <c r="P205">
        <v>1.5510074999999999</v>
      </c>
      <c r="Q205" t="s">
        <v>754</v>
      </c>
      <c r="R205" s="141">
        <v>0.77500000000000002</v>
      </c>
    </row>
    <row r="206" spans="1:18" x14ac:dyDescent="0.3">
      <c r="A206" t="s">
        <v>126</v>
      </c>
      <c r="B206" t="s">
        <v>125</v>
      </c>
      <c r="C206" t="s">
        <v>463</v>
      </c>
      <c r="D206" t="s">
        <v>463</v>
      </c>
      <c r="E206">
        <v>5610</v>
      </c>
      <c r="F206" t="s">
        <v>127</v>
      </c>
      <c r="G206">
        <v>1600</v>
      </c>
      <c r="H206" t="s">
        <v>148</v>
      </c>
      <c r="I206">
        <v>2021</v>
      </c>
      <c r="J206">
        <v>2021</v>
      </c>
      <c r="O206">
        <v>0</v>
      </c>
      <c r="P206">
        <v>0</v>
      </c>
      <c r="Q206" t="s">
        <v>755</v>
      </c>
      <c r="R206" s="141">
        <v>0.77500000000000002</v>
      </c>
    </row>
    <row r="207" spans="1:18" x14ac:dyDescent="0.3">
      <c r="A207" t="s">
        <v>126</v>
      </c>
      <c r="B207" t="s">
        <v>125</v>
      </c>
      <c r="C207" t="s">
        <v>463</v>
      </c>
      <c r="D207" t="s">
        <v>463</v>
      </c>
      <c r="E207">
        <v>5910</v>
      </c>
      <c r="F207" t="s">
        <v>124</v>
      </c>
      <c r="G207">
        <v>1600</v>
      </c>
      <c r="H207" t="s">
        <v>148</v>
      </c>
      <c r="I207">
        <v>2021</v>
      </c>
      <c r="J207">
        <v>2021</v>
      </c>
      <c r="O207">
        <v>0</v>
      </c>
      <c r="P207">
        <v>0</v>
      </c>
      <c r="Q207" t="s">
        <v>756</v>
      </c>
      <c r="R207" s="141">
        <v>0.77500000000000002</v>
      </c>
    </row>
    <row r="208" spans="1:18" x14ac:dyDescent="0.3">
      <c r="A208" t="s">
        <v>126</v>
      </c>
      <c r="B208" t="s">
        <v>125</v>
      </c>
      <c r="C208" t="s">
        <v>463</v>
      </c>
      <c r="D208" t="s">
        <v>463</v>
      </c>
      <c r="E208">
        <v>5510</v>
      </c>
      <c r="F208" t="s">
        <v>128</v>
      </c>
      <c r="G208">
        <v>1693</v>
      </c>
      <c r="H208" t="s">
        <v>114</v>
      </c>
      <c r="I208">
        <v>2021</v>
      </c>
      <c r="J208">
        <v>2021</v>
      </c>
      <c r="K208" t="s">
        <v>339</v>
      </c>
      <c r="L208">
        <v>873000</v>
      </c>
      <c r="M208" t="s">
        <v>397</v>
      </c>
      <c r="N208" t="s">
        <v>398</v>
      </c>
      <c r="O208">
        <v>807525</v>
      </c>
      <c r="P208">
        <v>0.80752499999999994</v>
      </c>
      <c r="Q208" t="s">
        <v>757</v>
      </c>
      <c r="R208" s="141">
        <v>0.92500000000000004</v>
      </c>
    </row>
    <row r="209" spans="1:18" x14ac:dyDescent="0.3">
      <c r="A209" t="s">
        <v>126</v>
      </c>
      <c r="B209" t="s">
        <v>125</v>
      </c>
      <c r="C209" t="s">
        <v>463</v>
      </c>
      <c r="D209" t="s">
        <v>463</v>
      </c>
      <c r="E209">
        <v>5610</v>
      </c>
      <c r="F209" t="s">
        <v>127</v>
      </c>
      <c r="G209">
        <v>1693</v>
      </c>
      <c r="H209" t="s">
        <v>114</v>
      </c>
      <c r="I209">
        <v>2021</v>
      </c>
      <c r="J209">
        <v>2021</v>
      </c>
      <c r="K209" t="s">
        <v>339</v>
      </c>
      <c r="L209">
        <v>11396.47</v>
      </c>
      <c r="M209" t="s">
        <v>397</v>
      </c>
      <c r="N209" t="s">
        <v>398</v>
      </c>
      <c r="O209">
        <v>10541.73475</v>
      </c>
      <c r="P209">
        <v>1.0541734749999998E-2</v>
      </c>
      <c r="Q209" t="s">
        <v>758</v>
      </c>
      <c r="R209" s="141">
        <v>0.92500000000000004</v>
      </c>
    </row>
    <row r="210" spans="1:18" x14ac:dyDescent="0.3">
      <c r="A210" t="s">
        <v>126</v>
      </c>
      <c r="B210" t="s">
        <v>125</v>
      </c>
      <c r="C210" t="s">
        <v>463</v>
      </c>
      <c r="D210" t="s">
        <v>463</v>
      </c>
      <c r="E210">
        <v>5910</v>
      </c>
      <c r="F210" t="s">
        <v>124</v>
      </c>
      <c r="G210">
        <v>1693</v>
      </c>
      <c r="H210" t="s">
        <v>114</v>
      </c>
      <c r="I210">
        <v>2021</v>
      </c>
      <c r="J210">
        <v>2021</v>
      </c>
      <c r="K210" t="s">
        <v>339</v>
      </c>
      <c r="L210">
        <v>4583.67</v>
      </c>
      <c r="M210" t="s">
        <v>397</v>
      </c>
      <c r="N210" t="s">
        <v>398</v>
      </c>
      <c r="O210">
        <v>4239.8947500000004</v>
      </c>
      <c r="P210">
        <v>4.2398947500000006E-3</v>
      </c>
      <c r="Q210" t="s">
        <v>759</v>
      </c>
      <c r="R210" s="141">
        <v>0.92500000000000004</v>
      </c>
    </row>
    <row r="211" spans="1:18" x14ac:dyDescent="0.3">
      <c r="A211" t="s">
        <v>126</v>
      </c>
      <c r="B211" t="s">
        <v>125</v>
      </c>
      <c r="C211" t="s">
        <v>463</v>
      </c>
      <c r="D211" t="s">
        <v>463</v>
      </c>
      <c r="E211">
        <v>5516</v>
      </c>
      <c r="F211" t="s">
        <v>128</v>
      </c>
      <c r="G211">
        <v>1632</v>
      </c>
      <c r="H211" t="s">
        <v>110</v>
      </c>
      <c r="I211">
        <v>2021</v>
      </c>
      <c r="J211">
        <v>2021</v>
      </c>
      <c r="K211" t="s">
        <v>143</v>
      </c>
      <c r="L211">
        <v>38033000</v>
      </c>
      <c r="M211" t="s">
        <v>397</v>
      </c>
      <c r="N211" t="s">
        <v>398</v>
      </c>
      <c r="O211">
        <v>19701094</v>
      </c>
      <c r="P211">
        <v>19.701093999999998</v>
      </c>
      <c r="Q211" t="s">
        <v>760</v>
      </c>
      <c r="R211" s="141">
        <v>0.51800000000000002</v>
      </c>
    </row>
    <row r="212" spans="1:18" x14ac:dyDescent="0.3">
      <c r="A212" t="s">
        <v>126</v>
      </c>
      <c r="B212" t="s">
        <v>125</v>
      </c>
      <c r="C212" t="s">
        <v>463</v>
      </c>
      <c r="D212" t="s">
        <v>463</v>
      </c>
      <c r="E212">
        <v>5616</v>
      </c>
      <c r="F212" t="s">
        <v>127</v>
      </c>
      <c r="G212">
        <v>1632</v>
      </c>
      <c r="H212" t="s">
        <v>110</v>
      </c>
      <c r="I212">
        <v>2021</v>
      </c>
      <c r="J212">
        <v>2021</v>
      </c>
      <c r="K212" t="s">
        <v>143</v>
      </c>
      <c r="L212">
        <v>23726135</v>
      </c>
      <c r="M212" t="s">
        <v>397</v>
      </c>
      <c r="N212" t="s">
        <v>398</v>
      </c>
      <c r="O212">
        <v>12290137.93</v>
      </c>
      <c r="P212">
        <v>12.290137929999998</v>
      </c>
      <c r="Q212" t="s">
        <v>761</v>
      </c>
      <c r="R212" s="141">
        <v>0.51800000000000002</v>
      </c>
    </row>
    <row r="213" spans="1:18" x14ac:dyDescent="0.3">
      <c r="A213" t="s">
        <v>126</v>
      </c>
      <c r="B213" t="s">
        <v>125</v>
      </c>
      <c r="C213" t="s">
        <v>463</v>
      </c>
      <c r="D213" t="s">
        <v>463</v>
      </c>
      <c r="E213">
        <v>5916</v>
      </c>
      <c r="F213" t="s">
        <v>124</v>
      </c>
      <c r="G213">
        <v>1632</v>
      </c>
      <c r="H213" t="s">
        <v>110</v>
      </c>
      <c r="I213">
        <v>2021</v>
      </c>
      <c r="J213">
        <v>2021</v>
      </c>
      <c r="K213" t="s">
        <v>143</v>
      </c>
      <c r="L213">
        <v>96950</v>
      </c>
      <c r="M213" t="s">
        <v>397</v>
      </c>
      <c r="N213" t="s">
        <v>398</v>
      </c>
      <c r="O213">
        <v>50220.1</v>
      </c>
      <c r="P213">
        <v>5.0220099999999997E-2</v>
      </c>
      <c r="Q213" t="s">
        <v>762</v>
      </c>
      <c r="R213" s="141">
        <v>0.51800000000000002</v>
      </c>
    </row>
    <row r="214" spans="1:18" x14ac:dyDescent="0.3">
      <c r="A214" t="s">
        <v>126</v>
      </c>
      <c r="B214" t="s">
        <v>125</v>
      </c>
      <c r="C214" t="s">
        <v>463</v>
      </c>
      <c r="D214" t="s">
        <v>463</v>
      </c>
      <c r="E214">
        <v>5516</v>
      </c>
      <c r="F214" t="s">
        <v>128</v>
      </c>
      <c r="G214">
        <v>1633</v>
      </c>
      <c r="H214" t="s">
        <v>109</v>
      </c>
      <c r="I214">
        <v>2021</v>
      </c>
      <c r="J214">
        <v>2021</v>
      </c>
      <c r="K214" t="s">
        <v>143</v>
      </c>
      <c r="L214">
        <v>46007700</v>
      </c>
      <c r="M214" t="s">
        <v>397</v>
      </c>
      <c r="N214" t="s">
        <v>398</v>
      </c>
      <c r="O214">
        <v>28984851</v>
      </c>
      <c r="P214">
        <v>28.984850999999999</v>
      </c>
      <c r="Q214" t="s">
        <v>763</v>
      </c>
      <c r="R214" s="141">
        <v>0.63</v>
      </c>
    </row>
    <row r="215" spans="1:18" x14ac:dyDescent="0.3">
      <c r="A215" t="s">
        <v>126</v>
      </c>
      <c r="B215" t="s">
        <v>125</v>
      </c>
      <c r="C215" t="s">
        <v>463</v>
      </c>
      <c r="D215" t="s">
        <v>463</v>
      </c>
      <c r="E215">
        <v>5616</v>
      </c>
      <c r="F215" t="s">
        <v>127</v>
      </c>
      <c r="G215">
        <v>1633</v>
      </c>
      <c r="H215" t="s">
        <v>109</v>
      </c>
      <c r="I215">
        <v>2021</v>
      </c>
      <c r="J215">
        <v>2021</v>
      </c>
      <c r="K215" t="s">
        <v>143</v>
      </c>
      <c r="L215">
        <v>10245415</v>
      </c>
      <c r="M215" t="s">
        <v>397</v>
      </c>
      <c r="N215" t="s">
        <v>398</v>
      </c>
      <c r="O215">
        <v>6454611.4500000002</v>
      </c>
      <c r="P215">
        <v>6.4546114499999998</v>
      </c>
      <c r="Q215" t="s">
        <v>764</v>
      </c>
      <c r="R215" s="141">
        <v>0.63</v>
      </c>
    </row>
    <row r="216" spans="1:18" x14ac:dyDescent="0.3">
      <c r="A216" t="s">
        <v>126</v>
      </c>
      <c r="B216" t="s">
        <v>125</v>
      </c>
      <c r="C216" t="s">
        <v>463</v>
      </c>
      <c r="D216" t="s">
        <v>463</v>
      </c>
      <c r="E216">
        <v>5916</v>
      </c>
      <c r="F216" t="s">
        <v>124</v>
      </c>
      <c r="G216">
        <v>1633</v>
      </c>
      <c r="H216" t="s">
        <v>109</v>
      </c>
      <c r="I216">
        <v>2021</v>
      </c>
      <c r="J216">
        <v>2021</v>
      </c>
      <c r="K216" t="s">
        <v>143</v>
      </c>
      <c r="L216">
        <v>139084</v>
      </c>
      <c r="M216" t="s">
        <v>397</v>
      </c>
      <c r="N216" t="s">
        <v>398</v>
      </c>
      <c r="O216">
        <v>87622.92</v>
      </c>
      <c r="P216">
        <v>8.7622919999999993E-2</v>
      </c>
      <c r="Q216" t="s">
        <v>765</v>
      </c>
      <c r="R216" s="141">
        <v>0.63</v>
      </c>
    </row>
    <row r="217" spans="1:18" x14ac:dyDescent="0.3">
      <c r="A217" t="s">
        <v>126</v>
      </c>
      <c r="B217" t="s">
        <v>125</v>
      </c>
      <c r="C217" t="s">
        <v>463</v>
      </c>
      <c r="D217" t="s">
        <v>463</v>
      </c>
      <c r="E217">
        <v>5516</v>
      </c>
      <c r="F217" t="s">
        <v>128</v>
      </c>
      <c r="G217">
        <v>1634</v>
      </c>
      <c r="H217" t="s">
        <v>108</v>
      </c>
      <c r="I217">
        <v>2021</v>
      </c>
      <c r="J217">
        <v>2021</v>
      </c>
      <c r="K217" t="s">
        <v>143</v>
      </c>
      <c r="L217">
        <v>2732098</v>
      </c>
      <c r="M217" t="s">
        <v>397</v>
      </c>
      <c r="N217" t="s">
        <v>398</v>
      </c>
      <c r="O217">
        <v>1561394.007</v>
      </c>
      <c r="P217">
        <v>1.5613940069999999</v>
      </c>
      <c r="Q217" t="s">
        <v>766</v>
      </c>
      <c r="R217" s="141">
        <v>0.57150000000000001</v>
      </c>
    </row>
    <row r="218" spans="1:18" x14ac:dyDescent="0.3">
      <c r="A218" t="s">
        <v>126</v>
      </c>
      <c r="B218" t="s">
        <v>125</v>
      </c>
      <c r="C218" t="s">
        <v>463</v>
      </c>
      <c r="D218" t="s">
        <v>463</v>
      </c>
      <c r="E218">
        <v>5616</v>
      </c>
      <c r="F218" t="s">
        <v>127</v>
      </c>
      <c r="G218">
        <v>1634</v>
      </c>
      <c r="H218" t="s">
        <v>108</v>
      </c>
      <c r="I218">
        <v>2021</v>
      </c>
      <c r="J218">
        <v>2021</v>
      </c>
      <c r="K218" t="s">
        <v>143</v>
      </c>
      <c r="L218">
        <v>3626858</v>
      </c>
      <c r="M218" t="s">
        <v>397</v>
      </c>
      <c r="N218" t="s">
        <v>398</v>
      </c>
      <c r="O218">
        <v>2072749.3470000001</v>
      </c>
      <c r="P218">
        <v>2.0727493469999998</v>
      </c>
      <c r="Q218" t="s">
        <v>767</v>
      </c>
      <c r="R218" s="141">
        <v>0.57150000000000001</v>
      </c>
    </row>
    <row r="219" spans="1:18" x14ac:dyDescent="0.3">
      <c r="A219" t="s">
        <v>126</v>
      </c>
      <c r="B219" t="s">
        <v>125</v>
      </c>
      <c r="C219" t="s">
        <v>463</v>
      </c>
      <c r="D219" t="s">
        <v>463</v>
      </c>
      <c r="E219">
        <v>5916</v>
      </c>
      <c r="F219" t="s">
        <v>124</v>
      </c>
      <c r="G219">
        <v>1634</v>
      </c>
      <c r="H219" t="s">
        <v>108</v>
      </c>
      <c r="I219">
        <v>2021</v>
      </c>
      <c r="J219">
        <v>2021</v>
      </c>
      <c r="K219" t="s">
        <v>143</v>
      </c>
      <c r="L219">
        <v>602488</v>
      </c>
      <c r="M219" t="s">
        <v>397</v>
      </c>
      <c r="N219" t="s">
        <v>398</v>
      </c>
      <c r="O219">
        <v>344321.89199999999</v>
      </c>
      <c r="P219">
        <v>0.34432189199999996</v>
      </c>
      <c r="Q219" t="s">
        <v>768</v>
      </c>
      <c r="R219" s="141">
        <v>0.57150000000000001</v>
      </c>
    </row>
    <row r="220" spans="1:18" x14ac:dyDescent="0.3">
      <c r="A220" t="s">
        <v>126</v>
      </c>
      <c r="B220" t="s">
        <v>125</v>
      </c>
      <c r="C220" t="s">
        <v>463</v>
      </c>
      <c r="D220" t="s">
        <v>463</v>
      </c>
      <c r="E220">
        <v>5516</v>
      </c>
      <c r="F220" t="s">
        <v>128</v>
      </c>
      <c r="G220">
        <v>1640</v>
      </c>
      <c r="H220" t="s">
        <v>104</v>
      </c>
      <c r="I220">
        <v>2021</v>
      </c>
      <c r="J220">
        <v>2021</v>
      </c>
      <c r="K220" t="s">
        <v>143</v>
      </c>
      <c r="L220">
        <v>76464000</v>
      </c>
      <c r="M220" t="s">
        <v>397</v>
      </c>
      <c r="N220" t="s">
        <v>398</v>
      </c>
      <c r="O220">
        <v>43699176</v>
      </c>
      <c r="P220">
        <v>43.699176000000001</v>
      </c>
      <c r="Q220" t="s">
        <v>769</v>
      </c>
      <c r="R220" s="141">
        <v>0.57150000000000001</v>
      </c>
    </row>
    <row r="221" spans="1:18" x14ac:dyDescent="0.3">
      <c r="A221" t="s">
        <v>126</v>
      </c>
      <c r="B221" t="s">
        <v>125</v>
      </c>
      <c r="C221" t="s">
        <v>463</v>
      </c>
      <c r="D221" t="s">
        <v>463</v>
      </c>
      <c r="E221">
        <v>5616</v>
      </c>
      <c r="F221" t="s">
        <v>127</v>
      </c>
      <c r="G221">
        <v>1640</v>
      </c>
      <c r="H221" t="s">
        <v>104</v>
      </c>
      <c r="I221">
        <v>2021</v>
      </c>
      <c r="J221">
        <v>2021</v>
      </c>
      <c r="K221" t="s">
        <v>143</v>
      </c>
      <c r="L221">
        <v>918616</v>
      </c>
      <c r="M221" t="s">
        <v>397</v>
      </c>
      <c r="N221" t="s">
        <v>398</v>
      </c>
      <c r="O221">
        <v>524989.04399999999</v>
      </c>
      <c r="P221">
        <v>0.52498904400000002</v>
      </c>
      <c r="Q221" t="s">
        <v>770</v>
      </c>
      <c r="R221" s="141">
        <v>0.57150000000000001</v>
      </c>
    </row>
    <row r="222" spans="1:18" x14ac:dyDescent="0.3">
      <c r="A222" t="s">
        <v>126</v>
      </c>
      <c r="B222" t="s">
        <v>125</v>
      </c>
      <c r="C222" t="s">
        <v>463</v>
      </c>
      <c r="D222" t="s">
        <v>463</v>
      </c>
      <c r="E222">
        <v>5916</v>
      </c>
      <c r="F222" t="s">
        <v>124</v>
      </c>
      <c r="G222">
        <v>1640</v>
      </c>
      <c r="H222" t="s">
        <v>104</v>
      </c>
      <c r="I222">
        <v>2021</v>
      </c>
      <c r="J222">
        <v>2021</v>
      </c>
      <c r="K222" t="s">
        <v>143</v>
      </c>
      <c r="L222">
        <v>9982604</v>
      </c>
      <c r="M222" t="s">
        <v>397</v>
      </c>
      <c r="N222" t="s">
        <v>398</v>
      </c>
      <c r="O222">
        <v>5705058.1859999998</v>
      </c>
      <c r="P222">
        <v>5.7050581859999996</v>
      </c>
      <c r="Q222" t="s">
        <v>771</v>
      </c>
      <c r="R222" s="141">
        <v>0.57150000000000001</v>
      </c>
    </row>
    <row r="223" spans="1:18" x14ac:dyDescent="0.3">
      <c r="A223" t="s">
        <v>126</v>
      </c>
      <c r="B223" t="s">
        <v>125</v>
      </c>
      <c r="C223" t="s">
        <v>463</v>
      </c>
      <c r="D223" t="s">
        <v>463</v>
      </c>
      <c r="E223">
        <v>5516</v>
      </c>
      <c r="F223" t="s">
        <v>128</v>
      </c>
      <c r="G223">
        <v>1646</v>
      </c>
      <c r="H223" t="s">
        <v>147</v>
      </c>
      <c r="I223">
        <v>2021</v>
      </c>
      <c r="J223">
        <v>2021</v>
      </c>
    </row>
    <row r="224" spans="1:18" x14ac:dyDescent="0.3">
      <c r="A224" t="s">
        <v>126</v>
      </c>
      <c r="B224" t="s">
        <v>125</v>
      </c>
      <c r="C224" t="s">
        <v>463</v>
      </c>
      <c r="D224" t="s">
        <v>463</v>
      </c>
      <c r="E224">
        <v>5616</v>
      </c>
      <c r="F224" t="s">
        <v>127</v>
      </c>
      <c r="G224">
        <v>1646</v>
      </c>
      <c r="H224" t="s">
        <v>147</v>
      </c>
      <c r="I224">
        <v>2021</v>
      </c>
      <c r="J224">
        <v>2021</v>
      </c>
    </row>
    <row r="225" spans="1:18" x14ac:dyDescent="0.3">
      <c r="A225" t="s">
        <v>126</v>
      </c>
      <c r="B225" t="s">
        <v>125</v>
      </c>
      <c r="C225" t="s">
        <v>463</v>
      </c>
      <c r="D225" t="s">
        <v>463</v>
      </c>
      <c r="E225">
        <v>5916</v>
      </c>
      <c r="F225" t="s">
        <v>124</v>
      </c>
      <c r="G225">
        <v>1646</v>
      </c>
      <c r="H225" t="s">
        <v>147</v>
      </c>
      <c r="I225">
        <v>2021</v>
      </c>
      <c r="J225">
        <v>2021</v>
      </c>
    </row>
    <row r="226" spans="1:18" x14ac:dyDescent="0.3">
      <c r="A226" t="s">
        <v>126</v>
      </c>
      <c r="B226" t="s">
        <v>125</v>
      </c>
      <c r="C226" t="s">
        <v>463</v>
      </c>
      <c r="D226" t="s">
        <v>463</v>
      </c>
      <c r="E226">
        <v>5516</v>
      </c>
      <c r="F226" t="s">
        <v>128</v>
      </c>
      <c r="G226">
        <v>1697</v>
      </c>
      <c r="H226" t="s">
        <v>103</v>
      </c>
      <c r="I226">
        <v>2021</v>
      </c>
      <c r="J226">
        <v>2021</v>
      </c>
      <c r="K226" t="s">
        <v>143</v>
      </c>
      <c r="L226">
        <v>33046000</v>
      </c>
      <c r="M226" t="s">
        <v>397</v>
      </c>
      <c r="N226" t="s">
        <v>398</v>
      </c>
      <c r="O226">
        <v>18009125.828571431</v>
      </c>
      <c r="P226">
        <v>18.009125828571431</v>
      </c>
      <c r="Q226" t="s">
        <v>772</v>
      </c>
      <c r="R226" s="141">
        <v>0.54497142857142866</v>
      </c>
    </row>
    <row r="227" spans="1:18" x14ac:dyDescent="0.3">
      <c r="A227" t="s">
        <v>126</v>
      </c>
      <c r="B227" t="s">
        <v>125</v>
      </c>
      <c r="C227" t="s">
        <v>463</v>
      </c>
      <c r="D227" t="s">
        <v>463</v>
      </c>
      <c r="E227">
        <v>5616</v>
      </c>
      <c r="F227" t="s">
        <v>127</v>
      </c>
      <c r="G227">
        <v>1697</v>
      </c>
      <c r="H227" t="s">
        <v>103</v>
      </c>
      <c r="I227">
        <v>2021</v>
      </c>
      <c r="J227">
        <v>2021</v>
      </c>
      <c r="K227" t="s">
        <v>143</v>
      </c>
      <c r="L227">
        <v>1335210.82</v>
      </c>
      <c r="M227" t="s">
        <v>829</v>
      </c>
      <c r="N227" t="s">
        <v>830</v>
      </c>
      <c r="O227">
        <v>727651.74801942869</v>
      </c>
      <c r="P227">
        <v>0.72765174801942867</v>
      </c>
      <c r="Q227" t="s">
        <v>773</v>
      </c>
      <c r="R227" s="141">
        <v>0.54497142857142866</v>
      </c>
    </row>
    <row r="228" spans="1:18" x14ac:dyDescent="0.3">
      <c r="A228" t="s">
        <v>126</v>
      </c>
      <c r="B228" t="s">
        <v>125</v>
      </c>
      <c r="C228" t="s">
        <v>463</v>
      </c>
      <c r="D228" t="s">
        <v>463</v>
      </c>
      <c r="E228">
        <v>5916</v>
      </c>
      <c r="F228" t="s">
        <v>124</v>
      </c>
      <c r="G228">
        <v>1697</v>
      </c>
      <c r="H228" t="s">
        <v>103</v>
      </c>
      <c r="I228">
        <v>2021</v>
      </c>
      <c r="J228">
        <v>2021</v>
      </c>
      <c r="K228" t="s">
        <v>143</v>
      </c>
      <c r="L228">
        <v>464731.02</v>
      </c>
      <c r="M228" t="s">
        <v>397</v>
      </c>
      <c r="N228" t="s">
        <v>398</v>
      </c>
      <c r="O228">
        <v>253265.12787085719</v>
      </c>
      <c r="P228">
        <v>0.2532651278708572</v>
      </c>
      <c r="Q228" t="s">
        <v>774</v>
      </c>
      <c r="R228" s="141">
        <v>0.54497142857142866</v>
      </c>
    </row>
    <row r="229" spans="1:18" x14ac:dyDescent="0.3">
      <c r="A229" t="s">
        <v>126</v>
      </c>
      <c r="B229" t="s">
        <v>125</v>
      </c>
      <c r="C229" t="s">
        <v>463</v>
      </c>
      <c r="D229" t="s">
        <v>463</v>
      </c>
      <c r="E229">
        <v>5516</v>
      </c>
      <c r="F229" t="s">
        <v>128</v>
      </c>
      <c r="G229">
        <v>1606</v>
      </c>
      <c r="H229" t="s">
        <v>102</v>
      </c>
      <c r="I229">
        <v>2021</v>
      </c>
      <c r="J229">
        <v>2021</v>
      </c>
      <c r="K229" t="s">
        <v>143</v>
      </c>
      <c r="L229">
        <v>5000000</v>
      </c>
      <c r="M229" t="s">
        <v>397</v>
      </c>
      <c r="N229" t="s">
        <v>398</v>
      </c>
      <c r="O229">
        <v>2913428.5714285718</v>
      </c>
      <c r="P229">
        <v>2.9134285714285717</v>
      </c>
      <c r="Q229" t="s">
        <v>775</v>
      </c>
      <c r="R229" s="141">
        <v>0.58268571428571436</v>
      </c>
    </row>
    <row r="230" spans="1:18" x14ac:dyDescent="0.3">
      <c r="A230" t="s">
        <v>126</v>
      </c>
      <c r="B230" t="s">
        <v>125</v>
      </c>
      <c r="C230" t="s">
        <v>463</v>
      </c>
      <c r="D230" t="s">
        <v>463</v>
      </c>
      <c r="E230">
        <v>5616</v>
      </c>
      <c r="F230" t="s">
        <v>127</v>
      </c>
      <c r="G230">
        <v>1606</v>
      </c>
      <c r="H230" t="s">
        <v>102</v>
      </c>
      <c r="I230">
        <v>2021</v>
      </c>
      <c r="J230">
        <v>2021</v>
      </c>
      <c r="K230" t="s">
        <v>143</v>
      </c>
      <c r="L230">
        <v>321599.31</v>
      </c>
      <c r="M230" t="s">
        <v>829</v>
      </c>
      <c r="N230" t="s">
        <v>830</v>
      </c>
      <c r="O230">
        <v>187391.32366114287</v>
      </c>
      <c r="P230">
        <v>0.18739132366114286</v>
      </c>
      <c r="Q230" t="s">
        <v>776</v>
      </c>
      <c r="R230" s="141">
        <v>0.58268571428571436</v>
      </c>
    </row>
    <row r="231" spans="1:18" x14ac:dyDescent="0.3">
      <c r="A231" t="s">
        <v>126</v>
      </c>
      <c r="B231" t="s">
        <v>125</v>
      </c>
      <c r="C231" t="s">
        <v>463</v>
      </c>
      <c r="D231" t="s">
        <v>463</v>
      </c>
      <c r="E231">
        <v>5916</v>
      </c>
      <c r="F231" t="s">
        <v>124</v>
      </c>
      <c r="G231">
        <v>1606</v>
      </c>
      <c r="H231" t="s">
        <v>102</v>
      </c>
      <c r="I231">
        <v>2021</v>
      </c>
      <c r="J231">
        <v>2021</v>
      </c>
      <c r="K231" t="s">
        <v>143</v>
      </c>
      <c r="L231">
        <v>456418.22</v>
      </c>
      <c r="M231" t="s">
        <v>397</v>
      </c>
      <c r="N231" t="s">
        <v>398</v>
      </c>
      <c r="O231">
        <v>265948.3765337143</v>
      </c>
      <c r="P231">
        <v>0.26594837653371428</v>
      </c>
      <c r="Q231" t="s">
        <v>777</v>
      </c>
      <c r="R231" s="141">
        <v>0.58268571428571436</v>
      </c>
    </row>
    <row r="232" spans="1:18" x14ac:dyDescent="0.3">
      <c r="A232" t="s">
        <v>126</v>
      </c>
      <c r="B232" t="s">
        <v>125</v>
      </c>
      <c r="C232" t="s">
        <v>463</v>
      </c>
      <c r="D232" t="s">
        <v>463</v>
      </c>
      <c r="E232">
        <v>5516</v>
      </c>
      <c r="F232" t="s">
        <v>128</v>
      </c>
      <c r="G232">
        <v>1647</v>
      </c>
      <c r="H232" t="s">
        <v>146</v>
      </c>
      <c r="I232">
        <v>2021</v>
      </c>
      <c r="J232">
        <v>2021</v>
      </c>
      <c r="K232" t="s">
        <v>143</v>
      </c>
      <c r="L232">
        <v>3887000</v>
      </c>
      <c r="M232" t="s">
        <v>397</v>
      </c>
      <c r="N232" t="s">
        <v>398</v>
      </c>
      <c r="O232">
        <v>3008538</v>
      </c>
      <c r="P232">
        <v>3.0085379999999997</v>
      </c>
      <c r="Q232" t="s">
        <v>778</v>
      </c>
      <c r="R232" s="141">
        <v>0.77400000000000002</v>
      </c>
    </row>
    <row r="233" spans="1:18" x14ac:dyDescent="0.3">
      <c r="A233" t="s">
        <v>126</v>
      </c>
      <c r="B233" t="s">
        <v>125</v>
      </c>
      <c r="C233" t="s">
        <v>463</v>
      </c>
      <c r="D233" t="s">
        <v>463</v>
      </c>
      <c r="E233">
        <v>5616</v>
      </c>
      <c r="F233" t="s">
        <v>127</v>
      </c>
      <c r="G233">
        <v>1647</v>
      </c>
      <c r="H233" t="s">
        <v>146</v>
      </c>
      <c r="I233">
        <v>2021</v>
      </c>
      <c r="J233">
        <v>2021</v>
      </c>
      <c r="K233" t="s">
        <v>143</v>
      </c>
      <c r="L233">
        <v>54661.33</v>
      </c>
      <c r="M233" t="s">
        <v>829</v>
      </c>
      <c r="N233" t="s">
        <v>830</v>
      </c>
      <c r="O233">
        <v>42307.869420000003</v>
      </c>
      <c r="P233">
        <v>4.2307869419999998E-2</v>
      </c>
      <c r="Q233" t="s">
        <v>779</v>
      </c>
      <c r="R233" s="141">
        <v>0.77400000000000002</v>
      </c>
    </row>
    <row r="234" spans="1:18" x14ac:dyDescent="0.3">
      <c r="A234" t="s">
        <v>126</v>
      </c>
      <c r="B234" t="s">
        <v>125</v>
      </c>
      <c r="C234" t="s">
        <v>463</v>
      </c>
      <c r="D234" t="s">
        <v>463</v>
      </c>
      <c r="E234">
        <v>5916</v>
      </c>
      <c r="F234" t="s">
        <v>124</v>
      </c>
      <c r="G234">
        <v>1647</v>
      </c>
      <c r="H234" t="s">
        <v>146</v>
      </c>
      <c r="I234">
        <v>2021</v>
      </c>
      <c r="J234">
        <v>2021</v>
      </c>
      <c r="K234" t="s">
        <v>143</v>
      </c>
      <c r="L234">
        <v>162867.32999999999</v>
      </c>
      <c r="M234" t="s">
        <v>397</v>
      </c>
      <c r="N234" t="s">
        <v>398</v>
      </c>
      <c r="O234">
        <v>126059.31341999999</v>
      </c>
      <c r="P234">
        <v>0.12605931341999999</v>
      </c>
      <c r="Q234" t="s">
        <v>780</v>
      </c>
      <c r="R234" s="141">
        <v>0.77400000000000002</v>
      </c>
    </row>
    <row r="235" spans="1:18" x14ac:dyDescent="0.3">
      <c r="A235" t="s">
        <v>126</v>
      </c>
      <c r="B235" t="s">
        <v>125</v>
      </c>
      <c r="C235" t="s">
        <v>463</v>
      </c>
      <c r="D235" t="s">
        <v>463</v>
      </c>
      <c r="E235">
        <v>5516</v>
      </c>
      <c r="F235" t="s">
        <v>128</v>
      </c>
      <c r="G235">
        <v>1648</v>
      </c>
      <c r="H235" t="s">
        <v>145</v>
      </c>
      <c r="I235">
        <v>2021</v>
      </c>
      <c r="J235">
        <v>2021</v>
      </c>
      <c r="K235" t="s">
        <v>143</v>
      </c>
      <c r="L235">
        <v>59998000</v>
      </c>
      <c r="M235" t="s">
        <v>397</v>
      </c>
      <c r="N235" t="s">
        <v>398</v>
      </c>
      <c r="O235">
        <v>36352359.642857142</v>
      </c>
      <c r="P235">
        <v>36.352359642857138</v>
      </c>
      <c r="Q235" t="s">
        <v>781</v>
      </c>
      <c r="R235" s="141">
        <v>0.60589285714285712</v>
      </c>
    </row>
    <row r="236" spans="1:18" x14ac:dyDescent="0.3">
      <c r="A236" t="s">
        <v>126</v>
      </c>
      <c r="B236" t="s">
        <v>125</v>
      </c>
      <c r="C236" t="s">
        <v>463</v>
      </c>
      <c r="D236" t="s">
        <v>463</v>
      </c>
      <c r="E236">
        <v>5616</v>
      </c>
      <c r="F236" t="s">
        <v>127</v>
      </c>
      <c r="G236">
        <v>1648</v>
      </c>
      <c r="H236" t="s">
        <v>145</v>
      </c>
      <c r="I236">
        <v>2021</v>
      </c>
      <c r="J236">
        <v>2021</v>
      </c>
      <c r="K236" t="s">
        <v>143</v>
      </c>
      <c r="L236">
        <v>276746.38</v>
      </c>
      <c r="M236" t="s">
        <v>829</v>
      </c>
      <c r="N236" t="s">
        <v>830</v>
      </c>
      <c r="O236">
        <v>167678.65488214284</v>
      </c>
      <c r="P236">
        <v>0.16767865488214284</v>
      </c>
      <c r="Q236" t="s">
        <v>782</v>
      </c>
      <c r="R236" s="141">
        <v>0.60589285714285712</v>
      </c>
    </row>
    <row r="237" spans="1:18" x14ac:dyDescent="0.3">
      <c r="A237" t="s">
        <v>126</v>
      </c>
      <c r="B237" t="s">
        <v>125</v>
      </c>
      <c r="C237" t="s">
        <v>463</v>
      </c>
      <c r="D237" t="s">
        <v>463</v>
      </c>
      <c r="E237">
        <v>5916</v>
      </c>
      <c r="F237" t="s">
        <v>124</v>
      </c>
      <c r="G237">
        <v>1648</v>
      </c>
      <c r="H237" t="s">
        <v>145</v>
      </c>
      <c r="I237">
        <v>2021</v>
      </c>
      <c r="J237">
        <v>2021</v>
      </c>
      <c r="K237" t="s">
        <v>143</v>
      </c>
      <c r="L237">
        <v>2899273.26</v>
      </c>
      <c r="M237" t="s">
        <v>397</v>
      </c>
      <c r="N237" t="s">
        <v>398</v>
      </c>
      <c r="O237">
        <v>1756648.9591392856</v>
      </c>
      <c r="P237">
        <v>1.7566489591392855</v>
      </c>
      <c r="Q237" t="s">
        <v>783</v>
      </c>
      <c r="R237" s="141">
        <v>0.60589285714285712</v>
      </c>
    </row>
    <row r="238" spans="1:18" x14ac:dyDescent="0.3">
      <c r="A238" t="s">
        <v>126</v>
      </c>
      <c r="B238" t="s">
        <v>125</v>
      </c>
      <c r="C238" t="s">
        <v>463</v>
      </c>
      <c r="D238" t="s">
        <v>463</v>
      </c>
      <c r="E238">
        <v>5516</v>
      </c>
      <c r="F238" t="s">
        <v>128</v>
      </c>
      <c r="G238">
        <v>1650</v>
      </c>
      <c r="H238" t="s">
        <v>144</v>
      </c>
      <c r="I238">
        <v>2021</v>
      </c>
      <c r="J238">
        <v>2021</v>
      </c>
      <c r="K238" t="s">
        <v>143</v>
      </c>
      <c r="L238">
        <v>321000</v>
      </c>
      <c r="M238" t="s">
        <v>397</v>
      </c>
      <c r="N238" t="s">
        <v>398</v>
      </c>
      <c r="O238">
        <v>78328.012500000012</v>
      </c>
      <c r="P238">
        <v>7.8328012500000002E-2</v>
      </c>
      <c r="Q238" t="s">
        <v>784</v>
      </c>
      <c r="R238" s="141">
        <v>0.24401250000000002</v>
      </c>
    </row>
    <row r="239" spans="1:18" x14ac:dyDescent="0.3">
      <c r="A239" t="s">
        <v>126</v>
      </c>
      <c r="B239" t="s">
        <v>125</v>
      </c>
      <c r="C239" t="s">
        <v>463</v>
      </c>
      <c r="D239" t="s">
        <v>463</v>
      </c>
      <c r="E239">
        <v>5616</v>
      </c>
      <c r="F239" t="s">
        <v>127</v>
      </c>
      <c r="G239">
        <v>1650</v>
      </c>
      <c r="H239" t="s">
        <v>144</v>
      </c>
      <c r="I239">
        <v>2021</v>
      </c>
      <c r="J239">
        <v>2021</v>
      </c>
      <c r="K239" t="s">
        <v>143</v>
      </c>
      <c r="L239">
        <v>28791.15</v>
      </c>
      <c r="M239" t="s">
        <v>397</v>
      </c>
      <c r="N239" t="s">
        <v>398</v>
      </c>
      <c r="O239">
        <v>7025.4004893750007</v>
      </c>
      <c r="P239">
        <v>7.0254004893749999E-3</v>
      </c>
      <c r="Q239" t="s">
        <v>785</v>
      </c>
      <c r="R239" s="141">
        <v>0.24401250000000002</v>
      </c>
    </row>
    <row r="240" spans="1:18" x14ac:dyDescent="0.3">
      <c r="A240" t="s">
        <v>126</v>
      </c>
      <c r="B240" t="s">
        <v>125</v>
      </c>
      <c r="C240" t="s">
        <v>463</v>
      </c>
      <c r="D240" t="s">
        <v>463</v>
      </c>
      <c r="E240">
        <v>5916</v>
      </c>
      <c r="F240" t="s">
        <v>124</v>
      </c>
      <c r="G240">
        <v>1650</v>
      </c>
      <c r="H240" t="s">
        <v>144</v>
      </c>
      <c r="I240">
        <v>2021</v>
      </c>
      <c r="J240">
        <v>2021</v>
      </c>
      <c r="K240" t="s">
        <v>143</v>
      </c>
      <c r="L240">
        <v>27020.03</v>
      </c>
      <c r="M240" t="s">
        <v>397</v>
      </c>
      <c r="N240" t="s">
        <v>398</v>
      </c>
      <c r="O240">
        <v>6593.2250703750005</v>
      </c>
      <c r="P240">
        <v>6.5932250703750004E-3</v>
      </c>
      <c r="Q240" t="s">
        <v>786</v>
      </c>
      <c r="R240" s="141">
        <v>0.24401250000000002</v>
      </c>
    </row>
    <row r="241" spans="1:18" x14ac:dyDescent="0.3">
      <c r="A241" t="s">
        <v>126</v>
      </c>
      <c r="B241" t="s">
        <v>125</v>
      </c>
      <c r="C241" t="s">
        <v>463</v>
      </c>
      <c r="D241" t="s">
        <v>463</v>
      </c>
      <c r="E241">
        <v>5516</v>
      </c>
      <c r="F241" t="s">
        <v>128</v>
      </c>
      <c r="G241">
        <v>1649</v>
      </c>
      <c r="H241" t="s">
        <v>142</v>
      </c>
      <c r="I241">
        <v>2021</v>
      </c>
      <c r="J241">
        <v>2021</v>
      </c>
    </row>
    <row r="242" spans="1:18" x14ac:dyDescent="0.3">
      <c r="A242" t="s">
        <v>126</v>
      </c>
      <c r="B242" t="s">
        <v>125</v>
      </c>
      <c r="C242" t="s">
        <v>463</v>
      </c>
      <c r="D242" t="s">
        <v>463</v>
      </c>
      <c r="E242">
        <v>5616</v>
      </c>
      <c r="F242" t="s">
        <v>127</v>
      </c>
      <c r="G242">
        <v>1649</v>
      </c>
      <c r="H242" t="s">
        <v>142</v>
      </c>
      <c r="I242">
        <v>2021</v>
      </c>
      <c r="J242">
        <v>2021</v>
      </c>
    </row>
    <row r="243" spans="1:18" x14ac:dyDescent="0.3">
      <c r="A243" t="s">
        <v>126</v>
      </c>
      <c r="B243" t="s">
        <v>125</v>
      </c>
      <c r="C243" t="s">
        <v>463</v>
      </c>
      <c r="D243" t="s">
        <v>463</v>
      </c>
      <c r="E243">
        <v>5916</v>
      </c>
      <c r="F243" t="s">
        <v>124</v>
      </c>
      <c r="G243">
        <v>1649</v>
      </c>
      <c r="H243" t="s">
        <v>142</v>
      </c>
      <c r="I243">
        <v>2021</v>
      </c>
      <c r="J243">
        <v>2021</v>
      </c>
    </row>
    <row r="244" spans="1:18" x14ac:dyDescent="0.3">
      <c r="A244" t="s">
        <v>126</v>
      </c>
      <c r="B244" t="s">
        <v>125</v>
      </c>
      <c r="C244" t="s">
        <v>463</v>
      </c>
      <c r="D244" t="s">
        <v>463</v>
      </c>
      <c r="E244">
        <v>5510</v>
      </c>
      <c r="F244" t="s">
        <v>128</v>
      </c>
      <c r="G244">
        <v>1685</v>
      </c>
      <c r="H244" t="s">
        <v>98</v>
      </c>
      <c r="I244">
        <v>2021</v>
      </c>
      <c r="J244">
        <v>2021</v>
      </c>
      <c r="K244" t="s">
        <v>339</v>
      </c>
      <c r="L244">
        <v>2575000</v>
      </c>
      <c r="M244" t="s">
        <v>397</v>
      </c>
      <c r="N244" t="s">
        <v>398</v>
      </c>
      <c r="O244">
        <v>2317500</v>
      </c>
      <c r="P244">
        <v>2.3174999999999999</v>
      </c>
      <c r="Q244" t="s">
        <v>787</v>
      </c>
      <c r="R244" s="141">
        <v>0.9</v>
      </c>
    </row>
    <row r="245" spans="1:18" x14ac:dyDescent="0.3">
      <c r="A245" t="s">
        <v>126</v>
      </c>
      <c r="B245" t="s">
        <v>125</v>
      </c>
      <c r="C245" t="s">
        <v>463</v>
      </c>
      <c r="D245" t="s">
        <v>463</v>
      </c>
      <c r="E245">
        <v>5610</v>
      </c>
      <c r="F245" t="s">
        <v>127</v>
      </c>
      <c r="G245">
        <v>1685</v>
      </c>
      <c r="H245" t="s">
        <v>98</v>
      </c>
      <c r="I245">
        <v>2021</v>
      </c>
      <c r="J245">
        <v>2021</v>
      </c>
      <c r="K245" t="s">
        <v>339</v>
      </c>
      <c r="L245">
        <v>1654630.12</v>
      </c>
      <c r="M245" t="s">
        <v>397</v>
      </c>
      <c r="N245" t="s">
        <v>398</v>
      </c>
      <c r="O245">
        <v>1489167.1080000002</v>
      </c>
      <c r="P245">
        <v>1.4891671080000002</v>
      </c>
      <c r="Q245" t="s">
        <v>788</v>
      </c>
      <c r="R245" s="141">
        <v>0.9</v>
      </c>
    </row>
    <row r="246" spans="1:18" x14ac:dyDescent="0.3">
      <c r="A246" t="s">
        <v>126</v>
      </c>
      <c r="B246" t="s">
        <v>125</v>
      </c>
      <c r="C246" t="s">
        <v>463</v>
      </c>
      <c r="D246" t="s">
        <v>463</v>
      </c>
      <c r="E246">
        <v>5910</v>
      </c>
      <c r="F246" t="s">
        <v>124</v>
      </c>
      <c r="G246">
        <v>1685</v>
      </c>
      <c r="H246" t="s">
        <v>98</v>
      </c>
      <c r="I246">
        <v>2021</v>
      </c>
      <c r="J246">
        <v>2021</v>
      </c>
      <c r="K246" t="s">
        <v>339</v>
      </c>
      <c r="L246">
        <v>13036.42</v>
      </c>
      <c r="M246" t="s">
        <v>829</v>
      </c>
      <c r="N246" t="s">
        <v>830</v>
      </c>
      <c r="O246">
        <v>11732.778</v>
      </c>
      <c r="P246">
        <v>1.1732777999999999E-2</v>
      </c>
      <c r="Q246" t="s">
        <v>789</v>
      </c>
      <c r="R246" s="141">
        <v>0.9</v>
      </c>
    </row>
    <row r="247" spans="1:18" x14ac:dyDescent="0.3">
      <c r="A247" t="s">
        <v>126</v>
      </c>
      <c r="B247" t="s">
        <v>125</v>
      </c>
      <c r="C247" t="s">
        <v>463</v>
      </c>
      <c r="D247" t="s">
        <v>463</v>
      </c>
      <c r="E247">
        <v>5510</v>
      </c>
      <c r="F247" t="s">
        <v>128</v>
      </c>
      <c r="G247">
        <v>1654</v>
      </c>
      <c r="H247" t="s">
        <v>141</v>
      </c>
      <c r="I247">
        <v>2021</v>
      </c>
      <c r="J247">
        <v>2021</v>
      </c>
    </row>
    <row r="248" spans="1:18" x14ac:dyDescent="0.3">
      <c r="A248" t="s">
        <v>126</v>
      </c>
      <c r="B248" t="s">
        <v>125</v>
      </c>
      <c r="C248" t="s">
        <v>463</v>
      </c>
      <c r="D248" t="s">
        <v>463</v>
      </c>
      <c r="E248">
        <v>5610</v>
      </c>
      <c r="F248" t="s">
        <v>127</v>
      </c>
      <c r="G248">
        <v>1654</v>
      </c>
      <c r="H248" t="s">
        <v>141</v>
      </c>
      <c r="I248">
        <v>2021</v>
      </c>
      <c r="J248">
        <v>2021</v>
      </c>
    </row>
    <row r="249" spans="1:18" x14ac:dyDescent="0.3">
      <c r="A249" t="s">
        <v>126</v>
      </c>
      <c r="B249" t="s">
        <v>125</v>
      </c>
      <c r="C249" t="s">
        <v>463</v>
      </c>
      <c r="D249" t="s">
        <v>463</v>
      </c>
      <c r="E249">
        <v>5910</v>
      </c>
      <c r="F249" t="s">
        <v>124</v>
      </c>
      <c r="G249">
        <v>1654</v>
      </c>
      <c r="H249" t="s">
        <v>141</v>
      </c>
      <c r="I249">
        <v>2021</v>
      </c>
      <c r="J249">
        <v>2021</v>
      </c>
    </row>
    <row r="250" spans="1:18" x14ac:dyDescent="0.3">
      <c r="A250" t="s">
        <v>126</v>
      </c>
      <c r="B250" t="s">
        <v>125</v>
      </c>
      <c r="C250" t="s">
        <v>463</v>
      </c>
      <c r="D250" t="s">
        <v>463</v>
      </c>
      <c r="E250">
        <v>5510</v>
      </c>
      <c r="F250" t="s">
        <v>128</v>
      </c>
      <c r="G250">
        <v>1655</v>
      </c>
      <c r="H250" t="s">
        <v>140</v>
      </c>
      <c r="I250">
        <v>2021</v>
      </c>
      <c r="J250">
        <v>2021</v>
      </c>
    </row>
    <row r="251" spans="1:18" x14ac:dyDescent="0.3">
      <c r="A251" t="s">
        <v>126</v>
      </c>
      <c r="B251" t="s">
        <v>125</v>
      </c>
      <c r="C251" t="s">
        <v>463</v>
      </c>
      <c r="D251" t="s">
        <v>463</v>
      </c>
      <c r="E251">
        <v>5610</v>
      </c>
      <c r="F251" t="s">
        <v>127</v>
      </c>
      <c r="G251">
        <v>1655</v>
      </c>
      <c r="H251" t="s">
        <v>140</v>
      </c>
      <c r="I251">
        <v>2021</v>
      </c>
      <c r="J251">
        <v>2021</v>
      </c>
    </row>
    <row r="252" spans="1:18" x14ac:dyDescent="0.3">
      <c r="A252" t="s">
        <v>126</v>
      </c>
      <c r="B252" t="s">
        <v>125</v>
      </c>
      <c r="C252" t="s">
        <v>463</v>
      </c>
      <c r="D252" t="s">
        <v>463</v>
      </c>
      <c r="E252">
        <v>5910</v>
      </c>
      <c r="F252" t="s">
        <v>124</v>
      </c>
      <c r="G252">
        <v>1655</v>
      </c>
      <c r="H252" t="s">
        <v>140</v>
      </c>
      <c r="I252">
        <v>2021</v>
      </c>
      <c r="J252">
        <v>2021</v>
      </c>
    </row>
    <row r="253" spans="1:18" x14ac:dyDescent="0.3">
      <c r="A253" t="s">
        <v>126</v>
      </c>
      <c r="B253" t="s">
        <v>125</v>
      </c>
      <c r="C253" t="s">
        <v>463</v>
      </c>
      <c r="D253" t="s">
        <v>463</v>
      </c>
      <c r="E253">
        <v>5510</v>
      </c>
      <c r="F253" t="s">
        <v>128</v>
      </c>
      <c r="G253">
        <v>1656</v>
      </c>
      <c r="H253" t="s">
        <v>97</v>
      </c>
      <c r="I253">
        <v>2021</v>
      </c>
      <c r="J253">
        <v>2021</v>
      </c>
      <c r="K253" t="s">
        <v>339</v>
      </c>
      <c r="L253">
        <v>10475201</v>
      </c>
      <c r="M253" t="s">
        <v>397</v>
      </c>
      <c r="N253" t="s">
        <v>398</v>
      </c>
      <c r="O253">
        <v>9427680.9000000004</v>
      </c>
      <c r="P253">
        <v>9.4276809000000004</v>
      </c>
      <c r="Q253" t="s">
        <v>790</v>
      </c>
      <c r="R253" s="141">
        <v>0.9</v>
      </c>
    </row>
    <row r="254" spans="1:18" x14ac:dyDescent="0.3">
      <c r="A254" t="s">
        <v>126</v>
      </c>
      <c r="B254" t="s">
        <v>125</v>
      </c>
      <c r="C254" t="s">
        <v>463</v>
      </c>
      <c r="D254" t="s">
        <v>463</v>
      </c>
      <c r="E254">
        <v>5610</v>
      </c>
      <c r="F254" t="s">
        <v>127</v>
      </c>
      <c r="G254">
        <v>1656</v>
      </c>
      <c r="H254" t="s">
        <v>97</v>
      </c>
      <c r="I254">
        <v>2021</v>
      </c>
      <c r="J254">
        <v>2021</v>
      </c>
      <c r="K254" t="s">
        <v>339</v>
      </c>
      <c r="L254">
        <v>22768824.23</v>
      </c>
      <c r="M254" t="s">
        <v>397</v>
      </c>
      <c r="N254" t="s">
        <v>398</v>
      </c>
      <c r="O254">
        <v>20491941.807</v>
      </c>
      <c r="P254">
        <v>20.491941807</v>
      </c>
      <c r="Q254" t="s">
        <v>791</v>
      </c>
      <c r="R254" s="141">
        <v>0.9</v>
      </c>
    </row>
    <row r="255" spans="1:18" x14ac:dyDescent="0.3">
      <c r="A255" t="s">
        <v>126</v>
      </c>
      <c r="B255" t="s">
        <v>125</v>
      </c>
      <c r="C255" t="s">
        <v>463</v>
      </c>
      <c r="D255" t="s">
        <v>463</v>
      </c>
      <c r="E255">
        <v>5910</v>
      </c>
      <c r="F255" t="s">
        <v>124</v>
      </c>
      <c r="G255">
        <v>1656</v>
      </c>
      <c r="H255" t="s">
        <v>97</v>
      </c>
      <c r="I255">
        <v>2021</v>
      </c>
      <c r="J255">
        <v>2021</v>
      </c>
      <c r="K255" t="s">
        <v>339</v>
      </c>
      <c r="L255">
        <v>213050.3</v>
      </c>
      <c r="M255" t="s">
        <v>397</v>
      </c>
      <c r="N255" t="s">
        <v>398</v>
      </c>
      <c r="O255">
        <v>191745.27</v>
      </c>
      <c r="P255">
        <v>0.19174526999999997</v>
      </c>
      <c r="Q255" t="s">
        <v>792</v>
      </c>
      <c r="R255" s="141">
        <v>0.9</v>
      </c>
    </row>
    <row r="256" spans="1:18" x14ac:dyDescent="0.3">
      <c r="A256" t="s">
        <v>126</v>
      </c>
      <c r="B256" t="s">
        <v>125</v>
      </c>
      <c r="C256" t="s">
        <v>463</v>
      </c>
      <c r="D256" t="s">
        <v>463</v>
      </c>
      <c r="E256">
        <v>5510</v>
      </c>
      <c r="F256" t="s">
        <v>128</v>
      </c>
      <c r="G256">
        <v>1662</v>
      </c>
      <c r="H256" t="s">
        <v>139</v>
      </c>
      <c r="I256">
        <v>2021</v>
      </c>
      <c r="J256">
        <v>2021</v>
      </c>
      <c r="K256" t="s">
        <v>339</v>
      </c>
      <c r="L256">
        <v>1222000</v>
      </c>
      <c r="M256" t="s">
        <v>397</v>
      </c>
      <c r="N256" t="s">
        <v>398</v>
      </c>
    </row>
    <row r="257" spans="1:18" x14ac:dyDescent="0.3">
      <c r="A257" t="s">
        <v>126</v>
      </c>
      <c r="B257" t="s">
        <v>125</v>
      </c>
      <c r="C257" t="s">
        <v>463</v>
      </c>
      <c r="D257" t="s">
        <v>463</v>
      </c>
      <c r="E257">
        <v>5610</v>
      </c>
      <c r="F257" t="s">
        <v>127</v>
      </c>
      <c r="G257">
        <v>1662</v>
      </c>
      <c r="H257" t="s">
        <v>139</v>
      </c>
      <c r="I257">
        <v>2021</v>
      </c>
      <c r="J257">
        <v>2021</v>
      </c>
      <c r="K257" t="s">
        <v>339</v>
      </c>
      <c r="L257">
        <v>1171388.23</v>
      </c>
      <c r="M257" t="s">
        <v>397</v>
      </c>
      <c r="N257" t="s">
        <v>398</v>
      </c>
      <c r="O257">
        <v>0</v>
      </c>
    </row>
    <row r="258" spans="1:18" x14ac:dyDescent="0.3">
      <c r="A258" t="s">
        <v>126</v>
      </c>
      <c r="B258" t="s">
        <v>125</v>
      </c>
      <c r="C258" t="s">
        <v>463</v>
      </c>
      <c r="D258" t="s">
        <v>463</v>
      </c>
      <c r="E258">
        <v>5910</v>
      </c>
      <c r="F258" t="s">
        <v>124</v>
      </c>
      <c r="G258">
        <v>1662</v>
      </c>
      <c r="H258" t="s">
        <v>139</v>
      </c>
      <c r="I258">
        <v>2021</v>
      </c>
      <c r="J258">
        <v>2021</v>
      </c>
      <c r="K258" t="s">
        <v>339</v>
      </c>
      <c r="L258">
        <v>11236.25</v>
      </c>
      <c r="M258" t="s">
        <v>397</v>
      </c>
      <c r="N258" t="s">
        <v>398</v>
      </c>
      <c r="O258">
        <v>0</v>
      </c>
    </row>
    <row r="259" spans="1:18" x14ac:dyDescent="0.3">
      <c r="A259" t="s">
        <v>126</v>
      </c>
      <c r="B259" t="s">
        <v>125</v>
      </c>
      <c r="C259" t="s">
        <v>463</v>
      </c>
      <c r="D259" t="s">
        <v>463</v>
      </c>
      <c r="E259">
        <v>5510</v>
      </c>
      <c r="F259" t="s">
        <v>128</v>
      </c>
      <c r="G259">
        <v>1663</v>
      </c>
      <c r="H259" t="s">
        <v>138</v>
      </c>
      <c r="I259">
        <v>2021</v>
      </c>
      <c r="J259">
        <v>2021</v>
      </c>
      <c r="K259" t="s">
        <v>339</v>
      </c>
      <c r="L259">
        <v>9253201</v>
      </c>
      <c r="M259" t="s">
        <v>397</v>
      </c>
      <c r="N259" t="s">
        <v>398</v>
      </c>
    </row>
    <row r="260" spans="1:18" x14ac:dyDescent="0.3">
      <c r="A260" t="s">
        <v>126</v>
      </c>
      <c r="B260" t="s">
        <v>125</v>
      </c>
      <c r="C260" t="s">
        <v>463</v>
      </c>
      <c r="D260" t="s">
        <v>463</v>
      </c>
      <c r="E260">
        <v>5610</v>
      </c>
      <c r="F260" t="s">
        <v>127</v>
      </c>
      <c r="G260">
        <v>1663</v>
      </c>
      <c r="H260" t="s">
        <v>138</v>
      </c>
      <c r="I260">
        <v>2021</v>
      </c>
      <c r="J260">
        <v>2021</v>
      </c>
      <c r="K260" t="s">
        <v>339</v>
      </c>
      <c r="L260">
        <v>21541358.309999999</v>
      </c>
      <c r="M260" t="s">
        <v>397</v>
      </c>
      <c r="N260" t="s">
        <v>398</v>
      </c>
      <c r="O260">
        <v>0</v>
      </c>
    </row>
    <row r="261" spans="1:18" x14ac:dyDescent="0.3">
      <c r="A261" t="s">
        <v>126</v>
      </c>
      <c r="B261" t="s">
        <v>125</v>
      </c>
      <c r="C261" t="s">
        <v>463</v>
      </c>
      <c r="D261" t="s">
        <v>463</v>
      </c>
      <c r="E261">
        <v>5910</v>
      </c>
      <c r="F261" t="s">
        <v>124</v>
      </c>
      <c r="G261">
        <v>1663</v>
      </c>
      <c r="H261" t="s">
        <v>138</v>
      </c>
      <c r="I261">
        <v>2021</v>
      </c>
      <c r="J261">
        <v>2021</v>
      </c>
      <c r="K261" t="s">
        <v>339</v>
      </c>
      <c r="L261">
        <v>201272.23</v>
      </c>
      <c r="M261" t="s">
        <v>397</v>
      </c>
      <c r="N261" t="s">
        <v>398</v>
      </c>
      <c r="O261">
        <v>0</v>
      </c>
    </row>
    <row r="262" spans="1:18" x14ac:dyDescent="0.3">
      <c r="A262" t="s">
        <v>126</v>
      </c>
      <c r="B262" t="s">
        <v>125</v>
      </c>
      <c r="C262" t="s">
        <v>463</v>
      </c>
      <c r="D262" t="s">
        <v>463</v>
      </c>
      <c r="E262">
        <v>5510</v>
      </c>
      <c r="F262" t="s">
        <v>128</v>
      </c>
      <c r="G262">
        <v>1686</v>
      </c>
      <c r="H262" t="s">
        <v>137</v>
      </c>
      <c r="I262">
        <v>2021</v>
      </c>
      <c r="J262">
        <v>2021</v>
      </c>
      <c r="K262" t="s">
        <v>339</v>
      </c>
      <c r="L262">
        <v>0</v>
      </c>
      <c r="M262" t="s">
        <v>397</v>
      </c>
      <c r="N262" t="s">
        <v>398</v>
      </c>
    </row>
    <row r="263" spans="1:18" x14ac:dyDescent="0.3">
      <c r="A263" t="s">
        <v>126</v>
      </c>
      <c r="B263" t="s">
        <v>125</v>
      </c>
      <c r="C263" t="s">
        <v>463</v>
      </c>
      <c r="D263" t="s">
        <v>463</v>
      </c>
      <c r="E263">
        <v>5610</v>
      </c>
      <c r="F263" t="s">
        <v>127</v>
      </c>
      <c r="G263">
        <v>1686</v>
      </c>
      <c r="H263" t="s">
        <v>137</v>
      </c>
      <c r="I263">
        <v>2021</v>
      </c>
      <c r="J263">
        <v>2021</v>
      </c>
      <c r="K263" t="s">
        <v>339</v>
      </c>
      <c r="L263">
        <v>56077.69</v>
      </c>
      <c r="M263" t="s">
        <v>397</v>
      </c>
      <c r="N263" t="s">
        <v>398</v>
      </c>
      <c r="O263">
        <v>0</v>
      </c>
    </row>
    <row r="264" spans="1:18" x14ac:dyDescent="0.3">
      <c r="A264" t="s">
        <v>126</v>
      </c>
      <c r="B264" t="s">
        <v>125</v>
      </c>
      <c r="C264" t="s">
        <v>463</v>
      </c>
      <c r="D264" t="s">
        <v>463</v>
      </c>
      <c r="E264">
        <v>5910</v>
      </c>
      <c r="F264" t="s">
        <v>124</v>
      </c>
      <c r="G264">
        <v>1686</v>
      </c>
      <c r="H264" t="s">
        <v>137</v>
      </c>
      <c r="I264">
        <v>2021</v>
      </c>
      <c r="J264">
        <v>2021</v>
      </c>
      <c r="K264" t="s">
        <v>339</v>
      </c>
      <c r="L264">
        <v>541.82000000000005</v>
      </c>
      <c r="M264" t="s">
        <v>397</v>
      </c>
      <c r="N264" t="s">
        <v>398</v>
      </c>
      <c r="O264">
        <v>0</v>
      </c>
    </row>
    <row r="265" spans="1:18" x14ac:dyDescent="0.3">
      <c r="A265" t="s">
        <v>126</v>
      </c>
      <c r="B265" t="s">
        <v>125</v>
      </c>
      <c r="C265" t="s">
        <v>463</v>
      </c>
      <c r="D265" t="s">
        <v>463</v>
      </c>
      <c r="E265">
        <v>5510</v>
      </c>
      <c r="F265" t="s">
        <v>128</v>
      </c>
      <c r="G265">
        <v>1660</v>
      </c>
      <c r="H265" t="s">
        <v>136</v>
      </c>
      <c r="I265">
        <v>2021</v>
      </c>
      <c r="J265">
        <v>2021</v>
      </c>
    </row>
    <row r="266" spans="1:18" x14ac:dyDescent="0.3">
      <c r="A266" t="s">
        <v>126</v>
      </c>
      <c r="B266" t="s">
        <v>125</v>
      </c>
      <c r="C266" t="s">
        <v>463</v>
      </c>
      <c r="D266" t="s">
        <v>463</v>
      </c>
      <c r="E266">
        <v>5610</v>
      </c>
      <c r="F266" t="s">
        <v>127</v>
      </c>
      <c r="G266">
        <v>1660</v>
      </c>
      <c r="H266" t="s">
        <v>136</v>
      </c>
      <c r="I266">
        <v>2021</v>
      </c>
      <c r="J266">
        <v>2021</v>
      </c>
      <c r="O266">
        <v>0</v>
      </c>
    </row>
    <row r="267" spans="1:18" x14ac:dyDescent="0.3">
      <c r="A267" t="s">
        <v>126</v>
      </c>
      <c r="B267" t="s">
        <v>125</v>
      </c>
      <c r="C267" t="s">
        <v>463</v>
      </c>
      <c r="D267" t="s">
        <v>463</v>
      </c>
      <c r="E267">
        <v>5910</v>
      </c>
      <c r="F267" t="s">
        <v>124</v>
      </c>
      <c r="G267">
        <v>1660</v>
      </c>
      <c r="H267" t="s">
        <v>136</v>
      </c>
      <c r="I267">
        <v>2021</v>
      </c>
      <c r="J267">
        <v>2021</v>
      </c>
      <c r="O267">
        <v>0</v>
      </c>
    </row>
    <row r="268" spans="1:18" x14ac:dyDescent="0.3">
      <c r="A268" t="s">
        <v>126</v>
      </c>
      <c r="B268" t="s">
        <v>125</v>
      </c>
      <c r="C268" t="s">
        <v>463</v>
      </c>
      <c r="D268" t="s">
        <v>463</v>
      </c>
      <c r="E268">
        <v>5510</v>
      </c>
      <c r="F268" t="s">
        <v>128</v>
      </c>
      <c r="G268">
        <v>1661</v>
      </c>
      <c r="H268" t="s">
        <v>135</v>
      </c>
      <c r="I268">
        <v>2021</v>
      </c>
      <c r="J268">
        <v>2021</v>
      </c>
    </row>
    <row r="269" spans="1:18" x14ac:dyDescent="0.3">
      <c r="A269" t="s">
        <v>126</v>
      </c>
      <c r="B269" t="s">
        <v>125</v>
      </c>
      <c r="C269" t="s">
        <v>463</v>
      </c>
      <c r="D269" t="s">
        <v>463</v>
      </c>
      <c r="E269">
        <v>5610</v>
      </c>
      <c r="F269" t="s">
        <v>127</v>
      </c>
      <c r="G269">
        <v>1661</v>
      </c>
      <c r="H269" t="s">
        <v>135</v>
      </c>
      <c r="I269">
        <v>2021</v>
      </c>
      <c r="J269">
        <v>2021</v>
      </c>
      <c r="O269">
        <v>0</v>
      </c>
    </row>
    <row r="270" spans="1:18" x14ac:dyDescent="0.3">
      <c r="A270" t="s">
        <v>126</v>
      </c>
      <c r="B270" t="s">
        <v>125</v>
      </c>
      <c r="C270" t="s">
        <v>463</v>
      </c>
      <c r="D270" t="s">
        <v>463</v>
      </c>
      <c r="E270">
        <v>5910</v>
      </c>
      <c r="F270" t="s">
        <v>124</v>
      </c>
      <c r="G270">
        <v>1661</v>
      </c>
      <c r="H270" t="s">
        <v>135</v>
      </c>
      <c r="I270">
        <v>2021</v>
      </c>
      <c r="J270">
        <v>2021</v>
      </c>
      <c r="O270">
        <v>0</v>
      </c>
    </row>
    <row r="271" spans="1:18" x14ac:dyDescent="0.3">
      <c r="A271" t="s">
        <v>126</v>
      </c>
      <c r="B271" t="s">
        <v>125</v>
      </c>
      <c r="C271" t="s">
        <v>463</v>
      </c>
      <c r="D271" t="s">
        <v>463</v>
      </c>
      <c r="E271">
        <v>5510</v>
      </c>
      <c r="F271" t="s">
        <v>128</v>
      </c>
      <c r="G271">
        <v>1667</v>
      </c>
      <c r="H271" t="s">
        <v>96</v>
      </c>
      <c r="I271">
        <v>2021</v>
      </c>
      <c r="J271">
        <v>2021</v>
      </c>
      <c r="K271" t="s">
        <v>339</v>
      </c>
      <c r="L271">
        <v>1815000</v>
      </c>
      <c r="M271" t="s">
        <v>397</v>
      </c>
      <c r="N271" t="s">
        <v>398</v>
      </c>
      <c r="O271">
        <v>1633500</v>
      </c>
      <c r="P271">
        <v>1.6335</v>
      </c>
      <c r="Q271" t="s">
        <v>793</v>
      </c>
      <c r="R271" s="141">
        <v>0.9</v>
      </c>
    </row>
    <row r="272" spans="1:18" x14ac:dyDescent="0.3">
      <c r="A272" t="s">
        <v>126</v>
      </c>
      <c r="B272" t="s">
        <v>125</v>
      </c>
      <c r="C272" t="s">
        <v>463</v>
      </c>
      <c r="D272" t="s">
        <v>463</v>
      </c>
      <c r="E272">
        <v>5610</v>
      </c>
      <c r="F272" t="s">
        <v>127</v>
      </c>
      <c r="G272">
        <v>1667</v>
      </c>
      <c r="H272" t="s">
        <v>96</v>
      </c>
      <c r="I272">
        <v>2021</v>
      </c>
      <c r="J272">
        <v>2021</v>
      </c>
      <c r="K272" t="s">
        <v>339</v>
      </c>
      <c r="L272">
        <v>3623479.15</v>
      </c>
      <c r="M272" t="s">
        <v>397</v>
      </c>
      <c r="N272" t="s">
        <v>398</v>
      </c>
      <c r="O272">
        <v>3261131.2349999999</v>
      </c>
      <c r="P272">
        <v>3.2611312349999997</v>
      </c>
      <c r="Q272" t="s">
        <v>794</v>
      </c>
      <c r="R272" s="141">
        <v>0.9</v>
      </c>
    </row>
    <row r="273" spans="1:18" x14ac:dyDescent="0.3">
      <c r="A273" t="s">
        <v>126</v>
      </c>
      <c r="B273" t="s">
        <v>125</v>
      </c>
      <c r="C273" t="s">
        <v>463</v>
      </c>
      <c r="D273" t="s">
        <v>463</v>
      </c>
      <c r="E273">
        <v>5910</v>
      </c>
      <c r="F273" t="s">
        <v>124</v>
      </c>
      <c r="G273">
        <v>1667</v>
      </c>
      <c r="H273" t="s">
        <v>96</v>
      </c>
      <c r="I273">
        <v>2021</v>
      </c>
      <c r="J273">
        <v>2021</v>
      </c>
      <c r="K273" t="s">
        <v>339</v>
      </c>
      <c r="L273">
        <v>6970.36</v>
      </c>
      <c r="M273" t="s">
        <v>397</v>
      </c>
      <c r="N273" t="s">
        <v>398</v>
      </c>
      <c r="O273">
        <v>6273.3239999999996</v>
      </c>
      <c r="P273">
        <v>6.2733239999999994E-3</v>
      </c>
      <c r="Q273" t="s">
        <v>795</v>
      </c>
      <c r="R273" s="141">
        <v>0.9</v>
      </c>
    </row>
    <row r="274" spans="1:18" x14ac:dyDescent="0.3">
      <c r="A274" t="s">
        <v>126</v>
      </c>
      <c r="B274" t="s">
        <v>125</v>
      </c>
      <c r="C274" t="s">
        <v>463</v>
      </c>
      <c r="D274" t="s">
        <v>463</v>
      </c>
      <c r="E274">
        <v>5510</v>
      </c>
      <c r="F274" t="s">
        <v>128</v>
      </c>
      <c r="G274">
        <v>1668</v>
      </c>
      <c r="H274" t="s">
        <v>95</v>
      </c>
      <c r="I274">
        <v>2021</v>
      </c>
      <c r="J274">
        <v>2021</v>
      </c>
      <c r="K274" t="s">
        <v>339</v>
      </c>
      <c r="L274">
        <v>5491000</v>
      </c>
      <c r="M274" t="s">
        <v>397</v>
      </c>
      <c r="N274" t="s">
        <v>398</v>
      </c>
      <c r="O274">
        <v>4941900</v>
      </c>
      <c r="P274">
        <v>4.9418999999999995</v>
      </c>
      <c r="Q274" t="s">
        <v>796</v>
      </c>
      <c r="R274" s="141">
        <v>0.9</v>
      </c>
    </row>
    <row r="275" spans="1:18" x14ac:dyDescent="0.3">
      <c r="A275" t="s">
        <v>126</v>
      </c>
      <c r="B275" t="s">
        <v>125</v>
      </c>
      <c r="C275" t="s">
        <v>463</v>
      </c>
      <c r="D275" t="s">
        <v>463</v>
      </c>
      <c r="E275">
        <v>5610</v>
      </c>
      <c r="F275" t="s">
        <v>127</v>
      </c>
      <c r="G275">
        <v>1668</v>
      </c>
      <c r="H275" t="s">
        <v>95</v>
      </c>
      <c r="I275">
        <v>2021</v>
      </c>
      <c r="J275">
        <v>2021</v>
      </c>
      <c r="K275" t="s">
        <v>339</v>
      </c>
      <c r="L275">
        <v>39486.589999999997</v>
      </c>
      <c r="M275" t="s">
        <v>397</v>
      </c>
      <c r="N275" t="s">
        <v>398</v>
      </c>
      <c r="O275">
        <v>35537.930999999997</v>
      </c>
      <c r="P275">
        <v>3.5537930999999995E-2</v>
      </c>
      <c r="Q275" t="s">
        <v>797</v>
      </c>
      <c r="R275" s="141">
        <v>0.9</v>
      </c>
    </row>
    <row r="276" spans="1:18" x14ac:dyDescent="0.3">
      <c r="A276" t="s">
        <v>126</v>
      </c>
      <c r="B276" t="s">
        <v>125</v>
      </c>
      <c r="C276" t="s">
        <v>463</v>
      </c>
      <c r="D276" t="s">
        <v>463</v>
      </c>
      <c r="E276">
        <v>5910</v>
      </c>
      <c r="F276" t="s">
        <v>124</v>
      </c>
      <c r="G276">
        <v>1668</v>
      </c>
      <c r="H276" t="s">
        <v>95</v>
      </c>
      <c r="I276">
        <v>2021</v>
      </c>
      <c r="J276">
        <v>2021</v>
      </c>
      <c r="K276" t="s">
        <v>339</v>
      </c>
      <c r="L276">
        <v>81606.66</v>
      </c>
      <c r="M276" t="s">
        <v>397</v>
      </c>
      <c r="N276" t="s">
        <v>398</v>
      </c>
      <c r="O276">
        <v>73445.994000000006</v>
      </c>
      <c r="P276">
        <v>7.3445994000000001E-2</v>
      </c>
      <c r="Q276" t="s">
        <v>798</v>
      </c>
      <c r="R276" s="141">
        <v>0.9</v>
      </c>
    </row>
    <row r="277" spans="1:18" x14ac:dyDescent="0.3">
      <c r="A277" t="s">
        <v>126</v>
      </c>
      <c r="B277" t="s">
        <v>125</v>
      </c>
      <c r="C277" t="s">
        <v>463</v>
      </c>
      <c r="D277" t="s">
        <v>463</v>
      </c>
      <c r="E277">
        <v>5510</v>
      </c>
      <c r="F277" t="s">
        <v>128</v>
      </c>
      <c r="G277">
        <v>1609</v>
      </c>
      <c r="H277" t="s">
        <v>94</v>
      </c>
      <c r="I277">
        <v>2021</v>
      </c>
      <c r="J277">
        <v>2021</v>
      </c>
      <c r="O277">
        <v>0</v>
      </c>
      <c r="P277">
        <v>0</v>
      </c>
      <c r="Q277" t="s">
        <v>799</v>
      </c>
      <c r="R277" s="141">
        <v>0.9</v>
      </c>
    </row>
    <row r="278" spans="1:18" x14ac:dyDescent="0.3">
      <c r="A278" t="s">
        <v>126</v>
      </c>
      <c r="B278" t="s">
        <v>125</v>
      </c>
      <c r="C278" t="s">
        <v>463</v>
      </c>
      <c r="D278" t="s">
        <v>463</v>
      </c>
      <c r="E278">
        <v>5610</v>
      </c>
      <c r="F278" t="s">
        <v>127</v>
      </c>
      <c r="G278">
        <v>1609</v>
      </c>
      <c r="H278" t="s">
        <v>94</v>
      </c>
      <c r="I278">
        <v>2021</v>
      </c>
      <c r="J278">
        <v>2021</v>
      </c>
      <c r="K278" t="s">
        <v>339</v>
      </c>
      <c r="L278">
        <v>2460358.71</v>
      </c>
      <c r="M278" t="s">
        <v>397</v>
      </c>
      <c r="N278" t="s">
        <v>398</v>
      </c>
      <c r="O278">
        <v>2214322.8390000002</v>
      </c>
      <c r="P278">
        <v>2.2143228390000003</v>
      </c>
      <c r="Q278" t="s">
        <v>800</v>
      </c>
      <c r="R278" s="141">
        <v>0.9</v>
      </c>
    </row>
    <row r="279" spans="1:18" x14ac:dyDescent="0.3">
      <c r="A279" t="s">
        <v>126</v>
      </c>
      <c r="B279" t="s">
        <v>125</v>
      </c>
      <c r="C279" t="s">
        <v>463</v>
      </c>
      <c r="D279" t="s">
        <v>463</v>
      </c>
      <c r="E279">
        <v>5910</v>
      </c>
      <c r="F279" t="s">
        <v>124</v>
      </c>
      <c r="G279">
        <v>1609</v>
      </c>
      <c r="H279" t="s">
        <v>94</v>
      </c>
      <c r="I279">
        <v>2021</v>
      </c>
      <c r="J279">
        <v>2021</v>
      </c>
      <c r="K279" t="s">
        <v>339</v>
      </c>
      <c r="L279">
        <v>459679.42</v>
      </c>
      <c r="M279" t="s">
        <v>397</v>
      </c>
      <c r="N279" t="s">
        <v>398</v>
      </c>
      <c r="O279">
        <v>413711.478</v>
      </c>
      <c r="P279">
        <v>0.41371147799999997</v>
      </c>
      <c r="Q279" t="s">
        <v>801</v>
      </c>
      <c r="R279" s="141">
        <v>0.9</v>
      </c>
    </row>
    <row r="280" spans="1:18" x14ac:dyDescent="0.3">
      <c r="A280" t="s">
        <v>126</v>
      </c>
      <c r="B280" t="s">
        <v>125</v>
      </c>
      <c r="C280" t="s">
        <v>463</v>
      </c>
      <c r="D280" t="s">
        <v>463</v>
      </c>
      <c r="E280">
        <v>5510</v>
      </c>
      <c r="F280" t="s">
        <v>128</v>
      </c>
      <c r="G280">
        <v>1669</v>
      </c>
      <c r="H280" t="s">
        <v>134</v>
      </c>
      <c r="I280">
        <v>2021</v>
      </c>
      <c r="J280">
        <v>2021</v>
      </c>
      <c r="K280" t="s">
        <v>339</v>
      </c>
      <c r="L280">
        <v>68531000</v>
      </c>
      <c r="M280" t="s">
        <v>397</v>
      </c>
      <c r="N280" t="s">
        <v>398</v>
      </c>
      <c r="O280">
        <v>59964625</v>
      </c>
      <c r="P280">
        <v>59.964624999999998</v>
      </c>
      <c r="Q280" t="s">
        <v>802</v>
      </c>
      <c r="R280" s="141">
        <v>0.875</v>
      </c>
    </row>
    <row r="281" spans="1:18" x14ac:dyDescent="0.3">
      <c r="A281" t="s">
        <v>126</v>
      </c>
      <c r="B281" t="s">
        <v>125</v>
      </c>
      <c r="C281" t="s">
        <v>463</v>
      </c>
      <c r="D281" t="s">
        <v>463</v>
      </c>
      <c r="E281">
        <v>5610</v>
      </c>
      <c r="F281" t="s">
        <v>127</v>
      </c>
      <c r="G281">
        <v>1669</v>
      </c>
      <c r="H281" t="s">
        <v>134</v>
      </c>
      <c r="I281">
        <v>2021</v>
      </c>
      <c r="J281">
        <v>2021</v>
      </c>
      <c r="K281" t="s">
        <v>339</v>
      </c>
      <c r="L281">
        <v>2121796.58</v>
      </c>
      <c r="M281" t="s">
        <v>397</v>
      </c>
      <c r="N281" t="s">
        <v>398</v>
      </c>
      <c r="O281">
        <v>1856572.0075000001</v>
      </c>
      <c r="P281">
        <v>1.8565720075000001</v>
      </c>
      <c r="Q281" t="s">
        <v>803</v>
      </c>
      <c r="R281" s="141">
        <v>0.875</v>
      </c>
    </row>
    <row r="282" spans="1:18" x14ac:dyDescent="0.3">
      <c r="A282" t="s">
        <v>126</v>
      </c>
      <c r="B282" t="s">
        <v>125</v>
      </c>
      <c r="C282" t="s">
        <v>463</v>
      </c>
      <c r="D282" t="s">
        <v>463</v>
      </c>
      <c r="E282">
        <v>5910</v>
      </c>
      <c r="F282" t="s">
        <v>124</v>
      </c>
      <c r="G282">
        <v>1669</v>
      </c>
      <c r="H282" t="s">
        <v>134</v>
      </c>
      <c r="I282">
        <v>2021</v>
      </c>
      <c r="J282">
        <v>2021</v>
      </c>
      <c r="K282" t="s">
        <v>339</v>
      </c>
      <c r="L282">
        <v>635623.81999999995</v>
      </c>
      <c r="M282" t="s">
        <v>397</v>
      </c>
      <c r="N282" t="s">
        <v>398</v>
      </c>
      <c r="O282">
        <v>556170.84249999991</v>
      </c>
      <c r="P282">
        <v>0.55617084249999993</v>
      </c>
      <c r="Q282" t="s">
        <v>804</v>
      </c>
      <c r="R282" s="141">
        <v>0.875</v>
      </c>
    </row>
    <row r="283" spans="1:18" x14ac:dyDescent="0.3">
      <c r="A283" t="s">
        <v>126</v>
      </c>
      <c r="B283" t="s">
        <v>125</v>
      </c>
      <c r="C283" t="s">
        <v>463</v>
      </c>
      <c r="D283" t="s">
        <v>463</v>
      </c>
      <c r="E283">
        <v>5510</v>
      </c>
      <c r="F283" t="s">
        <v>128</v>
      </c>
      <c r="G283">
        <v>1671</v>
      </c>
      <c r="H283" t="s">
        <v>89</v>
      </c>
      <c r="I283">
        <v>2021</v>
      </c>
      <c r="J283">
        <v>2021</v>
      </c>
      <c r="K283" t="s">
        <v>339</v>
      </c>
      <c r="L283">
        <v>927000</v>
      </c>
      <c r="M283" t="s">
        <v>397</v>
      </c>
      <c r="N283" t="s">
        <v>398</v>
      </c>
      <c r="O283">
        <v>880650</v>
      </c>
      <c r="P283">
        <v>0.88064999999999993</v>
      </c>
      <c r="Q283" t="s">
        <v>805</v>
      </c>
      <c r="R283" s="141">
        <v>0.95</v>
      </c>
    </row>
    <row r="284" spans="1:18" x14ac:dyDescent="0.3">
      <c r="A284" t="s">
        <v>126</v>
      </c>
      <c r="B284" t="s">
        <v>125</v>
      </c>
      <c r="C284" t="s">
        <v>463</v>
      </c>
      <c r="D284" t="s">
        <v>463</v>
      </c>
      <c r="E284">
        <v>5610</v>
      </c>
      <c r="F284" t="s">
        <v>127</v>
      </c>
      <c r="G284">
        <v>1671</v>
      </c>
      <c r="H284" t="s">
        <v>89</v>
      </c>
      <c r="I284">
        <v>2021</v>
      </c>
      <c r="J284">
        <v>2021</v>
      </c>
      <c r="K284" t="s">
        <v>339</v>
      </c>
      <c r="L284">
        <v>812638.1</v>
      </c>
      <c r="M284" t="s">
        <v>829</v>
      </c>
      <c r="N284" t="s">
        <v>830</v>
      </c>
      <c r="O284">
        <v>772006.19499999995</v>
      </c>
      <c r="P284">
        <v>0.7720061949999999</v>
      </c>
      <c r="Q284" t="s">
        <v>806</v>
      </c>
      <c r="R284" s="141">
        <v>0.95</v>
      </c>
    </row>
    <row r="285" spans="1:18" x14ac:dyDescent="0.3">
      <c r="A285" t="s">
        <v>126</v>
      </c>
      <c r="B285" t="s">
        <v>125</v>
      </c>
      <c r="C285" t="s">
        <v>463</v>
      </c>
      <c r="D285" t="s">
        <v>463</v>
      </c>
      <c r="E285">
        <v>5910</v>
      </c>
      <c r="F285" t="s">
        <v>124</v>
      </c>
      <c r="G285">
        <v>1671</v>
      </c>
      <c r="H285" t="s">
        <v>89</v>
      </c>
      <c r="I285">
        <v>2021</v>
      </c>
      <c r="J285">
        <v>2021</v>
      </c>
      <c r="K285" t="s">
        <v>339</v>
      </c>
      <c r="L285">
        <v>8590.06</v>
      </c>
      <c r="M285" t="s">
        <v>397</v>
      </c>
      <c r="N285" t="s">
        <v>398</v>
      </c>
      <c r="O285">
        <v>8160.5569999999989</v>
      </c>
      <c r="P285">
        <v>8.1605569999999988E-3</v>
      </c>
      <c r="Q285" t="s">
        <v>807</v>
      </c>
      <c r="R285" s="141">
        <v>0.95</v>
      </c>
    </row>
    <row r="286" spans="1:18" x14ac:dyDescent="0.3">
      <c r="A286" t="s">
        <v>126</v>
      </c>
      <c r="B286" t="s">
        <v>125</v>
      </c>
      <c r="C286" t="s">
        <v>463</v>
      </c>
      <c r="D286" t="s">
        <v>463</v>
      </c>
      <c r="E286">
        <v>5510</v>
      </c>
      <c r="F286" t="s">
        <v>128</v>
      </c>
      <c r="G286">
        <v>1674</v>
      </c>
      <c r="H286" t="s">
        <v>88</v>
      </c>
      <c r="I286">
        <v>2021</v>
      </c>
      <c r="J286">
        <v>2021</v>
      </c>
      <c r="K286" t="s">
        <v>339</v>
      </c>
      <c r="L286">
        <v>24089000</v>
      </c>
      <c r="M286" t="s">
        <v>397</v>
      </c>
      <c r="N286" t="s">
        <v>398</v>
      </c>
      <c r="O286">
        <v>22884550</v>
      </c>
      <c r="P286">
        <v>22.884549999999997</v>
      </c>
      <c r="Q286" t="s">
        <v>808</v>
      </c>
      <c r="R286" s="141">
        <v>0.95</v>
      </c>
    </row>
    <row r="287" spans="1:18" x14ac:dyDescent="0.3">
      <c r="A287" t="s">
        <v>126</v>
      </c>
      <c r="B287" t="s">
        <v>125</v>
      </c>
      <c r="C287" t="s">
        <v>463</v>
      </c>
      <c r="D287" t="s">
        <v>463</v>
      </c>
      <c r="E287">
        <v>5610</v>
      </c>
      <c r="F287" t="s">
        <v>127</v>
      </c>
      <c r="G287">
        <v>1674</v>
      </c>
      <c r="H287" t="s">
        <v>88</v>
      </c>
      <c r="I287">
        <v>2021</v>
      </c>
      <c r="J287">
        <v>2021</v>
      </c>
      <c r="K287" t="s">
        <v>339</v>
      </c>
      <c r="L287">
        <v>2418317.75</v>
      </c>
      <c r="M287" t="s">
        <v>397</v>
      </c>
      <c r="N287" t="s">
        <v>398</v>
      </c>
      <c r="O287">
        <v>2297401.8624999998</v>
      </c>
      <c r="P287">
        <v>2.2974018624999997</v>
      </c>
      <c r="Q287" t="s">
        <v>809</v>
      </c>
      <c r="R287" s="141">
        <v>0.95</v>
      </c>
    </row>
    <row r="288" spans="1:18" x14ac:dyDescent="0.3">
      <c r="A288" t="s">
        <v>126</v>
      </c>
      <c r="B288" t="s">
        <v>125</v>
      </c>
      <c r="C288" t="s">
        <v>463</v>
      </c>
      <c r="D288" t="s">
        <v>463</v>
      </c>
      <c r="E288">
        <v>5910</v>
      </c>
      <c r="F288" t="s">
        <v>124</v>
      </c>
      <c r="G288">
        <v>1674</v>
      </c>
      <c r="H288" t="s">
        <v>88</v>
      </c>
      <c r="I288">
        <v>2021</v>
      </c>
      <c r="J288">
        <v>2021</v>
      </c>
      <c r="K288" t="s">
        <v>339</v>
      </c>
      <c r="L288">
        <v>1816775.21</v>
      </c>
      <c r="M288" t="s">
        <v>397</v>
      </c>
      <c r="N288" t="s">
        <v>398</v>
      </c>
      <c r="O288">
        <v>1725936.4494999999</v>
      </c>
      <c r="P288">
        <v>1.7259364494999998</v>
      </c>
      <c r="Q288" t="s">
        <v>810</v>
      </c>
      <c r="R288" s="141">
        <v>0.95</v>
      </c>
    </row>
    <row r="289" spans="1:18" x14ac:dyDescent="0.3">
      <c r="A289" t="s">
        <v>126</v>
      </c>
      <c r="B289" t="s">
        <v>125</v>
      </c>
      <c r="C289" t="s">
        <v>463</v>
      </c>
      <c r="D289" t="s">
        <v>463</v>
      </c>
      <c r="E289">
        <v>5510</v>
      </c>
      <c r="F289" t="s">
        <v>128</v>
      </c>
      <c r="G289">
        <v>1612</v>
      </c>
      <c r="H289" t="s">
        <v>133</v>
      </c>
      <c r="I289">
        <v>2021</v>
      </c>
      <c r="J289">
        <v>2021</v>
      </c>
      <c r="K289" t="s">
        <v>339</v>
      </c>
      <c r="L289">
        <v>17200000</v>
      </c>
      <c r="M289" t="s">
        <v>399</v>
      </c>
      <c r="N289" t="s">
        <v>400</v>
      </c>
    </row>
    <row r="290" spans="1:18" x14ac:dyDescent="0.3">
      <c r="A290" t="s">
        <v>126</v>
      </c>
      <c r="B290" t="s">
        <v>125</v>
      </c>
      <c r="C290" t="s">
        <v>463</v>
      </c>
      <c r="D290" t="s">
        <v>463</v>
      </c>
      <c r="E290">
        <v>5610</v>
      </c>
      <c r="F290" t="s">
        <v>127</v>
      </c>
      <c r="G290">
        <v>1612</v>
      </c>
      <c r="H290" t="s">
        <v>133</v>
      </c>
      <c r="I290">
        <v>2021</v>
      </c>
      <c r="J290">
        <v>2021</v>
      </c>
      <c r="K290" t="s">
        <v>339</v>
      </c>
      <c r="L290">
        <v>245064.64</v>
      </c>
      <c r="M290" t="s">
        <v>829</v>
      </c>
      <c r="N290" t="s">
        <v>830</v>
      </c>
    </row>
    <row r="291" spans="1:18" x14ac:dyDescent="0.3">
      <c r="A291" t="s">
        <v>126</v>
      </c>
      <c r="B291" t="s">
        <v>125</v>
      </c>
      <c r="C291" t="s">
        <v>463</v>
      </c>
      <c r="D291" t="s">
        <v>463</v>
      </c>
      <c r="E291">
        <v>5910</v>
      </c>
      <c r="F291" t="s">
        <v>124</v>
      </c>
      <c r="G291">
        <v>1612</v>
      </c>
      <c r="H291" t="s">
        <v>133</v>
      </c>
      <c r="I291">
        <v>2021</v>
      </c>
      <c r="J291">
        <v>2021</v>
      </c>
      <c r="K291" t="s">
        <v>339</v>
      </c>
      <c r="L291">
        <v>33146.239999999998</v>
      </c>
      <c r="M291" t="s">
        <v>397</v>
      </c>
      <c r="N291" t="s">
        <v>398</v>
      </c>
    </row>
    <row r="292" spans="1:18" x14ac:dyDescent="0.3">
      <c r="A292" t="s">
        <v>126</v>
      </c>
      <c r="B292" t="s">
        <v>125</v>
      </c>
      <c r="C292" t="s">
        <v>463</v>
      </c>
      <c r="D292" t="s">
        <v>463</v>
      </c>
      <c r="E292">
        <v>5510</v>
      </c>
      <c r="F292" t="s">
        <v>128</v>
      </c>
      <c r="G292">
        <v>1615</v>
      </c>
      <c r="H292" t="s">
        <v>132</v>
      </c>
      <c r="I292">
        <v>2021</v>
      </c>
      <c r="J292">
        <v>2021</v>
      </c>
      <c r="K292" t="s">
        <v>339</v>
      </c>
      <c r="L292">
        <v>246000</v>
      </c>
      <c r="M292" t="s">
        <v>397</v>
      </c>
      <c r="N292" t="s">
        <v>398</v>
      </c>
    </row>
    <row r="293" spans="1:18" x14ac:dyDescent="0.3">
      <c r="A293" t="s">
        <v>126</v>
      </c>
      <c r="B293" t="s">
        <v>125</v>
      </c>
      <c r="C293" t="s">
        <v>463</v>
      </c>
      <c r="D293" t="s">
        <v>463</v>
      </c>
      <c r="E293">
        <v>5610</v>
      </c>
      <c r="F293" t="s">
        <v>127</v>
      </c>
      <c r="G293">
        <v>1615</v>
      </c>
      <c r="H293" t="s">
        <v>132</v>
      </c>
      <c r="I293">
        <v>2021</v>
      </c>
      <c r="J293">
        <v>2021</v>
      </c>
      <c r="K293" t="s">
        <v>339</v>
      </c>
      <c r="L293">
        <v>1424463.47</v>
      </c>
      <c r="M293" t="s">
        <v>829</v>
      </c>
      <c r="N293" t="s">
        <v>830</v>
      </c>
    </row>
    <row r="294" spans="1:18" x14ac:dyDescent="0.3">
      <c r="A294" t="s">
        <v>126</v>
      </c>
      <c r="B294" t="s">
        <v>125</v>
      </c>
      <c r="C294" t="s">
        <v>463</v>
      </c>
      <c r="D294" t="s">
        <v>463</v>
      </c>
      <c r="E294">
        <v>5910</v>
      </c>
      <c r="F294" t="s">
        <v>124</v>
      </c>
      <c r="G294">
        <v>1615</v>
      </c>
      <c r="H294" t="s">
        <v>132</v>
      </c>
      <c r="I294">
        <v>2021</v>
      </c>
      <c r="J294">
        <v>2021</v>
      </c>
      <c r="K294" t="s">
        <v>339</v>
      </c>
      <c r="L294">
        <v>632278.16</v>
      </c>
      <c r="M294" t="s">
        <v>829</v>
      </c>
      <c r="N294" t="s">
        <v>830</v>
      </c>
    </row>
    <row r="295" spans="1:18" x14ac:dyDescent="0.3">
      <c r="A295" t="s">
        <v>126</v>
      </c>
      <c r="B295" t="s">
        <v>125</v>
      </c>
      <c r="C295" t="s">
        <v>463</v>
      </c>
      <c r="D295" t="s">
        <v>463</v>
      </c>
      <c r="E295">
        <v>5510</v>
      </c>
      <c r="F295" t="s">
        <v>128</v>
      </c>
      <c r="G295">
        <v>1616</v>
      </c>
      <c r="H295" t="s">
        <v>131</v>
      </c>
      <c r="I295">
        <v>2021</v>
      </c>
      <c r="J295">
        <v>2021</v>
      </c>
      <c r="K295" t="s">
        <v>339</v>
      </c>
      <c r="L295">
        <v>6643000</v>
      </c>
      <c r="M295" t="s">
        <v>397</v>
      </c>
      <c r="N295" t="s">
        <v>398</v>
      </c>
    </row>
    <row r="296" spans="1:18" x14ac:dyDescent="0.3">
      <c r="A296" t="s">
        <v>126</v>
      </c>
      <c r="B296" t="s">
        <v>125</v>
      </c>
      <c r="C296" t="s">
        <v>463</v>
      </c>
      <c r="D296" t="s">
        <v>463</v>
      </c>
      <c r="E296">
        <v>5610</v>
      </c>
      <c r="F296" t="s">
        <v>127</v>
      </c>
      <c r="G296">
        <v>1616</v>
      </c>
      <c r="H296" t="s">
        <v>131</v>
      </c>
      <c r="I296">
        <v>2021</v>
      </c>
      <c r="J296">
        <v>2021</v>
      </c>
      <c r="K296" t="s">
        <v>339</v>
      </c>
      <c r="L296">
        <v>748789.64</v>
      </c>
      <c r="M296" t="s">
        <v>397</v>
      </c>
      <c r="N296" t="s">
        <v>398</v>
      </c>
    </row>
    <row r="297" spans="1:18" x14ac:dyDescent="0.3">
      <c r="A297" t="s">
        <v>126</v>
      </c>
      <c r="B297" t="s">
        <v>125</v>
      </c>
      <c r="C297" t="s">
        <v>463</v>
      </c>
      <c r="D297" t="s">
        <v>463</v>
      </c>
      <c r="E297">
        <v>5910</v>
      </c>
      <c r="F297" t="s">
        <v>124</v>
      </c>
      <c r="G297">
        <v>1616</v>
      </c>
      <c r="H297" t="s">
        <v>131</v>
      </c>
      <c r="I297">
        <v>2021</v>
      </c>
      <c r="J297">
        <v>2021</v>
      </c>
      <c r="K297" t="s">
        <v>339</v>
      </c>
      <c r="L297">
        <v>1151350.81</v>
      </c>
      <c r="M297" t="s">
        <v>829</v>
      </c>
      <c r="N297" t="s">
        <v>830</v>
      </c>
    </row>
    <row r="298" spans="1:18" x14ac:dyDescent="0.3">
      <c r="A298" t="s">
        <v>126</v>
      </c>
      <c r="B298" t="s">
        <v>125</v>
      </c>
      <c r="C298" t="s">
        <v>463</v>
      </c>
      <c r="D298" t="s">
        <v>463</v>
      </c>
      <c r="E298">
        <v>5510</v>
      </c>
      <c r="F298" t="s">
        <v>128</v>
      </c>
      <c r="G298">
        <v>1675</v>
      </c>
      <c r="H298" t="s">
        <v>87</v>
      </c>
      <c r="I298">
        <v>2021</v>
      </c>
      <c r="J298">
        <v>2021</v>
      </c>
      <c r="K298" t="s">
        <v>339</v>
      </c>
      <c r="L298">
        <v>100134000</v>
      </c>
      <c r="M298" t="s">
        <v>397</v>
      </c>
      <c r="N298" t="s">
        <v>398</v>
      </c>
    </row>
    <row r="299" spans="1:18" x14ac:dyDescent="0.3">
      <c r="A299" t="s">
        <v>126</v>
      </c>
      <c r="B299" t="s">
        <v>125</v>
      </c>
      <c r="C299" t="s">
        <v>463</v>
      </c>
      <c r="D299" t="s">
        <v>463</v>
      </c>
      <c r="E299">
        <v>5610</v>
      </c>
      <c r="F299" t="s">
        <v>127</v>
      </c>
      <c r="G299">
        <v>1675</v>
      </c>
      <c r="H299" t="s">
        <v>87</v>
      </c>
      <c r="I299">
        <v>2021</v>
      </c>
      <c r="J299">
        <v>2021</v>
      </c>
      <c r="K299" t="s">
        <v>339</v>
      </c>
      <c r="L299">
        <v>10048975.48</v>
      </c>
      <c r="M299" t="s">
        <v>397</v>
      </c>
      <c r="N299" t="s">
        <v>398</v>
      </c>
    </row>
    <row r="300" spans="1:18" x14ac:dyDescent="0.3">
      <c r="A300" t="s">
        <v>126</v>
      </c>
      <c r="B300" t="s">
        <v>125</v>
      </c>
      <c r="C300" t="s">
        <v>463</v>
      </c>
      <c r="D300" t="s">
        <v>463</v>
      </c>
      <c r="E300">
        <v>5910</v>
      </c>
      <c r="F300" t="s">
        <v>124</v>
      </c>
      <c r="G300">
        <v>1675</v>
      </c>
      <c r="H300" t="s">
        <v>87</v>
      </c>
      <c r="I300">
        <v>2021</v>
      </c>
      <c r="J300">
        <v>2021</v>
      </c>
      <c r="K300" t="s">
        <v>339</v>
      </c>
      <c r="L300">
        <v>3908233.64</v>
      </c>
      <c r="M300" t="s">
        <v>397</v>
      </c>
      <c r="N300" t="s">
        <v>398</v>
      </c>
    </row>
    <row r="301" spans="1:18" x14ac:dyDescent="0.3">
      <c r="A301" t="s">
        <v>126</v>
      </c>
      <c r="B301" t="s">
        <v>125</v>
      </c>
      <c r="C301" t="s">
        <v>463</v>
      </c>
      <c r="D301" t="s">
        <v>463</v>
      </c>
      <c r="E301">
        <v>5510</v>
      </c>
      <c r="F301" t="s">
        <v>128</v>
      </c>
      <c r="G301">
        <v>1676</v>
      </c>
      <c r="H301" t="s">
        <v>86</v>
      </c>
      <c r="I301">
        <v>2021</v>
      </c>
      <c r="J301">
        <v>2021</v>
      </c>
      <c r="K301" t="s">
        <v>339</v>
      </c>
      <c r="L301">
        <v>11249000</v>
      </c>
      <c r="M301" t="s">
        <v>397</v>
      </c>
      <c r="N301" t="s">
        <v>398</v>
      </c>
      <c r="O301">
        <v>10686550</v>
      </c>
      <c r="P301">
        <v>10.686549999999999</v>
      </c>
      <c r="Q301" t="s">
        <v>811</v>
      </c>
      <c r="R301" s="141">
        <v>0.95</v>
      </c>
    </row>
    <row r="302" spans="1:18" x14ac:dyDescent="0.3">
      <c r="A302" t="s">
        <v>126</v>
      </c>
      <c r="B302" t="s">
        <v>125</v>
      </c>
      <c r="C302" t="s">
        <v>463</v>
      </c>
      <c r="D302" t="s">
        <v>463</v>
      </c>
      <c r="E302">
        <v>5610</v>
      </c>
      <c r="F302" t="s">
        <v>127</v>
      </c>
      <c r="G302">
        <v>1676</v>
      </c>
      <c r="H302" t="s">
        <v>86</v>
      </c>
      <c r="I302">
        <v>2021</v>
      </c>
      <c r="J302">
        <v>2021</v>
      </c>
      <c r="K302" t="s">
        <v>339</v>
      </c>
      <c r="L302">
        <v>118200.94</v>
      </c>
      <c r="M302" t="s">
        <v>829</v>
      </c>
      <c r="N302" t="s">
        <v>830</v>
      </c>
      <c r="O302">
        <v>112290.893</v>
      </c>
      <c r="P302">
        <v>0.11229089299999999</v>
      </c>
      <c r="Q302" t="s">
        <v>812</v>
      </c>
      <c r="R302" s="141">
        <v>0.95</v>
      </c>
    </row>
    <row r="303" spans="1:18" x14ac:dyDescent="0.3">
      <c r="A303" t="s">
        <v>126</v>
      </c>
      <c r="B303" t="s">
        <v>125</v>
      </c>
      <c r="C303" t="s">
        <v>463</v>
      </c>
      <c r="D303" t="s">
        <v>463</v>
      </c>
      <c r="E303">
        <v>5910</v>
      </c>
      <c r="F303" t="s">
        <v>124</v>
      </c>
      <c r="G303">
        <v>1676</v>
      </c>
      <c r="H303" t="s">
        <v>86</v>
      </c>
      <c r="I303">
        <v>2021</v>
      </c>
      <c r="J303">
        <v>2021</v>
      </c>
      <c r="K303" t="s">
        <v>339</v>
      </c>
      <c r="L303">
        <v>130582.44</v>
      </c>
      <c r="M303" t="s">
        <v>397</v>
      </c>
      <c r="N303" t="s">
        <v>398</v>
      </c>
      <c r="O303">
        <v>124053.318</v>
      </c>
      <c r="P303">
        <v>0.124053318</v>
      </c>
      <c r="Q303" t="s">
        <v>813</v>
      </c>
      <c r="R303" s="141">
        <v>0.95</v>
      </c>
    </row>
    <row r="304" spans="1:18" x14ac:dyDescent="0.3">
      <c r="A304" t="s">
        <v>126</v>
      </c>
      <c r="B304" t="s">
        <v>125</v>
      </c>
      <c r="C304" t="s">
        <v>463</v>
      </c>
      <c r="D304" t="s">
        <v>463</v>
      </c>
      <c r="E304">
        <v>5510</v>
      </c>
      <c r="F304" t="s">
        <v>128</v>
      </c>
      <c r="G304">
        <v>1681</v>
      </c>
      <c r="H304" t="s">
        <v>130</v>
      </c>
      <c r="I304">
        <v>2021</v>
      </c>
      <c r="J304">
        <v>2021</v>
      </c>
    </row>
    <row r="305" spans="1:18" x14ac:dyDescent="0.3">
      <c r="A305" t="s">
        <v>126</v>
      </c>
      <c r="B305" t="s">
        <v>125</v>
      </c>
      <c r="C305" t="s">
        <v>463</v>
      </c>
      <c r="D305" t="s">
        <v>463</v>
      </c>
      <c r="E305">
        <v>5610</v>
      </c>
      <c r="F305" t="s">
        <v>127</v>
      </c>
      <c r="G305">
        <v>1681</v>
      </c>
      <c r="H305" t="s">
        <v>130</v>
      </c>
      <c r="I305">
        <v>2021</v>
      </c>
      <c r="J305">
        <v>2021</v>
      </c>
    </row>
    <row r="306" spans="1:18" x14ac:dyDescent="0.3">
      <c r="A306" t="s">
        <v>126</v>
      </c>
      <c r="B306" t="s">
        <v>125</v>
      </c>
      <c r="C306" t="s">
        <v>463</v>
      </c>
      <c r="D306" t="s">
        <v>463</v>
      </c>
      <c r="E306">
        <v>5910</v>
      </c>
      <c r="F306" t="s">
        <v>124</v>
      </c>
      <c r="G306">
        <v>1681</v>
      </c>
      <c r="H306" t="s">
        <v>130</v>
      </c>
      <c r="I306">
        <v>2021</v>
      </c>
      <c r="J306">
        <v>2021</v>
      </c>
    </row>
    <row r="307" spans="1:18" x14ac:dyDescent="0.3">
      <c r="A307" t="s">
        <v>126</v>
      </c>
      <c r="B307" t="s">
        <v>125</v>
      </c>
      <c r="C307" t="s">
        <v>463</v>
      </c>
      <c r="D307" t="s">
        <v>463</v>
      </c>
      <c r="E307">
        <v>5510</v>
      </c>
      <c r="F307" t="s">
        <v>128</v>
      </c>
      <c r="G307">
        <v>1617</v>
      </c>
      <c r="H307" t="s">
        <v>85</v>
      </c>
      <c r="I307">
        <v>2021</v>
      </c>
      <c r="J307">
        <v>2021</v>
      </c>
      <c r="K307" t="s">
        <v>339</v>
      </c>
      <c r="L307">
        <v>57363000</v>
      </c>
      <c r="M307" t="s">
        <v>397</v>
      </c>
      <c r="N307" t="s">
        <v>398</v>
      </c>
      <c r="O307">
        <v>54494850</v>
      </c>
      <c r="P307">
        <v>54.49485</v>
      </c>
      <c r="Q307" t="s">
        <v>814</v>
      </c>
      <c r="R307" s="141">
        <v>0.95</v>
      </c>
    </row>
    <row r="308" spans="1:18" x14ac:dyDescent="0.3">
      <c r="A308" t="s">
        <v>126</v>
      </c>
      <c r="B308" t="s">
        <v>125</v>
      </c>
      <c r="C308" t="s">
        <v>463</v>
      </c>
      <c r="D308" t="s">
        <v>463</v>
      </c>
      <c r="E308">
        <v>5610</v>
      </c>
      <c r="F308" t="s">
        <v>127</v>
      </c>
      <c r="G308">
        <v>1617</v>
      </c>
      <c r="H308" t="s">
        <v>85</v>
      </c>
      <c r="I308">
        <v>2021</v>
      </c>
      <c r="J308">
        <v>2021</v>
      </c>
      <c r="K308" t="s">
        <v>339</v>
      </c>
      <c r="L308">
        <v>6608364.6900000004</v>
      </c>
      <c r="M308" t="s">
        <v>829</v>
      </c>
      <c r="N308" t="s">
        <v>830</v>
      </c>
      <c r="O308">
        <v>6277946.4555000002</v>
      </c>
      <c r="P308">
        <v>6.2779464554999995</v>
      </c>
      <c r="Q308" t="s">
        <v>815</v>
      </c>
      <c r="R308" s="141">
        <v>0.95</v>
      </c>
    </row>
    <row r="309" spans="1:18" x14ac:dyDescent="0.3">
      <c r="A309" t="s">
        <v>126</v>
      </c>
      <c r="B309" t="s">
        <v>125</v>
      </c>
      <c r="C309" t="s">
        <v>463</v>
      </c>
      <c r="D309" t="s">
        <v>463</v>
      </c>
      <c r="E309">
        <v>5910</v>
      </c>
      <c r="F309" t="s">
        <v>124</v>
      </c>
      <c r="G309">
        <v>1617</v>
      </c>
      <c r="H309" t="s">
        <v>85</v>
      </c>
      <c r="I309">
        <v>2021</v>
      </c>
      <c r="J309">
        <v>2021</v>
      </c>
      <c r="K309" t="s">
        <v>339</v>
      </c>
      <c r="L309">
        <v>1009421.47</v>
      </c>
      <c r="M309" t="s">
        <v>829</v>
      </c>
      <c r="N309" t="s">
        <v>830</v>
      </c>
      <c r="O309">
        <v>958950.39649999992</v>
      </c>
      <c r="P309">
        <v>0.95895039649999991</v>
      </c>
      <c r="Q309" t="s">
        <v>816</v>
      </c>
      <c r="R309" s="141">
        <v>0.95</v>
      </c>
    </row>
    <row r="310" spans="1:18" x14ac:dyDescent="0.3">
      <c r="A310" t="s">
        <v>126</v>
      </c>
      <c r="B310" t="s">
        <v>125</v>
      </c>
      <c r="C310" t="s">
        <v>463</v>
      </c>
      <c r="D310" t="s">
        <v>463</v>
      </c>
      <c r="E310">
        <v>5510</v>
      </c>
      <c r="F310" t="s">
        <v>128</v>
      </c>
      <c r="G310">
        <v>1618</v>
      </c>
      <c r="H310" t="s">
        <v>84</v>
      </c>
      <c r="I310">
        <v>2021</v>
      </c>
      <c r="J310">
        <v>2021</v>
      </c>
      <c r="K310" t="s">
        <v>339</v>
      </c>
      <c r="L310">
        <v>16022000</v>
      </c>
      <c r="M310" t="s">
        <v>397</v>
      </c>
      <c r="N310" t="s">
        <v>398</v>
      </c>
      <c r="O310">
        <v>15220900</v>
      </c>
      <c r="P310">
        <v>15.220899999999999</v>
      </c>
      <c r="Q310" t="s">
        <v>817</v>
      </c>
      <c r="R310" s="141">
        <v>0.95</v>
      </c>
    </row>
    <row r="311" spans="1:18" x14ac:dyDescent="0.3">
      <c r="A311" t="s">
        <v>126</v>
      </c>
      <c r="B311" t="s">
        <v>125</v>
      </c>
      <c r="C311" t="s">
        <v>463</v>
      </c>
      <c r="D311" t="s">
        <v>463</v>
      </c>
      <c r="E311">
        <v>5610</v>
      </c>
      <c r="F311" t="s">
        <v>127</v>
      </c>
      <c r="G311">
        <v>1618</v>
      </c>
      <c r="H311" t="s">
        <v>84</v>
      </c>
      <c r="I311">
        <v>2021</v>
      </c>
      <c r="J311">
        <v>2021</v>
      </c>
      <c r="K311" t="s">
        <v>339</v>
      </c>
      <c r="L311">
        <v>1458499.06</v>
      </c>
      <c r="M311" t="s">
        <v>397</v>
      </c>
      <c r="N311" t="s">
        <v>398</v>
      </c>
      <c r="O311">
        <v>1385574.1070000001</v>
      </c>
      <c r="P311">
        <v>1.3855741070000001</v>
      </c>
      <c r="Q311" t="s">
        <v>818</v>
      </c>
      <c r="R311" s="141">
        <v>0.95</v>
      </c>
    </row>
    <row r="312" spans="1:18" x14ac:dyDescent="0.3">
      <c r="A312" t="s">
        <v>126</v>
      </c>
      <c r="B312" t="s">
        <v>125</v>
      </c>
      <c r="C312" t="s">
        <v>463</v>
      </c>
      <c r="D312" t="s">
        <v>463</v>
      </c>
      <c r="E312">
        <v>5910</v>
      </c>
      <c r="F312" t="s">
        <v>124</v>
      </c>
      <c r="G312">
        <v>1618</v>
      </c>
      <c r="H312" t="s">
        <v>84</v>
      </c>
      <c r="I312">
        <v>2021</v>
      </c>
      <c r="J312">
        <v>2021</v>
      </c>
      <c r="K312" t="s">
        <v>339</v>
      </c>
      <c r="L312">
        <v>2099054.6800000002</v>
      </c>
      <c r="M312" t="s">
        <v>829</v>
      </c>
      <c r="N312" t="s">
        <v>830</v>
      </c>
      <c r="O312">
        <v>1994101.946</v>
      </c>
      <c r="P312">
        <v>1.994101946</v>
      </c>
      <c r="Q312" t="s">
        <v>819</v>
      </c>
      <c r="R312" s="141">
        <v>0.95</v>
      </c>
    </row>
    <row r="313" spans="1:18" x14ac:dyDescent="0.3">
      <c r="A313" t="s">
        <v>126</v>
      </c>
      <c r="B313" t="s">
        <v>125</v>
      </c>
      <c r="C313" t="s">
        <v>463</v>
      </c>
      <c r="D313" t="s">
        <v>463</v>
      </c>
      <c r="E313">
        <v>5510</v>
      </c>
      <c r="F313" t="s">
        <v>128</v>
      </c>
      <c r="G313">
        <v>1621</v>
      </c>
      <c r="H313" t="s">
        <v>129</v>
      </c>
      <c r="I313">
        <v>2021</v>
      </c>
      <c r="J313">
        <v>2021</v>
      </c>
      <c r="K313" t="s">
        <v>339</v>
      </c>
      <c r="L313">
        <v>7150000</v>
      </c>
      <c r="M313" t="s">
        <v>397</v>
      </c>
      <c r="N313" t="s">
        <v>398</v>
      </c>
      <c r="O313">
        <v>6792500</v>
      </c>
      <c r="P313">
        <v>6.7924999999999995</v>
      </c>
      <c r="Q313" t="s">
        <v>820</v>
      </c>
      <c r="R313" s="141">
        <v>0.95</v>
      </c>
    </row>
    <row r="314" spans="1:18" x14ac:dyDescent="0.3">
      <c r="A314" t="s">
        <v>126</v>
      </c>
      <c r="B314" t="s">
        <v>125</v>
      </c>
      <c r="C314" t="s">
        <v>463</v>
      </c>
      <c r="D314" t="s">
        <v>463</v>
      </c>
      <c r="E314">
        <v>5610</v>
      </c>
      <c r="F314" t="s">
        <v>127</v>
      </c>
      <c r="G314">
        <v>1621</v>
      </c>
      <c r="H314" t="s">
        <v>129</v>
      </c>
      <c r="I314">
        <v>2021</v>
      </c>
      <c r="J314">
        <v>2021</v>
      </c>
      <c r="K314" t="s">
        <v>339</v>
      </c>
      <c r="L314">
        <v>1021953.5</v>
      </c>
      <c r="M314" t="s">
        <v>829</v>
      </c>
      <c r="N314" t="s">
        <v>830</v>
      </c>
      <c r="O314">
        <v>970855.82499999995</v>
      </c>
      <c r="P314">
        <v>0.97085582499999989</v>
      </c>
      <c r="Q314" t="s">
        <v>821</v>
      </c>
      <c r="R314" s="141">
        <v>0.95</v>
      </c>
    </row>
    <row r="315" spans="1:18" x14ac:dyDescent="0.3">
      <c r="A315" t="s">
        <v>126</v>
      </c>
      <c r="B315" t="s">
        <v>125</v>
      </c>
      <c r="C315" t="s">
        <v>463</v>
      </c>
      <c r="D315" t="s">
        <v>463</v>
      </c>
      <c r="E315">
        <v>5910</v>
      </c>
      <c r="F315" t="s">
        <v>124</v>
      </c>
      <c r="G315">
        <v>1621</v>
      </c>
      <c r="H315" t="s">
        <v>129</v>
      </c>
      <c r="I315">
        <v>2021</v>
      </c>
      <c r="J315">
        <v>2021</v>
      </c>
      <c r="K315" t="s">
        <v>339</v>
      </c>
      <c r="L315">
        <v>386873.04</v>
      </c>
      <c r="M315" t="s">
        <v>397</v>
      </c>
      <c r="N315" t="s">
        <v>398</v>
      </c>
      <c r="O315">
        <v>367529.38799999998</v>
      </c>
      <c r="P315">
        <v>0.36752938799999996</v>
      </c>
      <c r="Q315" t="s">
        <v>822</v>
      </c>
      <c r="R315" s="141">
        <v>0.95</v>
      </c>
    </row>
    <row r="316" spans="1:18" x14ac:dyDescent="0.3">
      <c r="A316" t="s">
        <v>126</v>
      </c>
      <c r="B316" t="s">
        <v>125</v>
      </c>
      <c r="C316" t="s">
        <v>463</v>
      </c>
      <c r="D316" t="s">
        <v>463</v>
      </c>
      <c r="E316">
        <v>5510</v>
      </c>
      <c r="F316" t="s">
        <v>128</v>
      </c>
      <c r="G316">
        <v>1622</v>
      </c>
      <c r="H316" t="s">
        <v>83</v>
      </c>
      <c r="I316">
        <v>2021</v>
      </c>
      <c r="J316">
        <v>2021</v>
      </c>
      <c r="K316" t="s">
        <v>339</v>
      </c>
      <c r="L316">
        <v>45000</v>
      </c>
      <c r="M316" t="s">
        <v>397</v>
      </c>
      <c r="N316" t="s">
        <v>398</v>
      </c>
      <c r="O316">
        <v>42750</v>
      </c>
      <c r="P316">
        <v>4.2749999999999996E-2</v>
      </c>
      <c r="Q316" t="s">
        <v>823</v>
      </c>
      <c r="R316" s="141">
        <v>0.95</v>
      </c>
    </row>
    <row r="317" spans="1:18" x14ac:dyDescent="0.3">
      <c r="A317" t="s">
        <v>126</v>
      </c>
      <c r="B317" t="s">
        <v>125</v>
      </c>
      <c r="C317" t="s">
        <v>463</v>
      </c>
      <c r="D317" t="s">
        <v>463</v>
      </c>
      <c r="E317">
        <v>5610</v>
      </c>
      <c r="F317" t="s">
        <v>127</v>
      </c>
      <c r="G317">
        <v>1622</v>
      </c>
      <c r="H317" t="s">
        <v>83</v>
      </c>
      <c r="I317">
        <v>2021</v>
      </c>
      <c r="J317">
        <v>2021</v>
      </c>
      <c r="K317" t="s">
        <v>339</v>
      </c>
      <c r="L317">
        <v>657344.80000000005</v>
      </c>
      <c r="M317" t="s">
        <v>829</v>
      </c>
      <c r="N317" t="s">
        <v>830</v>
      </c>
      <c r="O317">
        <v>624477.56000000006</v>
      </c>
      <c r="P317">
        <v>0.62447755999999999</v>
      </c>
      <c r="Q317" t="s">
        <v>824</v>
      </c>
      <c r="R317" s="141">
        <v>0.95</v>
      </c>
    </row>
    <row r="318" spans="1:18" x14ac:dyDescent="0.3">
      <c r="A318" t="s">
        <v>126</v>
      </c>
      <c r="B318" t="s">
        <v>125</v>
      </c>
      <c r="C318" t="s">
        <v>463</v>
      </c>
      <c r="D318" t="s">
        <v>463</v>
      </c>
      <c r="E318">
        <v>5910</v>
      </c>
      <c r="F318" t="s">
        <v>124</v>
      </c>
      <c r="G318">
        <v>1622</v>
      </c>
      <c r="H318" t="s">
        <v>83</v>
      </c>
      <c r="I318">
        <v>2021</v>
      </c>
      <c r="J318">
        <v>2021</v>
      </c>
      <c r="K318" t="s">
        <v>339</v>
      </c>
      <c r="L318">
        <v>184800.73</v>
      </c>
      <c r="M318" t="s">
        <v>829</v>
      </c>
      <c r="N318" t="s">
        <v>830</v>
      </c>
      <c r="O318">
        <v>175560.69349999999</v>
      </c>
      <c r="P318">
        <v>0.17556069349999998</v>
      </c>
      <c r="Q318" t="s">
        <v>825</v>
      </c>
      <c r="R318" s="141">
        <v>0.95</v>
      </c>
    </row>
    <row r="319" spans="1:18" x14ac:dyDescent="0.3">
      <c r="A319" t="s">
        <v>126</v>
      </c>
      <c r="B319" t="s">
        <v>125</v>
      </c>
      <c r="C319" t="s">
        <v>463</v>
      </c>
      <c r="D319" t="s">
        <v>463</v>
      </c>
      <c r="E319">
        <v>5510</v>
      </c>
      <c r="F319" t="s">
        <v>128</v>
      </c>
      <c r="G319">
        <v>1683</v>
      </c>
      <c r="H319" t="s">
        <v>123</v>
      </c>
      <c r="I319">
        <v>2021</v>
      </c>
      <c r="J319">
        <v>2021</v>
      </c>
      <c r="K319" t="s">
        <v>339</v>
      </c>
      <c r="L319">
        <v>8305000</v>
      </c>
      <c r="M319" t="s">
        <v>397</v>
      </c>
      <c r="N319" t="s">
        <v>398</v>
      </c>
      <c r="O319">
        <v>7889750</v>
      </c>
      <c r="P319">
        <v>7.8897499999999994</v>
      </c>
      <c r="Q319" t="s">
        <v>826</v>
      </c>
      <c r="R319" s="141">
        <v>0.95</v>
      </c>
    </row>
    <row r="320" spans="1:18" x14ac:dyDescent="0.3">
      <c r="A320" t="s">
        <v>126</v>
      </c>
      <c r="B320" t="s">
        <v>125</v>
      </c>
      <c r="C320" t="s">
        <v>463</v>
      </c>
      <c r="D320" t="s">
        <v>463</v>
      </c>
      <c r="E320">
        <v>5610</v>
      </c>
      <c r="F320" t="s">
        <v>127</v>
      </c>
      <c r="G320">
        <v>1683</v>
      </c>
      <c r="H320" t="s">
        <v>123</v>
      </c>
      <c r="I320">
        <v>2021</v>
      </c>
      <c r="J320">
        <v>2021</v>
      </c>
      <c r="K320" t="s">
        <v>339</v>
      </c>
      <c r="L320">
        <v>184612.49</v>
      </c>
      <c r="M320" t="s">
        <v>829</v>
      </c>
      <c r="N320" t="s">
        <v>830</v>
      </c>
      <c r="O320">
        <v>175381.86549999999</v>
      </c>
      <c r="P320">
        <v>0.17538186549999998</v>
      </c>
      <c r="Q320" t="s">
        <v>827</v>
      </c>
      <c r="R320" s="141">
        <v>0.95</v>
      </c>
    </row>
    <row r="321" spans="1:18" x14ac:dyDescent="0.3">
      <c r="A321" t="s">
        <v>126</v>
      </c>
      <c r="B321" t="s">
        <v>125</v>
      </c>
      <c r="C321" t="s">
        <v>463</v>
      </c>
      <c r="D321" t="s">
        <v>463</v>
      </c>
      <c r="E321">
        <v>5910</v>
      </c>
      <c r="F321" t="s">
        <v>124</v>
      </c>
      <c r="G321">
        <v>1683</v>
      </c>
      <c r="H321" t="s">
        <v>123</v>
      </c>
      <c r="I321">
        <v>2021</v>
      </c>
      <c r="J321">
        <v>2021</v>
      </c>
      <c r="K321" t="s">
        <v>339</v>
      </c>
      <c r="L321">
        <v>97501.29</v>
      </c>
      <c r="M321" t="s">
        <v>397</v>
      </c>
      <c r="N321" t="s">
        <v>398</v>
      </c>
      <c r="O321">
        <v>92626.225499999986</v>
      </c>
      <c r="P321">
        <v>9.2626225499999978E-2</v>
      </c>
      <c r="Q321" t="s">
        <v>828</v>
      </c>
      <c r="R321" s="141">
        <v>0.95</v>
      </c>
    </row>
    <row r="322" spans="1:18" x14ac:dyDescent="0.3">
      <c r="A322" t="s">
        <v>126</v>
      </c>
      <c r="B322" t="s">
        <v>125</v>
      </c>
      <c r="C322" t="s">
        <v>464</v>
      </c>
      <c r="D322" t="s">
        <v>464</v>
      </c>
      <c r="E322">
        <v>5516</v>
      </c>
      <c r="F322" t="s">
        <v>128</v>
      </c>
      <c r="G322">
        <v>1627</v>
      </c>
      <c r="H322" t="s">
        <v>121</v>
      </c>
      <c r="I322">
        <v>2021</v>
      </c>
      <c r="J322">
        <v>2021</v>
      </c>
      <c r="K322" t="s">
        <v>143</v>
      </c>
      <c r="L322">
        <v>40886556</v>
      </c>
      <c r="O322">
        <v>16763487.959999999</v>
      </c>
      <c r="P322">
        <v>16.763487959999999</v>
      </c>
      <c r="Q322" t="s">
        <v>724</v>
      </c>
      <c r="R322" s="141">
        <v>0.41</v>
      </c>
    </row>
    <row r="323" spans="1:18" x14ac:dyDescent="0.3">
      <c r="A323" t="s">
        <v>126</v>
      </c>
      <c r="B323" t="s">
        <v>125</v>
      </c>
      <c r="C323" t="s">
        <v>464</v>
      </c>
      <c r="D323" t="s">
        <v>464</v>
      </c>
      <c r="E323">
        <v>5616</v>
      </c>
      <c r="F323" t="s">
        <v>127</v>
      </c>
      <c r="G323">
        <v>1627</v>
      </c>
      <c r="H323" t="s">
        <v>121</v>
      </c>
      <c r="I323">
        <v>2021</v>
      </c>
      <c r="J323">
        <v>2021</v>
      </c>
      <c r="K323" t="s">
        <v>143</v>
      </c>
      <c r="L323">
        <v>1417302</v>
      </c>
      <c r="O323">
        <v>183044.5533</v>
      </c>
      <c r="P323">
        <v>0.1830445533</v>
      </c>
      <c r="Q323" t="s">
        <v>725</v>
      </c>
      <c r="R323" s="141">
        <v>0.41</v>
      </c>
    </row>
    <row r="324" spans="1:18" x14ac:dyDescent="0.3">
      <c r="A324" t="s">
        <v>126</v>
      </c>
      <c r="B324" t="s">
        <v>125</v>
      </c>
      <c r="C324" t="s">
        <v>464</v>
      </c>
      <c r="D324" t="s">
        <v>464</v>
      </c>
      <c r="E324">
        <v>5916</v>
      </c>
      <c r="F324" t="s">
        <v>124</v>
      </c>
      <c r="G324">
        <v>1627</v>
      </c>
      <c r="H324" t="s">
        <v>121</v>
      </c>
      <c r="I324">
        <v>2021</v>
      </c>
      <c r="J324">
        <v>2021</v>
      </c>
      <c r="K324" t="s">
        <v>143</v>
      </c>
      <c r="L324">
        <v>1685371</v>
      </c>
      <c r="O324">
        <v>217665.66464999999</v>
      </c>
      <c r="P324">
        <v>0.21766566464999998</v>
      </c>
      <c r="Q324" t="s">
        <v>726</v>
      </c>
      <c r="R324" s="141">
        <v>0.41</v>
      </c>
    </row>
    <row r="325" spans="1:18" x14ac:dyDescent="0.3">
      <c r="A325" t="s">
        <v>126</v>
      </c>
      <c r="B325" t="s">
        <v>125</v>
      </c>
      <c r="C325" t="s">
        <v>464</v>
      </c>
      <c r="D325" t="s">
        <v>464</v>
      </c>
      <c r="E325">
        <v>5516</v>
      </c>
      <c r="F325" t="s">
        <v>128</v>
      </c>
      <c r="G325">
        <v>1628</v>
      </c>
      <c r="H325" t="s">
        <v>120</v>
      </c>
      <c r="I325">
        <v>2021</v>
      </c>
      <c r="J325">
        <v>2021</v>
      </c>
      <c r="K325" t="s">
        <v>143</v>
      </c>
      <c r="L325">
        <v>85585615</v>
      </c>
      <c r="O325">
        <v>47671187.555000007</v>
      </c>
      <c r="P325">
        <v>47.671187555000003</v>
      </c>
      <c r="Q325" t="s">
        <v>727</v>
      </c>
      <c r="R325" s="141">
        <v>0.55700000000000005</v>
      </c>
    </row>
    <row r="326" spans="1:18" x14ac:dyDescent="0.3">
      <c r="A326" t="s">
        <v>126</v>
      </c>
      <c r="B326" t="s">
        <v>125</v>
      </c>
      <c r="C326" t="s">
        <v>464</v>
      </c>
      <c r="D326" t="s">
        <v>464</v>
      </c>
      <c r="E326">
        <v>5616</v>
      </c>
      <c r="F326" t="s">
        <v>127</v>
      </c>
      <c r="G326">
        <v>1628</v>
      </c>
      <c r="H326" t="s">
        <v>120</v>
      </c>
      <c r="I326">
        <v>2021</v>
      </c>
      <c r="J326">
        <v>2021</v>
      </c>
      <c r="K326" t="s">
        <v>143</v>
      </c>
      <c r="L326">
        <v>1925307</v>
      </c>
      <c r="O326">
        <v>337804.73968500004</v>
      </c>
      <c r="P326">
        <v>0.33780473968500002</v>
      </c>
      <c r="Q326" t="s">
        <v>728</v>
      </c>
      <c r="R326" s="141">
        <v>0.55700000000000005</v>
      </c>
    </row>
    <row r="327" spans="1:18" x14ac:dyDescent="0.3">
      <c r="A327" t="s">
        <v>126</v>
      </c>
      <c r="B327" t="s">
        <v>125</v>
      </c>
      <c r="C327" t="s">
        <v>464</v>
      </c>
      <c r="D327" t="s">
        <v>464</v>
      </c>
      <c r="E327">
        <v>5916</v>
      </c>
      <c r="F327" t="s">
        <v>124</v>
      </c>
      <c r="G327">
        <v>1628</v>
      </c>
      <c r="H327" t="s">
        <v>120</v>
      </c>
      <c r="I327">
        <v>2021</v>
      </c>
      <c r="J327">
        <v>2021</v>
      </c>
      <c r="K327" t="s">
        <v>143</v>
      </c>
      <c r="L327">
        <v>2439298</v>
      </c>
      <c r="O327">
        <v>427987.03059000004</v>
      </c>
      <c r="P327">
        <v>0.42798703059000004</v>
      </c>
      <c r="Q327" t="s">
        <v>729</v>
      </c>
      <c r="R327" s="141">
        <v>0.55700000000000005</v>
      </c>
    </row>
    <row r="328" spans="1:18" x14ac:dyDescent="0.3">
      <c r="A328" t="s">
        <v>126</v>
      </c>
      <c r="B328" t="s">
        <v>125</v>
      </c>
      <c r="C328" t="s">
        <v>464</v>
      </c>
      <c r="D328" t="s">
        <v>464</v>
      </c>
      <c r="E328">
        <v>5616</v>
      </c>
      <c r="F328" t="s">
        <v>127</v>
      </c>
      <c r="G328">
        <v>1629</v>
      </c>
      <c r="H328" t="s">
        <v>160</v>
      </c>
      <c r="I328">
        <v>2021</v>
      </c>
      <c r="J328">
        <v>2021</v>
      </c>
      <c r="L328">
        <v>0</v>
      </c>
    </row>
    <row r="329" spans="1:18" x14ac:dyDescent="0.3">
      <c r="A329" t="s">
        <v>126</v>
      </c>
      <c r="B329" t="s">
        <v>125</v>
      </c>
      <c r="C329" t="s">
        <v>464</v>
      </c>
      <c r="D329" t="s">
        <v>464</v>
      </c>
      <c r="E329">
        <v>5916</v>
      </c>
      <c r="F329" t="s">
        <v>124</v>
      </c>
      <c r="G329">
        <v>1629</v>
      </c>
      <c r="H329" t="s">
        <v>160</v>
      </c>
      <c r="I329">
        <v>2021</v>
      </c>
      <c r="J329">
        <v>2021</v>
      </c>
      <c r="L329">
        <v>0</v>
      </c>
    </row>
    <row r="330" spans="1:18" x14ac:dyDescent="0.3">
      <c r="A330" t="s">
        <v>126</v>
      </c>
      <c r="B330" t="s">
        <v>125</v>
      </c>
      <c r="C330" t="s">
        <v>464</v>
      </c>
      <c r="D330" t="s">
        <v>464</v>
      </c>
      <c r="E330">
        <v>5616</v>
      </c>
      <c r="F330" t="s">
        <v>127</v>
      </c>
      <c r="G330">
        <v>1651</v>
      </c>
      <c r="H330" t="s">
        <v>159</v>
      </c>
      <c r="I330">
        <v>2021</v>
      </c>
      <c r="J330">
        <v>2021</v>
      </c>
      <c r="K330" t="s">
        <v>143</v>
      </c>
      <c r="L330">
        <v>38639389</v>
      </c>
      <c r="O330">
        <v>5087648.3496300001</v>
      </c>
      <c r="P330">
        <v>5.0876483496300002</v>
      </c>
      <c r="Q330" t="s">
        <v>730</v>
      </c>
      <c r="R330" s="141">
        <v>0.41799999999999998</v>
      </c>
    </row>
    <row r="331" spans="1:18" x14ac:dyDescent="0.3">
      <c r="A331" t="s">
        <v>126</v>
      </c>
      <c r="B331" t="s">
        <v>125</v>
      </c>
      <c r="C331" t="s">
        <v>464</v>
      </c>
      <c r="D331" t="s">
        <v>464</v>
      </c>
      <c r="E331">
        <v>5916</v>
      </c>
      <c r="F331" t="s">
        <v>124</v>
      </c>
      <c r="G331">
        <v>1651</v>
      </c>
      <c r="H331" t="s">
        <v>159</v>
      </c>
      <c r="I331">
        <v>2021</v>
      </c>
      <c r="J331">
        <v>2021</v>
      </c>
      <c r="K331" t="s">
        <v>143</v>
      </c>
      <c r="L331">
        <v>47292517</v>
      </c>
      <c r="O331">
        <v>6227005.7133899992</v>
      </c>
      <c r="P331">
        <v>6.2270057133899988</v>
      </c>
      <c r="Q331" t="s">
        <v>731</v>
      </c>
      <c r="R331" s="141">
        <v>0.41799999999999998</v>
      </c>
    </row>
    <row r="332" spans="1:18" x14ac:dyDescent="0.3">
      <c r="A332" t="s">
        <v>126</v>
      </c>
      <c r="B332" t="s">
        <v>125</v>
      </c>
      <c r="C332" t="s">
        <v>464</v>
      </c>
      <c r="D332" t="s">
        <v>464</v>
      </c>
      <c r="E332">
        <v>5616</v>
      </c>
      <c r="F332" t="s">
        <v>127</v>
      </c>
      <c r="G332">
        <v>1657</v>
      </c>
      <c r="H332" t="s">
        <v>158</v>
      </c>
      <c r="I332">
        <v>2021</v>
      </c>
      <c r="J332">
        <v>2021</v>
      </c>
      <c r="K332" t="s">
        <v>143</v>
      </c>
      <c r="L332">
        <v>355139</v>
      </c>
      <c r="O332">
        <v>62199.044460000005</v>
      </c>
      <c r="P332">
        <v>6.2199044459999998E-2</v>
      </c>
      <c r="Q332" t="s">
        <v>732</v>
      </c>
      <c r="R332" s="141">
        <v>0.55600000000000005</v>
      </c>
    </row>
    <row r="333" spans="1:18" x14ac:dyDescent="0.3">
      <c r="A333" t="s">
        <v>126</v>
      </c>
      <c r="B333" t="s">
        <v>125</v>
      </c>
      <c r="C333" t="s">
        <v>464</v>
      </c>
      <c r="D333" t="s">
        <v>464</v>
      </c>
      <c r="E333">
        <v>5916</v>
      </c>
      <c r="F333" t="s">
        <v>124</v>
      </c>
      <c r="G333">
        <v>1657</v>
      </c>
      <c r="H333" t="s">
        <v>158</v>
      </c>
      <c r="I333">
        <v>2021</v>
      </c>
      <c r="J333">
        <v>2021</v>
      </c>
      <c r="K333" t="s">
        <v>143</v>
      </c>
      <c r="L333">
        <v>30940</v>
      </c>
      <c r="O333">
        <v>5418.8316000000013</v>
      </c>
      <c r="P333">
        <v>5.4188316000000009E-3</v>
      </c>
      <c r="Q333" t="s">
        <v>733</v>
      </c>
      <c r="R333" s="141">
        <v>0.55600000000000005</v>
      </c>
    </row>
    <row r="334" spans="1:18" x14ac:dyDescent="0.3">
      <c r="A334" t="s">
        <v>126</v>
      </c>
      <c r="B334" t="s">
        <v>125</v>
      </c>
      <c r="C334" t="s">
        <v>464</v>
      </c>
      <c r="D334" t="s">
        <v>464</v>
      </c>
      <c r="E334">
        <v>5616</v>
      </c>
      <c r="F334" t="s">
        <v>127</v>
      </c>
      <c r="G334">
        <v>1670</v>
      </c>
      <c r="H334" t="s">
        <v>157</v>
      </c>
      <c r="I334">
        <v>2021</v>
      </c>
      <c r="J334">
        <v>2021</v>
      </c>
      <c r="K334" t="s">
        <v>143</v>
      </c>
      <c r="L334">
        <v>18469765</v>
      </c>
      <c r="O334">
        <v>3234794.6421000008</v>
      </c>
      <c r="P334">
        <v>3.2347946421000007</v>
      </c>
      <c r="Q334" t="s">
        <v>734</v>
      </c>
      <c r="R334" s="141">
        <v>0.55600000000000005</v>
      </c>
    </row>
    <row r="335" spans="1:18" x14ac:dyDescent="0.3">
      <c r="A335" t="s">
        <v>126</v>
      </c>
      <c r="B335" t="s">
        <v>125</v>
      </c>
      <c r="C335" t="s">
        <v>464</v>
      </c>
      <c r="D335" t="s">
        <v>464</v>
      </c>
      <c r="E335">
        <v>5916</v>
      </c>
      <c r="F335" t="s">
        <v>124</v>
      </c>
      <c r="G335">
        <v>1670</v>
      </c>
      <c r="H335" t="s">
        <v>157</v>
      </c>
      <c r="I335">
        <v>2021</v>
      </c>
      <c r="J335">
        <v>2021</v>
      </c>
      <c r="K335" t="s">
        <v>143</v>
      </c>
      <c r="L335">
        <v>13291486</v>
      </c>
      <c r="O335">
        <v>2327870.8580400003</v>
      </c>
      <c r="P335">
        <v>2.3278708580400003</v>
      </c>
      <c r="Q335" t="s">
        <v>735</v>
      </c>
      <c r="R335" s="141">
        <v>0.55600000000000005</v>
      </c>
    </row>
    <row r="336" spans="1:18" x14ac:dyDescent="0.3">
      <c r="A336" t="s">
        <v>126</v>
      </c>
      <c r="B336" t="s">
        <v>125</v>
      </c>
      <c r="C336" t="s">
        <v>464</v>
      </c>
      <c r="D336" t="s">
        <v>464</v>
      </c>
      <c r="E336">
        <v>5516</v>
      </c>
      <c r="F336" t="s">
        <v>128</v>
      </c>
      <c r="G336">
        <v>1601</v>
      </c>
      <c r="H336" t="s">
        <v>119</v>
      </c>
      <c r="I336">
        <v>2021</v>
      </c>
      <c r="J336">
        <v>2021</v>
      </c>
      <c r="K336" t="s">
        <v>143</v>
      </c>
      <c r="L336">
        <v>207628948</v>
      </c>
      <c r="O336">
        <v>87204158.159999996</v>
      </c>
      <c r="P336">
        <v>87.204158159999992</v>
      </c>
      <c r="Q336" t="s">
        <v>736</v>
      </c>
      <c r="R336" s="141">
        <v>0.42</v>
      </c>
    </row>
    <row r="337" spans="1:18" x14ac:dyDescent="0.3">
      <c r="A337" t="s">
        <v>126</v>
      </c>
      <c r="B337" t="s">
        <v>125</v>
      </c>
      <c r="C337" t="s">
        <v>464</v>
      </c>
      <c r="D337" t="s">
        <v>464</v>
      </c>
      <c r="E337">
        <v>5616</v>
      </c>
      <c r="F337" t="s">
        <v>127</v>
      </c>
      <c r="G337">
        <v>1601</v>
      </c>
      <c r="H337" t="s">
        <v>119</v>
      </c>
      <c r="I337">
        <v>2021</v>
      </c>
      <c r="J337">
        <v>2021</v>
      </c>
      <c r="L337">
        <v>0</v>
      </c>
    </row>
    <row r="338" spans="1:18" x14ac:dyDescent="0.3">
      <c r="A338" t="s">
        <v>126</v>
      </c>
      <c r="B338" t="s">
        <v>125</v>
      </c>
      <c r="C338" t="s">
        <v>464</v>
      </c>
      <c r="D338" t="s">
        <v>464</v>
      </c>
      <c r="E338">
        <v>5916</v>
      </c>
      <c r="F338" t="s">
        <v>124</v>
      </c>
      <c r="G338">
        <v>1601</v>
      </c>
      <c r="H338" t="s">
        <v>119</v>
      </c>
      <c r="I338">
        <v>2021</v>
      </c>
      <c r="J338">
        <v>2021</v>
      </c>
      <c r="L338">
        <v>0</v>
      </c>
    </row>
    <row r="339" spans="1:18" x14ac:dyDescent="0.3">
      <c r="A339" t="s">
        <v>126</v>
      </c>
      <c r="B339" t="s">
        <v>125</v>
      </c>
      <c r="C339" t="s">
        <v>464</v>
      </c>
      <c r="D339" t="s">
        <v>464</v>
      </c>
      <c r="E339">
        <v>5516</v>
      </c>
      <c r="F339" t="s">
        <v>128</v>
      </c>
      <c r="G339">
        <v>1604</v>
      </c>
      <c r="H339" t="s">
        <v>118</v>
      </c>
      <c r="I339">
        <v>2021</v>
      </c>
      <c r="J339">
        <v>2021</v>
      </c>
      <c r="K339" t="s">
        <v>143</v>
      </c>
      <c r="L339">
        <v>28543051</v>
      </c>
      <c r="O339">
        <v>16012651.611000001</v>
      </c>
      <c r="P339">
        <v>16.012651610999999</v>
      </c>
      <c r="Q339" t="s">
        <v>737</v>
      </c>
      <c r="R339" s="141">
        <v>0.56100000000000005</v>
      </c>
    </row>
    <row r="340" spans="1:18" x14ac:dyDescent="0.3">
      <c r="A340" t="s">
        <v>126</v>
      </c>
      <c r="B340" t="s">
        <v>125</v>
      </c>
      <c r="C340" t="s">
        <v>464</v>
      </c>
      <c r="D340" t="s">
        <v>464</v>
      </c>
      <c r="E340">
        <v>5616</v>
      </c>
      <c r="F340" t="s">
        <v>127</v>
      </c>
      <c r="G340">
        <v>1604</v>
      </c>
      <c r="H340" t="s">
        <v>118</v>
      </c>
      <c r="I340">
        <v>2021</v>
      </c>
      <c r="J340">
        <v>2021</v>
      </c>
      <c r="L340">
        <v>0</v>
      </c>
    </row>
    <row r="341" spans="1:18" x14ac:dyDescent="0.3">
      <c r="A341" t="s">
        <v>126</v>
      </c>
      <c r="B341" t="s">
        <v>125</v>
      </c>
      <c r="C341" t="s">
        <v>464</v>
      </c>
      <c r="D341" t="s">
        <v>464</v>
      </c>
      <c r="E341">
        <v>5916</v>
      </c>
      <c r="F341" t="s">
        <v>124</v>
      </c>
      <c r="G341">
        <v>1604</v>
      </c>
      <c r="H341" t="s">
        <v>118</v>
      </c>
      <c r="I341">
        <v>2021</v>
      </c>
      <c r="J341">
        <v>2021</v>
      </c>
      <c r="L341">
        <v>0</v>
      </c>
    </row>
    <row r="342" spans="1:18" x14ac:dyDescent="0.3">
      <c r="A342" t="s">
        <v>126</v>
      </c>
      <c r="B342" t="s">
        <v>125</v>
      </c>
      <c r="C342" t="s">
        <v>464</v>
      </c>
      <c r="D342" t="s">
        <v>464</v>
      </c>
      <c r="E342">
        <v>5516</v>
      </c>
      <c r="F342" t="s">
        <v>128</v>
      </c>
      <c r="G342">
        <v>1602</v>
      </c>
      <c r="H342" t="s">
        <v>156</v>
      </c>
      <c r="I342">
        <v>2021</v>
      </c>
      <c r="J342">
        <v>2021</v>
      </c>
      <c r="K342" t="s">
        <v>143</v>
      </c>
      <c r="L342">
        <v>106016350</v>
      </c>
      <c r="O342">
        <v>44102801.600000001</v>
      </c>
      <c r="P342">
        <v>44.102801599999999</v>
      </c>
      <c r="Q342" t="s">
        <v>738</v>
      </c>
      <c r="R342" s="141">
        <v>0.41599999999999998</v>
      </c>
    </row>
    <row r="343" spans="1:18" x14ac:dyDescent="0.3">
      <c r="A343" t="s">
        <v>126</v>
      </c>
      <c r="B343" t="s">
        <v>125</v>
      </c>
      <c r="C343" t="s">
        <v>464</v>
      </c>
      <c r="D343" t="s">
        <v>464</v>
      </c>
      <c r="E343">
        <v>5516</v>
      </c>
      <c r="F343" t="s">
        <v>128</v>
      </c>
      <c r="G343">
        <v>1603</v>
      </c>
      <c r="H343" t="s">
        <v>155</v>
      </c>
      <c r="I343">
        <v>2021</v>
      </c>
      <c r="J343">
        <v>2021</v>
      </c>
      <c r="K343" t="s">
        <v>143</v>
      </c>
      <c r="L343">
        <v>46671957</v>
      </c>
      <c r="O343">
        <v>25716248.307000004</v>
      </c>
      <c r="P343">
        <v>25.716248307000004</v>
      </c>
      <c r="Q343" t="s">
        <v>739</v>
      </c>
      <c r="R343" s="141">
        <v>0.55100000000000005</v>
      </c>
    </row>
    <row r="344" spans="1:18" x14ac:dyDescent="0.3">
      <c r="A344" t="s">
        <v>126</v>
      </c>
      <c r="B344" t="s">
        <v>125</v>
      </c>
      <c r="C344" t="s">
        <v>464</v>
      </c>
      <c r="D344" t="s">
        <v>464</v>
      </c>
      <c r="E344">
        <v>5516</v>
      </c>
      <c r="F344" t="s">
        <v>128</v>
      </c>
      <c r="G344">
        <v>1614</v>
      </c>
      <c r="H344" t="s">
        <v>154</v>
      </c>
      <c r="I344">
        <v>2021</v>
      </c>
      <c r="J344">
        <v>2021</v>
      </c>
      <c r="L344">
        <v>0</v>
      </c>
    </row>
    <row r="345" spans="1:18" x14ac:dyDescent="0.3">
      <c r="A345" t="s">
        <v>126</v>
      </c>
      <c r="B345" t="s">
        <v>125</v>
      </c>
      <c r="C345" t="s">
        <v>464</v>
      </c>
      <c r="D345" t="s">
        <v>464</v>
      </c>
      <c r="E345">
        <v>5616</v>
      </c>
      <c r="F345" t="s">
        <v>127</v>
      </c>
      <c r="G345">
        <v>1614</v>
      </c>
      <c r="H345" t="s">
        <v>154</v>
      </c>
      <c r="I345">
        <v>2021</v>
      </c>
      <c r="J345">
        <v>2021</v>
      </c>
      <c r="L345">
        <v>0</v>
      </c>
    </row>
    <row r="346" spans="1:18" x14ac:dyDescent="0.3">
      <c r="A346" t="s">
        <v>126</v>
      </c>
      <c r="B346" t="s">
        <v>125</v>
      </c>
      <c r="C346" t="s">
        <v>464</v>
      </c>
      <c r="D346" t="s">
        <v>464</v>
      </c>
      <c r="E346">
        <v>5916</v>
      </c>
      <c r="F346" t="s">
        <v>124</v>
      </c>
      <c r="G346">
        <v>1614</v>
      </c>
      <c r="H346" t="s">
        <v>154</v>
      </c>
      <c r="I346">
        <v>2021</v>
      </c>
      <c r="J346">
        <v>2021</v>
      </c>
      <c r="L346">
        <v>0</v>
      </c>
    </row>
    <row r="347" spans="1:18" x14ac:dyDescent="0.3">
      <c r="A347" t="s">
        <v>126</v>
      </c>
      <c r="B347" t="s">
        <v>125</v>
      </c>
      <c r="C347" t="s">
        <v>464</v>
      </c>
      <c r="D347" t="s">
        <v>464</v>
      </c>
      <c r="E347">
        <v>5516</v>
      </c>
      <c r="F347" t="s">
        <v>128</v>
      </c>
      <c r="G347">
        <v>1608</v>
      </c>
      <c r="H347" t="s">
        <v>153</v>
      </c>
      <c r="I347">
        <v>2021</v>
      </c>
      <c r="J347">
        <v>2021</v>
      </c>
      <c r="L347">
        <v>0</v>
      </c>
    </row>
    <row r="348" spans="1:18" x14ac:dyDescent="0.3">
      <c r="A348" t="s">
        <v>126</v>
      </c>
      <c r="B348" t="s">
        <v>125</v>
      </c>
      <c r="C348" t="s">
        <v>464</v>
      </c>
      <c r="D348" t="s">
        <v>464</v>
      </c>
      <c r="E348">
        <v>5516</v>
      </c>
      <c r="F348" t="s">
        <v>128</v>
      </c>
      <c r="G348">
        <v>1611</v>
      </c>
      <c r="H348" t="s">
        <v>152</v>
      </c>
      <c r="I348">
        <v>2021</v>
      </c>
      <c r="J348">
        <v>2021</v>
      </c>
      <c r="L348">
        <v>0</v>
      </c>
    </row>
    <row r="349" spans="1:18" x14ac:dyDescent="0.3">
      <c r="A349" t="s">
        <v>126</v>
      </c>
      <c r="B349" t="s">
        <v>125</v>
      </c>
      <c r="C349" t="s">
        <v>464</v>
      </c>
      <c r="D349" t="s">
        <v>464</v>
      </c>
      <c r="E349">
        <v>5516</v>
      </c>
      <c r="F349" t="s">
        <v>128</v>
      </c>
      <c r="G349">
        <v>1623</v>
      </c>
      <c r="H349" t="s">
        <v>151</v>
      </c>
      <c r="I349">
        <v>2021</v>
      </c>
      <c r="J349">
        <v>2021</v>
      </c>
      <c r="K349" t="s">
        <v>143</v>
      </c>
      <c r="L349">
        <v>4414855</v>
      </c>
      <c r="O349">
        <v>1845409.39</v>
      </c>
      <c r="P349">
        <v>1.8454093899999997</v>
      </c>
      <c r="Q349" t="s">
        <v>740</v>
      </c>
      <c r="R349" s="141">
        <v>0.41799999999999998</v>
      </c>
    </row>
    <row r="350" spans="1:18" x14ac:dyDescent="0.3">
      <c r="A350" t="s">
        <v>126</v>
      </c>
      <c r="B350" t="s">
        <v>125</v>
      </c>
      <c r="C350" t="s">
        <v>464</v>
      </c>
      <c r="D350" t="s">
        <v>464</v>
      </c>
      <c r="E350">
        <v>5516</v>
      </c>
      <c r="F350" t="s">
        <v>128</v>
      </c>
      <c r="G350">
        <v>1626</v>
      </c>
      <c r="H350" t="s">
        <v>150</v>
      </c>
      <c r="I350">
        <v>2021</v>
      </c>
      <c r="J350">
        <v>2021</v>
      </c>
      <c r="K350" t="s">
        <v>143</v>
      </c>
      <c r="L350">
        <v>2746781</v>
      </c>
      <c r="O350">
        <v>1527210.236</v>
      </c>
      <c r="P350">
        <v>1.5272102359999999</v>
      </c>
      <c r="Q350" t="s">
        <v>741</v>
      </c>
      <c r="R350" s="141">
        <v>0.55600000000000005</v>
      </c>
    </row>
    <row r="351" spans="1:18" x14ac:dyDescent="0.3">
      <c r="A351" t="s">
        <v>126</v>
      </c>
      <c r="B351" t="s">
        <v>125</v>
      </c>
      <c r="C351" t="s">
        <v>464</v>
      </c>
      <c r="D351" t="s">
        <v>464</v>
      </c>
      <c r="E351">
        <v>5616</v>
      </c>
      <c r="F351" t="s">
        <v>127</v>
      </c>
      <c r="G351">
        <v>1625</v>
      </c>
      <c r="H351" t="s">
        <v>149</v>
      </c>
      <c r="I351">
        <v>2021</v>
      </c>
      <c r="J351">
        <v>2021</v>
      </c>
      <c r="L351">
        <v>0</v>
      </c>
    </row>
    <row r="352" spans="1:18" x14ac:dyDescent="0.3">
      <c r="A352" t="s">
        <v>126</v>
      </c>
      <c r="B352" t="s">
        <v>125</v>
      </c>
      <c r="C352" t="s">
        <v>464</v>
      </c>
      <c r="D352" t="s">
        <v>464</v>
      </c>
      <c r="E352">
        <v>5916</v>
      </c>
      <c r="F352" t="s">
        <v>124</v>
      </c>
      <c r="G352">
        <v>1625</v>
      </c>
      <c r="H352" t="s">
        <v>149</v>
      </c>
      <c r="I352">
        <v>2021</v>
      </c>
      <c r="J352">
        <v>2021</v>
      </c>
      <c r="L352">
        <v>0</v>
      </c>
    </row>
    <row r="353" spans="1:18" x14ac:dyDescent="0.3">
      <c r="A353" t="s">
        <v>126</v>
      </c>
      <c r="B353" t="s">
        <v>125</v>
      </c>
      <c r="C353" t="s">
        <v>464</v>
      </c>
      <c r="D353" t="s">
        <v>464</v>
      </c>
      <c r="E353">
        <v>5510</v>
      </c>
      <c r="F353" t="s">
        <v>128</v>
      </c>
      <c r="G353">
        <v>1630</v>
      </c>
      <c r="H353" t="s">
        <v>117</v>
      </c>
      <c r="I353">
        <v>2021</v>
      </c>
      <c r="J353">
        <v>2021</v>
      </c>
      <c r="K353" t="s">
        <v>339</v>
      </c>
      <c r="L353">
        <v>364301</v>
      </c>
      <c r="O353">
        <v>351550.46499999997</v>
      </c>
      <c r="P353">
        <v>0.35155046499999998</v>
      </c>
      <c r="Q353" t="s">
        <v>742</v>
      </c>
      <c r="R353" s="141">
        <v>0.96499999999999997</v>
      </c>
    </row>
    <row r="354" spans="1:18" x14ac:dyDescent="0.3">
      <c r="A354" t="s">
        <v>126</v>
      </c>
      <c r="B354" t="s">
        <v>125</v>
      </c>
      <c r="C354" t="s">
        <v>464</v>
      </c>
      <c r="D354" t="s">
        <v>464</v>
      </c>
      <c r="E354">
        <v>5510</v>
      </c>
      <c r="F354" t="s">
        <v>128</v>
      </c>
      <c r="G354">
        <v>1694</v>
      </c>
      <c r="H354" t="s">
        <v>348</v>
      </c>
      <c r="I354">
        <v>2021</v>
      </c>
      <c r="J354">
        <v>2021</v>
      </c>
      <c r="K354" t="s">
        <v>339</v>
      </c>
      <c r="L354">
        <v>2170025</v>
      </c>
      <c r="O354">
        <v>2007273.125</v>
      </c>
      <c r="P354">
        <v>2.0072731249999998</v>
      </c>
      <c r="Q354" t="s">
        <v>743</v>
      </c>
      <c r="R354" s="141">
        <v>0.92500000000000004</v>
      </c>
    </row>
    <row r="355" spans="1:18" x14ac:dyDescent="0.3">
      <c r="A355" t="s">
        <v>126</v>
      </c>
      <c r="B355" t="s">
        <v>125</v>
      </c>
      <c r="C355" t="s">
        <v>464</v>
      </c>
      <c r="D355" t="s">
        <v>464</v>
      </c>
      <c r="E355">
        <v>5610</v>
      </c>
      <c r="F355" t="s">
        <v>127</v>
      </c>
      <c r="G355">
        <v>1630</v>
      </c>
      <c r="H355" t="s">
        <v>117</v>
      </c>
      <c r="I355">
        <v>2021</v>
      </c>
      <c r="J355">
        <v>2021</v>
      </c>
      <c r="K355" t="s">
        <v>339</v>
      </c>
      <c r="L355">
        <v>999908</v>
      </c>
      <c r="O355">
        <v>303947.0343</v>
      </c>
      <c r="P355">
        <v>0.30394703429999997</v>
      </c>
      <c r="Q355" t="s">
        <v>744</v>
      </c>
      <c r="R355" s="141">
        <v>0.96499999999999997</v>
      </c>
    </row>
    <row r="356" spans="1:18" x14ac:dyDescent="0.3">
      <c r="A356" t="s">
        <v>126</v>
      </c>
      <c r="B356" t="s">
        <v>125</v>
      </c>
      <c r="C356" t="s">
        <v>464</v>
      </c>
      <c r="D356" t="s">
        <v>464</v>
      </c>
      <c r="E356">
        <v>5610</v>
      </c>
      <c r="F356" t="s">
        <v>127</v>
      </c>
      <c r="G356">
        <v>1694</v>
      </c>
      <c r="H356" t="s">
        <v>348</v>
      </c>
      <c r="I356">
        <v>2021</v>
      </c>
      <c r="J356">
        <v>2021</v>
      </c>
      <c r="K356" t="s">
        <v>339</v>
      </c>
      <c r="L356">
        <v>1633138</v>
      </c>
      <c r="O356">
        <v>475855.58475000004</v>
      </c>
      <c r="P356">
        <v>0.47585558475</v>
      </c>
      <c r="Q356" t="s">
        <v>745</v>
      </c>
      <c r="R356" s="141">
        <v>0.92500000000000004</v>
      </c>
    </row>
    <row r="357" spans="1:18" x14ac:dyDescent="0.3">
      <c r="A357" t="s">
        <v>126</v>
      </c>
      <c r="B357" t="s">
        <v>125</v>
      </c>
      <c r="C357" t="s">
        <v>464</v>
      </c>
      <c r="D357" t="s">
        <v>464</v>
      </c>
      <c r="E357">
        <v>5910</v>
      </c>
      <c r="F357" t="s">
        <v>124</v>
      </c>
      <c r="G357">
        <v>1630</v>
      </c>
      <c r="H357" t="s">
        <v>117</v>
      </c>
      <c r="I357">
        <v>2021</v>
      </c>
      <c r="J357">
        <v>2021</v>
      </c>
      <c r="K357" t="s">
        <v>339</v>
      </c>
      <c r="L357">
        <v>392613</v>
      </c>
      <c r="O357">
        <v>119344.536675</v>
      </c>
      <c r="P357">
        <v>0.11934453667499999</v>
      </c>
      <c r="Q357" t="s">
        <v>746</v>
      </c>
      <c r="R357" s="141">
        <v>0.96499999999999997</v>
      </c>
    </row>
    <row r="358" spans="1:18" x14ac:dyDescent="0.3">
      <c r="A358" t="s">
        <v>126</v>
      </c>
      <c r="B358" t="s">
        <v>125</v>
      </c>
      <c r="C358" t="s">
        <v>464</v>
      </c>
      <c r="D358" t="s">
        <v>464</v>
      </c>
      <c r="E358">
        <v>5910</v>
      </c>
      <c r="F358" t="s">
        <v>124</v>
      </c>
      <c r="G358">
        <v>1694</v>
      </c>
      <c r="H358" t="s">
        <v>348</v>
      </c>
      <c r="I358">
        <v>2021</v>
      </c>
      <c r="J358">
        <v>2021</v>
      </c>
      <c r="K358" t="s">
        <v>339</v>
      </c>
      <c r="L358">
        <v>1348724</v>
      </c>
      <c r="O358">
        <v>392984.45549999998</v>
      </c>
      <c r="P358">
        <v>0.39298445549999994</v>
      </c>
      <c r="Q358" t="s">
        <v>747</v>
      </c>
      <c r="R358" s="141">
        <v>0.92500000000000004</v>
      </c>
    </row>
    <row r="359" spans="1:18" x14ac:dyDescent="0.3">
      <c r="A359" t="s">
        <v>126</v>
      </c>
      <c r="B359" t="s">
        <v>125</v>
      </c>
      <c r="C359" t="s">
        <v>464</v>
      </c>
      <c r="D359" t="s">
        <v>464</v>
      </c>
      <c r="E359">
        <v>5516</v>
      </c>
      <c r="F359" t="s">
        <v>128</v>
      </c>
      <c r="G359">
        <v>1619</v>
      </c>
      <c r="H359" t="s">
        <v>92</v>
      </c>
      <c r="I359">
        <v>2021</v>
      </c>
      <c r="J359">
        <v>2021</v>
      </c>
      <c r="K359" t="s">
        <v>143</v>
      </c>
      <c r="L359">
        <v>71599146</v>
      </c>
      <c r="O359">
        <v>29464669.135802466</v>
      </c>
      <c r="P359">
        <v>29.464669135802467</v>
      </c>
      <c r="Q359" t="s">
        <v>748</v>
      </c>
      <c r="R359" s="141">
        <v>0.41152263374485593</v>
      </c>
    </row>
    <row r="360" spans="1:18" x14ac:dyDescent="0.3">
      <c r="A360" t="s">
        <v>126</v>
      </c>
      <c r="B360" t="s">
        <v>125</v>
      </c>
      <c r="C360" t="s">
        <v>464</v>
      </c>
      <c r="D360" t="s">
        <v>464</v>
      </c>
      <c r="E360">
        <v>5616</v>
      </c>
      <c r="F360" t="s">
        <v>127</v>
      </c>
      <c r="G360">
        <v>1619</v>
      </c>
      <c r="H360" t="s">
        <v>92</v>
      </c>
      <c r="I360">
        <v>2021</v>
      </c>
      <c r="J360">
        <v>2021</v>
      </c>
      <c r="K360" t="s">
        <v>143</v>
      </c>
      <c r="L360">
        <v>16917448</v>
      </c>
      <c r="O360">
        <v>2193002.5185185182</v>
      </c>
      <c r="P360">
        <v>2.1930025185185182</v>
      </c>
      <c r="Q360" t="s">
        <v>749</v>
      </c>
      <c r="R360" s="141">
        <v>0.41152263374485593</v>
      </c>
    </row>
    <row r="361" spans="1:18" x14ac:dyDescent="0.3">
      <c r="A361" t="s">
        <v>126</v>
      </c>
      <c r="B361" t="s">
        <v>125</v>
      </c>
      <c r="C361" t="s">
        <v>464</v>
      </c>
      <c r="D361" t="s">
        <v>464</v>
      </c>
      <c r="E361">
        <v>5916</v>
      </c>
      <c r="F361" t="s">
        <v>124</v>
      </c>
      <c r="G361">
        <v>1619</v>
      </c>
      <c r="H361" t="s">
        <v>92</v>
      </c>
      <c r="I361">
        <v>2021</v>
      </c>
      <c r="J361">
        <v>2021</v>
      </c>
      <c r="K361" t="s">
        <v>143</v>
      </c>
      <c r="L361">
        <v>9227213</v>
      </c>
      <c r="O361">
        <v>1196120.2037037036</v>
      </c>
      <c r="P361">
        <v>1.1961202037037035</v>
      </c>
      <c r="Q361" t="s">
        <v>750</v>
      </c>
      <c r="R361" s="141">
        <v>0.41152263374485593</v>
      </c>
    </row>
    <row r="362" spans="1:18" x14ac:dyDescent="0.3">
      <c r="A362" t="s">
        <v>126</v>
      </c>
      <c r="B362" t="s">
        <v>125</v>
      </c>
      <c r="C362" t="s">
        <v>464</v>
      </c>
      <c r="D362" t="s">
        <v>464</v>
      </c>
      <c r="E362">
        <v>5516</v>
      </c>
      <c r="F362" t="s">
        <v>128</v>
      </c>
      <c r="G362">
        <v>1620</v>
      </c>
      <c r="H362" t="s">
        <v>115</v>
      </c>
      <c r="I362">
        <v>2021</v>
      </c>
      <c r="J362">
        <v>2021</v>
      </c>
      <c r="K362" t="s">
        <v>143</v>
      </c>
      <c r="L362">
        <v>51695062</v>
      </c>
      <c r="O362">
        <v>21361595.867768597</v>
      </c>
      <c r="P362">
        <v>21.361595867768596</v>
      </c>
      <c r="Q362" t="s">
        <v>751</v>
      </c>
      <c r="R362" s="141">
        <v>0.41322314049586778</v>
      </c>
    </row>
    <row r="363" spans="1:18" x14ac:dyDescent="0.3">
      <c r="A363" t="s">
        <v>126</v>
      </c>
      <c r="B363" t="s">
        <v>125</v>
      </c>
      <c r="C363" t="s">
        <v>464</v>
      </c>
      <c r="D363" t="s">
        <v>464</v>
      </c>
      <c r="E363">
        <v>5616</v>
      </c>
      <c r="F363" t="s">
        <v>127</v>
      </c>
      <c r="G363">
        <v>1620</v>
      </c>
      <c r="H363" t="s">
        <v>115</v>
      </c>
      <c r="I363">
        <v>2021</v>
      </c>
      <c r="J363">
        <v>2021</v>
      </c>
      <c r="K363" t="s">
        <v>143</v>
      </c>
      <c r="L363">
        <v>8214207</v>
      </c>
      <c r="O363">
        <v>1069204.6301652892</v>
      </c>
      <c r="P363">
        <v>1.0692046301652891</v>
      </c>
      <c r="Q363" t="s">
        <v>752</v>
      </c>
      <c r="R363" s="141">
        <v>0.41322314049586778</v>
      </c>
    </row>
    <row r="364" spans="1:18" x14ac:dyDescent="0.3">
      <c r="A364" t="s">
        <v>126</v>
      </c>
      <c r="B364" t="s">
        <v>125</v>
      </c>
      <c r="C364" t="s">
        <v>464</v>
      </c>
      <c r="D364" t="s">
        <v>464</v>
      </c>
      <c r="E364">
        <v>5916</v>
      </c>
      <c r="F364" t="s">
        <v>124</v>
      </c>
      <c r="G364">
        <v>1620</v>
      </c>
      <c r="H364" t="s">
        <v>115</v>
      </c>
      <c r="I364">
        <v>2021</v>
      </c>
      <c r="J364">
        <v>2021</v>
      </c>
      <c r="K364" t="s">
        <v>143</v>
      </c>
      <c r="L364">
        <v>4158828</v>
      </c>
      <c r="O364">
        <v>541335.04958677688</v>
      </c>
      <c r="P364">
        <v>0.54133504958677681</v>
      </c>
      <c r="Q364" t="s">
        <v>753</v>
      </c>
      <c r="R364" s="141">
        <v>0.41322314049586778</v>
      </c>
    </row>
    <row r="365" spans="1:18" x14ac:dyDescent="0.3">
      <c r="A365" t="s">
        <v>126</v>
      </c>
      <c r="B365" t="s">
        <v>125</v>
      </c>
      <c r="C365" t="s">
        <v>464</v>
      </c>
      <c r="D365" t="s">
        <v>464</v>
      </c>
      <c r="E365">
        <v>5510</v>
      </c>
      <c r="F365" t="s">
        <v>128</v>
      </c>
      <c r="G365">
        <v>1600</v>
      </c>
      <c r="H365" t="s">
        <v>148</v>
      </c>
      <c r="I365">
        <v>2021</v>
      </c>
      <c r="J365">
        <v>2021</v>
      </c>
      <c r="L365">
        <v>29732078</v>
      </c>
      <c r="O365">
        <v>23042360.449999999</v>
      </c>
      <c r="P365">
        <v>23.042360449999997</v>
      </c>
      <c r="Q365" t="s">
        <v>754</v>
      </c>
      <c r="R365" s="141">
        <v>0.77500000000000002</v>
      </c>
    </row>
    <row r="366" spans="1:18" x14ac:dyDescent="0.3">
      <c r="A366" t="s">
        <v>126</v>
      </c>
      <c r="B366" t="s">
        <v>125</v>
      </c>
      <c r="C366" t="s">
        <v>464</v>
      </c>
      <c r="D366" t="s">
        <v>464</v>
      </c>
      <c r="E366">
        <v>5610</v>
      </c>
      <c r="F366" t="s">
        <v>127</v>
      </c>
      <c r="G366">
        <v>1600</v>
      </c>
      <c r="H366" t="s">
        <v>148</v>
      </c>
      <c r="I366">
        <v>2021</v>
      </c>
      <c r="J366">
        <v>2021</v>
      </c>
      <c r="K366" t="s">
        <v>339</v>
      </c>
      <c r="L366">
        <v>3823857</v>
      </c>
      <c r="O366">
        <v>933499.0901250001</v>
      </c>
      <c r="P366">
        <v>0.9334990901250001</v>
      </c>
      <c r="Q366" t="s">
        <v>755</v>
      </c>
      <c r="R366" s="141">
        <v>0.77500000000000002</v>
      </c>
    </row>
    <row r="367" spans="1:18" x14ac:dyDescent="0.3">
      <c r="A367" t="s">
        <v>126</v>
      </c>
      <c r="B367" t="s">
        <v>125</v>
      </c>
      <c r="C367" t="s">
        <v>464</v>
      </c>
      <c r="D367" t="s">
        <v>464</v>
      </c>
      <c r="E367">
        <v>5910</v>
      </c>
      <c r="F367" t="s">
        <v>124</v>
      </c>
      <c r="G367">
        <v>1600</v>
      </c>
      <c r="H367" t="s">
        <v>148</v>
      </c>
      <c r="I367">
        <v>2021</v>
      </c>
      <c r="J367">
        <v>2021</v>
      </c>
      <c r="L367">
        <v>2074656</v>
      </c>
      <c r="O367">
        <v>506475.39600000007</v>
      </c>
      <c r="P367">
        <v>0.50647539600000002</v>
      </c>
      <c r="Q367" t="s">
        <v>756</v>
      </c>
      <c r="R367" s="141">
        <v>0.77500000000000002</v>
      </c>
    </row>
    <row r="368" spans="1:18" x14ac:dyDescent="0.3">
      <c r="A368" t="s">
        <v>126</v>
      </c>
      <c r="B368" t="s">
        <v>125</v>
      </c>
      <c r="C368" t="s">
        <v>464</v>
      </c>
      <c r="D368" t="s">
        <v>464</v>
      </c>
      <c r="E368">
        <v>5510</v>
      </c>
      <c r="F368" t="s">
        <v>128</v>
      </c>
      <c r="G368">
        <v>1693</v>
      </c>
      <c r="H368" t="s">
        <v>114</v>
      </c>
      <c r="I368">
        <v>2021</v>
      </c>
      <c r="J368">
        <v>2021</v>
      </c>
      <c r="K368" t="s">
        <v>339</v>
      </c>
      <c r="L368">
        <v>20020139</v>
      </c>
      <c r="O368">
        <v>18518628.574999999</v>
      </c>
      <c r="P368">
        <v>18.518628574999997</v>
      </c>
      <c r="Q368" t="s">
        <v>757</v>
      </c>
      <c r="R368" s="141">
        <v>0.92500000000000004</v>
      </c>
    </row>
    <row r="369" spans="1:18" x14ac:dyDescent="0.3">
      <c r="A369" t="s">
        <v>126</v>
      </c>
      <c r="B369" t="s">
        <v>125</v>
      </c>
      <c r="C369" t="s">
        <v>464</v>
      </c>
      <c r="D369" t="s">
        <v>464</v>
      </c>
      <c r="E369">
        <v>5610</v>
      </c>
      <c r="F369" t="s">
        <v>127</v>
      </c>
      <c r="G369">
        <v>1693</v>
      </c>
      <c r="H369" t="s">
        <v>114</v>
      </c>
      <c r="I369">
        <v>2021</v>
      </c>
      <c r="J369">
        <v>2021</v>
      </c>
      <c r="K369" t="s">
        <v>339</v>
      </c>
      <c r="L369">
        <v>20639017</v>
      </c>
      <c r="O369">
        <v>6013693.5783750005</v>
      </c>
      <c r="P369">
        <v>6.0136935783750003</v>
      </c>
      <c r="Q369" t="s">
        <v>758</v>
      </c>
      <c r="R369" s="141">
        <v>0.92500000000000004</v>
      </c>
    </row>
    <row r="370" spans="1:18" x14ac:dyDescent="0.3">
      <c r="A370" t="s">
        <v>126</v>
      </c>
      <c r="B370" t="s">
        <v>125</v>
      </c>
      <c r="C370" t="s">
        <v>464</v>
      </c>
      <c r="D370" t="s">
        <v>464</v>
      </c>
      <c r="E370">
        <v>5910</v>
      </c>
      <c r="F370" t="s">
        <v>124</v>
      </c>
      <c r="G370">
        <v>1693</v>
      </c>
      <c r="H370" t="s">
        <v>114</v>
      </c>
      <c r="I370">
        <v>2021</v>
      </c>
      <c r="J370">
        <v>2021</v>
      </c>
      <c r="K370" t="s">
        <v>339</v>
      </c>
      <c r="L370">
        <v>11914643</v>
      </c>
      <c r="O370">
        <v>3471629.1041250001</v>
      </c>
      <c r="P370">
        <v>3.4716291041249998</v>
      </c>
      <c r="Q370" t="s">
        <v>759</v>
      </c>
      <c r="R370" s="141">
        <v>0.92500000000000004</v>
      </c>
    </row>
    <row r="371" spans="1:18" x14ac:dyDescent="0.3">
      <c r="A371" t="s">
        <v>126</v>
      </c>
      <c r="B371" t="s">
        <v>125</v>
      </c>
      <c r="C371" t="s">
        <v>464</v>
      </c>
      <c r="D371" t="s">
        <v>464</v>
      </c>
      <c r="E371">
        <v>5516</v>
      </c>
      <c r="F371" t="s">
        <v>128</v>
      </c>
      <c r="G371">
        <v>1632</v>
      </c>
      <c r="H371" t="s">
        <v>110</v>
      </c>
      <c r="I371">
        <v>2021</v>
      </c>
      <c r="J371">
        <v>2021</v>
      </c>
      <c r="K371" t="s">
        <v>143</v>
      </c>
      <c r="L371">
        <v>106642237</v>
      </c>
      <c r="O371">
        <v>48428905.877625003</v>
      </c>
      <c r="P371">
        <v>48.428905877624999</v>
      </c>
      <c r="Q371" t="s">
        <v>760</v>
      </c>
      <c r="R371" s="141">
        <v>0.454125</v>
      </c>
    </row>
    <row r="372" spans="1:18" x14ac:dyDescent="0.3">
      <c r="A372" t="s">
        <v>126</v>
      </c>
      <c r="B372" t="s">
        <v>125</v>
      </c>
      <c r="C372" t="s">
        <v>464</v>
      </c>
      <c r="D372" t="s">
        <v>464</v>
      </c>
      <c r="E372">
        <v>5616</v>
      </c>
      <c r="F372" t="s">
        <v>127</v>
      </c>
      <c r="G372">
        <v>1632</v>
      </c>
      <c r="H372" t="s">
        <v>110</v>
      </c>
      <c r="I372">
        <v>2021</v>
      </c>
      <c r="J372">
        <v>2021</v>
      </c>
      <c r="K372" t="s">
        <v>143</v>
      </c>
      <c r="L372">
        <v>44655988</v>
      </c>
      <c r="O372">
        <v>6388011.1734075006</v>
      </c>
      <c r="P372">
        <v>6.3880111734075005</v>
      </c>
      <c r="Q372" t="s">
        <v>761</v>
      </c>
      <c r="R372" s="141">
        <v>0.454125</v>
      </c>
    </row>
    <row r="373" spans="1:18" x14ac:dyDescent="0.3">
      <c r="A373" t="s">
        <v>126</v>
      </c>
      <c r="B373" t="s">
        <v>125</v>
      </c>
      <c r="C373" t="s">
        <v>464</v>
      </c>
      <c r="D373" t="s">
        <v>464</v>
      </c>
      <c r="E373">
        <v>5916</v>
      </c>
      <c r="F373" t="s">
        <v>124</v>
      </c>
      <c r="G373">
        <v>1632</v>
      </c>
      <c r="H373" t="s">
        <v>110</v>
      </c>
      <c r="I373">
        <v>2021</v>
      </c>
      <c r="J373">
        <v>2021</v>
      </c>
      <c r="K373" t="s">
        <v>143</v>
      </c>
      <c r="L373">
        <v>56714255</v>
      </c>
      <c r="O373">
        <v>8112938.7313406244</v>
      </c>
      <c r="P373">
        <v>8.1129387313406234</v>
      </c>
      <c r="Q373" t="s">
        <v>762</v>
      </c>
      <c r="R373" s="141">
        <v>0.454125</v>
      </c>
    </row>
    <row r="374" spans="1:18" x14ac:dyDescent="0.3">
      <c r="A374" t="s">
        <v>126</v>
      </c>
      <c r="B374" t="s">
        <v>125</v>
      </c>
      <c r="C374" t="s">
        <v>464</v>
      </c>
      <c r="D374" t="s">
        <v>464</v>
      </c>
      <c r="E374">
        <v>5516</v>
      </c>
      <c r="F374" t="s">
        <v>128</v>
      </c>
      <c r="G374">
        <v>1633</v>
      </c>
      <c r="H374" t="s">
        <v>109</v>
      </c>
      <c r="I374">
        <v>2021</v>
      </c>
      <c r="J374">
        <v>2021</v>
      </c>
      <c r="K374" t="s">
        <v>143</v>
      </c>
      <c r="L374">
        <v>9841888</v>
      </c>
      <c r="O374">
        <v>5640632.0599999996</v>
      </c>
      <c r="P374">
        <v>5.6406320599999997</v>
      </c>
      <c r="Q374" t="s">
        <v>763</v>
      </c>
      <c r="R374" s="141">
        <v>0.573125</v>
      </c>
    </row>
    <row r="375" spans="1:18" x14ac:dyDescent="0.3">
      <c r="A375" t="s">
        <v>126</v>
      </c>
      <c r="B375" t="s">
        <v>125</v>
      </c>
      <c r="C375" t="s">
        <v>464</v>
      </c>
      <c r="D375" t="s">
        <v>464</v>
      </c>
      <c r="E375">
        <v>5616</v>
      </c>
      <c r="F375" t="s">
        <v>127</v>
      </c>
      <c r="G375">
        <v>1633</v>
      </c>
      <c r="H375" t="s">
        <v>109</v>
      </c>
      <c r="I375">
        <v>2021</v>
      </c>
      <c r="J375">
        <v>2021</v>
      </c>
      <c r="K375" t="s">
        <v>143</v>
      </c>
      <c r="L375">
        <v>5977164</v>
      </c>
      <c r="O375">
        <v>1079083.5670125</v>
      </c>
      <c r="P375">
        <v>1.0790835670125001</v>
      </c>
      <c r="Q375" t="s">
        <v>764</v>
      </c>
      <c r="R375" s="141">
        <v>0.573125</v>
      </c>
    </row>
    <row r="376" spans="1:18" x14ac:dyDescent="0.3">
      <c r="A376" t="s">
        <v>126</v>
      </c>
      <c r="B376" t="s">
        <v>125</v>
      </c>
      <c r="C376" t="s">
        <v>464</v>
      </c>
      <c r="D376" t="s">
        <v>464</v>
      </c>
      <c r="E376">
        <v>5916</v>
      </c>
      <c r="F376" t="s">
        <v>124</v>
      </c>
      <c r="G376">
        <v>1633</v>
      </c>
      <c r="H376" t="s">
        <v>109</v>
      </c>
      <c r="I376">
        <v>2021</v>
      </c>
      <c r="J376">
        <v>2021</v>
      </c>
      <c r="K376" t="s">
        <v>143</v>
      </c>
      <c r="L376">
        <v>6270048</v>
      </c>
      <c r="O376">
        <v>1131959.1968999999</v>
      </c>
      <c r="P376">
        <v>1.1319591968999998</v>
      </c>
      <c r="Q376" t="s">
        <v>765</v>
      </c>
      <c r="R376" s="141">
        <v>0.573125</v>
      </c>
    </row>
    <row r="377" spans="1:18" x14ac:dyDescent="0.3">
      <c r="A377" t="s">
        <v>126</v>
      </c>
      <c r="B377" t="s">
        <v>125</v>
      </c>
      <c r="C377" t="s">
        <v>464</v>
      </c>
      <c r="D377" t="s">
        <v>464</v>
      </c>
      <c r="E377">
        <v>5516</v>
      </c>
      <c r="F377" t="s">
        <v>128</v>
      </c>
      <c r="G377">
        <v>1634</v>
      </c>
      <c r="H377" t="s">
        <v>108</v>
      </c>
      <c r="I377">
        <v>2021</v>
      </c>
      <c r="J377">
        <v>2021</v>
      </c>
      <c r="K377" t="s">
        <v>143</v>
      </c>
      <c r="L377">
        <v>1285967</v>
      </c>
      <c r="O377">
        <v>681691.1067</v>
      </c>
      <c r="P377">
        <v>0.68169110669999999</v>
      </c>
      <c r="Q377" t="s">
        <v>766</v>
      </c>
      <c r="R377" s="141">
        <v>0.53010000000000002</v>
      </c>
    </row>
    <row r="378" spans="1:18" x14ac:dyDescent="0.3">
      <c r="A378" t="s">
        <v>126</v>
      </c>
      <c r="B378" t="s">
        <v>125</v>
      </c>
      <c r="C378" t="s">
        <v>464</v>
      </c>
      <c r="D378" t="s">
        <v>464</v>
      </c>
      <c r="E378">
        <v>5616</v>
      </c>
      <c r="F378" t="s">
        <v>127</v>
      </c>
      <c r="G378">
        <v>1634</v>
      </c>
      <c r="H378" t="s">
        <v>108</v>
      </c>
      <c r="I378">
        <v>2021</v>
      </c>
      <c r="J378">
        <v>2021</v>
      </c>
      <c r="K378" t="s">
        <v>143</v>
      </c>
      <c r="L378">
        <v>1668640</v>
      </c>
      <c r="O378">
        <v>278632.01016000001</v>
      </c>
      <c r="P378">
        <v>0.27863201016</v>
      </c>
      <c r="Q378" t="s">
        <v>767</v>
      </c>
      <c r="R378" s="141">
        <v>0.53010000000000002</v>
      </c>
    </row>
    <row r="379" spans="1:18" x14ac:dyDescent="0.3">
      <c r="A379" t="s">
        <v>126</v>
      </c>
      <c r="B379" t="s">
        <v>125</v>
      </c>
      <c r="C379" t="s">
        <v>464</v>
      </c>
      <c r="D379" t="s">
        <v>464</v>
      </c>
      <c r="E379">
        <v>5916</v>
      </c>
      <c r="F379" t="s">
        <v>124</v>
      </c>
      <c r="G379">
        <v>1634</v>
      </c>
      <c r="H379" t="s">
        <v>108</v>
      </c>
      <c r="I379">
        <v>2021</v>
      </c>
      <c r="J379">
        <v>2021</v>
      </c>
      <c r="K379" t="s">
        <v>143</v>
      </c>
      <c r="L379">
        <v>1026855</v>
      </c>
      <c r="O379">
        <v>171465.78818250002</v>
      </c>
      <c r="P379">
        <v>0.17146578818250002</v>
      </c>
      <c r="Q379" t="s">
        <v>768</v>
      </c>
      <c r="R379" s="141">
        <v>0.53010000000000002</v>
      </c>
    </row>
    <row r="380" spans="1:18" x14ac:dyDescent="0.3">
      <c r="A380" t="s">
        <v>126</v>
      </c>
      <c r="B380" t="s">
        <v>125</v>
      </c>
      <c r="C380" t="s">
        <v>464</v>
      </c>
      <c r="D380" t="s">
        <v>464</v>
      </c>
      <c r="E380">
        <v>5516</v>
      </c>
      <c r="F380" t="s">
        <v>128</v>
      </c>
      <c r="G380">
        <v>1640</v>
      </c>
      <c r="H380" t="s">
        <v>104</v>
      </c>
      <c r="I380">
        <v>2021</v>
      </c>
      <c r="J380">
        <v>2021</v>
      </c>
      <c r="K380" t="s">
        <v>143</v>
      </c>
      <c r="L380">
        <v>4922562</v>
      </c>
      <c r="O380">
        <v>2609450.1162</v>
      </c>
      <c r="P380">
        <v>2.6094501162000001</v>
      </c>
      <c r="Q380" t="s">
        <v>769</v>
      </c>
      <c r="R380" s="141">
        <v>0.53010000000000002</v>
      </c>
    </row>
    <row r="381" spans="1:18" x14ac:dyDescent="0.3">
      <c r="A381" t="s">
        <v>126</v>
      </c>
      <c r="B381" t="s">
        <v>125</v>
      </c>
      <c r="C381" t="s">
        <v>464</v>
      </c>
      <c r="D381" t="s">
        <v>464</v>
      </c>
      <c r="E381">
        <v>5616</v>
      </c>
      <c r="F381" t="s">
        <v>127</v>
      </c>
      <c r="G381">
        <v>1640</v>
      </c>
      <c r="H381" t="s">
        <v>104</v>
      </c>
      <c r="I381">
        <v>2021</v>
      </c>
      <c r="J381">
        <v>2021</v>
      </c>
      <c r="K381" t="s">
        <v>143</v>
      </c>
      <c r="L381">
        <v>8323259</v>
      </c>
      <c r="O381">
        <v>1389830.2727085</v>
      </c>
      <c r="P381">
        <v>1.3898302727084999</v>
      </c>
      <c r="Q381" t="s">
        <v>770</v>
      </c>
      <c r="R381" s="141">
        <v>0.53010000000000002</v>
      </c>
    </row>
    <row r="382" spans="1:18" x14ac:dyDescent="0.3">
      <c r="A382" t="s">
        <v>126</v>
      </c>
      <c r="B382" t="s">
        <v>125</v>
      </c>
      <c r="C382" t="s">
        <v>464</v>
      </c>
      <c r="D382" t="s">
        <v>464</v>
      </c>
      <c r="E382">
        <v>5916</v>
      </c>
      <c r="F382" t="s">
        <v>124</v>
      </c>
      <c r="G382">
        <v>1640</v>
      </c>
      <c r="H382" t="s">
        <v>104</v>
      </c>
      <c r="I382">
        <v>2021</v>
      </c>
      <c r="J382">
        <v>2021</v>
      </c>
      <c r="K382" t="s">
        <v>143</v>
      </c>
      <c r="L382">
        <v>4645104</v>
      </c>
      <c r="O382">
        <v>775646.43357600004</v>
      </c>
      <c r="P382">
        <v>0.77564643357600005</v>
      </c>
      <c r="Q382" t="s">
        <v>771</v>
      </c>
      <c r="R382" s="141">
        <v>0.53010000000000002</v>
      </c>
    </row>
    <row r="383" spans="1:18" x14ac:dyDescent="0.3">
      <c r="A383" t="s">
        <v>126</v>
      </c>
      <c r="B383" t="s">
        <v>125</v>
      </c>
      <c r="C383" t="s">
        <v>464</v>
      </c>
      <c r="D383" t="s">
        <v>464</v>
      </c>
      <c r="E383">
        <v>5516</v>
      </c>
      <c r="F383" t="s">
        <v>128</v>
      </c>
      <c r="G383">
        <v>1646</v>
      </c>
      <c r="H383" t="s">
        <v>147</v>
      </c>
      <c r="I383">
        <v>2021</v>
      </c>
      <c r="J383">
        <v>2021</v>
      </c>
      <c r="L383">
        <v>0</v>
      </c>
    </row>
    <row r="384" spans="1:18" x14ac:dyDescent="0.3">
      <c r="A384" t="s">
        <v>126</v>
      </c>
      <c r="B384" t="s">
        <v>125</v>
      </c>
      <c r="C384" t="s">
        <v>464</v>
      </c>
      <c r="D384" t="s">
        <v>464</v>
      </c>
      <c r="E384">
        <v>5616</v>
      </c>
      <c r="F384" t="s">
        <v>127</v>
      </c>
      <c r="G384">
        <v>1646</v>
      </c>
      <c r="H384" t="s">
        <v>147</v>
      </c>
      <c r="I384">
        <v>2021</v>
      </c>
      <c r="J384">
        <v>2021</v>
      </c>
      <c r="L384">
        <v>0</v>
      </c>
    </row>
    <row r="385" spans="1:18" x14ac:dyDescent="0.3">
      <c r="A385" t="s">
        <v>126</v>
      </c>
      <c r="B385" t="s">
        <v>125</v>
      </c>
      <c r="C385" t="s">
        <v>464</v>
      </c>
      <c r="D385" t="s">
        <v>464</v>
      </c>
      <c r="E385">
        <v>5916</v>
      </c>
      <c r="F385" t="s">
        <v>124</v>
      </c>
      <c r="G385">
        <v>1646</v>
      </c>
      <c r="H385" t="s">
        <v>147</v>
      </c>
      <c r="I385">
        <v>2021</v>
      </c>
      <c r="J385">
        <v>2021</v>
      </c>
      <c r="L385">
        <v>0</v>
      </c>
    </row>
    <row r="386" spans="1:18" x14ac:dyDescent="0.3">
      <c r="A386" t="s">
        <v>126</v>
      </c>
      <c r="B386" t="s">
        <v>125</v>
      </c>
      <c r="C386" t="s">
        <v>464</v>
      </c>
      <c r="D386" t="s">
        <v>464</v>
      </c>
      <c r="E386">
        <v>5516</v>
      </c>
      <c r="F386" t="s">
        <v>128</v>
      </c>
      <c r="G386">
        <v>1697</v>
      </c>
      <c r="H386" t="s">
        <v>103</v>
      </c>
      <c r="I386">
        <v>2021</v>
      </c>
      <c r="J386">
        <v>2021</v>
      </c>
      <c r="K386" t="s">
        <v>143</v>
      </c>
      <c r="L386">
        <v>32437327</v>
      </c>
      <c r="O386">
        <v>17570280.577051431</v>
      </c>
      <c r="P386">
        <v>17.570280577051431</v>
      </c>
      <c r="Q386" t="s">
        <v>772</v>
      </c>
      <c r="R386" s="141">
        <v>0.5416685714285715</v>
      </c>
    </row>
    <row r="387" spans="1:18" x14ac:dyDescent="0.3">
      <c r="A387" t="s">
        <v>126</v>
      </c>
      <c r="B387" t="s">
        <v>125</v>
      </c>
      <c r="C387" t="s">
        <v>464</v>
      </c>
      <c r="D387" t="s">
        <v>464</v>
      </c>
      <c r="E387">
        <v>5616</v>
      </c>
      <c r="F387" t="s">
        <v>127</v>
      </c>
      <c r="G387">
        <v>1697</v>
      </c>
      <c r="H387" t="s">
        <v>103</v>
      </c>
      <c r="I387">
        <v>2021</v>
      </c>
      <c r="J387">
        <v>2021</v>
      </c>
      <c r="K387" t="s">
        <v>143</v>
      </c>
      <c r="L387">
        <v>12214503</v>
      </c>
      <c r="O387">
        <v>2084106.9030768003</v>
      </c>
      <c r="P387">
        <v>2.0841069030768002</v>
      </c>
      <c r="Q387" t="s">
        <v>773</v>
      </c>
      <c r="R387" s="141">
        <v>0.5416685714285715</v>
      </c>
    </row>
    <row r="388" spans="1:18" x14ac:dyDescent="0.3">
      <c r="A388" t="s">
        <v>126</v>
      </c>
      <c r="B388" t="s">
        <v>125</v>
      </c>
      <c r="C388" t="s">
        <v>464</v>
      </c>
      <c r="D388" t="s">
        <v>464</v>
      </c>
      <c r="E388">
        <v>5916</v>
      </c>
      <c r="F388" t="s">
        <v>124</v>
      </c>
      <c r="G388">
        <v>1697</v>
      </c>
      <c r="H388" t="s">
        <v>103</v>
      </c>
      <c r="I388">
        <v>2021</v>
      </c>
      <c r="J388">
        <v>2021</v>
      </c>
      <c r="K388" t="s">
        <v>143</v>
      </c>
      <c r="L388">
        <v>14070239</v>
      </c>
      <c r="O388">
        <v>2400742.9715184006</v>
      </c>
      <c r="P388">
        <v>2.4007429715184005</v>
      </c>
      <c r="Q388" t="s">
        <v>774</v>
      </c>
      <c r="R388" s="141">
        <v>0.5416685714285715</v>
      </c>
    </row>
    <row r="389" spans="1:18" x14ac:dyDescent="0.3">
      <c r="A389" t="s">
        <v>126</v>
      </c>
      <c r="B389" t="s">
        <v>125</v>
      </c>
      <c r="C389" t="s">
        <v>464</v>
      </c>
      <c r="D389" t="s">
        <v>464</v>
      </c>
      <c r="E389">
        <v>5516</v>
      </c>
      <c r="F389" t="s">
        <v>128</v>
      </c>
      <c r="G389">
        <v>1606</v>
      </c>
      <c r="H389" t="s">
        <v>102</v>
      </c>
      <c r="I389">
        <v>2021</v>
      </c>
      <c r="J389">
        <v>2021</v>
      </c>
      <c r="K389" t="s">
        <v>143</v>
      </c>
      <c r="L389">
        <v>7999922</v>
      </c>
      <c r="O389">
        <v>4343614.7922</v>
      </c>
      <c r="P389">
        <v>4.3436147921999995</v>
      </c>
      <c r="Q389" t="s">
        <v>775</v>
      </c>
      <c r="R389" s="141">
        <v>0.54295714285714292</v>
      </c>
    </row>
    <row r="390" spans="1:18" x14ac:dyDescent="0.3">
      <c r="A390" t="s">
        <v>126</v>
      </c>
      <c r="B390" t="s">
        <v>125</v>
      </c>
      <c r="C390" t="s">
        <v>464</v>
      </c>
      <c r="D390" t="s">
        <v>464</v>
      </c>
      <c r="E390">
        <v>5616</v>
      </c>
      <c r="F390" t="s">
        <v>127</v>
      </c>
      <c r="G390">
        <v>1606</v>
      </c>
      <c r="H390" t="s">
        <v>102</v>
      </c>
      <c r="I390">
        <v>2021</v>
      </c>
      <c r="J390">
        <v>2021</v>
      </c>
      <c r="K390" t="s">
        <v>143</v>
      </c>
      <c r="L390">
        <v>4156489</v>
      </c>
      <c r="O390">
        <v>710890.54840350011</v>
      </c>
      <c r="P390">
        <v>0.71089054840350008</v>
      </c>
      <c r="Q390" t="s">
        <v>776</v>
      </c>
      <c r="R390" s="141">
        <v>0.54295714285714292</v>
      </c>
    </row>
    <row r="391" spans="1:18" x14ac:dyDescent="0.3">
      <c r="A391" t="s">
        <v>126</v>
      </c>
      <c r="B391" t="s">
        <v>125</v>
      </c>
      <c r="C391" t="s">
        <v>464</v>
      </c>
      <c r="D391" t="s">
        <v>464</v>
      </c>
      <c r="E391">
        <v>5916</v>
      </c>
      <c r="F391" t="s">
        <v>124</v>
      </c>
      <c r="G391">
        <v>1606</v>
      </c>
      <c r="H391" t="s">
        <v>102</v>
      </c>
      <c r="I391">
        <v>2021</v>
      </c>
      <c r="J391">
        <v>2021</v>
      </c>
      <c r="K391" t="s">
        <v>143</v>
      </c>
      <c r="L391">
        <v>4718329</v>
      </c>
      <c r="O391">
        <v>806982.88636350015</v>
      </c>
      <c r="P391">
        <v>0.80698288636350013</v>
      </c>
      <c r="Q391" t="s">
        <v>777</v>
      </c>
      <c r="R391" s="141">
        <v>0.54295714285714292</v>
      </c>
    </row>
    <row r="392" spans="1:18" x14ac:dyDescent="0.3">
      <c r="A392" t="s">
        <v>126</v>
      </c>
      <c r="B392" t="s">
        <v>125</v>
      </c>
      <c r="C392" t="s">
        <v>464</v>
      </c>
      <c r="D392" t="s">
        <v>464</v>
      </c>
      <c r="E392">
        <v>5516</v>
      </c>
      <c r="F392" t="s">
        <v>128</v>
      </c>
      <c r="G392">
        <v>1647</v>
      </c>
      <c r="H392" t="s">
        <v>146</v>
      </c>
      <c r="I392">
        <v>2021</v>
      </c>
      <c r="J392">
        <v>2021</v>
      </c>
      <c r="K392" t="s">
        <v>143</v>
      </c>
      <c r="L392">
        <v>611421</v>
      </c>
      <c r="O392">
        <v>479023.89666000003</v>
      </c>
      <c r="P392">
        <v>0.47902389666</v>
      </c>
      <c r="Q392" t="s">
        <v>778</v>
      </c>
      <c r="R392" s="141">
        <v>0.78346000000000005</v>
      </c>
    </row>
    <row r="393" spans="1:18" x14ac:dyDescent="0.3">
      <c r="A393" t="s">
        <v>126</v>
      </c>
      <c r="B393" t="s">
        <v>125</v>
      </c>
      <c r="C393" t="s">
        <v>464</v>
      </c>
      <c r="D393" t="s">
        <v>464</v>
      </c>
      <c r="E393">
        <v>5616</v>
      </c>
      <c r="F393" t="s">
        <v>127</v>
      </c>
      <c r="G393">
        <v>1647</v>
      </c>
      <c r="H393" t="s">
        <v>146</v>
      </c>
      <c r="I393">
        <v>2021</v>
      </c>
      <c r="J393">
        <v>2021</v>
      </c>
      <c r="K393" t="s">
        <v>143</v>
      </c>
      <c r="L393">
        <v>2605750</v>
      </c>
      <c r="O393">
        <v>643072.78192500002</v>
      </c>
      <c r="P393">
        <v>0.64307278192499995</v>
      </c>
      <c r="Q393" t="s">
        <v>779</v>
      </c>
      <c r="R393" s="141">
        <v>0.78346000000000005</v>
      </c>
    </row>
    <row r="394" spans="1:18" x14ac:dyDescent="0.3">
      <c r="A394" t="s">
        <v>126</v>
      </c>
      <c r="B394" t="s">
        <v>125</v>
      </c>
      <c r="C394" t="s">
        <v>464</v>
      </c>
      <c r="D394" t="s">
        <v>464</v>
      </c>
      <c r="E394">
        <v>5916</v>
      </c>
      <c r="F394" t="s">
        <v>124</v>
      </c>
      <c r="G394">
        <v>1647</v>
      </c>
      <c r="H394" t="s">
        <v>146</v>
      </c>
      <c r="I394">
        <v>2021</v>
      </c>
      <c r="J394">
        <v>2021</v>
      </c>
      <c r="K394" t="s">
        <v>143</v>
      </c>
      <c r="L394">
        <v>1587205</v>
      </c>
      <c r="O394">
        <v>391706.16322950006</v>
      </c>
      <c r="P394">
        <v>0.39170616322950003</v>
      </c>
      <c r="Q394" t="s">
        <v>780</v>
      </c>
      <c r="R394" s="141">
        <v>0.78346000000000005</v>
      </c>
    </row>
    <row r="395" spans="1:18" x14ac:dyDescent="0.3">
      <c r="A395" t="s">
        <v>126</v>
      </c>
      <c r="B395" t="s">
        <v>125</v>
      </c>
      <c r="C395" t="s">
        <v>464</v>
      </c>
      <c r="D395" t="s">
        <v>464</v>
      </c>
      <c r="E395">
        <v>5516</v>
      </c>
      <c r="F395" t="s">
        <v>128</v>
      </c>
      <c r="G395">
        <v>1648</v>
      </c>
      <c r="H395" t="s">
        <v>145</v>
      </c>
      <c r="I395">
        <v>2021</v>
      </c>
      <c r="J395">
        <v>2021</v>
      </c>
      <c r="K395" t="s">
        <v>143</v>
      </c>
      <c r="L395">
        <v>15983167</v>
      </c>
      <c r="O395">
        <v>9857732.4127285723</v>
      </c>
      <c r="P395">
        <v>9.8577324127285717</v>
      </c>
      <c r="Q395" t="s">
        <v>781</v>
      </c>
      <c r="R395" s="141">
        <v>0.61675714285714289</v>
      </c>
    </row>
    <row r="396" spans="1:18" x14ac:dyDescent="0.3">
      <c r="A396" t="s">
        <v>126</v>
      </c>
      <c r="B396" t="s">
        <v>125</v>
      </c>
      <c r="C396" t="s">
        <v>464</v>
      </c>
      <c r="D396" t="s">
        <v>464</v>
      </c>
      <c r="E396">
        <v>5616</v>
      </c>
      <c r="F396" t="s">
        <v>127</v>
      </c>
      <c r="G396">
        <v>1648</v>
      </c>
      <c r="H396" t="s">
        <v>145</v>
      </c>
      <c r="I396">
        <v>2021</v>
      </c>
      <c r="J396">
        <v>2021</v>
      </c>
      <c r="K396" t="s">
        <v>143</v>
      </c>
      <c r="L396">
        <v>6942846</v>
      </c>
      <c r="O396">
        <v>1348845.7066110002</v>
      </c>
      <c r="P396">
        <v>1.3488457066110002</v>
      </c>
      <c r="Q396" t="s">
        <v>782</v>
      </c>
      <c r="R396" s="141">
        <v>0.61675714285714289</v>
      </c>
    </row>
    <row r="397" spans="1:18" x14ac:dyDescent="0.3">
      <c r="A397" t="s">
        <v>126</v>
      </c>
      <c r="B397" t="s">
        <v>125</v>
      </c>
      <c r="C397" t="s">
        <v>464</v>
      </c>
      <c r="D397" t="s">
        <v>464</v>
      </c>
      <c r="E397">
        <v>5916</v>
      </c>
      <c r="F397" t="s">
        <v>124</v>
      </c>
      <c r="G397">
        <v>1648</v>
      </c>
      <c r="H397" t="s">
        <v>145</v>
      </c>
      <c r="I397">
        <v>2021</v>
      </c>
      <c r="J397">
        <v>2021</v>
      </c>
      <c r="K397" t="s">
        <v>143</v>
      </c>
      <c r="L397">
        <v>9424510</v>
      </c>
      <c r="O397">
        <v>1830979.666035</v>
      </c>
      <c r="P397">
        <v>1.830979666035</v>
      </c>
      <c r="Q397" t="s">
        <v>783</v>
      </c>
      <c r="R397" s="141">
        <v>0.61675714285714289</v>
      </c>
    </row>
    <row r="398" spans="1:18" x14ac:dyDescent="0.3">
      <c r="A398" t="s">
        <v>126</v>
      </c>
      <c r="B398" t="s">
        <v>125</v>
      </c>
      <c r="C398" t="s">
        <v>464</v>
      </c>
      <c r="D398" t="s">
        <v>464</v>
      </c>
      <c r="E398">
        <v>5516</v>
      </c>
      <c r="F398" t="s">
        <v>128</v>
      </c>
      <c r="G398">
        <v>1650</v>
      </c>
      <c r="H398" t="s">
        <v>144</v>
      </c>
      <c r="I398">
        <v>2021</v>
      </c>
      <c r="J398">
        <v>2021</v>
      </c>
      <c r="K398" t="s">
        <v>143</v>
      </c>
      <c r="L398">
        <v>3353103</v>
      </c>
      <c r="O398">
        <v>805750.65090000001</v>
      </c>
      <c r="P398">
        <v>0.80575065089999998</v>
      </c>
      <c r="Q398" t="s">
        <v>784</v>
      </c>
      <c r="R398" s="141">
        <v>0.24030000000000001</v>
      </c>
    </row>
    <row r="399" spans="1:18" x14ac:dyDescent="0.3">
      <c r="A399" t="s">
        <v>126</v>
      </c>
      <c r="B399" t="s">
        <v>125</v>
      </c>
      <c r="C399" t="s">
        <v>464</v>
      </c>
      <c r="D399" t="s">
        <v>464</v>
      </c>
      <c r="E399">
        <v>5616</v>
      </c>
      <c r="F399" t="s">
        <v>127</v>
      </c>
      <c r="G399">
        <v>1650</v>
      </c>
      <c r="H399" t="s">
        <v>144</v>
      </c>
      <c r="I399">
        <v>2021</v>
      </c>
      <c r="J399">
        <v>2021</v>
      </c>
      <c r="K399" t="s">
        <v>143</v>
      </c>
      <c r="L399">
        <v>3626780</v>
      </c>
      <c r="O399">
        <v>274527.29871</v>
      </c>
      <c r="P399">
        <v>0.27452729870999998</v>
      </c>
      <c r="Q399" t="s">
        <v>785</v>
      </c>
      <c r="R399" s="141">
        <v>0.24030000000000001</v>
      </c>
    </row>
    <row r="400" spans="1:18" x14ac:dyDescent="0.3">
      <c r="A400" t="s">
        <v>126</v>
      </c>
      <c r="B400" t="s">
        <v>125</v>
      </c>
      <c r="C400" t="s">
        <v>464</v>
      </c>
      <c r="D400" t="s">
        <v>464</v>
      </c>
      <c r="E400">
        <v>5916</v>
      </c>
      <c r="F400" t="s">
        <v>124</v>
      </c>
      <c r="G400">
        <v>1650</v>
      </c>
      <c r="H400" t="s">
        <v>144</v>
      </c>
      <c r="I400">
        <v>2021</v>
      </c>
      <c r="J400">
        <v>2021</v>
      </c>
      <c r="K400" t="s">
        <v>143</v>
      </c>
      <c r="L400">
        <v>2969298</v>
      </c>
      <c r="O400">
        <v>224759.52746100002</v>
      </c>
      <c r="P400">
        <v>0.224759527461</v>
      </c>
      <c r="Q400" t="s">
        <v>786</v>
      </c>
      <c r="R400" s="141">
        <v>0.24030000000000001</v>
      </c>
    </row>
    <row r="401" spans="1:18" x14ac:dyDescent="0.3">
      <c r="A401" t="s">
        <v>126</v>
      </c>
      <c r="B401" t="s">
        <v>125</v>
      </c>
      <c r="C401" t="s">
        <v>464</v>
      </c>
      <c r="D401" t="s">
        <v>464</v>
      </c>
      <c r="E401">
        <v>5516</v>
      </c>
      <c r="F401" t="s">
        <v>128</v>
      </c>
      <c r="G401">
        <v>1649</v>
      </c>
      <c r="H401" t="s">
        <v>142</v>
      </c>
      <c r="I401">
        <v>2021</v>
      </c>
      <c r="J401">
        <v>2021</v>
      </c>
      <c r="L401">
        <v>0</v>
      </c>
    </row>
    <row r="402" spans="1:18" x14ac:dyDescent="0.3">
      <c r="A402" t="s">
        <v>126</v>
      </c>
      <c r="B402" t="s">
        <v>125</v>
      </c>
      <c r="C402" t="s">
        <v>464</v>
      </c>
      <c r="D402" t="s">
        <v>464</v>
      </c>
      <c r="E402">
        <v>5616</v>
      </c>
      <c r="F402" t="s">
        <v>127</v>
      </c>
      <c r="G402">
        <v>1649</v>
      </c>
      <c r="H402" t="s">
        <v>142</v>
      </c>
      <c r="I402">
        <v>2021</v>
      </c>
      <c r="J402">
        <v>2021</v>
      </c>
      <c r="L402">
        <v>0</v>
      </c>
    </row>
    <row r="403" spans="1:18" x14ac:dyDescent="0.3">
      <c r="A403" t="s">
        <v>126</v>
      </c>
      <c r="B403" t="s">
        <v>125</v>
      </c>
      <c r="C403" t="s">
        <v>464</v>
      </c>
      <c r="D403" t="s">
        <v>464</v>
      </c>
      <c r="E403">
        <v>5916</v>
      </c>
      <c r="F403" t="s">
        <v>124</v>
      </c>
      <c r="G403">
        <v>1649</v>
      </c>
      <c r="H403" t="s">
        <v>142</v>
      </c>
      <c r="I403">
        <v>2021</v>
      </c>
      <c r="J403">
        <v>2021</v>
      </c>
      <c r="L403">
        <v>0</v>
      </c>
    </row>
    <row r="404" spans="1:18" x14ac:dyDescent="0.3">
      <c r="A404" t="s">
        <v>126</v>
      </c>
      <c r="B404" t="s">
        <v>125</v>
      </c>
      <c r="C404" t="s">
        <v>464</v>
      </c>
      <c r="D404" t="s">
        <v>464</v>
      </c>
      <c r="E404">
        <v>5510</v>
      </c>
      <c r="F404" t="s">
        <v>128</v>
      </c>
      <c r="G404">
        <v>1685</v>
      </c>
      <c r="H404" t="s">
        <v>98</v>
      </c>
      <c r="I404">
        <v>2021</v>
      </c>
      <c r="J404">
        <v>2021</v>
      </c>
      <c r="K404" t="s">
        <v>339</v>
      </c>
      <c r="L404">
        <v>8665265</v>
      </c>
      <c r="O404">
        <v>7798738.5</v>
      </c>
      <c r="P404">
        <v>7.7987384999999998</v>
      </c>
      <c r="Q404" t="s">
        <v>787</v>
      </c>
      <c r="R404" s="141">
        <v>0.9</v>
      </c>
    </row>
    <row r="405" spans="1:18" x14ac:dyDescent="0.3">
      <c r="A405" t="s">
        <v>126</v>
      </c>
      <c r="B405" t="s">
        <v>125</v>
      </c>
      <c r="C405" t="s">
        <v>464</v>
      </c>
      <c r="D405" t="s">
        <v>464</v>
      </c>
      <c r="E405">
        <v>5610</v>
      </c>
      <c r="F405" t="s">
        <v>127</v>
      </c>
      <c r="G405">
        <v>1685</v>
      </c>
      <c r="H405" t="s">
        <v>98</v>
      </c>
      <c r="I405">
        <v>2021</v>
      </c>
      <c r="J405">
        <v>2021</v>
      </c>
      <c r="K405" t="s">
        <v>339</v>
      </c>
      <c r="L405">
        <v>997009</v>
      </c>
      <c r="O405">
        <v>282652.0515</v>
      </c>
      <c r="P405">
        <v>0.2826520515</v>
      </c>
      <c r="Q405" t="s">
        <v>788</v>
      </c>
      <c r="R405" s="141">
        <v>0.9</v>
      </c>
    </row>
    <row r="406" spans="1:18" x14ac:dyDescent="0.3">
      <c r="A406" t="s">
        <v>126</v>
      </c>
      <c r="B406" t="s">
        <v>125</v>
      </c>
      <c r="C406" t="s">
        <v>464</v>
      </c>
      <c r="D406" t="s">
        <v>464</v>
      </c>
      <c r="E406">
        <v>5910</v>
      </c>
      <c r="F406" t="s">
        <v>124</v>
      </c>
      <c r="G406">
        <v>1685</v>
      </c>
      <c r="H406" t="s">
        <v>98</v>
      </c>
      <c r="I406">
        <v>2021</v>
      </c>
      <c r="J406">
        <v>2021</v>
      </c>
      <c r="K406" t="s">
        <v>339</v>
      </c>
      <c r="L406">
        <v>1233093</v>
      </c>
      <c r="O406">
        <v>349581.86550000001</v>
      </c>
      <c r="P406">
        <v>0.34958186549999998</v>
      </c>
      <c r="Q406" t="s">
        <v>789</v>
      </c>
      <c r="R406" s="141">
        <v>0.9</v>
      </c>
    </row>
    <row r="407" spans="1:18" x14ac:dyDescent="0.3">
      <c r="A407" t="s">
        <v>126</v>
      </c>
      <c r="B407" t="s">
        <v>125</v>
      </c>
      <c r="C407" t="s">
        <v>464</v>
      </c>
      <c r="D407" t="s">
        <v>464</v>
      </c>
      <c r="E407">
        <v>5510</v>
      </c>
      <c r="F407" t="s">
        <v>128</v>
      </c>
      <c r="G407">
        <v>1654</v>
      </c>
      <c r="H407" t="s">
        <v>141</v>
      </c>
      <c r="I407">
        <v>2021</v>
      </c>
      <c r="J407">
        <v>2021</v>
      </c>
      <c r="L407">
        <v>0</v>
      </c>
    </row>
    <row r="408" spans="1:18" x14ac:dyDescent="0.3">
      <c r="A408" t="s">
        <v>126</v>
      </c>
      <c r="B408" t="s">
        <v>125</v>
      </c>
      <c r="C408" t="s">
        <v>464</v>
      </c>
      <c r="D408" t="s">
        <v>464</v>
      </c>
      <c r="E408">
        <v>5610</v>
      </c>
      <c r="F408" t="s">
        <v>127</v>
      </c>
      <c r="G408">
        <v>1654</v>
      </c>
      <c r="H408" t="s">
        <v>141</v>
      </c>
      <c r="I408">
        <v>2021</v>
      </c>
      <c r="J408">
        <v>2021</v>
      </c>
      <c r="L408">
        <v>0</v>
      </c>
    </row>
    <row r="409" spans="1:18" x14ac:dyDescent="0.3">
      <c r="A409" t="s">
        <v>126</v>
      </c>
      <c r="B409" t="s">
        <v>125</v>
      </c>
      <c r="C409" t="s">
        <v>464</v>
      </c>
      <c r="D409" t="s">
        <v>464</v>
      </c>
      <c r="E409">
        <v>5910</v>
      </c>
      <c r="F409" t="s">
        <v>124</v>
      </c>
      <c r="G409">
        <v>1654</v>
      </c>
      <c r="H409" t="s">
        <v>141</v>
      </c>
      <c r="I409">
        <v>2021</v>
      </c>
      <c r="J409">
        <v>2021</v>
      </c>
      <c r="L409">
        <v>0</v>
      </c>
    </row>
    <row r="410" spans="1:18" x14ac:dyDescent="0.3">
      <c r="A410" t="s">
        <v>126</v>
      </c>
      <c r="B410" t="s">
        <v>125</v>
      </c>
      <c r="C410" t="s">
        <v>464</v>
      </c>
      <c r="D410" t="s">
        <v>464</v>
      </c>
      <c r="E410">
        <v>5510</v>
      </c>
      <c r="F410" t="s">
        <v>128</v>
      </c>
      <c r="G410">
        <v>1655</v>
      </c>
      <c r="H410" t="s">
        <v>140</v>
      </c>
      <c r="I410">
        <v>2021</v>
      </c>
      <c r="J410">
        <v>2021</v>
      </c>
      <c r="L410">
        <v>0</v>
      </c>
    </row>
    <row r="411" spans="1:18" x14ac:dyDescent="0.3">
      <c r="A411" t="s">
        <v>126</v>
      </c>
      <c r="B411" t="s">
        <v>125</v>
      </c>
      <c r="C411" t="s">
        <v>464</v>
      </c>
      <c r="D411" t="s">
        <v>464</v>
      </c>
      <c r="E411">
        <v>5610</v>
      </c>
      <c r="F411" t="s">
        <v>127</v>
      </c>
      <c r="G411">
        <v>1655</v>
      </c>
      <c r="H411" t="s">
        <v>140</v>
      </c>
      <c r="I411">
        <v>2021</v>
      </c>
      <c r="J411">
        <v>2021</v>
      </c>
      <c r="L411">
        <v>0</v>
      </c>
    </row>
    <row r="412" spans="1:18" x14ac:dyDescent="0.3">
      <c r="A412" t="s">
        <v>126</v>
      </c>
      <c r="B412" t="s">
        <v>125</v>
      </c>
      <c r="C412" t="s">
        <v>464</v>
      </c>
      <c r="D412" t="s">
        <v>464</v>
      </c>
      <c r="E412">
        <v>5910</v>
      </c>
      <c r="F412" t="s">
        <v>124</v>
      </c>
      <c r="G412">
        <v>1655</v>
      </c>
      <c r="H412" t="s">
        <v>140</v>
      </c>
      <c r="I412">
        <v>2021</v>
      </c>
      <c r="J412">
        <v>2021</v>
      </c>
      <c r="L412">
        <v>0</v>
      </c>
    </row>
    <row r="413" spans="1:18" x14ac:dyDescent="0.3">
      <c r="A413" t="s">
        <v>126</v>
      </c>
      <c r="B413" t="s">
        <v>125</v>
      </c>
      <c r="C413" t="s">
        <v>464</v>
      </c>
      <c r="D413" t="s">
        <v>464</v>
      </c>
      <c r="E413">
        <v>5510</v>
      </c>
      <c r="F413" t="s">
        <v>128</v>
      </c>
      <c r="G413">
        <v>1656</v>
      </c>
      <c r="H413" t="s">
        <v>97</v>
      </c>
      <c r="I413">
        <v>2021</v>
      </c>
      <c r="J413">
        <v>2021</v>
      </c>
      <c r="K413" t="s">
        <v>339</v>
      </c>
      <c r="L413">
        <v>28281329</v>
      </c>
      <c r="O413">
        <v>25453196.100000001</v>
      </c>
      <c r="P413">
        <v>25.4531961</v>
      </c>
      <c r="Q413" t="s">
        <v>790</v>
      </c>
      <c r="R413" s="141">
        <v>0.9</v>
      </c>
    </row>
    <row r="414" spans="1:18" x14ac:dyDescent="0.3">
      <c r="A414" t="s">
        <v>126</v>
      </c>
      <c r="B414" t="s">
        <v>125</v>
      </c>
      <c r="C414" t="s">
        <v>464</v>
      </c>
      <c r="D414" t="s">
        <v>464</v>
      </c>
      <c r="E414">
        <v>5610</v>
      </c>
      <c r="F414" t="s">
        <v>127</v>
      </c>
      <c r="G414">
        <v>1656</v>
      </c>
      <c r="H414" t="s">
        <v>97</v>
      </c>
      <c r="I414">
        <v>2021</v>
      </c>
      <c r="J414">
        <v>2021</v>
      </c>
      <c r="K414" t="s">
        <v>339</v>
      </c>
      <c r="L414">
        <v>15600381</v>
      </c>
      <c r="O414">
        <v>4422708.0135000004</v>
      </c>
      <c r="P414">
        <v>4.4227080135000003</v>
      </c>
      <c r="Q414" t="s">
        <v>791</v>
      </c>
      <c r="R414" s="141">
        <v>0.9</v>
      </c>
    </row>
    <row r="415" spans="1:18" x14ac:dyDescent="0.3">
      <c r="A415" t="s">
        <v>126</v>
      </c>
      <c r="B415" t="s">
        <v>125</v>
      </c>
      <c r="C415" t="s">
        <v>464</v>
      </c>
      <c r="D415" t="s">
        <v>464</v>
      </c>
      <c r="E415">
        <v>5910</v>
      </c>
      <c r="F415" t="s">
        <v>124</v>
      </c>
      <c r="G415">
        <v>1656</v>
      </c>
      <c r="H415" t="s">
        <v>97</v>
      </c>
      <c r="I415">
        <v>2021</v>
      </c>
      <c r="J415">
        <v>2021</v>
      </c>
      <c r="K415" t="s">
        <v>339</v>
      </c>
      <c r="L415">
        <v>13195562</v>
      </c>
      <c r="O415">
        <v>3740941.827</v>
      </c>
      <c r="P415">
        <v>3.7409418269999999</v>
      </c>
      <c r="Q415" t="s">
        <v>792</v>
      </c>
      <c r="R415" s="141">
        <v>0.9</v>
      </c>
    </row>
    <row r="416" spans="1:18" x14ac:dyDescent="0.3">
      <c r="A416" t="s">
        <v>126</v>
      </c>
      <c r="B416" t="s">
        <v>125</v>
      </c>
      <c r="C416" t="s">
        <v>464</v>
      </c>
      <c r="D416" t="s">
        <v>464</v>
      </c>
      <c r="E416">
        <v>5510</v>
      </c>
      <c r="F416" t="s">
        <v>128</v>
      </c>
      <c r="G416">
        <v>1662</v>
      </c>
      <c r="H416" t="s">
        <v>139</v>
      </c>
      <c r="I416">
        <v>2021</v>
      </c>
      <c r="J416">
        <v>2021</v>
      </c>
      <c r="K416" t="s">
        <v>339</v>
      </c>
      <c r="L416">
        <v>5923725</v>
      </c>
    </row>
    <row r="417" spans="1:18" x14ac:dyDescent="0.3">
      <c r="A417" t="s">
        <v>126</v>
      </c>
      <c r="B417" t="s">
        <v>125</v>
      </c>
      <c r="C417" t="s">
        <v>464</v>
      </c>
      <c r="D417" t="s">
        <v>464</v>
      </c>
      <c r="E417">
        <v>5610</v>
      </c>
      <c r="F417" t="s">
        <v>127</v>
      </c>
      <c r="G417">
        <v>1662</v>
      </c>
      <c r="H417" t="s">
        <v>139</v>
      </c>
      <c r="I417">
        <v>2021</v>
      </c>
      <c r="J417">
        <v>2021</v>
      </c>
      <c r="K417" t="s">
        <v>339</v>
      </c>
      <c r="L417">
        <v>237618</v>
      </c>
    </row>
    <row r="418" spans="1:18" x14ac:dyDescent="0.3">
      <c r="A418" t="s">
        <v>126</v>
      </c>
      <c r="B418" t="s">
        <v>125</v>
      </c>
      <c r="C418" t="s">
        <v>464</v>
      </c>
      <c r="D418" t="s">
        <v>464</v>
      </c>
      <c r="E418">
        <v>5910</v>
      </c>
      <c r="F418" t="s">
        <v>124</v>
      </c>
      <c r="G418">
        <v>1662</v>
      </c>
      <c r="H418" t="s">
        <v>139</v>
      </c>
      <c r="I418">
        <v>2021</v>
      </c>
      <c r="J418">
        <v>2021</v>
      </c>
      <c r="K418" t="s">
        <v>339</v>
      </c>
      <c r="L418">
        <v>415180</v>
      </c>
    </row>
    <row r="419" spans="1:18" x14ac:dyDescent="0.3">
      <c r="A419" t="s">
        <v>126</v>
      </c>
      <c r="B419" t="s">
        <v>125</v>
      </c>
      <c r="C419" t="s">
        <v>464</v>
      </c>
      <c r="D419" t="s">
        <v>464</v>
      </c>
      <c r="E419">
        <v>5510</v>
      </c>
      <c r="F419" t="s">
        <v>128</v>
      </c>
      <c r="G419">
        <v>1663</v>
      </c>
      <c r="H419" t="s">
        <v>138</v>
      </c>
      <c r="I419">
        <v>2021</v>
      </c>
      <c r="J419">
        <v>2021</v>
      </c>
      <c r="K419" t="s">
        <v>339</v>
      </c>
      <c r="L419">
        <v>20784164</v>
      </c>
    </row>
    <row r="420" spans="1:18" x14ac:dyDescent="0.3">
      <c r="A420" t="s">
        <v>126</v>
      </c>
      <c r="B420" t="s">
        <v>125</v>
      </c>
      <c r="C420" t="s">
        <v>464</v>
      </c>
      <c r="D420" t="s">
        <v>464</v>
      </c>
      <c r="E420">
        <v>5610</v>
      </c>
      <c r="F420" t="s">
        <v>127</v>
      </c>
      <c r="G420">
        <v>1663</v>
      </c>
      <c r="H420" t="s">
        <v>138</v>
      </c>
      <c r="I420">
        <v>2021</v>
      </c>
      <c r="J420">
        <v>2021</v>
      </c>
      <c r="K420" t="s">
        <v>339</v>
      </c>
      <c r="L420">
        <v>15145974</v>
      </c>
    </row>
    <row r="421" spans="1:18" x14ac:dyDescent="0.3">
      <c r="A421" t="s">
        <v>126</v>
      </c>
      <c r="B421" t="s">
        <v>125</v>
      </c>
      <c r="C421" t="s">
        <v>464</v>
      </c>
      <c r="D421" t="s">
        <v>464</v>
      </c>
      <c r="E421">
        <v>5910</v>
      </c>
      <c r="F421" t="s">
        <v>124</v>
      </c>
      <c r="G421">
        <v>1663</v>
      </c>
      <c r="H421" t="s">
        <v>138</v>
      </c>
      <c r="I421">
        <v>2021</v>
      </c>
      <c r="J421">
        <v>2021</v>
      </c>
      <c r="K421" t="s">
        <v>339</v>
      </c>
      <c r="L421">
        <v>12640618</v>
      </c>
    </row>
    <row r="422" spans="1:18" x14ac:dyDescent="0.3">
      <c r="A422" t="s">
        <v>126</v>
      </c>
      <c r="B422" t="s">
        <v>125</v>
      </c>
      <c r="C422" t="s">
        <v>464</v>
      </c>
      <c r="D422" t="s">
        <v>464</v>
      </c>
      <c r="E422">
        <v>5510</v>
      </c>
      <c r="F422" t="s">
        <v>128</v>
      </c>
      <c r="G422">
        <v>1686</v>
      </c>
      <c r="H422" t="s">
        <v>137</v>
      </c>
      <c r="I422">
        <v>2021</v>
      </c>
      <c r="J422">
        <v>2021</v>
      </c>
      <c r="K422" t="s">
        <v>339</v>
      </c>
      <c r="L422">
        <v>1573440</v>
      </c>
    </row>
    <row r="423" spans="1:18" x14ac:dyDescent="0.3">
      <c r="A423" t="s">
        <v>126</v>
      </c>
      <c r="B423" t="s">
        <v>125</v>
      </c>
      <c r="C423" t="s">
        <v>464</v>
      </c>
      <c r="D423" t="s">
        <v>464</v>
      </c>
      <c r="E423">
        <v>5610</v>
      </c>
      <c r="F423" t="s">
        <v>127</v>
      </c>
      <c r="G423">
        <v>1686</v>
      </c>
      <c r="H423" t="s">
        <v>137</v>
      </c>
      <c r="I423">
        <v>2021</v>
      </c>
      <c r="J423">
        <v>2021</v>
      </c>
      <c r="K423" t="s">
        <v>339</v>
      </c>
      <c r="L423">
        <v>216789</v>
      </c>
    </row>
    <row r="424" spans="1:18" x14ac:dyDescent="0.3">
      <c r="A424" t="s">
        <v>126</v>
      </c>
      <c r="B424" t="s">
        <v>125</v>
      </c>
      <c r="C424" t="s">
        <v>464</v>
      </c>
      <c r="D424" t="s">
        <v>464</v>
      </c>
      <c r="E424">
        <v>5910</v>
      </c>
      <c r="F424" t="s">
        <v>124</v>
      </c>
      <c r="G424">
        <v>1686</v>
      </c>
      <c r="H424" t="s">
        <v>137</v>
      </c>
      <c r="I424">
        <v>2021</v>
      </c>
      <c r="J424">
        <v>2021</v>
      </c>
      <c r="K424" t="s">
        <v>339</v>
      </c>
      <c r="L424">
        <v>139764</v>
      </c>
    </row>
    <row r="425" spans="1:18" x14ac:dyDescent="0.3">
      <c r="A425" t="s">
        <v>126</v>
      </c>
      <c r="B425" t="s">
        <v>125</v>
      </c>
      <c r="C425" t="s">
        <v>464</v>
      </c>
      <c r="D425" t="s">
        <v>464</v>
      </c>
      <c r="E425">
        <v>5510</v>
      </c>
      <c r="F425" t="s">
        <v>128</v>
      </c>
      <c r="G425">
        <v>1660</v>
      </c>
      <c r="H425" t="s">
        <v>136</v>
      </c>
      <c r="I425">
        <v>2021</v>
      </c>
      <c r="J425">
        <v>2021</v>
      </c>
      <c r="L425">
        <v>0</v>
      </c>
    </row>
    <row r="426" spans="1:18" x14ac:dyDescent="0.3">
      <c r="A426" t="s">
        <v>126</v>
      </c>
      <c r="B426" t="s">
        <v>125</v>
      </c>
      <c r="C426" t="s">
        <v>464</v>
      </c>
      <c r="D426" t="s">
        <v>464</v>
      </c>
      <c r="E426">
        <v>5610</v>
      </c>
      <c r="F426" t="s">
        <v>127</v>
      </c>
      <c r="G426">
        <v>1660</v>
      </c>
      <c r="H426" t="s">
        <v>136</v>
      </c>
      <c r="I426">
        <v>2021</v>
      </c>
      <c r="J426">
        <v>2021</v>
      </c>
      <c r="L426">
        <v>0</v>
      </c>
    </row>
    <row r="427" spans="1:18" x14ac:dyDescent="0.3">
      <c r="A427" t="s">
        <v>126</v>
      </c>
      <c r="B427" t="s">
        <v>125</v>
      </c>
      <c r="C427" t="s">
        <v>464</v>
      </c>
      <c r="D427" t="s">
        <v>464</v>
      </c>
      <c r="E427">
        <v>5910</v>
      </c>
      <c r="F427" t="s">
        <v>124</v>
      </c>
      <c r="G427">
        <v>1660</v>
      </c>
      <c r="H427" t="s">
        <v>136</v>
      </c>
      <c r="I427">
        <v>2021</v>
      </c>
      <c r="J427">
        <v>2021</v>
      </c>
      <c r="L427">
        <v>0</v>
      </c>
    </row>
    <row r="428" spans="1:18" x14ac:dyDescent="0.3">
      <c r="A428" t="s">
        <v>126</v>
      </c>
      <c r="B428" t="s">
        <v>125</v>
      </c>
      <c r="C428" t="s">
        <v>464</v>
      </c>
      <c r="D428" t="s">
        <v>464</v>
      </c>
      <c r="E428">
        <v>5510</v>
      </c>
      <c r="F428" t="s">
        <v>128</v>
      </c>
      <c r="G428">
        <v>1661</v>
      </c>
      <c r="H428" t="s">
        <v>135</v>
      </c>
      <c r="I428">
        <v>2021</v>
      </c>
      <c r="J428">
        <v>2021</v>
      </c>
      <c r="L428">
        <v>0</v>
      </c>
    </row>
    <row r="429" spans="1:18" x14ac:dyDescent="0.3">
      <c r="A429" t="s">
        <v>126</v>
      </c>
      <c r="B429" t="s">
        <v>125</v>
      </c>
      <c r="C429" t="s">
        <v>464</v>
      </c>
      <c r="D429" t="s">
        <v>464</v>
      </c>
      <c r="E429">
        <v>5610</v>
      </c>
      <c r="F429" t="s">
        <v>127</v>
      </c>
      <c r="G429">
        <v>1661</v>
      </c>
      <c r="H429" t="s">
        <v>135</v>
      </c>
      <c r="I429">
        <v>2021</v>
      </c>
      <c r="J429">
        <v>2021</v>
      </c>
      <c r="L429">
        <v>0</v>
      </c>
    </row>
    <row r="430" spans="1:18" x14ac:dyDescent="0.3">
      <c r="A430" t="s">
        <v>126</v>
      </c>
      <c r="B430" t="s">
        <v>125</v>
      </c>
      <c r="C430" t="s">
        <v>464</v>
      </c>
      <c r="D430" t="s">
        <v>464</v>
      </c>
      <c r="E430">
        <v>5910</v>
      </c>
      <c r="F430" t="s">
        <v>124</v>
      </c>
      <c r="G430">
        <v>1661</v>
      </c>
      <c r="H430" t="s">
        <v>135</v>
      </c>
      <c r="I430">
        <v>2021</v>
      </c>
      <c r="J430">
        <v>2021</v>
      </c>
      <c r="L430">
        <v>0</v>
      </c>
    </row>
    <row r="431" spans="1:18" x14ac:dyDescent="0.3">
      <c r="A431" t="s">
        <v>126</v>
      </c>
      <c r="B431" t="s">
        <v>125</v>
      </c>
      <c r="C431" t="s">
        <v>464</v>
      </c>
      <c r="D431" t="s">
        <v>464</v>
      </c>
      <c r="E431">
        <v>5510</v>
      </c>
      <c r="F431" t="s">
        <v>128</v>
      </c>
      <c r="G431">
        <v>1667</v>
      </c>
      <c r="H431" t="s">
        <v>96</v>
      </c>
      <c r="I431">
        <v>2021</v>
      </c>
      <c r="J431">
        <v>2021</v>
      </c>
      <c r="K431" t="s">
        <v>339</v>
      </c>
      <c r="L431">
        <v>1782207</v>
      </c>
      <c r="O431">
        <v>1603986.3</v>
      </c>
      <c r="P431">
        <v>1.6039862999999999</v>
      </c>
      <c r="Q431" t="s">
        <v>793</v>
      </c>
      <c r="R431" s="141">
        <v>0.9</v>
      </c>
    </row>
    <row r="432" spans="1:18" x14ac:dyDescent="0.3">
      <c r="A432" t="s">
        <v>126</v>
      </c>
      <c r="B432" t="s">
        <v>125</v>
      </c>
      <c r="C432" t="s">
        <v>464</v>
      </c>
      <c r="D432" t="s">
        <v>464</v>
      </c>
      <c r="E432">
        <v>5610</v>
      </c>
      <c r="F432" t="s">
        <v>127</v>
      </c>
      <c r="G432">
        <v>1667</v>
      </c>
      <c r="H432" t="s">
        <v>96</v>
      </c>
      <c r="I432">
        <v>2021</v>
      </c>
      <c r="J432">
        <v>2021</v>
      </c>
      <c r="K432" t="s">
        <v>339</v>
      </c>
      <c r="L432">
        <v>683806</v>
      </c>
      <c r="O432">
        <v>193859.00100000002</v>
      </c>
      <c r="P432">
        <v>0.193859001</v>
      </c>
      <c r="Q432" t="s">
        <v>794</v>
      </c>
      <c r="R432" s="141">
        <v>0.9</v>
      </c>
    </row>
    <row r="433" spans="1:18" x14ac:dyDescent="0.3">
      <c r="A433" t="s">
        <v>126</v>
      </c>
      <c r="B433" t="s">
        <v>125</v>
      </c>
      <c r="C433" t="s">
        <v>464</v>
      </c>
      <c r="D433" t="s">
        <v>464</v>
      </c>
      <c r="E433">
        <v>5910</v>
      </c>
      <c r="F433" t="s">
        <v>124</v>
      </c>
      <c r="G433">
        <v>1667</v>
      </c>
      <c r="H433" t="s">
        <v>96</v>
      </c>
      <c r="I433">
        <v>2021</v>
      </c>
      <c r="J433">
        <v>2021</v>
      </c>
      <c r="K433" t="s">
        <v>339</v>
      </c>
      <c r="L433">
        <v>1138441</v>
      </c>
      <c r="O433">
        <v>322748.02350000001</v>
      </c>
      <c r="P433">
        <v>0.32274802349999998</v>
      </c>
      <c r="Q433" t="s">
        <v>795</v>
      </c>
      <c r="R433" s="141">
        <v>0.9</v>
      </c>
    </row>
    <row r="434" spans="1:18" x14ac:dyDescent="0.3">
      <c r="A434" t="s">
        <v>126</v>
      </c>
      <c r="B434" t="s">
        <v>125</v>
      </c>
      <c r="C434" t="s">
        <v>464</v>
      </c>
      <c r="D434" t="s">
        <v>464</v>
      </c>
      <c r="E434">
        <v>5510</v>
      </c>
      <c r="F434" t="s">
        <v>128</v>
      </c>
      <c r="G434">
        <v>1668</v>
      </c>
      <c r="H434" t="s">
        <v>95</v>
      </c>
      <c r="I434">
        <v>2021</v>
      </c>
      <c r="J434">
        <v>2021</v>
      </c>
      <c r="K434" t="s">
        <v>339</v>
      </c>
      <c r="L434">
        <v>1017571</v>
      </c>
      <c r="O434">
        <v>915813.9</v>
      </c>
      <c r="P434">
        <v>0.91581389999999996</v>
      </c>
      <c r="Q434" t="s">
        <v>796</v>
      </c>
      <c r="R434" s="141">
        <v>0.9</v>
      </c>
    </row>
    <row r="435" spans="1:18" x14ac:dyDescent="0.3">
      <c r="A435" t="s">
        <v>126</v>
      </c>
      <c r="B435" t="s">
        <v>125</v>
      </c>
      <c r="C435" t="s">
        <v>464</v>
      </c>
      <c r="D435" t="s">
        <v>464</v>
      </c>
      <c r="E435">
        <v>5610</v>
      </c>
      <c r="F435" t="s">
        <v>127</v>
      </c>
      <c r="G435">
        <v>1668</v>
      </c>
      <c r="H435" t="s">
        <v>95</v>
      </c>
      <c r="I435">
        <v>2021</v>
      </c>
      <c r="J435">
        <v>2021</v>
      </c>
      <c r="K435" t="s">
        <v>339</v>
      </c>
      <c r="L435">
        <v>146944</v>
      </c>
      <c r="O435">
        <v>41658.624000000003</v>
      </c>
      <c r="P435">
        <v>4.1658623999999998E-2</v>
      </c>
      <c r="Q435" t="s">
        <v>797</v>
      </c>
      <c r="R435" s="141">
        <v>0.9</v>
      </c>
    </row>
    <row r="436" spans="1:18" x14ac:dyDescent="0.3">
      <c r="A436" t="s">
        <v>126</v>
      </c>
      <c r="B436" t="s">
        <v>125</v>
      </c>
      <c r="C436" t="s">
        <v>464</v>
      </c>
      <c r="D436" t="s">
        <v>464</v>
      </c>
      <c r="E436">
        <v>5910</v>
      </c>
      <c r="F436" t="s">
        <v>124</v>
      </c>
      <c r="G436">
        <v>1668</v>
      </c>
      <c r="H436" t="s">
        <v>95</v>
      </c>
      <c r="I436">
        <v>2021</v>
      </c>
      <c r="J436">
        <v>2021</v>
      </c>
      <c r="K436" t="s">
        <v>339</v>
      </c>
      <c r="L436">
        <v>89914</v>
      </c>
      <c r="O436">
        <v>25490.619000000002</v>
      </c>
      <c r="P436">
        <v>2.5490619000000003E-2</v>
      </c>
      <c r="Q436" t="s">
        <v>798</v>
      </c>
      <c r="R436" s="141">
        <v>0.9</v>
      </c>
    </row>
    <row r="437" spans="1:18" x14ac:dyDescent="0.3">
      <c r="A437" t="s">
        <v>126</v>
      </c>
      <c r="B437" t="s">
        <v>125</v>
      </c>
      <c r="C437" t="s">
        <v>464</v>
      </c>
      <c r="D437" t="s">
        <v>464</v>
      </c>
      <c r="E437">
        <v>5510</v>
      </c>
      <c r="F437" t="s">
        <v>128</v>
      </c>
      <c r="G437">
        <v>1609</v>
      </c>
      <c r="H437" t="s">
        <v>94</v>
      </c>
      <c r="I437">
        <v>2021</v>
      </c>
      <c r="J437">
        <v>2021</v>
      </c>
      <c r="L437">
        <v>0</v>
      </c>
      <c r="O437">
        <v>0</v>
      </c>
      <c r="P437">
        <v>0</v>
      </c>
      <c r="Q437" t="s">
        <v>799</v>
      </c>
      <c r="R437" s="141">
        <v>0.9</v>
      </c>
    </row>
    <row r="438" spans="1:18" x14ac:dyDescent="0.3">
      <c r="A438" t="s">
        <v>126</v>
      </c>
      <c r="B438" t="s">
        <v>125</v>
      </c>
      <c r="C438" t="s">
        <v>464</v>
      </c>
      <c r="D438" t="s">
        <v>464</v>
      </c>
      <c r="E438">
        <v>5610</v>
      </c>
      <c r="F438" t="s">
        <v>127</v>
      </c>
      <c r="G438">
        <v>1609</v>
      </c>
      <c r="H438" t="s">
        <v>94</v>
      </c>
      <c r="I438">
        <v>2021</v>
      </c>
      <c r="J438">
        <v>2021</v>
      </c>
      <c r="K438" t="s">
        <v>339</v>
      </c>
      <c r="L438">
        <v>205490</v>
      </c>
      <c r="O438">
        <v>58256.415000000001</v>
      </c>
      <c r="P438">
        <v>5.8256414999999999E-2</v>
      </c>
      <c r="Q438" t="s">
        <v>800</v>
      </c>
      <c r="R438" s="141">
        <v>0.9</v>
      </c>
    </row>
    <row r="439" spans="1:18" x14ac:dyDescent="0.3">
      <c r="A439" t="s">
        <v>126</v>
      </c>
      <c r="B439" t="s">
        <v>125</v>
      </c>
      <c r="C439" t="s">
        <v>464</v>
      </c>
      <c r="D439" t="s">
        <v>464</v>
      </c>
      <c r="E439">
        <v>5910</v>
      </c>
      <c r="F439" t="s">
        <v>124</v>
      </c>
      <c r="G439">
        <v>1609</v>
      </c>
      <c r="H439" t="s">
        <v>94</v>
      </c>
      <c r="I439">
        <v>2021</v>
      </c>
      <c r="J439">
        <v>2021</v>
      </c>
      <c r="K439" t="s">
        <v>339</v>
      </c>
      <c r="L439">
        <v>235981</v>
      </c>
      <c r="O439">
        <v>66900.613499999992</v>
      </c>
      <c r="P439">
        <v>6.6900613499999984E-2</v>
      </c>
      <c r="Q439" t="s">
        <v>801</v>
      </c>
      <c r="R439" s="141">
        <v>0.9</v>
      </c>
    </row>
    <row r="440" spans="1:18" x14ac:dyDescent="0.3">
      <c r="A440" t="s">
        <v>126</v>
      </c>
      <c r="B440" t="s">
        <v>125</v>
      </c>
      <c r="C440" t="s">
        <v>464</v>
      </c>
      <c r="D440" t="s">
        <v>464</v>
      </c>
      <c r="E440">
        <v>5510</v>
      </c>
      <c r="F440" t="s">
        <v>128</v>
      </c>
      <c r="G440">
        <v>1669</v>
      </c>
      <c r="H440" t="s">
        <v>134</v>
      </c>
      <c r="I440">
        <v>2021</v>
      </c>
      <c r="J440">
        <v>2021</v>
      </c>
      <c r="K440" t="s">
        <v>339</v>
      </c>
      <c r="L440">
        <v>58021720</v>
      </c>
      <c r="O440">
        <v>50769005</v>
      </c>
      <c r="P440">
        <v>50.769005</v>
      </c>
      <c r="Q440" t="s">
        <v>802</v>
      </c>
      <c r="R440" s="141">
        <v>0.875</v>
      </c>
    </row>
    <row r="441" spans="1:18" x14ac:dyDescent="0.3">
      <c r="A441" t="s">
        <v>126</v>
      </c>
      <c r="B441" t="s">
        <v>125</v>
      </c>
      <c r="C441" t="s">
        <v>464</v>
      </c>
      <c r="D441" t="s">
        <v>464</v>
      </c>
      <c r="E441">
        <v>5610</v>
      </c>
      <c r="F441" t="s">
        <v>127</v>
      </c>
      <c r="G441">
        <v>1669</v>
      </c>
      <c r="H441" t="s">
        <v>134</v>
      </c>
      <c r="I441">
        <v>2021</v>
      </c>
      <c r="J441">
        <v>2021</v>
      </c>
      <c r="K441" t="s">
        <v>339</v>
      </c>
      <c r="L441">
        <v>15788545</v>
      </c>
      <c r="O441">
        <v>4351717.7156250002</v>
      </c>
      <c r="P441">
        <v>4.351717715625</v>
      </c>
      <c r="Q441" t="s">
        <v>803</v>
      </c>
      <c r="R441" s="141">
        <v>0.875</v>
      </c>
    </row>
    <row r="442" spans="1:18" x14ac:dyDescent="0.3">
      <c r="A442" t="s">
        <v>126</v>
      </c>
      <c r="B442" t="s">
        <v>125</v>
      </c>
      <c r="C442" t="s">
        <v>464</v>
      </c>
      <c r="D442" t="s">
        <v>464</v>
      </c>
      <c r="E442">
        <v>5910</v>
      </c>
      <c r="F442" t="s">
        <v>124</v>
      </c>
      <c r="G442">
        <v>1669</v>
      </c>
      <c r="H442" t="s">
        <v>134</v>
      </c>
      <c r="I442">
        <v>2021</v>
      </c>
      <c r="J442">
        <v>2021</v>
      </c>
      <c r="K442" t="s">
        <v>339</v>
      </c>
      <c r="L442">
        <v>20570135</v>
      </c>
      <c r="O442">
        <v>5669643.4593749996</v>
      </c>
      <c r="P442">
        <v>5.6696434593749991</v>
      </c>
      <c r="Q442" t="s">
        <v>804</v>
      </c>
      <c r="R442" s="141">
        <v>0.875</v>
      </c>
    </row>
    <row r="443" spans="1:18" x14ac:dyDescent="0.3">
      <c r="A443" t="s">
        <v>126</v>
      </c>
      <c r="B443" t="s">
        <v>125</v>
      </c>
      <c r="C443" t="s">
        <v>464</v>
      </c>
      <c r="D443" t="s">
        <v>464</v>
      </c>
      <c r="E443">
        <v>5510</v>
      </c>
      <c r="F443" t="s">
        <v>128</v>
      </c>
      <c r="G443">
        <v>1671</v>
      </c>
      <c r="H443" t="s">
        <v>89</v>
      </c>
      <c r="I443">
        <v>2021</v>
      </c>
      <c r="J443">
        <v>2021</v>
      </c>
      <c r="K443" t="s">
        <v>339</v>
      </c>
      <c r="L443">
        <v>3258077</v>
      </c>
      <c r="O443">
        <v>3095173.15</v>
      </c>
      <c r="P443">
        <v>3.0951731499999999</v>
      </c>
      <c r="Q443" t="s">
        <v>805</v>
      </c>
      <c r="R443" s="141">
        <v>0.95</v>
      </c>
    </row>
    <row r="444" spans="1:18" x14ac:dyDescent="0.3">
      <c r="A444" t="s">
        <v>126</v>
      </c>
      <c r="B444" t="s">
        <v>125</v>
      </c>
      <c r="C444" t="s">
        <v>464</v>
      </c>
      <c r="D444" t="s">
        <v>464</v>
      </c>
      <c r="E444">
        <v>5610</v>
      </c>
      <c r="F444" t="s">
        <v>127</v>
      </c>
      <c r="G444">
        <v>1671</v>
      </c>
      <c r="H444" t="s">
        <v>89</v>
      </c>
      <c r="I444">
        <v>2021</v>
      </c>
      <c r="J444">
        <v>2021</v>
      </c>
      <c r="K444" t="s">
        <v>339</v>
      </c>
      <c r="L444">
        <v>2557436</v>
      </c>
      <c r="O444">
        <v>765312.72299999988</v>
      </c>
      <c r="P444">
        <v>0.76531272299999986</v>
      </c>
      <c r="Q444" t="s">
        <v>806</v>
      </c>
      <c r="R444" s="141">
        <v>0.95</v>
      </c>
    </row>
    <row r="445" spans="1:18" x14ac:dyDescent="0.3">
      <c r="A445" t="s">
        <v>126</v>
      </c>
      <c r="B445" t="s">
        <v>125</v>
      </c>
      <c r="C445" t="s">
        <v>464</v>
      </c>
      <c r="D445" t="s">
        <v>464</v>
      </c>
      <c r="E445">
        <v>5910</v>
      </c>
      <c r="F445" t="s">
        <v>124</v>
      </c>
      <c r="G445">
        <v>1671</v>
      </c>
      <c r="H445" t="s">
        <v>89</v>
      </c>
      <c r="I445">
        <v>2021</v>
      </c>
      <c r="J445">
        <v>2021</v>
      </c>
      <c r="K445" t="s">
        <v>339</v>
      </c>
      <c r="L445">
        <v>2432227</v>
      </c>
      <c r="O445">
        <v>727843.92975000001</v>
      </c>
      <c r="P445">
        <v>0.72784392975000001</v>
      </c>
      <c r="Q445" t="s">
        <v>807</v>
      </c>
      <c r="R445" s="141">
        <v>0.95</v>
      </c>
    </row>
    <row r="446" spans="1:18" x14ac:dyDescent="0.3">
      <c r="A446" t="s">
        <v>126</v>
      </c>
      <c r="B446" t="s">
        <v>125</v>
      </c>
      <c r="C446" t="s">
        <v>464</v>
      </c>
      <c r="D446" t="s">
        <v>464</v>
      </c>
      <c r="E446">
        <v>5510</v>
      </c>
      <c r="F446" t="s">
        <v>128</v>
      </c>
      <c r="G446">
        <v>1674</v>
      </c>
      <c r="H446" t="s">
        <v>88</v>
      </c>
      <c r="I446">
        <v>2021</v>
      </c>
      <c r="J446">
        <v>2021</v>
      </c>
      <c r="K446" t="s">
        <v>339</v>
      </c>
      <c r="L446">
        <v>20832702</v>
      </c>
      <c r="O446">
        <v>19791066.899999999</v>
      </c>
      <c r="P446">
        <v>19.791066899999997</v>
      </c>
      <c r="Q446" t="s">
        <v>808</v>
      </c>
      <c r="R446" s="141">
        <v>0.95</v>
      </c>
    </row>
    <row r="447" spans="1:18" x14ac:dyDescent="0.3">
      <c r="A447" t="s">
        <v>126</v>
      </c>
      <c r="B447" t="s">
        <v>125</v>
      </c>
      <c r="C447" t="s">
        <v>464</v>
      </c>
      <c r="D447" t="s">
        <v>464</v>
      </c>
      <c r="E447">
        <v>5610</v>
      </c>
      <c r="F447" t="s">
        <v>127</v>
      </c>
      <c r="G447">
        <v>1674</v>
      </c>
      <c r="H447" t="s">
        <v>88</v>
      </c>
      <c r="I447">
        <v>2021</v>
      </c>
      <c r="J447">
        <v>2021</v>
      </c>
      <c r="K447" t="s">
        <v>339</v>
      </c>
      <c r="L447">
        <v>13887704</v>
      </c>
      <c r="O447">
        <v>4155895.4219999998</v>
      </c>
      <c r="P447">
        <v>4.1558954219999995</v>
      </c>
      <c r="Q447" t="s">
        <v>809</v>
      </c>
      <c r="R447" s="141">
        <v>0.95</v>
      </c>
    </row>
    <row r="448" spans="1:18" x14ac:dyDescent="0.3">
      <c r="A448" t="s">
        <v>126</v>
      </c>
      <c r="B448" t="s">
        <v>125</v>
      </c>
      <c r="C448" t="s">
        <v>464</v>
      </c>
      <c r="D448" t="s">
        <v>464</v>
      </c>
      <c r="E448">
        <v>5910</v>
      </c>
      <c r="F448" t="s">
        <v>124</v>
      </c>
      <c r="G448">
        <v>1674</v>
      </c>
      <c r="H448" t="s">
        <v>88</v>
      </c>
      <c r="I448">
        <v>2021</v>
      </c>
      <c r="J448">
        <v>2021</v>
      </c>
      <c r="K448" t="s">
        <v>339</v>
      </c>
      <c r="L448">
        <v>19068590</v>
      </c>
      <c r="O448">
        <v>5706275.5575000001</v>
      </c>
      <c r="P448">
        <v>5.7062755574999997</v>
      </c>
      <c r="Q448" t="s">
        <v>810</v>
      </c>
      <c r="R448" s="141">
        <v>0.95</v>
      </c>
    </row>
    <row r="449" spans="1:18" x14ac:dyDescent="0.3">
      <c r="A449" t="s">
        <v>126</v>
      </c>
      <c r="B449" t="s">
        <v>125</v>
      </c>
      <c r="C449" t="s">
        <v>464</v>
      </c>
      <c r="D449" t="s">
        <v>464</v>
      </c>
      <c r="E449">
        <v>5510</v>
      </c>
      <c r="F449" t="s">
        <v>128</v>
      </c>
      <c r="G449">
        <v>1612</v>
      </c>
      <c r="H449" t="s">
        <v>133</v>
      </c>
      <c r="I449">
        <v>2021</v>
      </c>
      <c r="J449">
        <v>2021</v>
      </c>
      <c r="K449" t="s">
        <v>339</v>
      </c>
      <c r="L449">
        <v>4350351</v>
      </c>
    </row>
    <row r="450" spans="1:18" x14ac:dyDescent="0.3">
      <c r="A450" t="s">
        <v>126</v>
      </c>
      <c r="B450" t="s">
        <v>125</v>
      </c>
      <c r="C450" t="s">
        <v>464</v>
      </c>
      <c r="D450" t="s">
        <v>464</v>
      </c>
      <c r="E450">
        <v>5610</v>
      </c>
      <c r="F450" t="s">
        <v>127</v>
      </c>
      <c r="G450">
        <v>1612</v>
      </c>
      <c r="H450" t="s">
        <v>133</v>
      </c>
      <c r="I450">
        <v>2021</v>
      </c>
      <c r="J450">
        <v>2021</v>
      </c>
      <c r="K450" t="s">
        <v>339</v>
      </c>
      <c r="L450">
        <v>2335134</v>
      </c>
    </row>
    <row r="451" spans="1:18" x14ac:dyDescent="0.3">
      <c r="A451" t="s">
        <v>126</v>
      </c>
      <c r="B451" t="s">
        <v>125</v>
      </c>
      <c r="C451" t="s">
        <v>464</v>
      </c>
      <c r="D451" t="s">
        <v>464</v>
      </c>
      <c r="E451">
        <v>5910</v>
      </c>
      <c r="F451" t="s">
        <v>124</v>
      </c>
      <c r="G451">
        <v>1612</v>
      </c>
      <c r="H451" t="s">
        <v>133</v>
      </c>
      <c r="I451">
        <v>2021</v>
      </c>
      <c r="J451">
        <v>2021</v>
      </c>
      <c r="K451" t="s">
        <v>339</v>
      </c>
      <c r="L451">
        <v>3098687</v>
      </c>
    </row>
    <row r="452" spans="1:18" x14ac:dyDescent="0.3">
      <c r="A452" t="s">
        <v>126</v>
      </c>
      <c r="B452" t="s">
        <v>125</v>
      </c>
      <c r="C452" t="s">
        <v>464</v>
      </c>
      <c r="D452" t="s">
        <v>464</v>
      </c>
      <c r="E452">
        <v>5510</v>
      </c>
      <c r="F452" t="s">
        <v>128</v>
      </c>
      <c r="G452">
        <v>1615</v>
      </c>
      <c r="H452" t="s">
        <v>132</v>
      </c>
      <c r="I452">
        <v>2021</v>
      </c>
      <c r="J452">
        <v>2021</v>
      </c>
      <c r="K452" t="s">
        <v>339</v>
      </c>
      <c r="L452">
        <v>7367755</v>
      </c>
    </row>
    <row r="453" spans="1:18" x14ac:dyDescent="0.3">
      <c r="A453" t="s">
        <v>126</v>
      </c>
      <c r="B453" t="s">
        <v>125</v>
      </c>
      <c r="C453" t="s">
        <v>464</v>
      </c>
      <c r="D453" t="s">
        <v>464</v>
      </c>
      <c r="E453">
        <v>5610</v>
      </c>
      <c r="F453" t="s">
        <v>127</v>
      </c>
      <c r="G453">
        <v>1615</v>
      </c>
      <c r="H453" t="s">
        <v>132</v>
      </c>
      <c r="I453">
        <v>2021</v>
      </c>
      <c r="J453">
        <v>2021</v>
      </c>
      <c r="K453" t="s">
        <v>339</v>
      </c>
      <c r="L453">
        <v>4664685</v>
      </c>
    </row>
    <row r="454" spans="1:18" x14ac:dyDescent="0.3">
      <c r="A454" t="s">
        <v>126</v>
      </c>
      <c r="B454" t="s">
        <v>125</v>
      </c>
      <c r="C454" t="s">
        <v>464</v>
      </c>
      <c r="D454" t="s">
        <v>464</v>
      </c>
      <c r="E454">
        <v>5910</v>
      </c>
      <c r="F454" t="s">
        <v>124</v>
      </c>
      <c r="G454">
        <v>1615</v>
      </c>
      <c r="H454" t="s">
        <v>132</v>
      </c>
      <c r="I454">
        <v>2021</v>
      </c>
      <c r="J454">
        <v>2021</v>
      </c>
      <c r="K454" t="s">
        <v>339</v>
      </c>
      <c r="L454">
        <v>6226196</v>
      </c>
    </row>
    <row r="455" spans="1:18" x14ac:dyDescent="0.3">
      <c r="A455" t="s">
        <v>126</v>
      </c>
      <c r="B455" t="s">
        <v>125</v>
      </c>
      <c r="C455" t="s">
        <v>464</v>
      </c>
      <c r="D455" t="s">
        <v>464</v>
      </c>
      <c r="E455">
        <v>5510</v>
      </c>
      <c r="F455" t="s">
        <v>128</v>
      </c>
      <c r="G455">
        <v>1616</v>
      </c>
      <c r="H455" t="s">
        <v>131</v>
      </c>
      <c r="I455">
        <v>2021</v>
      </c>
      <c r="J455">
        <v>2021</v>
      </c>
      <c r="K455" t="s">
        <v>339</v>
      </c>
      <c r="L455">
        <v>9114596</v>
      </c>
    </row>
    <row r="456" spans="1:18" x14ac:dyDescent="0.3">
      <c r="A456" t="s">
        <v>126</v>
      </c>
      <c r="B456" t="s">
        <v>125</v>
      </c>
      <c r="C456" t="s">
        <v>464</v>
      </c>
      <c r="D456" t="s">
        <v>464</v>
      </c>
      <c r="E456">
        <v>5610</v>
      </c>
      <c r="F456" t="s">
        <v>127</v>
      </c>
      <c r="G456">
        <v>1616</v>
      </c>
      <c r="H456" t="s">
        <v>131</v>
      </c>
      <c r="I456">
        <v>2021</v>
      </c>
      <c r="J456">
        <v>2021</v>
      </c>
      <c r="K456" t="s">
        <v>339</v>
      </c>
      <c r="L456">
        <v>6887885</v>
      </c>
    </row>
    <row r="457" spans="1:18" x14ac:dyDescent="0.3">
      <c r="A457" t="s">
        <v>126</v>
      </c>
      <c r="B457" t="s">
        <v>125</v>
      </c>
      <c r="C457" t="s">
        <v>464</v>
      </c>
      <c r="D457" t="s">
        <v>464</v>
      </c>
      <c r="E457">
        <v>5910</v>
      </c>
      <c r="F457" t="s">
        <v>124</v>
      </c>
      <c r="G457">
        <v>1616</v>
      </c>
      <c r="H457" t="s">
        <v>131</v>
      </c>
      <c r="I457">
        <v>2021</v>
      </c>
      <c r="J457">
        <v>2021</v>
      </c>
      <c r="K457" t="s">
        <v>339</v>
      </c>
      <c r="L457">
        <v>9743706</v>
      </c>
    </row>
    <row r="458" spans="1:18" x14ac:dyDescent="0.3">
      <c r="A458" t="s">
        <v>126</v>
      </c>
      <c r="B458" t="s">
        <v>125</v>
      </c>
      <c r="C458" t="s">
        <v>464</v>
      </c>
      <c r="D458" t="s">
        <v>464</v>
      </c>
      <c r="E458">
        <v>5510</v>
      </c>
      <c r="F458" t="s">
        <v>128</v>
      </c>
      <c r="G458">
        <v>1675</v>
      </c>
      <c r="H458" t="s">
        <v>87</v>
      </c>
      <c r="I458">
        <v>2021</v>
      </c>
      <c r="J458">
        <v>2021</v>
      </c>
      <c r="K458" t="s">
        <v>339</v>
      </c>
      <c r="L458">
        <v>66819773</v>
      </c>
    </row>
    <row r="459" spans="1:18" x14ac:dyDescent="0.3">
      <c r="A459" t="s">
        <v>126</v>
      </c>
      <c r="B459" t="s">
        <v>125</v>
      </c>
      <c r="C459" t="s">
        <v>464</v>
      </c>
      <c r="D459" t="s">
        <v>464</v>
      </c>
      <c r="E459">
        <v>5610</v>
      </c>
      <c r="F459" t="s">
        <v>127</v>
      </c>
      <c r="G459">
        <v>1675</v>
      </c>
      <c r="H459" t="s">
        <v>87</v>
      </c>
      <c r="I459">
        <v>2021</v>
      </c>
      <c r="J459">
        <v>2021</v>
      </c>
      <c r="K459" t="s">
        <v>339</v>
      </c>
      <c r="L459">
        <v>31903577</v>
      </c>
    </row>
    <row r="460" spans="1:18" x14ac:dyDescent="0.3">
      <c r="A460" t="s">
        <v>126</v>
      </c>
      <c r="B460" t="s">
        <v>125</v>
      </c>
      <c r="C460" t="s">
        <v>464</v>
      </c>
      <c r="D460" t="s">
        <v>464</v>
      </c>
      <c r="E460">
        <v>5910</v>
      </c>
      <c r="F460" t="s">
        <v>124</v>
      </c>
      <c r="G460">
        <v>1675</v>
      </c>
      <c r="H460" t="s">
        <v>87</v>
      </c>
      <c r="I460">
        <v>2021</v>
      </c>
      <c r="J460">
        <v>2021</v>
      </c>
      <c r="K460" t="s">
        <v>339</v>
      </c>
      <c r="L460">
        <v>38593684</v>
      </c>
    </row>
    <row r="461" spans="1:18" x14ac:dyDescent="0.3">
      <c r="A461" t="s">
        <v>126</v>
      </c>
      <c r="B461" t="s">
        <v>125</v>
      </c>
      <c r="C461" t="s">
        <v>464</v>
      </c>
      <c r="D461" t="s">
        <v>464</v>
      </c>
      <c r="E461">
        <v>5510</v>
      </c>
      <c r="F461" t="s">
        <v>128</v>
      </c>
      <c r="G461">
        <v>1676</v>
      </c>
      <c r="H461" t="s">
        <v>86</v>
      </c>
      <c r="I461">
        <v>2021</v>
      </c>
      <c r="J461">
        <v>2021</v>
      </c>
      <c r="K461" t="s">
        <v>339</v>
      </c>
      <c r="L461">
        <v>7532554</v>
      </c>
      <c r="O461">
        <v>7155926.2999999998</v>
      </c>
      <c r="P461">
        <v>7.1559262999999991</v>
      </c>
      <c r="Q461" t="s">
        <v>811</v>
      </c>
      <c r="R461" s="141">
        <v>0.95</v>
      </c>
    </row>
    <row r="462" spans="1:18" x14ac:dyDescent="0.3">
      <c r="A462" t="s">
        <v>126</v>
      </c>
      <c r="B462" t="s">
        <v>125</v>
      </c>
      <c r="C462" t="s">
        <v>464</v>
      </c>
      <c r="D462" t="s">
        <v>464</v>
      </c>
      <c r="E462">
        <v>5610</v>
      </c>
      <c r="F462" t="s">
        <v>127</v>
      </c>
      <c r="G462">
        <v>1676</v>
      </c>
      <c r="H462" t="s">
        <v>86</v>
      </c>
      <c r="I462">
        <v>2021</v>
      </c>
      <c r="J462">
        <v>2021</v>
      </c>
      <c r="K462" t="s">
        <v>339</v>
      </c>
      <c r="L462">
        <v>1874059</v>
      </c>
      <c r="O462">
        <v>560812.15574999992</v>
      </c>
      <c r="P462">
        <v>0.56081215574999987</v>
      </c>
      <c r="Q462" t="s">
        <v>812</v>
      </c>
      <c r="R462" s="141">
        <v>0.95</v>
      </c>
    </row>
    <row r="463" spans="1:18" x14ac:dyDescent="0.3">
      <c r="A463" t="s">
        <v>126</v>
      </c>
      <c r="B463" t="s">
        <v>125</v>
      </c>
      <c r="C463" t="s">
        <v>464</v>
      </c>
      <c r="D463" t="s">
        <v>464</v>
      </c>
      <c r="E463">
        <v>5910</v>
      </c>
      <c r="F463" t="s">
        <v>124</v>
      </c>
      <c r="G463">
        <v>1676</v>
      </c>
      <c r="H463" t="s">
        <v>86</v>
      </c>
      <c r="I463">
        <v>2021</v>
      </c>
      <c r="J463">
        <v>2021</v>
      </c>
      <c r="K463" t="s">
        <v>339</v>
      </c>
      <c r="L463">
        <v>1652596</v>
      </c>
      <c r="O463">
        <v>494539.353</v>
      </c>
      <c r="P463">
        <v>0.49453935299999996</v>
      </c>
      <c r="Q463" t="s">
        <v>813</v>
      </c>
      <c r="R463" s="141">
        <v>0.95</v>
      </c>
    </row>
    <row r="464" spans="1:18" x14ac:dyDescent="0.3">
      <c r="A464" t="s">
        <v>126</v>
      </c>
      <c r="B464" t="s">
        <v>125</v>
      </c>
      <c r="C464" t="s">
        <v>464</v>
      </c>
      <c r="D464" t="s">
        <v>464</v>
      </c>
      <c r="E464">
        <v>5510</v>
      </c>
      <c r="F464" t="s">
        <v>128</v>
      </c>
      <c r="G464">
        <v>1681</v>
      </c>
      <c r="H464" t="s">
        <v>130</v>
      </c>
      <c r="I464">
        <v>2021</v>
      </c>
      <c r="J464">
        <v>2021</v>
      </c>
      <c r="L464">
        <v>0</v>
      </c>
    </row>
    <row r="465" spans="1:18" x14ac:dyDescent="0.3">
      <c r="A465" t="s">
        <v>126</v>
      </c>
      <c r="B465" t="s">
        <v>125</v>
      </c>
      <c r="C465" t="s">
        <v>464</v>
      </c>
      <c r="D465" t="s">
        <v>464</v>
      </c>
      <c r="E465">
        <v>5610</v>
      </c>
      <c r="F465" t="s">
        <v>127</v>
      </c>
      <c r="G465">
        <v>1681</v>
      </c>
      <c r="H465" t="s">
        <v>130</v>
      </c>
      <c r="I465">
        <v>2021</v>
      </c>
      <c r="J465">
        <v>2021</v>
      </c>
      <c r="L465">
        <v>0</v>
      </c>
    </row>
    <row r="466" spans="1:18" x14ac:dyDescent="0.3">
      <c r="A466" t="s">
        <v>126</v>
      </c>
      <c r="B466" t="s">
        <v>125</v>
      </c>
      <c r="C466" t="s">
        <v>464</v>
      </c>
      <c r="D466" t="s">
        <v>464</v>
      </c>
      <c r="E466">
        <v>5910</v>
      </c>
      <c r="F466" t="s">
        <v>124</v>
      </c>
      <c r="G466">
        <v>1681</v>
      </c>
      <c r="H466" t="s">
        <v>130</v>
      </c>
      <c r="I466">
        <v>2021</v>
      </c>
      <c r="J466">
        <v>2021</v>
      </c>
      <c r="L466">
        <v>0</v>
      </c>
    </row>
    <row r="467" spans="1:18" x14ac:dyDescent="0.3">
      <c r="A467" t="s">
        <v>126</v>
      </c>
      <c r="B467" t="s">
        <v>125</v>
      </c>
      <c r="C467" t="s">
        <v>464</v>
      </c>
      <c r="D467" t="s">
        <v>464</v>
      </c>
      <c r="E467">
        <v>5510</v>
      </c>
      <c r="F467" t="s">
        <v>128</v>
      </c>
      <c r="G467">
        <v>1617</v>
      </c>
      <c r="H467" t="s">
        <v>85</v>
      </c>
      <c r="I467">
        <v>2021</v>
      </c>
      <c r="J467">
        <v>2021</v>
      </c>
      <c r="K467" t="s">
        <v>339</v>
      </c>
      <c r="L467">
        <v>33373933</v>
      </c>
      <c r="O467">
        <v>31705236.349999998</v>
      </c>
      <c r="P467">
        <v>31.705236349999996</v>
      </c>
      <c r="Q467" t="s">
        <v>814</v>
      </c>
      <c r="R467" s="141">
        <v>0.95</v>
      </c>
    </row>
    <row r="468" spans="1:18" x14ac:dyDescent="0.3">
      <c r="A468" t="s">
        <v>126</v>
      </c>
      <c r="B468" t="s">
        <v>125</v>
      </c>
      <c r="C468" t="s">
        <v>464</v>
      </c>
      <c r="D468" t="s">
        <v>464</v>
      </c>
      <c r="E468">
        <v>5610</v>
      </c>
      <c r="F468" t="s">
        <v>127</v>
      </c>
      <c r="G468">
        <v>1617</v>
      </c>
      <c r="H468" t="s">
        <v>85</v>
      </c>
      <c r="I468">
        <v>2021</v>
      </c>
      <c r="J468">
        <v>2021</v>
      </c>
      <c r="K468" t="s">
        <v>339</v>
      </c>
      <c r="L468">
        <v>16029189</v>
      </c>
      <c r="O468">
        <v>4796734.8082499998</v>
      </c>
      <c r="P468">
        <v>4.7967348082499992</v>
      </c>
      <c r="Q468" t="s">
        <v>815</v>
      </c>
      <c r="R468" s="141">
        <v>0.95</v>
      </c>
    </row>
    <row r="469" spans="1:18" x14ac:dyDescent="0.3">
      <c r="A469" t="s">
        <v>126</v>
      </c>
      <c r="B469" t="s">
        <v>125</v>
      </c>
      <c r="C469" t="s">
        <v>464</v>
      </c>
      <c r="D469" t="s">
        <v>464</v>
      </c>
      <c r="E469">
        <v>5910</v>
      </c>
      <c r="F469" t="s">
        <v>124</v>
      </c>
      <c r="G469">
        <v>1617</v>
      </c>
      <c r="H469" t="s">
        <v>85</v>
      </c>
      <c r="I469">
        <v>2021</v>
      </c>
      <c r="J469">
        <v>2021</v>
      </c>
      <c r="K469" t="s">
        <v>339</v>
      </c>
      <c r="L469">
        <v>17545649</v>
      </c>
      <c r="O469">
        <v>5250535.46325</v>
      </c>
      <c r="P469">
        <v>5.2505354632499994</v>
      </c>
      <c r="Q469" t="s">
        <v>816</v>
      </c>
      <c r="R469" s="141">
        <v>0.95</v>
      </c>
    </row>
    <row r="470" spans="1:18" x14ac:dyDescent="0.3">
      <c r="A470" t="s">
        <v>126</v>
      </c>
      <c r="B470" t="s">
        <v>125</v>
      </c>
      <c r="C470" t="s">
        <v>464</v>
      </c>
      <c r="D470" t="s">
        <v>464</v>
      </c>
      <c r="E470">
        <v>5510</v>
      </c>
      <c r="F470" t="s">
        <v>128</v>
      </c>
      <c r="G470">
        <v>1618</v>
      </c>
      <c r="H470" t="s">
        <v>84</v>
      </c>
      <c r="I470">
        <v>2021</v>
      </c>
      <c r="J470">
        <v>2021</v>
      </c>
      <c r="K470" t="s">
        <v>339</v>
      </c>
      <c r="L470">
        <v>11738406</v>
      </c>
      <c r="O470">
        <v>11151485.699999999</v>
      </c>
      <c r="P470">
        <v>11.151485699999999</v>
      </c>
      <c r="Q470" t="s">
        <v>817</v>
      </c>
      <c r="R470" s="141">
        <v>0.95</v>
      </c>
    </row>
    <row r="471" spans="1:18" x14ac:dyDescent="0.3">
      <c r="A471" t="s">
        <v>126</v>
      </c>
      <c r="B471" t="s">
        <v>125</v>
      </c>
      <c r="C471" t="s">
        <v>464</v>
      </c>
      <c r="D471" t="s">
        <v>464</v>
      </c>
      <c r="E471">
        <v>5610</v>
      </c>
      <c r="F471" t="s">
        <v>127</v>
      </c>
      <c r="G471">
        <v>1618</v>
      </c>
      <c r="H471" t="s">
        <v>84</v>
      </c>
      <c r="I471">
        <v>2021</v>
      </c>
      <c r="J471">
        <v>2021</v>
      </c>
      <c r="K471" t="s">
        <v>339</v>
      </c>
      <c r="L471">
        <v>7396602</v>
      </c>
      <c r="O471">
        <v>2213433.1484999997</v>
      </c>
      <c r="P471">
        <v>2.2134331484999996</v>
      </c>
      <c r="Q471" t="s">
        <v>818</v>
      </c>
      <c r="R471" s="141">
        <v>0.95</v>
      </c>
    </row>
    <row r="472" spans="1:18" x14ac:dyDescent="0.3">
      <c r="A472" t="s">
        <v>126</v>
      </c>
      <c r="B472" t="s">
        <v>125</v>
      </c>
      <c r="C472" t="s">
        <v>464</v>
      </c>
      <c r="D472" t="s">
        <v>464</v>
      </c>
      <c r="E472">
        <v>5910</v>
      </c>
      <c r="F472" t="s">
        <v>124</v>
      </c>
      <c r="G472">
        <v>1618</v>
      </c>
      <c r="H472" t="s">
        <v>84</v>
      </c>
      <c r="I472">
        <v>2021</v>
      </c>
      <c r="J472">
        <v>2021</v>
      </c>
      <c r="K472" t="s">
        <v>339</v>
      </c>
      <c r="L472">
        <v>11464490</v>
      </c>
      <c r="O472">
        <v>3430748.6324999998</v>
      </c>
      <c r="P472">
        <v>3.4307486324999998</v>
      </c>
      <c r="Q472" t="s">
        <v>819</v>
      </c>
      <c r="R472" s="141">
        <v>0.95</v>
      </c>
    </row>
    <row r="473" spans="1:18" x14ac:dyDescent="0.3">
      <c r="A473" t="s">
        <v>126</v>
      </c>
      <c r="B473" t="s">
        <v>125</v>
      </c>
      <c r="C473" t="s">
        <v>464</v>
      </c>
      <c r="D473" t="s">
        <v>464</v>
      </c>
      <c r="E473">
        <v>5510</v>
      </c>
      <c r="F473" t="s">
        <v>128</v>
      </c>
      <c r="G473">
        <v>1621</v>
      </c>
      <c r="H473" t="s">
        <v>129</v>
      </c>
      <c r="I473">
        <v>2021</v>
      </c>
      <c r="J473">
        <v>2021</v>
      </c>
      <c r="K473" t="s">
        <v>339</v>
      </c>
      <c r="L473">
        <v>5358244</v>
      </c>
      <c r="O473">
        <v>5090331.8</v>
      </c>
      <c r="P473">
        <v>5.0903317999999995</v>
      </c>
      <c r="Q473" t="s">
        <v>820</v>
      </c>
      <c r="R473" s="141">
        <v>0.95</v>
      </c>
    </row>
    <row r="474" spans="1:18" x14ac:dyDescent="0.3">
      <c r="A474" t="s">
        <v>126</v>
      </c>
      <c r="B474" t="s">
        <v>125</v>
      </c>
      <c r="C474" t="s">
        <v>464</v>
      </c>
      <c r="D474" t="s">
        <v>464</v>
      </c>
      <c r="E474">
        <v>5610</v>
      </c>
      <c r="F474" t="s">
        <v>127</v>
      </c>
      <c r="G474">
        <v>1621</v>
      </c>
      <c r="H474" t="s">
        <v>129</v>
      </c>
      <c r="I474">
        <v>2021</v>
      </c>
      <c r="J474">
        <v>2021</v>
      </c>
      <c r="K474" t="s">
        <v>339</v>
      </c>
      <c r="L474">
        <v>4581935</v>
      </c>
      <c r="O474">
        <v>1371144.0487500001</v>
      </c>
      <c r="P474">
        <v>1.37114404875</v>
      </c>
      <c r="Q474" t="s">
        <v>821</v>
      </c>
      <c r="R474" s="141">
        <v>0.95</v>
      </c>
    </row>
    <row r="475" spans="1:18" x14ac:dyDescent="0.3">
      <c r="A475" t="s">
        <v>126</v>
      </c>
      <c r="B475" t="s">
        <v>125</v>
      </c>
      <c r="C475" t="s">
        <v>464</v>
      </c>
      <c r="D475" t="s">
        <v>464</v>
      </c>
      <c r="E475">
        <v>5910</v>
      </c>
      <c r="F475" t="s">
        <v>124</v>
      </c>
      <c r="G475">
        <v>1621</v>
      </c>
      <c r="H475" t="s">
        <v>129</v>
      </c>
      <c r="I475">
        <v>2021</v>
      </c>
      <c r="J475">
        <v>2021</v>
      </c>
      <c r="K475" t="s">
        <v>339</v>
      </c>
      <c r="L475">
        <v>5633860</v>
      </c>
      <c r="O475">
        <v>1685932.605</v>
      </c>
      <c r="P475">
        <v>1.6859326049999999</v>
      </c>
      <c r="Q475" t="s">
        <v>822</v>
      </c>
      <c r="R475" s="141">
        <v>0.95</v>
      </c>
    </row>
    <row r="476" spans="1:18" x14ac:dyDescent="0.3">
      <c r="A476" t="s">
        <v>126</v>
      </c>
      <c r="B476" t="s">
        <v>125</v>
      </c>
      <c r="C476" t="s">
        <v>464</v>
      </c>
      <c r="D476" t="s">
        <v>464</v>
      </c>
      <c r="E476">
        <v>5510</v>
      </c>
      <c r="F476" t="s">
        <v>128</v>
      </c>
      <c r="G476">
        <v>1622</v>
      </c>
      <c r="H476" t="s">
        <v>83</v>
      </c>
      <c r="I476">
        <v>2021</v>
      </c>
      <c r="J476">
        <v>2021</v>
      </c>
      <c r="K476" t="s">
        <v>339</v>
      </c>
      <c r="L476">
        <v>4063691</v>
      </c>
      <c r="O476">
        <v>3860506.4499999997</v>
      </c>
      <c r="P476">
        <v>3.8605064499999995</v>
      </c>
      <c r="Q476" t="s">
        <v>823</v>
      </c>
      <c r="R476" s="141">
        <v>0.95</v>
      </c>
    </row>
    <row r="477" spans="1:18" x14ac:dyDescent="0.3">
      <c r="A477" t="s">
        <v>126</v>
      </c>
      <c r="B477" t="s">
        <v>125</v>
      </c>
      <c r="C477" t="s">
        <v>464</v>
      </c>
      <c r="D477" t="s">
        <v>464</v>
      </c>
      <c r="E477">
        <v>5610</v>
      </c>
      <c r="F477" t="s">
        <v>127</v>
      </c>
      <c r="G477">
        <v>1622</v>
      </c>
      <c r="H477" t="s">
        <v>83</v>
      </c>
      <c r="I477">
        <v>2021</v>
      </c>
      <c r="J477">
        <v>2021</v>
      </c>
      <c r="K477" t="s">
        <v>339</v>
      </c>
      <c r="L477">
        <v>1265841</v>
      </c>
      <c r="O477">
        <v>378802.91924999998</v>
      </c>
      <c r="P477">
        <v>0.37880291924999998</v>
      </c>
      <c r="Q477" t="s">
        <v>824</v>
      </c>
      <c r="R477" s="141">
        <v>0.95</v>
      </c>
    </row>
    <row r="478" spans="1:18" x14ac:dyDescent="0.3">
      <c r="A478" t="s">
        <v>126</v>
      </c>
      <c r="B478" t="s">
        <v>125</v>
      </c>
      <c r="C478" t="s">
        <v>464</v>
      </c>
      <c r="D478" t="s">
        <v>464</v>
      </c>
      <c r="E478">
        <v>5910</v>
      </c>
      <c r="F478" t="s">
        <v>124</v>
      </c>
      <c r="G478">
        <v>1622</v>
      </c>
      <c r="H478" t="s">
        <v>83</v>
      </c>
      <c r="I478">
        <v>2021</v>
      </c>
      <c r="J478">
        <v>2021</v>
      </c>
      <c r="K478" t="s">
        <v>339</v>
      </c>
      <c r="L478">
        <v>1533144</v>
      </c>
      <c r="O478">
        <v>458793.342</v>
      </c>
      <c r="P478">
        <v>0.45879334199999999</v>
      </c>
      <c r="Q478" t="s">
        <v>825</v>
      </c>
      <c r="R478" s="141">
        <v>0.95</v>
      </c>
    </row>
    <row r="479" spans="1:18" x14ac:dyDescent="0.3">
      <c r="A479" t="s">
        <v>126</v>
      </c>
      <c r="B479" t="s">
        <v>125</v>
      </c>
      <c r="C479" t="s">
        <v>464</v>
      </c>
      <c r="D479" t="s">
        <v>464</v>
      </c>
      <c r="E479">
        <v>5510</v>
      </c>
      <c r="F479" t="s">
        <v>128</v>
      </c>
      <c r="G479">
        <v>1683</v>
      </c>
      <c r="H479" t="s">
        <v>123</v>
      </c>
      <c r="I479">
        <v>2021</v>
      </c>
      <c r="J479">
        <v>2021</v>
      </c>
      <c r="K479" t="s">
        <v>339</v>
      </c>
      <c r="L479">
        <v>4752945</v>
      </c>
      <c r="O479">
        <v>4515297.75</v>
      </c>
      <c r="P479">
        <v>4.5152977500000002</v>
      </c>
      <c r="Q479" t="s">
        <v>826</v>
      </c>
      <c r="R479" s="141">
        <v>0.95</v>
      </c>
    </row>
    <row r="480" spans="1:18" x14ac:dyDescent="0.3">
      <c r="A480" t="s">
        <v>126</v>
      </c>
      <c r="B480" t="s">
        <v>125</v>
      </c>
      <c r="C480" t="s">
        <v>464</v>
      </c>
      <c r="D480" t="s">
        <v>464</v>
      </c>
      <c r="E480">
        <v>5610</v>
      </c>
      <c r="F480" t="s">
        <v>127</v>
      </c>
      <c r="G480">
        <v>1683</v>
      </c>
      <c r="H480" t="s">
        <v>123</v>
      </c>
      <c r="I480">
        <v>2021</v>
      </c>
      <c r="J480">
        <v>2021</v>
      </c>
      <c r="K480" t="s">
        <v>339</v>
      </c>
      <c r="L480">
        <v>755951</v>
      </c>
      <c r="O480">
        <v>226218.33674999999</v>
      </c>
      <c r="P480">
        <v>0.22621833674999997</v>
      </c>
      <c r="Q480" t="s">
        <v>827</v>
      </c>
      <c r="R480" s="141">
        <v>0.95</v>
      </c>
    </row>
    <row r="481" spans="1:18" x14ac:dyDescent="0.3">
      <c r="A481" t="s">
        <v>126</v>
      </c>
      <c r="B481" t="s">
        <v>125</v>
      </c>
      <c r="C481" t="s">
        <v>464</v>
      </c>
      <c r="D481" t="s">
        <v>464</v>
      </c>
      <c r="E481">
        <v>5910</v>
      </c>
      <c r="F481" t="s">
        <v>124</v>
      </c>
      <c r="G481">
        <v>1683</v>
      </c>
      <c r="H481" t="s">
        <v>123</v>
      </c>
      <c r="I481">
        <v>2021</v>
      </c>
      <c r="J481">
        <v>2021</v>
      </c>
      <c r="K481" t="s">
        <v>339</v>
      </c>
      <c r="L481">
        <v>763945</v>
      </c>
      <c r="O481">
        <v>228610.54125000001</v>
      </c>
      <c r="P481">
        <v>0.22861054124999999</v>
      </c>
      <c r="Q481" t="s">
        <v>828</v>
      </c>
      <c r="R481" s="141">
        <v>0.95</v>
      </c>
    </row>
    <row r="482" spans="1:18" x14ac:dyDescent="0.3">
      <c r="A482" t="s">
        <v>126</v>
      </c>
      <c r="B482" t="s">
        <v>125</v>
      </c>
      <c r="C482" t="s">
        <v>465</v>
      </c>
      <c r="D482" t="s">
        <v>831</v>
      </c>
      <c r="E482">
        <v>5516</v>
      </c>
      <c r="F482" t="s">
        <v>128</v>
      </c>
      <c r="G482">
        <v>1627</v>
      </c>
      <c r="H482" t="s">
        <v>121</v>
      </c>
      <c r="I482">
        <v>2021</v>
      </c>
      <c r="J482">
        <v>2021</v>
      </c>
      <c r="K482" t="s">
        <v>143</v>
      </c>
      <c r="L482">
        <v>9023649</v>
      </c>
      <c r="M482" t="s">
        <v>397</v>
      </c>
      <c r="N482" t="s">
        <v>398</v>
      </c>
      <c r="O482">
        <v>3855354.0352500002</v>
      </c>
      <c r="P482">
        <v>3.85535403525</v>
      </c>
      <c r="Q482" t="s">
        <v>724</v>
      </c>
      <c r="R482" s="141">
        <v>0.42725000000000002</v>
      </c>
    </row>
    <row r="483" spans="1:18" x14ac:dyDescent="0.3">
      <c r="A483" t="s">
        <v>126</v>
      </c>
      <c r="B483" t="s">
        <v>125</v>
      </c>
      <c r="C483" t="s">
        <v>465</v>
      </c>
      <c r="D483" t="s">
        <v>831</v>
      </c>
      <c r="E483">
        <v>5616</v>
      </c>
      <c r="F483" t="s">
        <v>127</v>
      </c>
      <c r="G483">
        <v>1627</v>
      </c>
      <c r="H483" t="s">
        <v>121</v>
      </c>
      <c r="I483">
        <v>2021</v>
      </c>
      <c r="J483">
        <v>2021</v>
      </c>
      <c r="K483" t="s">
        <v>143</v>
      </c>
      <c r="L483">
        <v>742</v>
      </c>
      <c r="M483" t="s">
        <v>832</v>
      </c>
      <c r="N483" t="s">
        <v>833</v>
      </c>
      <c r="O483">
        <v>317.01949999999999</v>
      </c>
      <c r="P483">
        <v>3.1701949999999999E-4</v>
      </c>
      <c r="Q483" t="s">
        <v>725</v>
      </c>
      <c r="R483" s="141">
        <v>0.42725000000000002</v>
      </c>
    </row>
    <row r="484" spans="1:18" x14ac:dyDescent="0.3">
      <c r="A484" t="s">
        <v>126</v>
      </c>
      <c r="B484" t="s">
        <v>125</v>
      </c>
      <c r="C484" t="s">
        <v>465</v>
      </c>
      <c r="D484" t="s">
        <v>831</v>
      </c>
      <c r="E484">
        <v>5916</v>
      </c>
      <c r="F484" t="s">
        <v>124</v>
      </c>
      <c r="G484">
        <v>1627</v>
      </c>
      <c r="H484" t="s">
        <v>121</v>
      </c>
      <c r="I484">
        <v>2021</v>
      </c>
      <c r="J484">
        <v>2021</v>
      </c>
      <c r="K484" t="s">
        <v>143</v>
      </c>
      <c r="L484">
        <v>61</v>
      </c>
      <c r="M484" t="s">
        <v>832</v>
      </c>
      <c r="N484" t="s">
        <v>833</v>
      </c>
      <c r="O484">
        <v>26.062250000000002</v>
      </c>
      <c r="P484">
        <v>2.6062250000000003E-5</v>
      </c>
      <c r="Q484" t="s">
        <v>726</v>
      </c>
      <c r="R484" s="141">
        <v>0.42725000000000002</v>
      </c>
    </row>
    <row r="485" spans="1:18" x14ac:dyDescent="0.3">
      <c r="A485" t="s">
        <v>126</v>
      </c>
      <c r="B485" t="s">
        <v>125</v>
      </c>
      <c r="C485" t="s">
        <v>465</v>
      </c>
      <c r="D485" t="s">
        <v>831</v>
      </c>
      <c r="E485">
        <v>5516</v>
      </c>
      <c r="F485" t="s">
        <v>128</v>
      </c>
      <c r="G485">
        <v>1628</v>
      </c>
      <c r="H485" t="s">
        <v>120</v>
      </c>
      <c r="I485">
        <v>2021</v>
      </c>
      <c r="J485">
        <v>2021</v>
      </c>
      <c r="K485" t="s">
        <v>143</v>
      </c>
      <c r="L485">
        <v>291035566</v>
      </c>
      <c r="M485" t="s">
        <v>397</v>
      </c>
      <c r="N485" t="s">
        <v>398</v>
      </c>
      <c r="O485">
        <v>232828452.80000001</v>
      </c>
      <c r="P485">
        <v>232.82845280000001</v>
      </c>
      <c r="Q485" t="s">
        <v>727</v>
      </c>
      <c r="R485" s="141">
        <v>0.8</v>
      </c>
    </row>
    <row r="486" spans="1:18" x14ac:dyDescent="0.3">
      <c r="A486" t="s">
        <v>126</v>
      </c>
      <c r="B486" t="s">
        <v>125</v>
      </c>
      <c r="C486" t="s">
        <v>465</v>
      </c>
      <c r="D486" t="s">
        <v>831</v>
      </c>
      <c r="E486">
        <v>5616</v>
      </c>
      <c r="F486" t="s">
        <v>127</v>
      </c>
      <c r="G486">
        <v>1628</v>
      </c>
      <c r="H486" t="s">
        <v>120</v>
      </c>
      <c r="I486">
        <v>2021</v>
      </c>
      <c r="J486">
        <v>2021</v>
      </c>
      <c r="K486" t="s">
        <v>143</v>
      </c>
      <c r="L486">
        <v>144</v>
      </c>
      <c r="M486" t="s">
        <v>832</v>
      </c>
      <c r="N486" t="s">
        <v>833</v>
      </c>
      <c r="O486">
        <v>115.2</v>
      </c>
      <c r="P486">
        <v>1.1519999999999999E-4</v>
      </c>
      <c r="Q486" t="s">
        <v>728</v>
      </c>
      <c r="R486" s="141">
        <v>0.8</v>
      </c>
    </row>
    <row r="487" spans="1:18" x14ac:dyDescent="0.3">
      <c r="A487" t="s">
        <v>126</v>
      </c>
      <c r="B487" t="s">
        <v>125</v>
      </c>
      <c r="C487" t="s">
        <v>465</v>
      </c>
      <c r="D487" t="s">
        <v>831</v>
      </c>
      <c r="E487">
        <v>5916</v>
      </c>
      <c r="F487" t="s">
        <v>124</v>
      </c>
      <c r="G487">
        <v>1628</v>
      </c>
      <c r="H487" t="s">
        <v>120</v>
      </c>
      <c r="I487">
        <v>2021</v>
      </c>
      <c r="J487">
        <v>2021</v>
      </c>
      <c r="K487" t="s">
        <v>143</v>
      </c>
      <c r="L487">
        <v>481</v>
      </c>
      <c r="M487" t="s">
        <v>832</v>
      </c>
      <c r="N487" t="s">
        <v>833</v>
      </c>
      <c r="O487">
        <v>384.8</v>
      </c>
      <c r="P487">
        <v>3.8479999999999997E-4</v>
      </c>
      <c r="Q487" t="s">
        <v>729</v>
      </c>
      <c r="R487" s="141">
        <v>0.8</v>
      </c>
    </row>
    <row r="488" spans="1:18" x14ac:dyDescent="0.3">
      <c r="A488" t="s">
        <v>126</v>
      </c>
      <c r="B488" t="s">
        <v>125</v>
      </c>
      <c r="C488" t="s">
        <v>465</v>
      </c>
      <c r="D488" t="s">
        <v>831</v>
      </c>
      <c r="E488">
        <v>5616</v>
      </c>
      <c r="F488" t="s">
        <v>127</v>
      </c>
      <c r="G488">
        <v>1629</v>
      </c>
      <c r="H488" t="s">
        <v>160</v>
      </c>
      <c r="I488">
        <v>2021</v>
      </c>
      <c r="J488">
        <v>2021</v>
      </c>
    </row>
    <row r="489" spans="1:18" x14ac:dyDescent="0.3">
      <c r="A489" t="s">
        <v>126</v>
      </c>
      <c r="B489" t="s">
        <v>125</v>
      </c>
      <c r="C489" t="s">
        <v>465</v>
      </c>
      <c r="D489" t="s">
        <v>831</v>
      </c>
      <c r="E489">
        <v>5916</v>
      </c>
      <c r="F489" t="s">
        <v>124</v>
      </c>
      <c r="G489">
        <v>1629</v>
      </c>
      <c r="H489" t="s">
        <v>160</v>
      </c>
      <c r="I489">
        <v>2021</v>
      </c>
      <c r="J489">
        <v>2021</v>
      </c>
    </row>
    <row r="490" spans="1:18" x14ac:dyDescent="0.3">
      <c r="A490" t="s">
        <v>126</v>
      </c>
      <c r="B490" t="s">
        <v>125</v>
      </c>
      <c r="C490" t="s">
        <v>465</v>
      </c>
      <c r="D490" t="s">
        <v>831</v>
      </c>
      <c r="E490">
        <v>5616</v>
      </c>
      <c r="F490" t="s">
        <v>127</v>
      </c>
      <c r="G490">
        <v>1651</v>
      </c>
      <c r="H490" t="s">
        <v>159</v>
      </c>
      <c r="I490">
        <v>2021</v>
      </c>
      <c r="J490">
        <v>2021</v>
      </c>
      <c r="K490" t="s">
        <v>143</v>
      </c>
      <c r="L490">
        <v>2605186</v>
      </c>
      <c r="M490" t="s">
        <v>829</v>
      </c>
      <c r="N490" t="s">
        <v>830</v>
      </c>
      <c r="O490">
        <v>1081152.19</v>
      </c>
      <c r="P490">
        <v>1.0811521899999998</v>
      </c>
      <c r="Q490" t="s">
        <v>730</v>
      </c>
      <c r="R490" s="141">
        <v>0.41499999999999998</v>
      </c>
    </row>
    <row r="491" spans="1:18" x14ac:dyDescent="0.3">
      <c r="A491" t="s">
        <v>126</v>
      </c>
      <c r="B491" t="s">
        <v>125</v>
      </c>
      <c r="C491" t="s">
        <v>465</v>
      </c>
      <c r="D491" t="s">
        <v>831</v>
      </c>
      <c r="E491">
        <v>5916</v>
      </c>
      <c r="F491" t="s">
        <v>124</v>
      </c>
      <c r="G491">
        <v>1651</v>
      </c>
      <c r="H491" t="s">
        <v>159</v>
      </c>
      <c r="I491">
        <v>2021</v>
      </c>
      <c r="J491">
        <v>2021</v>
      </c>
      <c r="K491" t="s">
        <v>143</v>
      </c>
      <c r="L491">
        <v>3630</v>
      </c>
      <c r="M491" t="s">
        <v>834</v>
      </c>
      <c r="N491" t="s">
        <v>835</v>
      </c>
      <c r="O491">
        <v>1506.4499999999998</v>
      </c>
      <c r="P491">
        <v>1.5064499999999997E-3</v>
      </c>
      <c r="Q491" t="s">
        <v>731</v>
      </c>
      <c r="R491" s="141">
        <v>0.41499999999999998</v>
      </c>
    </row>
    <row r="492" spans="1:18" x14ac:dyDescent="0.3">
      <c r="A492" t="s">
        <v>126</v>
      </c>
      <c r="B492" t="s">
        <v>125</v>
      </c>
      <c r="C492" t="s">
        <v>465</v>
      </c>
      <c r="D492" t="s">
        <v>831</v>
      </c>
      <c r="E492">
        <v>5616</v>
      </c>
      <c r="F492" t="s">
        <v>127</v>
      </c>
      <c r="G492">
        <v>1657</v>
      </c>
      <c r="H492" t="s">
        <v>158</v>
      </c>
      <c r="I492">
        <v>2021</v>
      </c>
      <c r="J492">
        <v>2021</v>
      </c>
      <c r="K492" t="s">
        <v>143</v>
      </c>
      <c r="L492">
        <v>2014651</v>
      </c>
      <c r="M492" t="s">
        <v>829</v>
      </c>
      <c r="N492" t="s">
        <v>830</v>
      </c>
      <c r="O492">
        <v>1114102.003</v>
      </c>
      <c r="P492">
        <v>1.114102003</v>
      </c>
      <c r="Q492" t="s">
        <v>732</v>
      </c>
      <c r="R492" s="141">
        <v>0.55300000000000005</v>
      </c>
    </row>
    <row r="493" spans="1:18" x14ac:dyDescent="0.3">
      <c r="A493" t="s">
        <v>126</v>
      </c>
      <c r="B493" t="s">
        <v>125</v>
      </c>
      <c r="C493" t="s">
        <v>465</v>
      </c>
      <c r="D493" t="s">
        <v>831</v>
      </c>
      <c r="E493">
        <v>5916</v>
      </c>
      <c r="F493" t="s">
        <v>124</v>
      </c>
      <c r="G493">
        <v>1657</v>
      </c>
      <c r="H493" t="s">
        <v>158</v>
      </c>
      <c r="I493">
        <v>2021</v>
      </c>
      <c r="J493">
        <v>2021</v>
      </c>
      <c r="K493" t="s">
        <v>143</v>
      </c>
      <c r="L493">
        <v>3599</v>
      </c>
      <c r="M493" t="s">
        <v>829</v>
      </c>
      <c r="N493" t="s">
        <v>830</v>
      </c>
      <c r="O493">
        <v>1990.2470000000001</v>
      </c>
      <c r="P493">
        <v>1.9902470000000001E-3</v>
      </c>
      <c r="Q493" t="s">
        <v>733</v>
      </c>
      <c r="R493" s="141">
        <v>0.55300000000000005</v>
      </c>
    </row>
    <row r="494" spans="1:18" x14ac:dyDescent="0.3">
      <c r="A494" t="s">
        <v>126</v>
      </c>
      <c r="B494" t="s">
        <v>125</v>
      </c>
      <c r="C494" t="s">
        <v>465</v>
      </c>
      <c r="D494" t="s">
        <v>831</v>
      </c>
      <c r="E494">
        <v>5616</v>
      </c>
      <c r="F494" t="s">
        <v>127</v>
      </c>
      <c r="G494">
        <v>1670</v>
      </c>
      <c r="H494" t="s">
        <v>157</v>
      </c>
      <c r="I494">
        <v>2021</v>
      </c>
      <c r="J494">
        <v>2021</v>
      </c>
      <c r="K494" t="s">
        <v>143</v>
      </c>
      <c r="L494">
        <v>195412</v>
      </c>
      <c r="M494" t="s">
        <v>829</v>
      </c>
      <c r="N494" t="s">
        <v>830</v>
      </c>
      <c r="O494">
        <v>108062.83600000001</v>
      </c>
      <c r="P494">
        <v>0.10806283600000001</v>
      </c>
      <c r="Q494" t="s">
        <v>734</v>
      </c>
      <c r="R494" s="141">
        <v>0.55300000000000005</v>
      </c>
    </row>
    <row r="495" spans="1:18" x14ac:dyDescent="0.3">
      <c r="A495" t="s">
        <v>126</v>
      </c>
      <c r="B495" t="s">
        <v>125</v>
      </c>
      <c r="C495" t="s">
        <v>465</v>
      </c>
      <c r="D495" t="s">
        <v>831</v>
      </c>
      <c r="E495">
        <v>5916</v>
      </c>
      <c r="F495" t="s">
        <v>124</v>
      </c>
      <c r="G495">
        <v>1670</v>
      </c>
      <c r="H495" t="s">
        <v>157</v>
      </c>
      <c r="I495">
        <v>2021</v>
      </c>
      <c r="J495">
        <v>2021</v>
      </c>
      <c r="K495" t="s">
        <v>143</v>
      </c>
      <c r="L495">
        <v>0</v>
      </c>
      <c r="M495" t="s">
        <v>829</v>
      </c>
      <c r="N495" t="s">
        <v>830</v>
      </c>
      <c r="O495">
        <v>0</v>
      </c>
      <c r="P495">
        <v>0</v>
      </c>
      <c r="Q495" t="s">
        <v>735</v>
      </c>
      <c r="R495" s="141">
        <v>0.55300000000000005</v>
      </c>
    </row>
    <row r="496" spans="1:18" x14ac:dyDescent="0.3">
      <c r="A496" t="s">
        <v>126</v>
      </c>
      <c r="B496" t="s">
        <v>125</v>
      </c>
      <c r="C496" t="s">
        <v>465</v>
      </c>
      <c r="D496" t="s">
        <v>831</v>
      </c>
      <c r="E496">
        <v>5516</v>
      </c>
      <c r="F496" t="s">
        <v>128</v>
      </c>
      <c r="G496">
        <v>1601</v>
      </c>
      <c r="H496" t="s">
        <v>119</v>
      </c>
      <c r="I496">
        <v>2021</v>
      </c>
      <c r="J496">
        <v>2021</v>
      </c>
      <c r="K496" t="s">
        <v>143</v>
      </c>
      <c r="L496">
        <v>5754000</v>
      </c>
      <c r="M496" t="s">
        <v>832</v>
      </c>
      <c r="N496" t="s">
        <v>833</v>
      </c>
      <c r="O496">
        <v>2416680</v>
      </c>
      <c r="P496">
        <v>2.4166799999999999</v>
      </c>
      <c r="Q496" t="s">
        <v>736</v>
      </c>
      <c r="R496" s="141">
        <v>0.42</v>
      </c>
    </row>
    <row r="497" spans="1:18" x14ac:dyDescent="0.3">
      <c r="A497" t="s">
        <v>126</v>
      </c>
      <c r="B497" t="s">
        <v>125</v>
      </c>
      <c r="C497" t="s">
        <v>465</v>
      </c>
      <c r="D497" t="s">
        <v>831</v>
      </c>
      <c r="E497">
        <v>5616</v>
      </c>
      <c r="F497" t="s">
        <v>127</v>
      </c>
      <c r="G497">
        <v>1601</v>
      </c>
      <c r="H497" t="s">
        <v>119</v>
      </c>
      <c r="I497">
        <v>2021</v>
      </c>
      <c r="J497">
        <v>2021</v>
      </c>
    </row>
    <row r="498" spans="1:18" x14ac:dyDescent="0.3">
      <c r="A498" t="s">
        <v>126</v>
      </c>
      <c r="B498" t="s">
        <v>125</v>
      </c>
      <c r="C498" t="s">
        <v>465</v>
      </c>
      <c r="D498" t="s">
        <v>831</v>
      </c>
      <c r="E498">
        <v>5916</v>
      </c>
      <c r="F498" t="s">
        <v>124</v>
      </c>
      <c r="G498">
        <v>1601</v>
      </c>
      <c r="H498" t="s">
        <v>119</v>
      </c>
      <c r="I498">
        <v>2021</v>
      </c>
      <c r="J498">
        <v>2021</v>
      </c>
    </row>
    <row r="499" spans="1:18" x14ac:dyDescent="0.3">
      <c r="A499" t="s">
        <v>126</v>
      </c>
      <c r="B499" t="s">
        <v>125</v>
      </c>
      <c r="C499" t="s">
        <v>465</v>
      </c>
      <c r="D499" t="s">
        <v>831</v>
      </c>
      <c r="E499">
        <v>5516</v>
      </c>
      <c r="F499" t="s">
        <v>128</v>
      </c>
      <c r="G499">
        <v>1604</v>
      </c>
      <c r="H499" t="s">
        <v>118</v>
      </c>
      <c r="I499">
        <v>2021</v>
      </c>
      <c r="J499">
        <v>2021</v>
      </c>
      <c r="K499" t="s">
        <v>143</v>
      </c>
      <c r="L499">
        <v>42050000</v>
      </c>
      <c r="M499" t="s">
        <v>832</v>
      </c>
      <c r="N499" t="s">
        <v>833</v>
      </c>
      <c r="O499">
        <v>25776650</v>
      </c>
      <c r="P499">
        <v>25.77665</v>
      </c>
      <c r="Q499" t="s">
        <v>737</v>
      </c>
      <c r="R499" s="141">
        <v>0.61299999999999999</v>
      </c>
    </row>
    <row r="500" spans="1:18" x14ac:dyDescent="0.3">
      <c r="A500" t="s">
        <v>126</v>
      </c>
      <c r="B500" t="s">
        <v>125</v>
      </c>
      <c r="C500" t="s">
        <v>465</v>
      </c>
      <c r="D500" t="s">
        <v>831</v>
      </c>
      <c r="E500">
        <v>5616</v>
      </c>
      <c r="F500" t="s">
        <v>127</v>
      </c>
      <c r="G500">
        <v>1604</v>
      </c>
      <c r="H500" t="s">
        <v>118</v>
      </c>
      <c r="I500">
        <v>2021</v>
      </c>
      <c r="J500">
        <v>2021</v>
      </c>
    </row>
    <row r="501" spans="1:18" x14ac:dyDescent="0.3">
      <c r="A501" t="s">
        <v>126</v>
      </c>
      <c r="B501" t="s">
        <v>125</v>
      </c>
      <c r="C501" t="s">
        <v>465</v>
      </c>
      <c r="D501" t="s">
        <v>831</v>
      </c>
      <c r="E501">
        <v>5916</v>
      </c>
      <c r="F501" t="s">
        <v>124</v>
      </c>
      <c r="G501">
        <v>1604</v>
      </c>
      <c r="H501" t="s">
        <v>118</v>
      </c>
      <c r="I501">
        <v>2021</v>
      </c>
      <c r="J501">
        <v>2021</v>
      </c>
    </row>
    <row r="502" spans="1:18" x14ac:dyDescent="0.3">
      <c r="A502" t="s">
        <v>126</v>
      </c>
      <c r="B502" t="s">
        <v>125</v>
      </c>
      <c r="C502" t="s">
        <v>465</v>
      </c>
      <c r="D502" t="s">
        <v>831</v>
      </c>
      <c r="E502">
        <v>5516</v>
      </c>
      <c r="F502" t="s">
        <v>128</v>
      </c>
      <c r="G502">
        <v>1602</v>
      </c>
      <c r="H502" t="s">
        <v>156</v>
      </c>
      <c r="I502">
        <v>2021</v>
      </c>
      <c r="J502">
        <v>2021</v>
      </c>
      <c r="K502" t="s">
        <v>143</v>
      </c>
      <c r="L502">
        <v>297000</v>
      </c>
      <c r="M502" t="s">
        <v>832</v>
      </c>
      <c r="N502" t="s">
        <v>833</v>
      </c>
      <c r="O502">
        <v>121770</v>
      </c>
      <c r="P502">
        <v>0.12176999999999999</v>
      </c>
      <c r="Q502" t="s">
        <v>738</v>
      </c>
      <c r="R502" s="141">
        <v>0.41</v>
      </c>
    </row>
    <row r="503" spans="1:18" x14ac:dyDescent="0.3">
      <c r="A503" t="s">
        <v>126</v>
      </c>
      <c r="B503" t="s">
        <v>125</v>
      </c>
      <c r="C503" t="s">
        <v>465</v>
      </c>
      <c r="D503" t="s">
        <v>831</v>
      </c>
      <c r="E503">
        <v>5516</v>
      </c>
      <c r="F503" t="s">
        <v>128</v>
      </c>
      <c r="G503">
        <v>1603</v>
      </c>
      <c r="H503" t="s">
        <v>155</v>
      </c>
      <c r="I503">
        <v>2021</v>
      </c>
      <c r="J503">
        <v>2021</v>
      </c>
      <c r="K503" t="s">
        <v>143</v>
      </c>
      <c r="L503">
        <v>1035000</v>
      </c>
      <c r="M503" t="s">
        <v>832</v>
      </c>
      <c r="N503" t="s">
        <v>833</v>
      </c>
      <c r="O503">
        <v>510255</v>
      </c>
      <c r="P503">
        <v>0.51025500000000001</v>
      </c>
      <c r="Q503" t="s">
        <v>739</v>
      </c>
      <c r="R503" s="141">
        <v>0.49299999999999999</v>
      </c>
    </row>
    <row r="504" spans="1:18" x14ac:dyDescent="0.3">
      <c r="A504" t="s">
        <v>126</v>
      </c>
      <c r="B504" t="s">
        <v>125</v>
      </c>
      <c r="C504" t="s">
        <v>465</v>
      </c>
      <c r="D504" t="s">
        <v>831</v>
      </c>
      <c r="E504">
        <v>5516</v>
      </c>
      <c r="F504" t="s">
        <v>128</v>
      </c>
      <c r="G504">
        <v>1614</v>
      </c>
      <c r="H504" t="s">
        <v>154</v>
      </c>
      <c r="I504">
        <v>2021</v>
      </c>
      <c r="J504">
        <v>2021</v>
      </c>
    </row>
    <row r="505" spans="1:18" x14ac:dyDescent="0.3">
      <c r="A505" t="s">
        <v>126</v>
      </c>
      <c r="B505" t="s">
        <v>125</v>
      </c>
      <c r="C505" t="s">
        <v>465</v>
      </c>
      <c r="D505" t="s">
        <v>831</v>
      </c>
      <c r="E505">
        <v>5616</v>
      </c>
      <c r="F505" t="s">
        <v>127</v>
      </c>
      <c r="G505">
        <v>1614</v>
      </c>
      <c r="H505" t="s">
        <v>154</v>
      </c>
      <c r="I505">
        <v>2021</v>
      </c>
      <c r="J505">
        <v>2021</v>
      </c>
    </row>
    <row r="506" spans="1:18" x14ac:dyDescent="0.3">
      <c r="A506" t="s">
        <v>126</v>
      </c>
      <c r="B506" t="s">
        <v>125</v>
      </c>
      <c r="C506" t="s">
        <v>465</v>
      </c>
      <c r="D506" t="s">
        <v>831</v>
      </c>
      <c r="E506">
        <v>5916</v>
      </c>
      <c r="F506" t="s">
        <v>124</v>
      </c>
      <c r="G506">
        <v>1614</v>
      </c>
      <c r="H506" t="s">
        <v>154</v>
      </c>
      <c r="I506">
        <v>2021</v>
      </c>
      <c r="J506">
        <v>2021</v>
      </c>
    </row>
    <row r="507" spans="1:18" x14ac:dyDescent="0.3">
      <c r="A507" t="s">
        <v>126</v>
      </c>
      <c r="B507" t="s">
        <v>125</v>
      </c>
      <c r="C507" t="s">
        <v>465</v>
      </c>
      <c r="D507" t="s">
        <v>831</v>
      </c>
      <c r="E507">
        <v>5516</v>
      </c>
      <c r="F507" t="s">
        <v>128</v>
      </c>
      <c r="G507">
        <v>1608</v>
      </c>
      <c r="H507" t="s">
        <v>153</v>
      </c>
      <c r="I507">
        <v>2021</v>
      </c>
      <c r="J507">
        <v>2021</v>
      </c>
    </row>
    <row r="508" spans="1:18" x14ac:dyDescent="0.3">
      <c r="A508" t="s">
        <v>126</v>
      </c>
      <c r="B508" t="s">
        <v>125</v>
      </c>
      <c r="C508" t="s">
        <v>465</v>
      </c>
      <c r="D508" t="s">
        <v>831</v>
      </c>
      <c r="E508">
        <v>5516</v>
      </c>
      <c r="F508" t="s">
        <v>128</v>
      </c>
      <c r="G508">
        <v>1611</v>
      </c>
      <c r="H508" t="s">
        <v>152</v>
      </c>
      <c r="I508">
        <v>2021</v>
      </c>
      <c r="J508">
        <v>2021</v>
      </c>
    </row>
    <row r="509" spans="1:18" x14ac:dyDescent="0.3">
      <c r="A509" t="s">
        <v>126</v>
      </c>
      <c r="B509" t="s">
        <v>125</v>
      </c>
      <c r="C509" t="s">
        <v>465</v>
      </c>
      <c r="D509" t="s">
        <v>831</v>
      </c>
      <c r="E509">
        <v>5516</v>
      </c>
      <c r="F509" t="s">
        <v>128</v>
      </c>
      <c r="G509">
        <v>1623</v>
      </c>
      <c r="H509" t="s">
        <v>151</v>
      </c>
      <c r="I509">
        <v>2021</v>
      </c>
      <c r="J509">
        <v>2021</v>
      </c>
      <c r="K509" t="s">
        <v>143</v>
      </c>
      <c r="L509">
        <v>97000</v>
      </c>
      <c r="M509" t="s">
        <v>832</v>
      </c>
      <c r="N509" t="s">
        <v>833</v>
      </c>
      <c r="O509">
        <v>40255</v>
      </c>
      <c r="P509">
        <v>4.0254999999999999E-2</v>
      </c>
      <c r="Q509" t="s">
        <v>740</v>
      </c>
      <c r="R509" s="141">
        <v>0.41499999999999998</v>
      </c>
    </row>
    <row r="510" spans="1:18" x14ac:dyDescent="0.3">
      <c r="A510" t="s">
        <v>126</v>
      </c>
      <c r="B510" t="s">
        <v>125</v>
      </c>
      <c r="C510" t="s">
        <v>465</v>
      </c>
      <c r="D510" t="s">
        <v>831</v>
      </c>
      <c r="E510">
        <v>5516</v>
      </c>
      <c r="F510" t="s">
        <v>128</v>
      </c>
      <c r="G510">
        <v>1626</v>
      </c>
      <c r="H510" t="s">
        <v>150</v>
      </c>
      <c r="I510">
        <v>2021</v>
      </c>
      <c r="J510">
        <v>2021</v>
      </c>
      <c r="K510" t="s">
        <v>143</v>
      </c>
      <c r="L510">
        <v>284000</v>
      </c>
      <c r="M510" t="s">
        <v>832</v>
      </c>
      <c r="N510" t="s">
        <v>833</v>
      </c>
      <c r="O510">
        <v>157052</v>
      </c>
      <c r="P510">
        <v>0.157052</v>
      </c>
      <c r="Q510" t="s">
        <v>741</v>
      </c>
      <c r="R510" s="141">
        <v>0.55300000000000005</v>
      </c>
    </row>
    <row r="511" spans="1:18" x14ac:dyDescent="0.3">
      <c r="A511" t="s">
        <v>126</v>
      </c>
      <c r="B511" t="s">
        <v>125</v>
      </c>
      <c r="C511" t="s">
        <v>465</v>
      </c>
      <c r="D511" t="s">
        <v>831</v>
      </c>
      <c r="E511">
        <v>5616</v>
      </c>
      <c r="F511" t="s">
        <v>127</v>
      </c>
      <c r="G511">
        <v>1625</v>
      </c>
      <c r="H511" t="s">
        <v>149</v>
      </c>
      <c r="I511">
        <v>2021</v>
      </c>
      <c r="J511">
        <v>2021</v>
      </c>
    </row>
    <row r="512" spans="1:18" x14ac:dyDescent="0.3">
      <c r="A512" t="s">
        <v>126</v>
      </c>
      <c r="B512" t="s">
        <v>125</v>
      </c>
      <c r="C512" t="s">
        <v>465</v>
      </c>
      <c r="D512" t="s">
        <v>831</v>
      </c>
      <c r="E512">
        <v>5916</v>
      </c>
      <c r="F512" t="s">
        <v>124</v>
      </c>
      <c r="G512">
        <v>1625</v>
      </c>
      <c r="H512" t="s">
        <v>149</v>
      </c>
      <c r="I512">
        <v>2021</v>
      </c>
      <c r="J512">
        <v>2021</v>
      </c>
    </row>
    <row r="513" spans="1:18" x14ac:dyDescent="0.3">
      <c r="A513" t="s">
        <v>126</v>
      </c>
      <c r="B513" t="s">
        <v>125</v>
      </c>
      <c r="C513" t="s">
        <v>465</v>
      </c>
      <c r="D513" t="s">
        <v>831</v>
      </c>
      <c r="E513">
        <v>5510</v>
      </c>
      <c r="F513" t="s">
        <v>128</v>
      </c>
      <c r="G513">
        <v>1630</v>
      </c>
      <c r="H513" t="s">
        <v>117</v>
      </c>
      <c r="I513">
        <v>2021</v>
      </c>
      <c r="J513">
        <v>2021</v>
      </c>
      <c r="K513" t="s">
        <v>339</v>
      </c>
      <c r="L513">
        <v>1891445</v>
      </c>
      <c r="M513" t="s">
        <v>397</v>
      </c>
      <c r="N513" t="s">
        <v>398</v>
      </c>
      <c r="O513">
        <v>1825244.425</v>
      </c>
      <c r="P513">
        <v>1.8252444249999999</v>
      </c>
      <c r="Q513" t="s">
        <v>742</v>
      </c>
      <c r="R513" s="141">
        <v>0.96499999999999997</v>
      </c>
    </row>
    <row r="514" spans="1:18" x14ac:dyDescent="0.3">
      <c r="A514" t="s">
        <v>126</v>
      </c>
      <c r="B514" t="s">
        <v>125</v>
      </c>
      <c r="C514" t="s">
        <v>465</v>
      </c>
      <c r="D514" t="s">
        <v>831</v>
      </c>
      <c r="E514">
        <v>5510</v>
      </c>
      <c r="F514" t="s">
        <v>128</v>
      </c>
      <c r="G514">
        <v>1694</v>
      </c>
      <c r="H514" t="s">
        <v>348</v>
      </c>
      <c r="I514">
        <v>2021</v>
      </c>
      <c r="J514">
        <v>2021</v>
      </c>
      <c r="O514">
        <v>0</v>
      </c>
      <c r="P514">
        <v>0</v>
      </c>
      <c r="Q514" t="s">
        <v>743</v>
      </c>
      <c r="R514" s="141">
        <v>0.92500000000000004</v>
      </c>
    </row>
    <row r="515" spans="1:18" x14ac:dyDescent="0.3">
      <c r="A515" t="s">
        <v>126</v>
      </c>
      <c r="B515" t="s">
        <v>125</v>
      </c>
      <c r="C515" t="s">
        <v>465</v>
      </c>
      <c r="D515" t="s">
        <v>831</v>
      </c>
      <c r="E515">
        <v>5610</v>
      </c>
      <c r="F515" t="s">
        <v>127</v>
      </c>
      <c r="G515">
        <v>1630</v>
      </c>
      <c r="H515" t="s">
        <v>117</v>
      </c>
      <c r="I515">
        <v>2021</v>
      </c>
      <c r="J515">
        <v>2021</v>
      </c>
      <c r="K515" t="s">
        <v>339</v>
      </c>
      <c r="L515">
        <v>22149</v>
      </c>
      <c r="M515" t="s">
        <v>832</v>
      </c>
      <c r="N515" t="s">
        <v>833</v>
      </c>
      <c r="O515">
        <v>21373.785</v>
      </c>
      <c r="P515">
        <v>2.1373784999999999E-2</v>
      </c>
      <c r="Q515" t="s">
        <v>744</v>
      </c>
      <c r="R515" s="141">
        <v>0.96499999999999997</v>
      </c>
    </row>
    <row r="516" spans="1:18" x14ac:dyDescent="0.3">
      <c r="A516" t="s">
        <v>126</v>
      </c>
      <c r="B516" t="s">
        <v>125</v>
      </c>
      <c r="C516" t="s">
        <v>465</v>
      </c>
      <c r="D516" t="s">
        <v>831</v>
      </c>
      <c r="E516">
        <v>5610</v>
      </c>
      <c r="F516" t="s">
        <v>127</v>
      </c>
      <c r="G516">
        <v>1694</v>
      </c>
      <c r="H516" t="s">
        <v>348</v>
      </c>
      <c r="I516">
        <v>2021</v>
      </c>
      <c r="J516">
        <v>2021</v>
      </c>
      <c r="K516" t="s">
        <v>339</v>
      </c>
      <c r="L516">
        <v>32802.43</v>
      </c>
      <c r="M516" t="s">
        <v>829</v>
      </c>
      <c r="N516" t="s">
        <v>830</v>
      </c>
      <c r="O516">
        <v>30342.247750000002</v>
      </c>
      <c r="P516">
        <v>3.0342247750000002E-2</v>
      </c>
      <c r="Q516" t="s">
        <v>745</v>
      </c>
      <c r="R516" s="141">
        <v>0.92500000000000004</v>
      </c>
    </row>
    <row r="517" spans="1:18" x14ac:dyDescent="0.3">
      <c r="A517" t="s">
        <v>126</v>
      </c>
      <c r="B517" t="s">
        <v>125</v>
      </c>
      <c r="C517" t="s">
        <v>465</v>
      </c>
      <c r="D517" t="s">
        <v>831</v>
      </c>
      <c r="E517">
        <v>5910</v>
      </c>
      <c r="F517" t="s">
        <v>124</v>
      </c>
      <c r="G517">
        <v>1630</v>
      </c>
      <c r="H517" t="s">
        <v>117</v>
      </c>
      <c r="I517">
        <v>2021</v>
      </c>
      <c r="J517">
        <v>2021</v>
      </c>
      <c r="K517" t="s">
        <v>339</v>
      </c>
      <c r="L517">
        <v>224955</v>
      </c>
      <c r="M517" t="s">
        <v>399</v>
      </c>
      <c r="N517" t="s">
        <v>400</v>
      </c>
      <c r="O517">
        <v>217081.57499999998</v>
      </c>
      <c r="P517">
        <v>0.21708157499999997</v>
      </c>
      <c r="Q517" t="s">
        <v>746</v>
      </c>
      <c r="R517" s="141">
        <v>0.96499999999999997</v>
      </c>
    </row>
    <row r="518" spans="1:18" x14ac:dyDescent="0.3">
      <c r="A518" t="s">
        <v>126</v>
      </c>
      <c r="B518" t="s">
        <v>125</v>
      </c>
      <c r="C518" t="s">
        <v>465</v>
      </c>
      <c r="D518" t="s">
        <v>831</v>
      </c>
      <c r="E518">
        <v>5910</v>
      </c>
      <c r="F518" t="s">
        <v>124</v>
      </c>
      <c r="G518">
        <v>1694</v>
      </c>
      <c r="H518" t="s">
        <v>348</v>
      </c>
      <c r="I518">
        <v>2021</v>
      </c>
      <c r="J518">
        <v>2021</v>
      </c>
      <c r="K518" t="s">
        <v>339</v>
      </c>
      <c r="L518">
        <v>285</v>
      </c>
      <c r="M518" t="s">
        <v>832</v>
      </c>
      <c r="N518" t="s">
        <v>833</v>
      </c>
      <c r="O518">
        <v>263.625</v>
      </c>
      <c r="P518">
        <v>2.6362499999999997E-4</v>
      </c>
      <c r="Q518" t="s">
        <v>747</v>
      </c>
      <c r="R518" s="141">
        <v>0.92500000000000004</v>
      </c>
    </row>
    <row r="519" spans="1:18" x14ac:dyDescent="0.3">
      <c r="A519" t="s">
        <v>126</v>
      </c>
      <c r="B519" t="s">
        <v>125</v>
      </c>
      <c r="C519" t="s">
        <v>465</v>
      </c>
      <c r="D519" t="s">
        <v>831</v>
      </c>
      <c r="E519">
        <v>5516</v>
      </c>
      <c r="F519" t="s">
        <v>128</v>
      </c>
      <c r="G519">
        <v>1619</v>
      </c>
      <c r="H519" t="s">
        <v>92</v>
      </c>
      <c r="I519">
        <v>2021</v>
      </c>
      <c r="J519">
        <v>2021</v>
      </c>
      <c r="O519">
        <v>0</v>
      </c>
      <c r="P519">
        <v>0</v>
      </c>
      <c r="Q519" t="s">
        <v>748</v>
      </c>
      <c r="R519" s="141">
        <v>0.41152263374485593</v>
      </c>
    </row>
    <row r="520" spans="1:18" x14ac:dyDescent="0.3">
      <c r="A520" t="s">
        <v>126</v>
      </c>
      <c r="B520" t="s">
        <v>125</v>
      </c>
      <c r="C520" t="s">
        <v>465</v>
      </c>
      <c r="D520" t="s">
        <v>831</v>
      </c>
      <c r="E520">
        <v>5616</v>
      </c>
      <c r="F520" t="s">
        <v>127</v>
      </c>
      <c r="G520">
        <v>1619</v>
      </c>
      <c r="H520" t="s">
        <v>92</v>
      </c>
      <c r="I520">
        <v>2021</v>
      </c>
      <c r="J520">
        <v>2021</v>
      </c>
      <c r="K520" t="s">
        <v>143</v>
      </c>
      <c r="L520">
        <v>5372</v>
      </c>
      <c r="M520" t="s">
        <v>832</v>
      </c>
      <c r="N520" t="s">
        <v>833</v>
      </c>
      <c r="O520">
        <v>2210.699588477366</v>
      </c>
      <c r="P520">
        <v>2.2106995884773658E-3</v>
      </c>
      <c r="Q520" t="s">
        <v>749</v>
      </c>
      <c r="R520" s="141">
        <v>0.41152263374485593</v>
      </c>
    </row>
    <row r="521" spans="1:18" x14ac:dyDescent="0.3">
      <c r="A521" t="s">
        <v>126</v>
      </c>
      <c r="B521" t="s">
        <v>125</v>
      </c>
      <c r="C521" t="s">
        <v>465</v>
      </c>
      <c r="D521" t="s">
        <v>831</v>
      </c>
      <c r="E521">
        <v>5916</v>
      </c>
      <c r="F521" t="s">
        <v>124</v>
      </c>
      <c r="G521">
        <v>1619</v>
      </c>
      <c r="H521" t="s">
        <v>92</v>
      </c>
      <c r="I521">
        <v>2021</v>
      </c>
      <c r="J521">
        <v>2021</v>
      </c>
      <c r="K521" t="s">
        <v>143</v>
      </c>
      <c r="L521">
        <v>455</v>
      </c>
      <c r="M521" t="s">
        <v>832</v>
      </c>
      <c r="N521" t="s">
        <v>833</v>
      </c>
      <c r="O521">
        <v>187.24279835390945</v>
      </c>
      <c r="P521">
        <v>1.8724279835390944E-4</v>
      </c>
      <c r="Q521" t="s">
        <v>750</v>
      </c>
      <c r="R521" s="141">
        <v>0.41152263374485593</v>
      </c>
    </row>
    <row r="522" spans="1:18" x14ac:dyDescent="0.3">
      <c r="A522" t="s">
        <v>126</v>
      </c>
      <c r="B522" t="s">
        <v>125</v>
      </c>
      <c r="C522" t="s">
        <v>465</v>
      </c>
      <c r="D522" t="s">
        <v>831</v>
      </c>
      <c r="E522">
        <v>5516</v>
      </c>
      <c r="F522" t="s">
        <v>128</v>
      </c>
      <c r="G522">
        <v>1620</v>
      </c>
      <c r="H522" t="s">
        <v>115</v>
      </c>
      <c r="I522">
        <v>2021</v>
      </c>
      <c r="J522">
        <v>2021</v>
      </c>
      <c r="O522">
        <v>0</v>
      </c>
      <c r="P522">
        <v>0</v>
      </c>
      <c r="Q522" t="s">
        <v>751</v>
      </c>
      <c r="R522" s="141">
        <v>0.41067761806981518</v>
      </c>
    </row>
    <row r="523" spans="1:18" x14ac:dyDescent="0.3">
      <c r="A523" t="s">
        <v>126</v>
      </c>
      <c r="B523" t="s">
        <v>125</v>
      </c>
      <c r="C523" t="s">
        <v>465</v>
      </c>
      <c r="D523" t="s">
        <v>831</v>
      </c>
      <c r="E523">
        <v>5616</v>
      </c>
      <c r="F523" t="s">
        <v>127</v>
      </c>
      <c r="G523">
        <v>1620</v>
      </c>
      <c r="H523" t="s">
        <v>115</v>
      </c>
      <c r="I523">
        <v>2021</v>
      </c>
      <c r="J523">
        <v>2021</v>
      </c>
      <c r="K523" t="s">
        <v>143</v>
      </c>
      <c r="L523">
        <v>3613</v>
      </c>
      <c r="M523" t="s">
        <v>832</v>
      </c>
      <c r="N523" t="s">
        <v>833</v>
      </c>
      <c r="O523">
        <v>1483.7782340862423</v>
      </c>
      <c r="P523">
        <v>1.4837782340862422E-3</v>
      </c>
      <c r="Q523" t="s">
        <v>752</v>
      </c>
      <c r="R523" s="141">
        <v>0.41067761806981518</v>
      </c>
    </row>
    <row r="524" spans="1:18" x14ac:dyDescent="0.3">
      <c r="A524" t="s">
        <v>126</v>
      </c>
      <c r="B524" t="s">
        <v>125</v>
      </c>
      <c r="C524" t="s">
        <v>465</v>
      </c>
      <c r="D524" t="s">
        <v>831</v>
      </c>
      <c r="E524">
        <v>5916</v>
      </c>
      <c r="F524" t="s">
        <v>124</v>
      </c>
      <c r="G524">
        <v>1620</v>
      </c>
      <c r="H524" t="s">
        <v>115</v>
      </c>
      <c r="I524">
        <v>2021</v>
      </c>
      <c r="J524">
        <v>2021</v>
      </c>
      <c r="K524" t="s">
        <v>143</v>
      </c>
      <c r="L524">
        <v>483</v>
      </c>
      <c r="M524" t="s">
        <v>832</v>
      </c>
      <c r="N524" t="s">
        <v>833</v>
      </c>
      <c r="O524">
        <v>198.35728952772072</v>
      </c>
      <c r="P524">
        <v>1.9835728952772073E-4</v>
      </c>
      <c r="Q524" t="s">
        <v>753</v>
      </c>
      <c r="R524" s="141">
        <v>0.41067761806981518</v>
      </c>
    </row>
    <row r="525" spans="1:18" x14ac:dyDescent="0.3">
      <c r="A525" t="s">
        <v>126</v>
      </c>
      <c r="B525" t="s">
        <v>125</v>
      </c>
      <c r="C525" t="s">
        <v>465</v>
      </c>
      <c r="D525" t="s">
        <v>831</v>
      </c>
      <c r="E525">
        <v>5510</v>
      </c>
      <c r="F525" t="s">
        <v>128</v>
      </c>
      <c r="G525">
        <v>1600</v>
      </c>
      <c r="H525" t="s">
        <v>148</v>
      </c>
      <c r="I525">
        <v>2021</v>
      </c>
      <c r="J525">
        <v>2021</v>
      </c>
      <c r="O525">
        <v>0</v>
      </c>
      <c r="P525">
        <v>0</v>
      </c>
      <c r="Q525" t="s">
        <v>754</v>
      </c>
      <c r="R525" s="141">
        <v>0.77500000000000002</v>
      </c>
    </row>
    <row r="526" spans="1:18" x14ac:dyDescent="0.3">
      <c r="A526" t="s">
        <v>126</v>
      </c>
      <c r="B526" t="s">
        <v>125</v>
      </c>
      <c r="C526" t="s">
        <v>465</v>
      </c>
      <c r="D526" t="s">
        <v>831</v>
      </c>
      <c r="E526">
        <v>5610</v>
      </c>
      <c r="F526" t="s">
        <v>127</v>
      </c>
      <c r="G526">
        <v>1600</v>
      </c>
      <c r="H526" t="s">
        <v>148</v>
      </c>
      <c r="I526">
        <v>2021</v>
      </c>
      <c r="J526">
        <v>2021</v>
      </c>
      <c r="O526">
        <v>0</v>
      </c>
      <c r="P526">
        <v>0</v>
      </c>
      <c r="Q526" t="s">
        <v>755</v>
      </c>
      <c r="R526" s="141">
        <v>0.77500000000000002</v>
      </c>
    </row>
    <row r="527" spans="1:18" x14ac:dyDescent="0.3">
      <c r="A527" t="s">
        <v>126</v>
      </c>
      <c r="B527" t="s">
        <v>125</v>
      </c>
      <c r="C527" t="s">
        <v>465</v>
      </c>
      <c r="D527" t="s">
        <v>831</v>
      </c>
      <c r="E527">
        <v>5910</v>
      </c>
      <c r="F527" t="s">
        <v>124</v>
      </c>
      <c r="G527">
        <v>1600</v>
      </c>
      <c r="H527" t="s">
        <v>148</v>
      </c>
      <c r="I527">
        <v>2021</v>
      </c>
      <c r="J527">
        <v>2021</v>
      </c>
      <c r="O527">
        <v>0</v>
      </c>
      <c r="P527">
        <v>0</v>
      </c>
      <c r="Q527" t="s">
        <v>756</v>
      </c>
      <c r="R527" s="141">
        <v>0.77500000000000002</v>
      </c>
    </row>
    <row r="528" spans="1:18" x14ac:dyDescent="0.3">
      <c r="A528" t="s">
        <v>126</v>
      </c>
      <c r="B528" t="s">
        <v>125</v>
      </c>
      <c r="C528" t="s">
        <v>465</v>
      </c>
      <c r="D528" t="s">
        <v>831</v>
      </c>
      <c r="E528">
        <v>5510</v>
      </c>
      <c r="F528" t="s">
        <v>128</v>
      </c>
      <c r="G528">
        <v>1693</v>
      </c>
      <c r="H528" t="s">
        <v>114</v>
      </c>
      <c r="I528">
        <v>2021</v>
      </c>
      <c r="J528">
        <v>2021</v>
      </c>
      <c r="O528">
        <v>0</v>
      </c>
      <c r="P528">
        <v>0</v>
      </c>
      <c r="Q528" t="s">
        <v>757</v>
      </c>
      <c r="R528" s="141">
        <v>0.92500000000000004</v>
      </c>
    </row>
    <row r="529" spans="1:18" x14ac:dyDescent="0.3">
      <c r="A529" t="s">
        <v>126</v>
      </c>
      <c r="B529" t="s">
        <v>125</v>
      </c>
      <c r="C529" t="s">
        <v>465</v>
      </c>
      <c r="D529" t="s">
        <v>831</v>
      </c>
      <c r="E529">
        <v>5610</v>
      </c>
      <c r="F529" t="s">
        <v>127</v>
      </c>
      <c r="G529">
        <v>1693</v>
      </c>
      <c r="H529" t="s">
        <v>114</v>
      </c>
      <c r="I529">
        <v>2021</v>
      </c>
      <c r="J529">
        <v>2021</v>
      </c>
      <c r="K529" t="s">
        <v>339</v>
      </c>
      <c r="L529">
        <v>1059.57</v>
      </c>
      <c r="M529" t="s">
        <v>829</v>
      </c>
      <c r="N529" t="s">
        <v>830</v>
      </c>
      <c r="O529">
        <v>980.10225000000003</v>
      </c>
      <c r="P529">
        <v>9.8010224999999992E-4</v>
      </c>
      <c r="Q529" t="s">
        <v>758</v>
      </c>
      <c r="R529" s="141">
        <v>0.92500000000000004</v>
      </c>
    </row>
    <row r="530" spans="1:18" x14ac:dyDescent="0.3">
      <c r="A530" t="s">
        <v>126</v>
      </c>
      <c r="B530" t="s">
        <v>125</v>
      </c>
      <c r="C530" t="s">
        <v>465</v>
      </c>
      <c r="D530" t="s">
        <v>831</v>
      </c>
      <c r="E530">
        <v>5910</v>
      </c>
      <c r="F530" t="s">
        <v>124</v>
      </c>
      <c r="G530">
        <v>1693</v>
      </c>
      <c r="H530" t="s">
        <v>114</v>
      </c>
      <c r="I530">
        <v>2021</v>
      </c>
      <c r="J530">
        <v>2021</v>
      </c>
      <c r="K530" t="s">
        <v>339</v>
      </c>
      <c r="L530">
        <v>5</v>
      </c>
      <c r="M530" t="s">
        <v>832</v>
      </c>
      <c r="N530" t="s">
        <v>833</v>
      </c>
      <c r="O530">
        <v>4.625</v>
      </c>
      <c r="P530">
        <v>4.6249999999999998E-6</v>
      </c>
      <c r="Q530" t="s">
        <v>759</v>
      </c>
      <c r="R530" s="141">
        <v>0.92500000000000004</v>
      </c>
    </row>
    <row r="531" spans="1:18" x14ac:dyDescent="0.3">
      <c r="A531" t="s">
        <v>126</v>
      </c>
      <c r="B531" t="s">
        <v>125</v>
      </c>
      <c r="C531" t="s">
        <v>465</v>
      </c>
      <c r="D531" t="s">
        <v>831</v>
      </c>
      <c r="E531">
        <v>5516</v>
      </c>
      <c r="F531" t="s">
        <v>128</v>
      </c>
      <c r="G531">
        <v>1632</v>
      </c>
      <c r="H531" t="s">
        <v>110</v>
      </c>
      <c r="I531">
        <v>2021</v>
      </c>
      <c r="J531">
        <v>2021</v>
      </c>
      <c r="K531" t="s">
        <v>143</v>
      </c>
      <c r="L531">
        <v>190000</v>
      </c>
      <c r="M531" t="s">
        <v>397</v>
      </c>
      <c r="N531" t="s">
        <v>398</v>
      </c>
      <c r="O531">
        <v>92435.000000000015</v>
      </c>
      <c r="P531">
        <v>9.2435000000000017E-2</v>
      </c>
      <c r="Q531" t="s">
        <v>760</v>
      </c>
      <c r="R531" s="141">
        <v>0.48650000000000004</v>
      </c>
    </row>
    <row r="532" spans="1:18" x14ac:dyDescent="0.3">
      <c r="A532" t="s">
        <v>126</v>
      </c>
      <c r="B532" t="s">
        <v>125</v>
      </c>
      <c r="C532" t="s">
        <v>465</v>
      </c>
      <c r="D532" t="s">
        <v>831</v>
      </c>
      <c r="E532">
        <v>5616</v>
      </c>
      <c r="F532" t="s">
        <v>127</v>
      </c>
      <c r="G532">
        <v>1632</v>
      </c>
      <c r="H532" t="s">
        <v>110</v>
      </c>
      <c r="I532">
        <v>2021</v>
      </c>
      <c r="J532">
        <v>2021</v>
      </c>
      <c r="K532" t="s">
        <v>143</v>
      </c>
      <c r="L532">
        <v>770358</v>
      </c>
      <c r="M532" t="s">
        <v>829</v>
      </c>
      <c r="N532" t="s">
        <v>830</v>
      </c>
      <c r="O532">
        <v>374779.16700000002</v>
      </c>
      <c r="P532">
        <v>0.37477916700000002</v>
      </c>
      <c r="Q532" t="s">
        <v>761</v>
      </c>
      <c r="R532" s="141">
        <v>0.48650000000000004</v>
      </c>
    </row>
    <row r="533" spans="1:18" x14ac:dyDescent="0.3">
      <c r="A533" t="s">
        <v>126</v>
      </c>
      <c r="B533" t="s">
        <v>125</v>
      </c>
      <c r="C533" t="s">
        <v>465</v>
      </c>
      <c r="D533" t="s">
        <v>831</v>
      </c>
      <c r="E533">
        <v>5916</v>
      </c>
      <c r="F533" t="s">
        <v>124</v>
      </c>
      <c r="G533">
        <v>1632</v>
      </c>
      <c r="H533" t="s">
        <v>110</v>
      </c>
      <c r="I533">
        <v>2021</v>
      </c>
      <c r="J533">
        <v>2021</v>
      </c>
      <c r="K533" t="s">
        <v>143</v>
      </c>
      <c r="L533">
        <v>1182</v>
      </c>
      <c r="M533" t="s">
        <v>834</v>
      </c>
      <c r="N533" t="s">
        <v>835</v>
      </c>
      <c r="O533">
        <v>575.04300000000001</v>
      </c>
      <c r="P533">
        <v>5.7504300000000002E-4</v>
      </c>
      <c r="Q533" t="s">
        <v>762</v>
      </c>
      <c r="R533" s="141">
        <v>0.48650000000000004</v>
      </c>
    </row>
    <row r="534" spans="1:18" x14ac:dyDescent="0.3">
      <c r="A534" t="s">
        <v>126</v>
      </c>
      <c r="B534" t="s">
        <v>125</v>
      </c>
      <c r="C534" t="s">
        <v>465</v>
      </c>
      <c r="D534" t="s">
        <v>831</v>
      </c>
      <c r="E534">
        <v>5516</v>
      </c>
      <c r="F534" t="s">
        <v>128</v>
      </c>
      <c r="G534">
        <v>1633</v>
      </c>
      <c r="H534" t="s">
        <v>109</v>
      </c>
      <c r="I534">
        <v>2021</v>
      </c>
      <c r="J534">
        <v>2021</v>
      </c>
      <c r="K534" t="s">
        <v>143</v>
      </c>
      <c r="L534">
        <v>23785000</v>
      </c>
      <c r="M534" t="s">
        <v>397</v>
      </c>
      <c r="N534" t="s">
        <v>398</v>
      </c>
      <c r="O534">
        <v>15192668.749999998</v>
      </c>
      <c r="P534">
        <v>15.192668749999998</v>
      </c>
      <c r="Q534" t="s">
        <v>763</v>
      </c>
      <c r="R534" s="141">
        <v>0.63874999999999993</v>
      </c>
    </row>
    <row r="535" spans="1:18" x14ac:dyDescent="0.3">
      <c r="A535" t="s">
        <v>126</v>
      </c>
      <c r="B535" t="s">
        <v>125</v>
      </c>
      <c r="C535" t="s">
        <v>465</v>
      </c>
      <c r="D535" t="s">
        <v>831</v>
      </c>
      <c r="E535">
        <v>5616</v>
      </c>
      <c r="F535" t="s">
        <v>127</v>
      </c>
      <c r="G535">
        <v>1633</v>
      </c>
      <c r="H535" t="s">
        <v>109</v>
      </c>
      <c r="I535">
        <v>2021</v>
      </c>
      <c r="J535">
        <v>2021</v>
      </c>
      <c r="K535" t="s">
        <v>143</v>
      </c>
      <c r="L535">
        <v>880000</v>
      </c>
      <c r="M535" t="s">
        <v>829</v>
      </c>
      <c r="N535" t="s">
        <v>830</v>
      </c>
      <c r="O535">
        <v>562099.99999999988</v>
      </c>
      <c r="P535">
        <v>0.56209999999999982</v>
      </c>
      <c r="Q535" t="s">
        <v>764</v>
      </c>
      <c r="R535" s="141">
        <v>0.63874999999999993</v>
      </c>
    </row>
    <row r="536" spans="1:18" x14ac:dyDescent="0.3">
      <c r="A536" t="s">
        <v>126</v>
      </c>
      <c r="B536" t="s">
        <v>125</v>
      </c>
      <c r="C536" t="s">
        <v>465</v>
      </c>
      <c r="D536" t="s">
        <v>831</v>
      </c>
      <c r="E536">
        <v>5916</v>
      </c>
      <c r="F536" t="s">
        <v>124</v>
      </c>
      <c r="G536">
        <v>1633</v>
      </c>
      <c r="H536" t="s">
        <v>109</v>
      </c>
      <c r="I536">
        <v>2021</v>
      </c>
      <c r="J536">
        <v>2021</v>
      </c>
      <c r="K536" t="s">
        <v>143</v>
      </c>
      <c r="L536">
        <v>11273</v>
      </c>
      <c r="M536" t="s">
        <v>834</v>
      </c>
      <c r="N536" t="s">
        <v>835</v>
      </c>
      <c r="O536">
        <v>7200.6287499999989</v>
      </c>
      <c r="P536">
        <v>7.2006287499999985E-3</v>
      </c>
      <c r="Q536" t="s">
        <v>765</v>
      </c>
      <c r="R536" s="141">
        <v>0.63874999999999993</v>
      </c>
    </row>
    <row r="537" spans="1:18" x14ac:dyDescent="0.3">
      <c r="A537" t="s">
        <v>126</v>
      </c>
      <c r="B537" t="s">
        <v>125</v>
      </c>
      <c r="C537" t="s">
        <v>465</v>
      </c>
      <c r="D537" t="s">
        <v>831</v>
      </c>
      <c r="E537">
        <v>5516</v>
      </c>
      <c r="F537" t="s">
        <v>128</v>
      </c>
      <c r="G537">
        <v>1634</v>
      </c>
      <c r="H537" t="s">
        <v>108</v>
      </c>
      <c r="I537">
        <v>2021</v>
      </c>
      <c r="J537">
        <v>2021</v>
      </c>
      <c r="K537" t="s">
        <v>143</v>
      </c>
      <c r="L537">
        <v>291038</v>
      </c>
      <c r="M537" t="s">
        <v>397</v>
      </c>
      <c r="N537" t="s">
        <v>398</v>
      </c>
      <c r="O537">
        <v>166328.217</v>
      </c>
      <c r="P537">
        <v>0.166328217</v>
      </c>
      <c r="Q537" t="s">
        <v>766</v>
      </c>
      <c r="R537" s="141">
        <v>0.57150000000000001</v>
      </c>
    </row>
    <row r="538" spans="1:18" x14ac:dyDescent="0.3">
      <c r="A538" t="s">
        <v>126</v>
      </c>
      <c r="B538" t="s">
        <v>125</v>
      </c>
      <c r="C538" t="s">
        <v>465</v>
      </c>
      <c r="D538" t="s">
        <v>831</v>
      </c>
      <c r="E538">
        <v>5616</v>
      </c>
      <c r="F538" t="s">
        <v>127</v>
      </c>
      <c r="G538">
        <v>1634</v>
      </c>
      <c r="H538" t="s">
        <v>108</v>
      </c>
      <c r="I538">
        <v>2021</v>
      </c>
      <c r="J538">
        <v>2021</v>
      </c>
      <c r="K538" t="s">
        <v>143</v>
      </c>
      <c r="L538">
        <v>452463</v>
      </c>
      <c r="M538" t="s">
        <v>397</v>
      </c>
      <c r="N538" t="s">
        <v>398</v>
      </c>
      <c r="O538">
        <v>258582.60450000002</v>
      </c>
      <c r="P538">
        <v>0.25858260449999998</v>
      </c>
      <c r="Q538" t="s">
        <v>767</v>
      </c>
      <c r="R538" s="141">
        <v>0.57150000000000001</v>
      </c>
    </row>
    <row r="539" spans="1:18" x14ac:dyDescent="0.3">
      <c r="A539" t="s">
        <v>126</v>
      </c>
      <c r="B539" t="s">
        <v>125</v>
      </c>
      <c r="C539" t="s">
        <v>465</v>
      </c>
      <c r="D539" t="s">
        <v>831</v>
      </c>
      <c r="E539">
        <v>5916</v>
      </c>
      <c r="F539" t="s">
        <v>124</v>
      </c>
      <c r="G539">
        <v>1634</v>
      </c>
      <c r="H539" t="s">
        <v>108</v>
      </c>
      <c r="I539">
        <v>2021</v>
      </c>
      <c r="J539">
        <v>2021</v>
      </c>
      <c r="K539" t="s">
        <v>143</v>
      </c>
      <c r="L539">
        <v>60350</v>
      </c>
      <c r="M539" t="s">
        <v>397</v>
      </c>
      <c r="N539" t="s">
        <v>398</v>
      </c>
      <c r="O539">
        <v>34490.025000000001</v>
      </c>
      <c r="P539">
        <v>3.4490025000000001E-2</v>
      </c>
      <c r="Q539" t="s">
        <v>768</v>
      </c>
      <c r="R539" s="141">
        <v>0.57150000000000001</v>
      </c>
    </row>
    <row r="540" spans="1:18" x14ac:dyDescent="0.3">
      <c r="A540" t="s">
        <v>126</v>
      </c>
      <c r="B540" t="s">
        <v>125</v>
      </c>
      <c r="C540" t="s">
        <v>465</v>
      </c>
      <c r="D540" t="s">
        <v>831</v>
      </c>
      <c r="E540">
        <v>5516</v>
      </c>
      <c r="F540" t="s">
        <v>128</v>
      </c>
      <c r="G540">
        <v>1640</v>
      </c>
      <c r="H540" t="s">
        <v>104</v>
      </c>
      <c r="I540">
        <v>2021</v>
      </c>
      <c r="J540">
        <v>2021</v>
      </c>
      <c r="K540" t="s">
        <v>143</v>
      </c>
      <c r="L540">
        <v>10060000</v>
      </c>
      <c r="M540" t="s">
        <v>397</v>
      </c>
      <c r="N540" t="s">
        <v>398</v>
      </c>
      <c r="O540">
        <v>5749290</v>
      </c>
      <c r="P540">
        <v>5.7492899999999993</v>
      </c>
      <c r="Q540" t="s">
        <v>769</v>
      </c>
      <c r="R540" s="141">
        <v>0.57150000000000001</v>
      </c>
    </row>
    <row r="541" spans="1:18" x14ac:dyDescent="0.3">
      <c r="A541" t="s">
        <v>126</v>
      </c>
      <c r="B541" t="s">
        <v>125</v>
      </c>
      <c r="C541" t="s">
        <v>465</v>
      </c>
      <c r="D541" t="s">
        <v>831</v>
      </c>
      <c r="E541">
        <v>5616</v>
      </c>
      <c r="F541" t="s">
        <v>127</v>
      </c>
      <c r="G541">
        <v>1640</v>
      </c>
      <c r="H541" t="s">
        <v>104</v>
      </c>
      <c r="I541">
        <v>2021</v>
      </c>
      <c r="J541">
        <v>2021</v>
      </c>
      <c r="K541" t="s">
        <v>143</v>
      </c>
      <c r="L541">
        <v>189201</v>
      </c>
      <c r="M541" t="s">
        <v>397</v>
      </c>
      <c r="N541" t="s">
        <v>398</v>
      </c>
      <c r="O541">
        <v>108128.37150000001</v>
      </c>
      <c r="P541">
        <v>0.1081283715</v>
      </c>
      <c r="Q541" t="s">
        <v>770</v>
      </c>
      <c r="R541" s="141">
        <v>0.57150000000000001</v>
      </c>
    </row>
    <row r="542" spans="1:18" x14ac:dyDescent="0.3">
      <c r="A542" t="s">
        <v>126</v>
      </c>
      <c r="B542" t="s">
        <v>125</v>
      </c>
      <c r="C542" t="s">
        <v>465</v>
      </c>
      <c r="D542" t="s">
        <v>831</v>
      </c>
      <c r="E542">
        <v>5916</v>
      </c>
      <c r="F542" t="s">
        <v>124</v>
      </c>
      <c r="G542">
        <v>1640</v>
      </c>
      <c r="H542" t="s">
        <v>104</v>
      </c>
      <c r="I542">
        <v>2021</v>
      </c>
      <c r="J542">
        <v>2021</v>
      </c>
      <c r="K542" t="s">
        <v>143</v>
      </c>
      <c r="L542">
        <v>247721</v>
      </c>
      <c r="M542" t="s">
        <v>397</v>
      </c>
      <c r="N542" t="s">
        <v>398</v>
      </c>
      <c r="O542">
        <v>141572.5515</v>
      </c>
      <c r="P542">
        <v>0.1415725515</v>
      </c>
      <c r="Q542" t="s">
        <v>771</v>
      </c>
      <c r="R542" s="141">
        <v>0.57150000000000001</v>
      </c>
    </row>
    <row r="543" spans="1:18" x14ac:dyDescent="0.3">
      <c r="A543" t="s">
        <v>126</v>
      </c>
      <c r="B543" t="s">
        <v>125</v>
      </c>
      <c r="C543" t="s">
        <v>465</v>
      </c>
      <c r="D543" t="s">
        <v>831</v>
      </c>
      <c r="E543">
        <v>5516</v>
      </c>
      <c r="F543" t="s">
        <v>128</v>
      </c>
      <c r="G543">
        <v>1646</v>
      </c>
      <c r="H543" t="s">
        <v>147</v>
      </c>
      <c r="I543">
        <v>2021</v>
      </c>
      <c r="J543">
        <v>2021</v>
      </c>
    </row>
    <row r="544" spans="1:18" x14ac:dyDescent="0.3">
      <c r="A544" t="s">
        <v>126</v>
      </c>
      <c r="B544" t="s">
        <v>125</v>
      </c>
      <c r="C544" t="s">
        <v>465</v>
      </c>
      <c r="D544" t="s">
        <v>831</v>
      </c>
      <c r="E544">
        <v>5616</v>
      </c>
      <c r="F544" t="s">
        <v>127</v>
      </c>
      <c r="G544">
        <v>1646</v>
      </c>
      <c r="H544" t="s">
        <v>147</v>
      </c>
      <c r="I544">
        <v>2021</v>
      </c>
      <c r="J544">
        <v>2021</v>
      </c>
    </row>
    <row r="545" spans="1:18" x14ac:dyDescent="0.3">
      <c r="A545" t="s">
        <v>126</v>
      </c>
      <c r="B545" t="s">
        <v>125</v>
      </c>
      <c r="C545" t="s">
        <v>465</v>
      </c>
      <c r="D545" t="s">
        <v>831</v>
      </c>
      <c r="E545">
        <v>5916</v>
      </c>
      <c r="F545" t="s">
        <v>124</v>
      </c>
      <c r="G545">
        <v>1646</v>
      </c>
      <c r="H545" t="s">
        <v>147</v>
      </c>
      <c r="I545">
        <v>2021</v>
      </c>
      <c r="J545">
        <v>2021</v>
      </c>
    </row>
    <row r="546" spans="1:18" x14ac:dyDescent="0.3">
      <c r="A546" t="s">
        <v>126</v>
      </c>
      <c r="B546" t="s">
        <v>125</v>
      </c>
      <c r="C546" t="s">
        <v>465</v>
      </c>
      <c r="D546" t="s">
        <v>831</v>
      </c>
      <c r="E546">
        <v>5516</v>
      </c>
      <c r="F546" t="s">
        <v>128</v>
      </c>
      <c r="G546">
        <v>1697</v>
      </c>
      <c r="H546" t="s">
        <v>103</v>
      </c>
      <c r="I546">
        <v>2021</v>
      </c>
      <c r="J546">
        <v>2021</v>
      </c>
      <c r="K546" t="s">
        <v>143</v>
      </c>
      <c r="L546">
        <v>1330000</v>
      </c>
      <c r="M546" t="s">
        <v>834</v>
      </c>
      <c r="N546" t="s">
        <v>835</v>
      </c>
      <c r="O546">
        <v>754463.40000000014</v>
      </c>
      <c r="P546">
        <v>0.75446340000000012</v>
      </c>
      <c r="Q546" t="s">
        <v>772</v>
      </c>
      <c r="R546" s="141">
        <v>0.56726571428571437</v>
      </c>
    </row>
    <row r="547" spans="1:18" x14ac:dyDescent="0.3">
      <c r="A547" t="s">
        <v>126</v>
      </c>
      <c r="B547" t="s">
        <v>125</v>
      </c>
      <c r="C547" t="s">
        <v>465</v>
      </c>
      <c r="D547" t="s">
        <v>831</v>
      </c>
      <c r="E547">
        <v>5616</v>
      </c>
      <c r="F547" t="s">
        <v>127</v>
      </c>
      <c r="G547">
        <v>1697</v>
      </c>
      <c r="H547" t="s">
        <v>103</v>
      </c>
      <c r="I547">
        <v>2021</v>
      </c>
      <c r="J547">
        <v>2021</v>
      </c>
      <c r="K547" t="s">
        <v>143</v>
      </c>
      <c r="L547">
        <v>230826.18</v>
      </c>
      <c r="M547" t="s">
        <v>829</v>
      </c>
      <c r="N547" t="s">
        <v>830</v>
      </c>
      <c r="O547">
        <v>130939.77787354287</v>
      </c>
      <c r="P547">
        <v>0.13093977787354286</v>
      </c>
      <c r="Q547" t="s">
        <v>773</v>
      </c>
      <c r="R547" s="141">
        <v>0.56726571428571437</v>
      </c>
    </row>
    <row r="548" spans="1:18" x14ac:dyDescent="0.3">
      <c r="A548" t="s">
        <v>126</v>
      </c>
      <c r="B548" t="s">
        <v>125</v>
      </c>
      <c r="C548" t="s">
        <v>465</v>
      </c>
      <c r="D548" t="s">
        <v>831</v>
      </c>
      <c r="E548">
        <v>5916</v>
      </c>
      <c r="F548" t="s">
        <v>124</v>
      </c>
      <c r="G548">
        <v>1697</v>
      </c>
      <c r="H548" t="s">
        <v>103</v>
      </c>
      <c r="I548">
        <v>2021</v>
      </c>
      <c r="J548">
        <v>2021</v>
      </c>
      <c r="K548" t="s">
        <v>143</v>
      </c>
      <c r="L548">
        <v>13583.54</v>
      </c>
      <c r="M548" t="s">
        <v>829</v>
      </c>
      <c r="N548" t="s">
        <v>830</v>
      </c>
      <c r="O548">
        <v>7705.4765206285729</v>
      </c>
      <c r="P548">
        <v>7.7054765206285725E-3</v>
      </c>
      <c r="Q548" t="s">
        <v>774</v>
      </c>
      <c r="R548" s="141">
        <v>0.56726571428571437</v>
      </c>
    </row>
    <row r="549" spans="1:18" x14ac:dyDescent="0.3">
      <c r="A549" t="s">
        <v>126</v>
      </c>
      <c r="B549" t="s">
        <v>125</v>
      </c>
      <c r="C549" t="s">
        <v>465</v>
      </c>
      <c r="D549" t="s">
        <v>831</v>
      </c>
      <c r="E549">
        <v>5516</v>
      </c>
      <c r="F549" t="s">
        <v>128</v>
      </c>
      <c r="G549">
        <v>1606</v>
      </c>
      <c r="H549" t="s">
        <v>102</v>
      </c>
      <c r="I549">
        <v>2021</v>
      </c>
      <c r="J549">
        <v>2021</v>
      </c>
      <c r="O549">
        <v>0</v>
      </c>
      <c r="P549">
        <v>0</v>
      </c>
      <c r="Q549" t="s">
        <v>775</v>
      </c>
      <c r="R549" s="141">
        <v>0.57827142857142866</v>
      </c>
    </row>
    <row r="550" spans="1:18" x14ac:dyDescent="0.3">
      <c r="A550" t="s">
        <v>126</v>
      </c>
      <c r="B550" t="s">
        <v>125</v>
      </c>
      <c r="C550" t="s">
        <v>465</v>
      </c>
      <c r="D550" t="s">
        <v>831</v>
      </c>
      <c r="E550">
        <v>5616</v>
      </c>
      <c r="F550" t="s">
        <v>127</v>
      </c>
      <c r="G550">
        <v>1606</v>
      </c>
      <c r="H550" t="s">
        <v>102</v>
      </c>
      <c r="I550">
        <v>2021</v>
      </c>
      <c r="J550">
        <v>2021</v>
      </c>
      <c r="K550" t="s">
        <v>143</v>
      </c>
      <c r="L550">
        <v>901.46</v>
      </c>
      <c r="M550" t="s">
        <v>829</v>
      </c>
      <c r="N550" t="s">
        <v>830</v>
      </c>
      <c r="O550">
        <v>521.28856200000007</v>
      </c>
      <c r="P550">
        <v>5.212885620000001E-4</v>
      </c>
      <c r="Q550" t="s">
        <v>776</v>
      </c>
      <c r="R550" s="141">
        <v>0.57827142857142866</v>
      </c>
    </row>
    <row r="551" spans="1:18" x14ac:dyDescent="0.3">
      <c r="A551" t="s">
        <v>126</v>
      </c>
      <c r="B551" t="s">
        <v>125</v>
      </c>
      <c r="C551" t="s">
        <v>465</v>
      </c>
      <c r="D551" t="s">
        <v>831</v>
      </c>
      <c r="E551">
        <v>5916</v>
      </c>
      <c r="F551" t="s">
        <v>124</v>
      </c>
      <c r="G551">
        <v>1606</v>
      </c>
      <c r="H551" t="s">
        <v>102</v>
      </c>
      <c r="I551">
        <v>2021</v>
      </c>
      <c r="J551">
        <v>2021</v>
      </c>
      <c r="K551" t="s">
        <v>143</v>
      </c>
      <c r="L551">
        <v>34.68</v>
      </c>
      <c r="M551" t="s">
        <v>829</v>
      </c>
      <c r="N551" t="s">
        <v>830</v>
      </c>
      <c r="O551">
        <v>20.054453142857145</v>
      </c>
      <c r="P551">
        <v>2.0054453142857145E-5</v>
      </c>
      <c r="Q551" t="s">
        <v>777</v>
      </c>
      <c r="R551" s="141">
        <v>0.57827142857142866</v>
      </c>
    </row>
    <row r="552" spans="1:18" x14ac:dyDescent="0.3">
      <c r="A552" t="s">
        <v>126</v>
      </c>
      <c r="B552" t="s">
        <v>125</v>
      </c>
      <c r="C552" t="s">
        <v>465</v>
      </c>
      <c r="D552" t="s">
        <v>831</v>
      </c>
      <c r="E552">
        <v>5516</v>
      </c>
      <c r="F552" t="s">
        <v>128</v>
      </c>
      <c r="G552">
        <v>1647</v>
      </c>
      <c r="H552" t="s">
        <v>146</v>
      </c>
      <c r="I552">
        <v>2021</v>
      </c>
      <c r="J552">
        <v>2021</v>
      </c>
      <c r="K552" t="s">
        <v>143</v>
      </c>
      <c r="L552">
        <v>83200</v>
      </c>
      <c r="M552" t="s">
        <v>832</v>
      </c>
      <c r="N552" t="s">
        <v>833</v>
      </c>
      <c r="O552">
        <v>64396.800000000003</v>
      </c>
      <c r="P552">
        <v>6.4396800000000004E-2</v>
      </c>
      <c r="Q552" t="s">
        <v>778</v>
      </c>
      <c r="R552" s="141">
        <v>0.77400000000000002</v>
      </c>
    </row>
    <row r="553" spans="1:18" x14ac:dyDescent="0.3">
      <c r="A553" t="s">
        <v>126</v>
      </c>
      <c r="B553" t="s">
        <v>125</v>
      </c>
      <c r="C553" t="s">
        <v>465</v>
      </c>
      <c r="D553" t="s">
        <v>831</v>
      </c>
      <c r="E553">
        <v>5616</v>
      </c>
      <c r="F553" t="s">
        <v>127</v>
      </c>
      <c r="G553">
        <v>1647</v>
      </c>
      <c r="H553" t="s">
        <v>146</v>
      </c>
      <c r="I553">
        <v>2021</v>
      </c>
      <c r="J553">
        <v>2021</v>
      </c>
      <c r="K553" t="s">
        <v>143</v>
      </c>
      <c r="L553">
        <v>34393.64</v>
      </c>
      <c r="M553" t="s">
        <v>829</v>
      </c>
      <c r="N553" t="s">
        <v>830</v>
      </c>
      <c r="O553">
        <v>26620.677360000001</v>
      </c>
      <c r="P553">
        <v>2.6620677360000001E-2</v>
      </c>
      <c r="Q553" t="s">
        <v>779</v>
      </c>
      <c r="R553" s="141">
        <v>0.77400000000000002</v>
      </c>
    </row>
    <row r="554" spans="1:18" x14ac:dyDescent="0.3">
      <c r="A554" t="s">
        <v>126</v>
      </c>
      <c r="B554" t="s">
        <v>125</v>
      </c>
      <c r="C554" t="s">
        <v>465</v>
      </c>
      <c r="D554" t="s">
        <v>831</v>
      </c>
      <c r="E554">
        <v>5916</v>
      </c>
      <c r="F554" t="s">
        <v>124</v>
      </c>
      <c r="G554">
        <v>1647</v>
      </c>
      <c r="H554" t="s">
        <v>146</v>
      </c>
      <c r="I554">
        <v>2021</v>
      </c>
      <c r="J554">
        <v>2021</v>
      </c>
      <c r="K554" t="s">
        <v>143</v>
      </c>
      <c r="L554">
        <v>2802</v>
      </c>
      <c r="M554" t="s">
        <v>832</v>
      </c>
      <c r="N554" t="s">
        <v>833</v>
      </c>
      <c r="O554">
        <v>2168.748</v>
      </c>
      <c r="P554">
        <v>2.1687479999999999E-3</v>
      </c>
      <c r="Q554" t="s">
        <v>780</v>
      </c>
      <c r="R554" s="141">
        <v>0.77400000000000002</v>
      </c>
    </row>
    <row r="555" spans="1:18" x14ac:dyDescent="0.3">
      <c r="A555" t="s">
        <v>126</v>
      </c>
      <c r="B555" t="s">
        <v>125</v>
      </c>
      <c r="C555" t="s">
        <v>465</v>
      </c>
      <c r="D555" t="s">
        <v>831</v>
      </c>
      <c r="E555">
        <v>5516</v>
      </c>
      <c r="F555" t="s">
        <v>128</v>
      </c>
      <c r="G555">
        <v>1648</v>
      </c>
      <c r="H555" t="s">
        <v>145</v>
      </c>
      <c r="I555">
        <v>2021</v>
      </c>
      <c r="J555">
        <v>2021</v>
      </c>
      <c r="K555" t="s">
        <v>143</v>
      </c>
      <c r="L555">
        <v>1100000</v>
      </c>
      <c r="M555" t="s">
        <v>834</v>
      </c>
      <c r="N555" t="s">
        <v>835</v>
      </c>
      <c r="O555">
        <v>666482.14285714284</v>
      </c>
      <c r="P555">
        <v>0.6664821428571428</v>
      </c>
      <c r="Q555" t="s">
        <v>781</v>
      </c>
      <c r="R555" s="141">
        <v>0.60589285714285712</v>
      </c>
    </row>
    <row r="556" spans="1:18" x14ac:dyDescent="0.3">
      <c r="A556" t="s">
        <v>126</v>
      </c>
      <c r="B556" t="s">
        <v>125</v>
      </c>
      <c r="C556" t="s">
        <v>465</v>
      </c>
      <c r="D556" t="s">
        <v>831</v>
      </c>
      <c r="E556">
        <v>5616</v>
      </c>
      <c r="F556" t="s">
        <v>127</v>
      </c>
      <c r="G556">
        <v>1648</v>
      </c>
      <c r="H556" t="s">
        <v>145</v>
      </c>
      <c r="I556">
        <v>2021</v>
      </c>
      <c r="J556">
        <v>2021</v>
      </c>
      <c r="K556" t="s">
        <v>143</v>
      </c>
      <c r="L556">
        <v>85978.89</v>
      </c>
      <c r="M556" t="s">
        <v>829</v>
      </c>
      <c r="N556" t="s">
        <v>830</v>
      </c>
      <c r="O556">
        <v>52093.995316071429</v>
      </c>
      <c r="P556">
        <v>5.2093995316071423E-2</v>
      </c>
      <c r="Q556" t="s">
        <v>782</v>
      </c>
      <c r="R556" s="141">
        <v>0.60589285714285712</v>
      </c>
    </row>
    <row r="557" spans="1:18" x14ac:dyDescent="0.3">
      <c r="A557" t="s">
        <v>126</v>
      </c>
      <c r="B557" t="s">
        <v>125</v>
      </c>
      <c r="C557" t="s">
        <v>465</v>
      </c>
      <c r="D557" t="s">
        <v>831</v>
      </c>
      <c r="E557">
        <v>5916</v>
      </c>
      <c r="F557" t="s">
        <v>124</v>
      </c>
      <c r="G557">
        <v>1648</v>
      </c>
      <c r="H557" t="s">
        <v>145</v>
      </c>
      <c r="I557">
        <v>2021</v>
      </c>
      <c r="J557">
        <v>2021</v>
      </c>
      <c r="K557" t="s">
        <v>143</v>
      </c>
      <c r="L557">
        <v>21260</v>
      </c>
      <c r="M557" t="s">
        <v>832</v>
      </c>
      <c r="N557" t="s">
        <v>833</v>
      </c>
      <c r="O557">
        <v>12881.282142857142</v>
      </c>
      <c r="P557">
        <v>1.2881282142857142E-2</v>
      </c>
      <c r="Q557" t="s">
        <v>783</v>
      </c>
      <c r="R557" s="141">
        <v>0.60589285714285712</v>
      </c>
    </row>
    <row r="558" spans="1:18" x14ac:dyDescent="0.3">
      <c r="A558" t="s">
        <v>126</v>
      </c>
      <c r="B558" t="s">
        <v>125</v>
      </c>
      <c r="C558" t="s">
        <v>465</v>
      </c>
      <c r="D558" t="s">
        <v>831</v>
      </c>
      <c r="E558">
        <v>5516</v>
      </c>
      <c r="F558" t="s">
        <v>128</v>
      </c>
      <c r="G558">
        <v>1650</v>
      </c>
      <c r="H558" t="s">
        <v>144</v>
      </c>
      <c r="I558">
        <v>2021</v>
      </c>
      <c r="J558">
        <v>2021</v>
      </c>
      <c r="K558" t="s">
        <v>143</v>
      </c>
      <c r="L558">
        <v>3000</v>
      </c>
      <c r="M558" t="s">
        <v>832</v>
      </c>
      <c r="N558" t="s">
        <v>833</v>
      </c>
      <c r="O558">
        <v>732.03750000000002</v>
      </c>
      <c r="P558">
        <v>7.3203750000000001E-4</v>
      </c>
      <c r="Q558" t="s">
        <v>784</v>
      </c>
      <c r="R558" s="141">
        <v>0.24401250000000002</v>
      </c>
    </row>
    <row r="559" spans="1:18" x14ac:dyDescent="0.3">
      <c r="A559" t="s">
        <v>126</v>
      </c>
      <c r="B559" t="s">
        <v>125</v>
      </c>
      <c r="C559" t="s">
        <v>465</v>
      </c>
      <c r="D559" t="s">
        <v>831</v>
      </c>
      <c r="E559">
        <v>5616</v>
      </c>
      <c r="F559" t="s">
        <v>127</v>
      </c>
      <c r="G559">
        <v>1650</v>
      </c>
      <c r="H559" t="s">
        <v>144</v>
      </c>
      <c r="I559">
        <v>2021</v>
      </c>
      <c r="J559">
        <v>2021</v>
      </c>
      <c r="K559" t="s">
        <v>143</v>
      </c>
      <c r="L559">
        <v>31138.400000000001</v>
      </c>
      <c r="M559" t="s">
        <v>829</v>
      </c>
      <c r="N559" t="s">
        <v>830</v>
      </c>
      <c r="O559">
        <v>7598.1588300000012</v>
      </c>
      <c r="P559">
        <v>7.5981588300000008E-3</v>
      </c>
      <c r="Q559" t="s">
        <v>785</v>
      </c>
      <c r="R559" s="141">
        <v>0.24401250000000002</v>
      </c>
    </row>
    <row r="560" spans="1:18" x14ac:dyDescent="0.3">
      <c r="A560" t="s">
        <v>126</v>
      </c>
      <c r="B560" t="s">
        <v>125</v>
      </c>
      <c r="C560" t="s">
        <v>465</v>
      </c>
      <c r="D560" t="s">
        <v>831</v>
      </c>
      <c r="E560">
        <v>5916</v>
      </c>
      <c r="F560" t="s">
        <v>124</v>
      </c>
      <c r="G560">
        <v>1650</v>
      </c>
      <c r="H560" t="s">
        <v>144</v>
      </c>
      <c r="I560">
        <v>2021</v>
      </c>
      <c r="J560">
        <v>2021</v>
      </c>
      <c r="K560" t="s">
        <v>143</v>
      </c>
      <c r="L560">
        <v>53760.65</v>
      </c>
      <c r="M560" t="s">
        <v>829</v>
      </c>
      <c r="N560" t="s">
        <v>830</v>
      </c>
      <c r="O560">
        <v>13118.270608125002</v>
      </c>
      <c r="P560">
        <v>1.3118270608125001E-2</v>
      </c>
      <c r="Q560" t="s">
        <v>786</v>
      </c>
      <c r="R560" s="141">
        <v>0.24401250000000002</v>
      </c>
    </row>
    <row r="561" spans="1:18" x14ac:dyDescent="0.3">
      <c r="A561" t="s">
        <v>126</v>
      </c>
      <c r="B561" t="s">
        <v>125</v>
      </c>
      <c r="C561" t="s">
        <v>465</v>
      </c>
      <c r="D561" t="s">
        <v>831</v>
      </c>
      <c r="E561">
        <v>5516</v>
      </c>
      <c r="F561" t="s">
        <v>128</v>
      </c>
      <c r="G561">
        <v>1649</v>
      </c>
      <c r="H561" t="s">
        <v>142</v>
      </c>
      <c r="I561">
        <v>2021</v>
      </c>
      <c r="J561">
        <v>2021</v>
      </c>
    </row>
    <row r="562" spans="1:18" x14ac:dyDescent="0.3">
      <c r="A562" t="s">
        <v>126</v>
      </c>
      <c r="B562" t="s">
        <v>125</v>
      </c>
      <c r="C562" t="s">
        <v>465</v>
      </c>
      <c r="D562" t="s">
        <v>831</v>
      </c>
      <c r="E562">
        <v>5616</v>
      </c>
      <c r="F562" t="s">
        <v>127</v>
      </c>
      <c r="G562">
        <v>1649</v>
      </c>
      <c r="H562" t="s">
        <v>142</v>
      </c>
      <c r="I562">
        <v>2021</v>
      </c>
      <c r="J562">
        <v>2021</v>
      </c>
    </row>
    <row r="563" spans="1:18" x14ac:dyDescent="0.3">
      <c r="A563" t="s">
        <v>126</v>
      </c>
      <c r="B563" t="s">
        <v>125</v>
      </c>
      <c r="C563" t="s">
        <v>465</v>
      </c>
      <c r="D563" t="s">
        <v>831</v>
      </c>
      <c r="E563">
        <v>5916</v>
      </c>
      <c r="F563" t="s">
        <v>124</v>
      </c>
      <c r="G563">
        <v>1649</v>
      </c>
      <c r="H563" t="s">
        <v>142</v>
      </c>
      <c r="I563">
        <v>2021</v>
      </c>
      <c r="J563">
        <v>2021</v>
      </c>
    </row>
    <row r="564" spans="1:18" x14ac:dyDescent="0.3">
      <c r="A564" t="s">
        <v>126</v>
      </c>
      <c r="B564" t="s">
        <v>125</v>
      </c>
      <c r="C564" t="s">
        <v>465</v>
      </c>
      <c r="D564" t="s">
        <v>831</v>
      </c>
      <c r="E564">
        <v>5510</v>
      </c>
      <c r="F564" t="s">
        <v>128</v>
      </c>
      <c r="G564">
        <v>1685</v>
      </c>
      <c r="H564" t="s">
        <v>98</v>
      </c>
      <c r="I564">
        <v>2021</v>
      </c>
      <c r="J564">
        <v>2021</v>
      </c>
      <c r="K564" t="s">
        <v>339</v>
      </c>
      <c r="L564">
        <v>672000</v>
      </c>
      <c r="M564" t="s">
        <v>832</v>
      </c>
      <c r="N564" t="s">
        <v>833</v>
      </c>
      <c r="O564">
        <v>604800</v>
      </c>
      <c r="P564">
        <v>0.6048</v>
      </c>
      <c r="Q564" t="s">
        <v>787</v>
      </c>
      <c r="R564" s="141">
        <v>0.9</v>
      </c>
    </row>
    <row r="565" spans="1:18" x14ac:dyDescent="0.3">
      <c r="A565" t="s">
        <v>126</v>
      </c>
      <c r="B565" t="s">
        <v>125</v>
      </c>
      <c r="C565" t="s">
        <v>465</v>
      </c>
      <c r="D565" t="s">
        <v>831</v>
      </c>
      <c r="E565">
        <v>5610</v>
      </c>
      <c r="F565" t="s">
        <v>127</v>
      </c>
      <c r="G565">
        <v>1685</v>
      </c>
      <c r="H565" t="s">
        <v>98</v>
      </c>
      <c r="I565">
        <v>2021</v>
      </c>
      <c r="J565">
        <v>2021</v>
      </c>
      <c r="K565" t="s">
        <v>339</v>
      </c>
      <c r="L565">
        <v>512192.5</v>
      </c>
      <c r="M565" t="s">
        <v>829</v>
      </c>
      <c r="N565" t="s">
        <v>830</v>
      </c>
      <c r="O565">
        <v>460973.25</v>
      </c>
      <c r="P565">
        <v>0.46097325</v>
      </c>
      <c r="Q565" t="s">
        <v>788</v>
      </c>
      <c r="R565" s="141">
        <v>0.9</v>
      </c>
    </row>
    <row r="566" spans="1:18" x14ac:dyDescent="0.3">
      <c r="A566" t="s">
        <v>126</v>
      </c>
      <c r="B566" t="s">
        <v>125</v>
      </c>
      <c r="C566" t="s">
        <v>465</v>
      </c>
      <c r="D566" t="s">
        <v>831</v>
      </c>
      <c r="E566">
        <v>5910</v>
      </c>
      <c r="F566" t="s">
        <v>124</v>
      </c>
      <c r="G566">
        <v>1685</v>
      </c>
      <c r="H566" t="s">
        <v>98</v>
      </c>
      <c r="I566">
        <v>2021</v>
      </c>
      <c r="J566">
        <v>2021</v>
      </c>
      <c r="K566" t="s">
        <v>339</v>
      </c>
      <c r="L566">
        <v>34</v>
      </c>
      <c r="M566" t="s">
        <v>832</v>
      </c>
      <c r="N566" t="s">
        <v>833</v>
      </c>
      <c r="O566">
        <v>30.6</v>
      </c>
      <c r="P566">
        <v>3.0599999999999998E-5</v>
      </c>
      <c r="Q566" t="s">
        <v>789</v>
      </c>
      <c r="R566" s="141">
        <v>0.9</v>
      </c>
    </row>
    <row r="567" spans="1:18" x14ac:dyDescent="0.3">
      <c r="A567" t="s">
        <v>126</v>
      </c>
      <c r="B567" t="s">
        <v>125</v>
      </c>
      <c r="C567" t="s">
        <v>465</v>
      </c>
      <c r="D567" t="s">
        <v>831</v>
      </c>
      <c r="E567">
        <v>5510</v>
      </c>
      <c r="F567" t="s">
        <v>128</v>
      </c>
      <c r="G567">
        <v>1654</v>
      </c>
      <c r="H567" t="s">
        <v>141</v>
      </c>
      <c r="I567">
        <v>2021</v>
      </c>
      <c r="J567">
        <v>2021</v>
      </c>
    </row>
    <row r="568" spans="1:18" x14ac:dyDescent="0.3">
      <c r="A568" t="s">
        <v>126</v>
      </c>
      <c r="B568" t="s">
        <v>125</v>
      </c>
      <c r="C568" t="s">
        <v>465</v>
      </c>
      <c r="D568" t="s">
        <v>831</v>
      </c>
      <c r="E568">
        <v>5610</v>
      </c>
      <c r="F568" t="s">
        <v>127</v>
      </c>
      <c r="G568">
        <v>1654</v>
      </c>
      <c r="H568" t="s">
        <v>141</v>
      </c>
      <c r="I568">
        <v>2021</v>
      </c>
      <c r="J568">
        <v>2021</v>
      </c>
    </row>
    <row r="569" spans="1:18" x14ac:dyDescent="0.3">
      <c r="A569" t="s">
        <v>126</v>
      </c>
      <c r="B569" t="s">
        <v>125</v>
      </c>
      <c r="C569" t="s">
        <v>465</v>
      </c>
      <c r="D569" t="s">
        <v>831</v>
      </c>
      <c r="E569">
        <v>5910</v>
      </c>
      <c r="F569" t="s">
        <v>124</v>
      </c>
      <c r="G569">
        <v>1654</v>
      </c>
      <c r="H569" t="s">
        <v>141</v>
      </c>
      <c r="I569">
        <v>2021</v>
      </c>
      <c r="J569">
        <v>2021</v>
      </c>
    </row>
    <row r="570" spans="1:18" x14ac:dyDescent="0.3">
      <c r="A570" t="s">
        <v>126</v>
      </c>
      <c r="B570" t="s">
        <v>125</v>
      </c>
      <c r="C570" t="s">
        <v>465</v>
      </c>
      <c r="D570" t="s">
        <v>831</v>
      </c>
      <c r="E570">
        <v>5510</v>
      </c>
      <c r="F570" t="s">
        <v>128</v>
      </c>
      <c r="G570">
        <v>1655</v>
      </c>
      <c r="H570" t="s">
        <v>140</v>
      </c>
      <c r="I570">
        <v>2021</v>
      </c>
      <c r="J570">
        <v>2021</v>
      </c>
    </row>
    <row r="571" spans="1:18" x14ac:dyDescent="0.3">
      <c r="A571" t="s">
        <v>126</v>
      </c>
      <c r="B571" t="s">
        <v>125</v>
      </c>
      <c r="C571" t="s">
        <v>465</v>
      </c>
      <c r="D571" t="s">
        <v>831</v>
      </c>
      <c r="E571">
        <v>5610</v>
      </c>
      <c r="F571" t="s">
        <v>127</v>
      </c>
      <c r="G571">
        <v>1655</v>
      </c>
      <c r="H571" t="s">
        <v>140</v>
      </c>
      <c r="I571">
        <v>2021</v>
      </c>
      <c r="J571">
        <v>2021</v>
      </c>
    </row>
    <row r="572" spans="1:18" x14ac:dyDescent="0.3">
      <c r="A572" t="s">
        <v>126</v>
      </c>
      <c r="B572" t="s">
        <v>125</v>
      </c>
      <c r="C572" t="s">
        <v>465</v>
      </c>
      <c r="D572" t="s">
        <v>831</v>
      </c>
      <c r="E572">
        <v>5910</v>
      </c>
      <c r="F572" t="s">
        <v>124</v>
      </c>
      <c r="G572">
        <v>1655</v>
      </c>
      <c r="H572" t="s">
        <v>140</v>
      </c>
      <c r="I572">
        <v>2021</v>
      </c>
      <c r="J572">
        <v>2021</v>
      </c>
    </row>
    <row r="573" spans="1:18" x14ac:dyDescent="0.3">
      <c r="A573" t="s">
        <v>126</v>
      </c>
      <c r="B573" t="s">
        <v>125</v>
      </c>
      <c r="C573" t="s">
        <v>465</v>
      </c>
      <c r="D573" t="s">
        <v>831</v>
      </c>
      <c r="E573">
        <v>5510</v>
      </c>
      <c r="F573" t="s">
        <v>128</v>
      </c>
      <c r="G573">
        <v>1656</v>
      </c>
      <c r="H573" t="s">
        <v>97</v>
      </c>
      <c r="I573">
        <v>2021</v>
      </c>
      <c r="J573">
        <v>2021</v>
      </c>
      <c r="K573" t="s">
        <v>339</v>
      </c>
      <c r="L573">
        <v>2434800</v>
      </c>
      <c r="M573" t="s">
        <v>397</v>
      </c>
      <c r="N573" t="s">
        <v>398</v>
      </c>
      <c r="O573">
        <v>2191320</v>
      </c>
      <c r="P573">
        <v>2.1913199999999997</v>
      </c>
      <c r="Q573" t="s">
        <v>790</v>
      </c>
      <c r="R573" s="141">
        <v>0.9</v>
      </c>
    </row>
    <row r="574" spans="1:18" x14ac:dyDescent="0.3">
      <c r="A574" t="s">
        <v>126</v>
      </c>
      <c r="B574" t="s">
        <v>125</v>
      </c>
      <c r="C574" t="s">
        <v>465</v>
      </c>
      <c r="D574" t="s">
        <v>831</v>
      </c>
      <c r="E574">
        <v>5610</v>
      </c>
      <c r="F574" t="s">
        <v>127</v>
      </c>
      <c r="G574">
        <v>1656</v>
      </c>
      <c r="H574" t="s">
        <v>97</v>
      </c>
      <c r="I574">
        <v>2021</v>
      </c>
      <c r="J574">
        <v>2021</v>
      </c>
      <c r="K574" t="s">
        <v>339</v>
      </c>
      <c r="L574">
        <v>688481.13</v>
      </c>
      <c r="M574" t="s">
        <v>397</v>
      </c>
      <c r="N574" t="s">
        <v>398</v>
      </c>
      <c r="O574">
        <v>619633.01699999999</v>
      </c>
      <c r="P574">
        <v>0.61963301699999995</v>
      </c>
      <c r="Q574" t="s">
        <v>791</v>
      </c>
      <c r="R574" s="141">
        <v>0.9</v>
      </c>
    </row>
    <row r="575" spans="1:18" x14ac:dyDescent="0.3">
      <c r="A575" t="s">
        <v>126</v>
      </c>
      <c r="B575" t="s">
        <v>125</v>
      </c>
      <c r="C575" t="s">
        <v>465</v>
      </c>
      <c r="D575" t="s">
        <v>831</v>
      </c>
      <c r="E575">
        <v>5910</v>
      </c>
      <c r="F575" t="s">
        <v>124</v>
      </c>
      <c r="G575">
        <v>1656</v>
      </c>
      <c r="H575" t="s">
        <v>97</v>
      </c>
      <c r="I575">
        <v>2021</v>
      </c>
      <c r="J575">
        <v>2021</v>
      </c>
      <c r="K575" t="s">
        <v>339</v>
      </c>
      <c r="L575">
        <v>119.61</v>
      </c>
      <c r="M575" t="s">
        <v>397</v>
      </c>
      <c r="N575" t="s">
        <v>398</v>
      </c>
      <c r="O575">
        <v>107.649</v>
      </c>
      <c r="P575">
        <v>1.07649E-4</v>
      </c>
      <c r="Q575" t="s">
        <v>792</v>
      </c>
      <c r="R575" s="141">
        <v>0.9</v>
      </c>
    </row>
    <row r="576" spans="1:18" x14ac:dyDescent="0.3">
      <c r="A576" t="s">
        <v>126</v>
      </c>
      <c r="B576" t="s">
        <v>125</v>
      </c>
      <c r="C576" t="s">
        <v>465</v>
      </c>
      <c r="D576" t="s">
        <v>831</v>
      </c>
      <c r="E576">
        <v>5510</v>
      </c>
      <c r="F576" t="s">
        <v>128</v>
      </c>
      <c r="G576">
        <v>1662</v>
      </c>
      <c r="H576" t="s">
        <v>139</v>
      </c>
      <c r="I576">
        <v>2021</v>
      </c>
      <c r="J576">
        <v>2021</v>
      </c>
      <c r="K576" t="s">
        <v>339</v>
      </c>
      <c r="L576">
        <v>204300</v>
      </c>
      <c r="M576" t="s">
        <v>832</v>
      </c>
      <c r="N576" t="s">
        <v>833</v>
      </c>
    </row>
    <row r="577" spans="1:18" x14ac:dyDescent="0.3">
      <c r="A577" t="s">
        <v>126</v>
      </c>
      <c r="B577" t="s">
        <v>125</v>
      </c>
      <c r="C577" t="s">
        <v>465</v>
      </c>
      <c r="D577" t="s">
        <v>831</v>
      </c>
      <c r="E577">
        <v>5610</v>
      </c>
      <c r="F577" t="s">
        <v>127</v>
      </c>
      <c r="G577">
        <v>1662</v>
      </c>
      <c r="H577" t="s">
        <v>139</v>
      </c>
      <c r="I577">
        <v>2021</v>
      </c>
      <c r="J577">
        <v>2021</v>
      </c>
      <c r="K577" t="s">
        <v>339</v>
      </c>
      <c r="L577">
        <v>45393.16</v>
      </c>
      <c r="M577" t="s">
        <v>829</v>
      </c>
      <c r="N577" t="s">
        <v>830</v>
      </c>
    </row>
    <row r="578" spans="1:18" x14ac:dyDescent="0.3">
      <c r="A578" t="s">
        <v>126</v>
      </c>
      <c r="B578" t="s">
        <v>125</v>
      </c>
      <c r="C578" t="s">
        <v>465</v>
      </c>
      <c r="D578" t="s">
        <v>831</v>
      </c>
      <c r="E578">
        <v>5910</v>
      </c>
      <c r="F578" t="s">
        <v>124</v>
      </c>
      <c r="G578">
        <v>1662</v>
      </c>
      <c r="H578" t="s">
        <v>139</v>
      </c>
      <c r="I578">
        <v>2021</v>
      </c>
      <c r="J578">
        <v>2021</v>
      </c>
      <c r="K578" t="s">
        <v>339</v>
      </c>
      <c r="L578">
        <v>12.64</v>
      </c>
      <c r="M578" t="s">
        <v>829</v>
      </c>
      <c r="N578" t="s">
        <v>830</v>
      </c>
    </row>
    <row r="579" spans="1:18" x14ac:dyDescent="0.3">
      <c r="A579" t="s">
        <v>126</v>
      </c>
      <c r="B579" t="s">
        <v>125</v>
      </c>
      <c r="C579" t="s">
        <v>465</v>
      </c>
      <c r="D579" t="s">
        <v>831</v>
      </c>
      <c r="E579">
        <v>5510</v>
      </c>
      <c r="F579" t="s">
        <v>128</v>
      </c>
      <c r="G579">
        <v>1663</v>
      </c>
      <c r="H579" t="s">
        <v>138</v>
      </c>
      <c r="I579">
        <v>2021</v>
      </c>
      <c r="J579">
        <v>2021</v>
      </c>
      <c r="K579" t="s">
        <v>339</v>
      </c>
      <c r="L579">
        <v>2210000</v>
      </c>
      <c r="M579" t="s">
        <v>832</v>
      </c>
      <c r="N579" t="s">
        <v>833</v>
      </c>
    </row>
    <row r="580" spans="1:18" x14ac:dyDescent="0.3">
      <c r="A580" t="s">
        <v>126</v>
      </c>
      <c r="B580" t="s">
        <v>125</v>
      </c>
      <c r="C580" t="s">
        <v>465</v>
      </c>
      <c r="D580" t="s">
        <v>831</v>
      </c>
      <c r="E580">
        <v>5610</v>
      </c>
      <c r="F580" t="s">
        <v>127</v>
      </c>
      <c r="G580">
        <v>1663</v>
      </c>
      <c r="H580" t="s">
        <v>138</v>
      </c>
      <c r="I580">
        <v>2021</v>
      </c>
      <c r="J580">
        <v>2021</v>
      </c>
      <c r="K580" t="s">
        <v>339</v>
      </c>
      <c r="L580">
        <v>641341.56000000006</v>
      </c>
      <c r="M580" t="s">
        <v>829</v>
      </c>
      <c r="N580" t="s">
        <v>830</v>
      </c>
    </row>
    <row r="581" spans="1:18" x14ac:dyDescent="0.3">
      <c r="A581" t="s">
        <v>126</v>
      </c>
      <c r="B581" t="s">
        <v>125</v>
      </c>
      <c r="C581" t="s">
        <v>465</v>
      </c>
      <c r="D581" t="s">
        <v>831</v>
      </c>
      <c r="E581">
        <v>5910</v>
      </c>
      <c r="F581" t="s">
        <v>124</v>
      </c>
      <c r="G581">
        <v>1663</v>
      </c>
      <c r="H581" t="s">
        <v>138</v>
      </c>
      <c r="I581">
        <v>2021</v>
      </c>
      <c r="J581">
        <v>2021</v>
      </c>
      <c r="K581" t="s">
        <v>339</v>
      </c>
      <c r="L581">
        <v>4.3499999999999996</v>
      </c>
      <c r="M581" t="s">
        <v>829</v>
      </c>
      <c r="N581" t="s">
        <v>830</v>
      </c>
    </row>
    <row r="582" spans="1:18" x14ac:dyDescent="0.3">
      <c r="A582" t="s">
        <v>126</v>
      </c>
      <c r="B582" t="s">
        <v>125</v>
      </c>
      <c r="C582" t="s">
        <v>465</v>
      </c>
      <c r="D582" t="s">
        <v>831</v>
      </c>
      <c r="E582">
        <v>5510</v>
      </c>
      <c r="F582" t="s">
        <v>128</v>
      </c>
      <c r="G582">
        <v>1686</v>
      </c>
      <c r="H582" t="s">
        <v>137</v>
      </c>
      <c r="I582">
        <v>2021</v>
      </c>
      <c r="J582">
        <v>2021</v>
      </c>
      <c r="K582" t="s">
        <v>339</v>
      </c>
      <c r="L582">
        <v>20500</v>
      </c>
      <c r="M582" t="s">
        <v>832</v>
      </c>
      <c r="N582" t="s">
        <v>833</v>
      </c>
    </row>
    <row r="583" spans="1:18" x14ac:dyDescent="0.3">
      <c r="A583" t="s">
        <v>126</v>
      </c>
      <c r="B583" t="s">
        <v>125</v>
      </c>
      <c r="C583" t="s">
        <v>465</v>
      </c>
      <c r="D583" t="s">
        <v>831</v>
      </c>
      <c r="E583">
        <v>5610</v>
      </c>
      <c r="F583" t="s">
        <v>127</v>
      </c>
      <c r="G583">
        <v>1686</v>
      </c>
      <c r="H583" t="s">
        <v>137</v>
      </c>
      <c r="I583">
        <v>2021</v>
      </c>
      <c r="J583">
        <v>2021</v>
      </c>
      <c r="K583" t="s">
        <v>339</v>
      </c>
      <c r="L583">
        <v>1746.41</v>
      </c>
      <c r="M583" t="s">
        <v>829</v>
      </c>
      <c r="N583" t="s">
        <v>830</v>
      </c>
    </row>
    <row r="584" spans="1:18" x14ac:dyDescent="0.3">
      <c r="A584" t="s">
        <v>126</v>
      </c>
      <c r="B584" t="s">
        <v>125</v>
      </c>
      <c r="C584" t="s">
        <v>465</v>
      </c>
      <c r="D584" t="s">
        <v>831</v>
      </c>
      <c r="E584">
        <v>5910</v>
      </c>
      <c r="F584" t="s">
        <v>124</v>
      </c>
      <c r="G584">
        <v>1686</v>
      </c>
      <c r="H584" t="s">
        <v>137</v>
      </c>
      <c r="I584">
        <v>2021</v>
      </c>
      <c r="J584">
        <v>2021</v>
      </c>
      <c r="K584" t="s">
        <v>339</v>
      </c>
      <c r="L584">
        <v>102.63</v>
      </c>
      <c r="M584" t="s">
        <v>829</v>
      </c>
      <c r="N584" t="s">
        <v>830</v>
      </c>
    </row>
    <row r="585" spans="1:18" x14ac:dyDescent="0.3">
      <c r="A585" t="s">
        <v>126</v>
      </c>
      <c r="B585" t="s">
        <v>125</v>
      </c>
      <c r="C585" t="s">
        <v>465</v>
      </c>
      <c r="D585" t="s">
        <v>831</v>
      </c>
      <c r="E585">
        <v>5510</v>
      </c>
      <c r="F585" t="s">
        <v>128</v>
      </c>
      <c r="G585">
        <v>1660</v>
      </c>
      <c r="H585" t="s">
        <v>136</v>
      </c>
      <c r="I585">
        <v>2021</v>
      </c>
      <c r="J585">
        <v>2021</v>
      </c>
    </row>
    <row r="586" spans="1:18" x14ac:dyDescent="0.3">
      <c r="A586" t="s">
        <v>126</v>
      </c>
      <c r="B586" t="s">
        <v>125</v>
      </c>
      <c r="C586" t="s">
        <v>465</v>
      </c>
      <c r="D586" t="s">
        <v>831</v>
      </c>
      <c r="E586">
        <v>5610</v>
      </c>
      <c r="F586" t="s">
        <v>127</v>
      </c>
      <c r="G586">
        <v>1660</v>
      </c>
      <c r="H586" t="s">
        <v>136</v>
      </c>
      <c r="I586">
        <v>2021</v>
      </c>
      <c r="J586">
        <v>2021</v>
      </c>
    </row>
    <row r="587" spans="1:18" x14ac:dyDescent="0.3">
      <c r="A587" t="s">
        <v>126</v>
      </c>
      <c r="B587" t="s">
        <v>125</v>
      </c>
      <c r="C587" t="s">
        <v>465</v>
      </c>
      <c r="D587" t="s">
        <v>831</v>
      </c>
      <c r="E587">
        <v>5910</v>
      </c>
      <c r="F587" t="s">
        <v>124</v>
      </c>
      <c r="G587">
        <v>1660</v>
      </c>
      <c r="H587" t="s">
        <v>136</v>
      </c>
      <c r="I587">
        <v>2021</v>
      </c>
      <c r="J587">
        <v>2021</v>
      </c>
    </row>
    <row r="588" spans="1:18" x14ac:dyDescent="0.3">
      <c r="A588" t="s">
        <v>126</v>
      </c>
      <c r="B588" t="s">
        <v>125</v>
      </c>
      <c r="C588" t="s">
        <v>465</v>
      </c>
      <c r="D588" t="s">
        <v>831</v>
      </c>
      <c r="E588">
        <v>5510</v>
      </c>
      <c r="F588" t="s">
        <v>128</v>
      </c>
      <c r="G588">
        <v>1661</v>
      </c>
      <c r="H588" t="s">
        <v>135</v>
      </c>
      <c r="I588">
        <v>2021</v>
      </c>
      <c r="J588">
        <v>2021</v>
      </c>
    </row>
    <row r="589" spans="1:18" x14ac:dyDescent="0.3">
      <c r="A589" t="s">
        <v>126</v>
      </c>
      <c r="B589" t="s">
        <v>125</v>
      </c>
      <c r="C589" t="s">
        <v>465</v>
      </c>
      <c r="D589" t="s">
        <v>831</v>
      </c>
      <c r="E589">
        <v>5610</v>
      </c>
      <c r="F589" t="s">
        <v>127</v>
      </c>
      <c r="G589">
        <v>1661</v>
      </c>
      <c r="H589" t="s">
        <v>135</v>
      </c>
      <c r="I589">
        <v>2021</v>
      </c>
      <c r="J589">
        <v>2021</v>
      </c>
    </row>
    <row r="590" spans="1:18" x14ac:dyDescent="0.3">
      <c r="A590" t="s">
        <v>126</v>
      </c>
      <c r="B590" t="s">
        <v>125</v>
      </c>
      <c r="C590" t="s">
        <v>465</v>
      </c>
      <c r="D590" t="s">
        <v>831</v>
      </c>
      <c r="E590">
        <v>5910</v>
      </c>
      <c r="F590" t="s">
        <v>124</v>
      </c>
      <c r="G590">
        <v>1661</v>
      </c>
      <c r="H590" t="s">
        <v>135</v>
      </c>
      <c r="I590">
        <v>2021</v>
      </c>
      <c r="J590">
        <v>2021</v>
      </c>
    </row>
    <row r="591" spans="1:18" x14ac:dyDescent="0.3">
      <c r="A591" t="s">
        <v>126</v>
      </c>
      <c r="B591" t="s">
        <v>125</v>
      </c>
      <c r="C591" t="s">
        <v>465</v>
      </c>
      <c r="D591" t="s">
        <v>831</v>
      </c>
      <c r="E591">
        <v>5510</v>
      </c>
      <c r="F591" t="s">
        <v>128</v>
      </c>
      <c r="G591">
        <v>1667</v>
      </c>
      <c r="H591" t="s">
        <v>96</v>
      </c>
      <c r="I591">
        <v>2021</v>
      </c>
      <c r="J591">
        <v>2021</v>
      </c>
      <c r="K591" t="s">
        <v>339</v>
      </c>
      <c r="L591">
        <v>255000</v>
      </c>
      <c r="M591" t="s">
        <v>832</v>
      </c>
      <c r="N591" t="s">
        <v>833</v>
      </c>
      <c r="O591">
        <v>229500</v>
      </c>
      <c r="P591">
        <v>0.22949999999999998</v>
      </c>
      <c r="Q591" t="s">
        <v>793</v>
      </c>
      <c r="R591" s="141">
        <v>0.9</v>
      </c>
    </row>
    <row r="592" spans="1:18" x14ac:dyDescent="0.3">
      <c r="A592" t="s">
        <v>126</v>
      </c>
      <c r="B592" t="s">
        <v>125</v>
      </c>
      <c r="C592" t="s">
        <v>465</v>
      </c>
      <c r="D592" t="s">
        <v>831</v>
      </c>
      <c r="E592">
        <v>5610</v>
      </c>
      <c r="F592" t="s">
        <v>127</v>
      </c>
      <c r="G592">
        <v>1667</v>
      </c>
      <c r="H592" t="s">
        <v>96</v>
      </c>
      <c r="I592">
        <v>2021</v>
      </c>
      <c r="J592">
        <v>2021</v>
      </c>
      <c r="K592" t="s">
        <v>339</v>
      </c>
      <c r="L592">
        <v>675980.69</v>
      </c>
      <c r="M592" t="s">
        <v>829</v>
      </c>
      <c r="N592" t="s">
        <v>830</v>
      </c>
      <c r="O592">
        <v>608382.62099999993</v>
      </c>
      <c r="P592">
        <v>0.60838262099999985</v>
      </c>
      <c r="Q592" t="s">
        <v>794</v>
      </c>
      <c r="R592" s="141">
        <v>0.9</v>
      </c>
    </row>
    <row r="593" spans="1:18" x14ac:dyDescent="0.3">
      <c r="A593" t="s">
        <v>126</v>
      </c>
      <c r="B593" t="s">
        <v>125</v>
      </c>
      <c r="C593" t="s">
        <v>465</v>
      </c>
      <c r="D593" t="s">
        <v>831</v>
      </c>
      <c r="E593">
        <v>5910</v>
      </c>
      <c r="F593" t="s">
        <v>124</v>
      </c>
      <c r="G593">
        <v>1667</v>
      </c>
      <c r="H593" t="s">
        <v>96</v>
      </c>
      <c r="I593">
        <v>2021</v>
      </c>
      <c r="J593">
        <v>2021</v>
      </c>
      <c r="K593" t="s">
        <v>339</v>
      </c>
      <c r="L593">
        <v>0</v>
      </c>
      <c r="M593" t="s">
        <v>832</v>
      </c>
      <c r="N593" t="s">
        <v>833</v>
      </c>
      <c r="O593">
        <v>0</v>
      </c>
      <c r="P593">
        <v>0</v>
      </c>
      <c r="Q593" t="s">
        <v>795</v>
      </c>
      <c r="R593" s="141">
        <v>0.9</v>
      </c>
    </row>
    <row r="594" spans="1:18" x14ac:dyDescent="0.3">
      <c r="A594" t="s">
        <v>126</v>
      </c>
      <c r="B594" t="s">
        <v>125</v>
      </c>
      <c r="C594" t="s">
        <v>465</v>
      </c>
      <c r="D594" t="s">
        <v>831</v>
      </c>
      <c r="E594">
        <v>5510</v>
      </c>
      <c r="F594" t="s">
        <v>128</v>
      </c>
      <c r="G594">
        <v>1668</v>
      </c>
      <c r="H594" t="s">
        <v>95</v>
      </c>
      <c r="I594">
        <v>2021</v>
      </c>
      <c r="J594">
        <v>2021</v>
      </c>
      <c r="K594" t="s">
        <v>339</v>
      </c>
      <c r="L594">
        <v>3020000</v>
      </c>
      <c r="M594" t="s">
        <v>832</v>
      </c>
      <c r="N594" t="s">
        <v>833</v>
      </c>
      <c r="O594">
        <v>2718000</v>
      </c>
      <c r="P594">
        <v>2.718</v>
      </c>
      <c r="Q594" t="s">
        <v>796</v>
      </c>
      <c r="R594" s="141">
        <v>0.9</v>
      </c>
    </row>
    <row r="595" spans="1:18" x14ac:dyDescent="0.3">
      <c r="A595" t="s">
        <v>126</v>
      </c>
      <c r="B595" t="s">
        <v>125</v>
      </c>
      <c r="C595" t="s">
        <v>465</v>
      </c>
      <c r="D595" t="s">
        <v>831</v>
      </c>
      <c r="E595">
        <v>5610</v>
      </c>
      <c r="F595" t="s">
        <v>127</v>
      </c>
      <c r="G595">
        <v>1668</v>
      </c>
      <c r="H595" t="s">
        <v>95</v>
      </c>
      <c r="I595">
        <v>2021</v>
      </c>
      <c r="J595">
        <v>2021</v>
      </c>
      <c r="K595" t="s">
        <v>339</v>
      </c>
      <c r="L595">
        <v>5361.34</v>
      </c>
      <c r="M595" t="s">
        <v>829</v>
      </c>
      <c r="N595" t="s">
        <v>830</v>
      </c>
      <c r="O595">
        <v>4825.2060000000001</v>
      </c>
      <c r="P595">
        <v>4.8252060000000003E-3</v>
      </c>
      <c r="Q595" t="s">
        <v>797</v>
      </c>
      <c r="R595" s="141">
        <v>0.9</v>
      </c>
    </row>
    <row r="596" spans="1:18" x14ac:dyDescent="0.3">
      <c r="A596" t="s">
        <v>126</v>
      </c>
      <c r="B596" t="s">
        <v>125</v>
      </c>
      <c r="C596" t="s">
        <v>465</v>
      </c>
      <c r="D596" t="s">
        <v>831</v>
      </c>
      <c r="E596">
        <v>5910</v>
      </c>
      <c r="F596" t="s">
        <v>124</v>
      </c>
      <c r="G596">
        <v>1668</v>
      </c>
      <c r="H596" t="s">
        <v>95</v>
      </c>
      <c r="I596">
        <v>2021</v>
      </c>
      <c r="J596">
        <v>2021</v>
      </c>
      <c r="K596" t="s">
        <v>339</v>
      </c>
      <c r="L596">
        <v>6154.39</v>
      </c>
      <c r="M596" t="s">
        <v>829</v>
      </c>
      <c r="N596" t="s">
        <v>830</v>
      </c>
      <c r="O596">
        <v>5538.951</v>
      </c>
      <c r="P596">
        <v>5.5389509999999994E-3</v>
      </c>
      <c r="Q596" t="s">
        <v>798</v>
      </c>
      <c r="R596" s="141">
        <v>0.9</v>
      </c>
    </row>
    <row r="597" spans="1:18" x14ac:dyDescent="0.3">
      <c r="A597" t="s">
        <v>126</v>
      </c>
      <c r="B597" t="s">
        <v>125</v>
      </c>
      <c r="C597" t="s">
        <v>465</v>
      </c>
      <c r="D597" t="s">
        <v>831</v>
      </c>
      <c r="E597">
        <v>5510</v>
      </c>
      <c r="F597" t="s">
        <v>128</v>
      </c>
      <c r="G597">
        <v>1609</v>
      </c>
      <c r="H597" t="s">
        <v>94</v>
      </c>
      <c r="I597">
        <v>2021</v>
      </c>
      <c r="J597">
        <v>2021</v>
      </c>
      <c r="O597">
        <v>0</v>
      </c>
      <c r="P597">
        <v>0</v>
      </c>
      <c r="Q597" t="s">
        <v>799</v>
      </c>
      <c r="R597" s="141">
        <v>0.9</v>
      </c>
    </row>
    <row r="598" spans="1:18" x14ac:dyDescent="0.3">
      <c r="A598" t="s">
        <v>126</v>
      </c>
      <c r="B598" t="s">
        <v>125</v>
      </c>
      <c r="C598" t="s">
        <v>465</v>
      </c>
      <c r="D598" t="s">
        <v>831</v>
      </c>
      <c r="E598">
        <v>5610</v>
      </c>
      <c r="F598" t="s">
        <v>127</v>
      </c>
      <c r="G598">
        <v>1609</v>
      </c>
      <c r="H598" t="s">
        <v>94</v>
      </c>
      <c r="I598">
        <v>2021</v>
      </c>
      <c r="J598">
        <v>2021</v>
      </c>
      <c r="K598" t="s">
        <v>339</v>
      </c>
      <c r="L598">
        <v>5895</v>
      </c>
      <c r="M598" t="s">
        <v>399</v>
      </c>
      <c r="N598" t="s">
        <v>400</v>
      </c>
      <c r="O598">
        <v>5305.5</v>
      </c>
      <c r="P598">
        <v>5.3054999999999995E-3</v>
      </c>
      <c r="Q598" t="s">
        <v>800</v>
      </c>
      <c r="R598" s="141">
        <v>0.9</v>
      </c>
    </row>
    <row r="599" spans="1:18" x14ac:dyDescent="0.3">
      <c r="A599" t="s">
        <v>126</v>
      </c>
      <c r="B599" t="s">
        <v>125</v>
      </c>
      <c r="C599" t="s">
        <v>465</v>
      </c>
      <c r="D599" t="s">
        <v>831</v>
      </c>
      <c r="E599">
        <v>5910</v>
      </c>
      <c r="F599" t="s">
        <v>124</v>
      </c>
      <c r="G599">
        <v>1609</v>
      </c>
      <c r="H599" t="s">
        <v>94</v>
      </c>
      <c r="I599">
        <v>2021</v>
      </c>
      <c r="J599">
        <v>2021</v>
      </c>
      <c r="K599" t="s">
        <v>339</v>
      </c>
      <c r="L599">
        <v>2729.27</v>
      </c>
      <c r="M599" t="s">
        <v>829</v>
      </c>
      <c r="N599" t="s">
        <v>830</v>
      </c>
      <c r="O599">
        <v>2456.3429999999998</v>
      </c>
      <c r="P599">
        <v>2.4563429999999997E-3</v>
      </c>
      <c r="Q599" t="s">
        <v>801</v>
      </c>
      <c r="R599" s="141">
        <v>0.9</v>
      </c>
    </row>
    <row r="600" spans="1:18" x14ac:dyDescent="0.3">
      <c r="A600" t="s">
        <v>126</v>
      </c>
      <c r="B600" t="s">
        <v>125</v>
      </c>
      <c r="C600" t="s">
        <v>465</v>
      </c>
      <c r="D600" t="s">
        <v>831</v>
      </c>
      <c r="E600">
        <v>5510</v>
      </c>
      <c r="F600" t="s">
        <v>128</v>
      </c>
      <c r="G600">
        <v>1669</v>
      </c>
      <c r="H600" t="s">
        <v>134</v>
      </c>
      <c r="I600">
        <v>2021</v>
      </c>
      <c r="J600">
        <v>2021</v>
      </c>
      <c r="K600" t="s">
        <v>339</v>
      </c>
      <c r="L600">
        <v>3700000</v>
      </c>
      <c r="M600" t="s">
        <v>832</v>
      </c>
      <c r="N600" t="s">
        <v>833</v>
      </c>
      <c r="O600">
        <v>3237500</v>
      </c>
      <c r="P600">
        <v>3.2374999999999998</v>
      </c>
      <c r="Q600" t="s">
        <v>802</v>
      </c>
      <c r="R600" s="141">
        <v>0.875</v>
      </c>
    </row>
    <row r="601" spans="1:18" x14ac:dyDescent="0.3">
      <c r="A601" t="s">
        <v>126</v>
      </c>
      <c r="B601" t="s">
        <v>125</v>
      </c>
      <c r="C601" t="s">
        <v>465</v>
      </c>
      <c r="D601" t="s">
        <v>831</v>
      </c>
      <c r="E601">
        <v>5610</v>
      </c>
      <c r="F601" t="s">
        <v>127</v>
      </c>
      <c r="G601">
        <v>1669</v>
      </c>
      <c r="H601" t="s">
        <v>134</v>
      </c>
      <c r="I601">
        <v>2021</v>
      </c>
      <c r="J601">
        <v>2021</v>
      </c>
      <c r="K601" t="s">
        <v>339</v>
      </c>
      <c r="L601">
        <v>7085007.4699999997</v>
      </c>
      <c r="M601" t="s">
        <v>829</v>
      </c>
      <c r="N601" t="s">
        <v>830</v>
      </c>
      <c r="O601">
        <v>6199381.5362499999</v>
      </c>
      <c r="P601">
        <v>6.1993815362499998</v>
      </c>
      <c r="Q601" t="s">
        <v>803</v>
      </c>
      <c r="R601" s="141">
        <v>0.875</v>
      </c>
    </row>
    <row r="602" spans="1:18" x14ac:dyDescent="0.3">
      <c r="A602" t="s">
        <v>126</v>
      </c>
      <c r="B602" t="s">
        <v>125</v>
      </c>
      <c r="C602" t="s">
        <v>465</v>
      </c>
      <c r="D602" t="s">
        <v>831</v>
      </c>
      <c r="E602">
        <v>5910</v>
      </c>
      <c r="F602" t="s">
        <v>124</v>
      </c>
      <c r="G602">
        <v>1669</v>
      </c>
      <c r="H602" t="s">
        <v>134</v>
      </c>
      <c r="I602">
        <v>2021</v>
      </c>
      <c r="J602">
        <v>2021</v>
      </c>
      <c r="K602" t="s">
        <v>339</v>
      </c>
      <c r="L602">
        <v>3504.43</v>
      </c>
      <c r="M602" t="s">
        <v>829</v>
      </c>
      <c r="N602" t="s">
        <v>830</v>
      </c>
      <c r="O602">
        <v>3066.3762499999998</v>
      </c>
      <c r="P602">
        <v>3.0663762499999999E-3</v>
      </c>
      <c r="Q602" t="s">
        <v>804</v>
      </c>
      <c r="R602" s="141">
        <v>0.875</v>
      </c>
    </row>
    <row r="603" spans="1:18" x14ac:dyDescent="0.3">
      <c r="A603" t="s">
        <v>126</v>
      </c>
      <c r="B603" t="s">
        <v>125</v>
      </c>
      <c r="C603" t="s">
        <v>465</v>
      </c>
      <c r="D603" t="s">
        <v>831</v>
      </c>
      <c r="E603">
        <v>5510</v>
      </c>
      <c r="F603" t="s">
        <v>128</v>
      </c>
      <c r="G603">
        <v>1671</v>
      </c>
      <c r="H603" t="s">
        <v>89</v>
      </c>
      <c r="I603">
        <v>2021</v>
      </c>
      <c r="J603">
        <v>2021</v>
      </c>
      <c r="K603" t="s">
        <v>339</v>
      </c>
      <c r="L603">
        <v>1200000</v>
      </c>
      <c r="M603" t="s">
        <v>832</v>
      </c>
      <c r="N603" t="s">
        <v>833</v>
      </c>
      <c r="O603">
        <v>1140000</v>
      </c>
      <c r="P603">
        <v>1.1399999999999999</v>
      </c>
      <c r="Q603" t="s">
        <v>805</v>
      </c>
      <c r="R603" s="141">
        <v>0.95</v>
      </c>
    </row>
    <row r="604" spans="1:18" x14ac:dyDescent="0.3">
      <c r="A604" t="s">
        <v>126</v>
      </c>
      <c r="B604" t="s">
        <v>125</v>
      </c>
      <c r="C604" t="s">
        <v>465</v>
      </c>
      <c r="D604" t="s">
        <v>831</v>
      </c>
      <c r="E604">
        <v>5610</v>
      </c>
      <c r="F604" t="s">
        <v>127</v>
      </c>
      <c r="G604">
        <v>1671</v>
      </c>
      <c r="H604" t="s">
        <v>89</v>
      </c>
      <c r="I604">
        <v>2021</v>
      </c>
      <c r="J604">
        <v>2021</v>
      </c>
      <c r="K604" t="s">
        <v>339</v>
      </c>
      <c r="L604">
        <v>582848.42000000004</v>
      </c>
      <c r="M604" t="s">
        <v>829</v>
      </c>
      <c r="N604" t="s">
        <v>830</v>
      </c>
      <c r="O604">
        <v>553705.99900000007</v>
      </c>
      <c r="P604">
        <v>0.55370599900000006</v>
      </c>
      <c r="Q604" t="s">
        <v>806</v>
      </c>
      <c r="R604" s="141">
        <v>0.95</v>
      </c>
    </row>
    <row r="605" spans="1:18" x14ac:dyDescent="0.3">
      <c r="A605" t="s">
        <v>126</v>
      </c>
      <c r="B605" t="s">
        <v>125</v>
      </c>
      <c r="C605" t="s">
        <v>465</v>
      </c>
      <c r="D605" t="s">
        <v>831</v>
      </c>
      <c r="E605">
        <v>5910</v>
      </c>
      <c r="F605" t="s">
        <v>124</v>
      </c>
      <c r="G605">
        <v>1671</v>
      </c>
      <c r="H605" t="s">
        <v>89</v>
      </c>
      <c r="I605">
        <v>2021</v>
      </c>
      <c r="J605">
        <v>2021</v>
      </c>
      <c r="K605" t="s">
        <v>339</v>
      </c>
      <c r="L605">
        <v>5497.86</v>
      </c>
      <c r="M605" t="s">
        <v>829</v>
      </c>
      <c r="N605" t="s">
        <v>830</v>
      </c>
      <c r="O605">
        <v>5222.9669999999996</v>
      </c>
      <c r="P605">
        <v>5.2229669999999994E-3</v>
      </c>
      <c r="Q605" t="s">
        <v>807</v>
      </c>
      <c r="R605" s="141">
        <v>0.95</v>
      </c>
    </row>
    <row r="606" spans="1:18" x14ac:dyDescent="0.3">
      <c r="A606" t="s">
        <v>126</v>
      </c>
      <c r="B606" t="s">
        <v>125</v>
      </c>
      <c r="C606" t="s">
        <v>465</v>
      </c>
      <c r="D606" t="s">
        <v>831</v>
      </c>
      <c r="E606">
        <v>5510</v>
      </c>
      <c r="F606" t="s">
        <v>128</v>
      </c>
      <c r="G606">
        <v>1674</v>
      </c>
      <c r="H606" t="s">
        <v>88</v>
      </c>
      <c r="I606">
        <v>2021</v>
      </c>
      <c r="J606">
        <v>2021</v>
      </c>
      <c r="K606" t="s">
        <v>339</v>
      </c>
      <c r="L606">
        <v>5120000</v>
      </c>
      <c r="M606" t="s">
        <v>397</v>
      </c>
      <c r="N606" t="s">
        <v>398</v>
      </c>
      <c r="O606">
        <v>4864000</v>
      </c>
      <c r="P606">
        <v>4.8639999999999999</v>
      </c>
      <c r="Q606" t="s">
        <v>808</v>
      </c>
      <c r="R606" s="141">
        <v>0.95</v>
      </c>
    </row>
    <row r="607" spans="1:18" x14ac:dyDescent="0.3">
      <c r="A607" t="s">
        <v>126</v>
      </c>
      <c r="B607" t="s">
        <v>125</v>
      </c>
      <c r="C607" t="s">
        <v>465</v>
      </c>
      <c r="D607" t="s">
        <v>831</v>
      </c>
      <c r="E607">
        <v>5610</v>
      </c>
      <c r="F607" t="s">
        <v>127</v>
      </c>
      <c r="G607">
        <v>1674</v>
      </c>
      <c r="H607" t="s">
        <v>88</v>
      </c>
      <c r="I607">
        <v>2021</v>
      </c>
      <c r="J607">
        <v>2021</v>
      </c>
      <c r="K607" t="s">
        <v>339</v>
      </c>
      <c r="L607">
        <v>630874.96</v>
      </c>
      <c r="M607" t="s">
        <v>397</v>
      </c>
      <c r="N607" t="s">
        <v>398</v>
      </c>
      <c r="O607">
        <v>599331.21199999994</v>
      </c>
      <c r="P607">
        <v>0.59933121199999995</v>
      </c>
      <c r="Q607" t="s">
        <v>809</v>
      </c>
      <c r="R607" s="141">
        <v>0.95</v>
      </c>
    </row>
    <row r="608" spans="1:18" x14ac:dyDescent="0.3">
      <c r="A608" t="s">
        <v>126</v>
      </c>
      <c r="B608" t="s">
        <v>125</v>
      </c>
      <c r="C608" t="s">
        <v>465</v>
      </c>
      <c r="D608" t="s">
        <v>831</v>
      </c>
      <c r="E608">
        <v>5910</v>
      </c>
      <c r="F608" t="s">
        <v>124</v>
      </c>
      <c r="G608">
        <v>1674</v>
      </c>
      <c r="H608" t="s">
        <v>88</v>
      </c>
      <c r="I608">
        <v>2021</v>
      </c>
      <c r="J608">
        <v>2021</v>
      </c>
      <c r="K608" t="s">
        <v>339</v>
      </c>
      <c r="L608">
        <v>786876.29</v>
      </c>
      <c r="M608" t="s">
        <v>397</v>
      </c>
      <c r="N608" t="s">
        <v>398</v>
      </c>
      <c r="O608">
        <v>747532.47549999994</v>
      </c>
      <c r="P608">
        <v>0.7475324754999999</v>
      </c>
      <c r="Q608" t="s">
        <v>810</v>
      </c>
      <c r="R608" s="141">
        <v>0.95</v>
      </c>
    </row>
    <row r="609" spans="1:18" x14ac:dyDescent="0.3">
      <c r="A609" t="s">
        <v>126</v>
      </c>
      <c r="B609" t="s">
        <v>125</v>
      </c>
      <c r="C609" t="s">
        <v>465</v>
      </c>
      <c r="D609" t="s">
        <v>831</v>
      </c>
      <c r="E609">
        <v>5510</v>
      </c>
      <c r="F609" t="s">
        <v>128</v>
      </c>
      <c r="G609">
        <v>1612</v>
      </c>
      <c r="H609" t="s">
        <v>133</v>
      </c>
      <c r="I609">
        <v>2021</v>
      </c>
      <c r="J609">
        <v>2021</v>
      </c>
      <c r="K609" t="s">
        <v>339</v>
      </c>
      <c r="L609">
        <v>1025000</v>
      </c>
      <c r="M609" t="s">
        <v>832</v>
      </c>
      <c r="N609" t="s">
        <v>833</v>
      </c>
    </row>
    <row r="610" spans="1:18" x14ac:dyDescent="0.3">
      <c r="A610" t="s">
        <v>126</v>
      </c>
      <c r="B610" t="s">
        <v>125</v>
      </c>
      <c r="C610" t="s">
        <v>465</v>
      </c>
      <c r="D610" t="s">
        <v>831</v>
      </c>
      <c r="E610">
        <v>5610</v>
      </c>
      <c r="F610" t="s">
        <v>127</v>
      </c>
      <c r="G610">
        <v>1612</v>
      </c>
      <c r="H610" t="s">
        <v>133</v>
      </c>
      <c r="I610">
        <v>2021</v>
      </c>
      <c r="J610">
        <v>2021</v>
      </c>
      <c r="K610" t="s">
        <v>339</v>
      </c>
      <c r="L610">
        <v>24277.62</v>
      </c>
      <c r="M610" t="s">
        <v>829</v>
      </c>
      <c r="N610" t="s">
        <v>830</v>
      </c>
    </row>
    <row r="611" spans="1:18" x14ac:dyDescent="0.3">
      <c r="A611" t="s">
        <v>126</v>
      </c>
      <c r="B611" t="s">
        <v>125</v>
      </c>
      <c r="C611" t="s">
        <v>465</v>
      </c>
      <c r="D611" t="s">
        <v>831</v>
      </c>
      <c r="E611">
        <v>5910</v>
      </c>
      <c r="F611" t="s">
        <v>124</v>
      </c>
      <c r="G611">
        <v>1612</v>
      </c>
      <c r="H611" t="s">
        <v>133</v>
      </c>
      <c r="I611">
        <v>2021</v>
      </c>
      <c r="J611">
        <v>2021</v>
      </c>
      <c r="K611" t="s">
        <v>339</v>
      </c>
      <c r="L611">
        <v>50126.99</v>
      </c>
      <c r="M611" t="s">
        <v>829</v>
      </c>
      <c r="N611" t="s">
        <v>830</v>
      </c>
    </row>
    <row r="612" spans="1:18" x14ac:dyDescent="0.3">
      <c r="A612" t="s">
        <v>126</v>
      </c>
      <c r="B612" t="s">
        <v>125</v>
      </c>
      <c r="C612" t="s">
        <v>465</v>
      </c>
      <c r="D612" t="s">
        <v>831</v>
      </c>
      <c r="E612">
        <v>5510</v>
      </c>
      <c r="F612" t="s">
        <v>128</v>
      </c>
      <c r="G612">
        <v>1615</v>
      </c>
      <c r="H612" t="s">
        <v>132</v>
      </c>
      <c r="I612">
        <v>2021</v>
      </c>
      <c r="J612">
        <v>2021</v>
      </c>
      <c r="K612" t="s">
        <v>339</v>
      </c>
      <c r="L612">
        <v>3870000</v>
      </c>
      <c r="M612" t="s">
        <v>832</v>
      </c>
      <c r="N612" t="s">
        <v>833</v>
      </c>
    </row>
    <row r="613" spans="1:18" x14ac:dyDescent="0.3">
      <c r="A613" t="s">
        <v>126</v>
      </c>
      <c r="B613" t="s">
        <v>125</v>
      </c>
      <c r="C613" t="s">
        <v>465</v>
      </c>
      <c r="D613" t="s">
        <v>831</v>
      </c>
      <c r="E613">
        <v>5610</v>
      </c>
      <c r="F613" t="s">
        <v>127</v>
      </c>
      <c r="G613">
        <v>1615</v>
      </c>
      <c r="H613" t="s">
        <v>132</v>
      </c>
      <c r="I613">
        <v>2021</v>
      </c>
      <c r="J613">
        <v>2021</v>
      </c>
      <c r="K613" t="s">
        <v>339</v>
      </c>
      <c r="L613">
        <v>110584.2</v>
      </c>
      <c r="M613" t="s">
        <v>829</v>
      </c>
      <c r="N613" t="s">
        <v>830</v>
      </c>
    </row>
    <row r="614" spans="1:18" x14ac:dyDescent="0.3">
      <c r="A614" t="s">
        <v>126</v>
      </c>
      <c r="B614" t="s">
        <v>125</v>
      </c>
      <c r="C614" t="s">
        <v>465</v>
      </c>
      <c r="D614" t="s">
        <v>831</v>
      </c>
      <c r="E614">
        <v>5910</v>
      </c>
      <c r="F614" t="s">
        <v>124</v>
      </c>
      <c r="G614">
        <v>1615</v>
      </c>
      <c r="H614" t="s">
        <v>132</v>
      </c>
      <c r="I614">
        <v>2021</v>
      </c>
      <c r="J614">
        <v>2021</v>
      </c>
      <c r="K614" t="s">
        <v>339</v>
      </c>
      <c r="L614">
        <v>500815.6</v>
      </c>
      <c r="M614" t="s">
        <v>829</v>
      </c>
      <c r="N614" t="s">
        <v>830</v>
      </c>
    </row>
    <row r="615" spans="1:18" x14ac:dyDescent="0.3">
      <c r="A615" t="s">
        <v>126</v>
      </c>
      <c r="B615" t="s">
        <v>125</v>
      </c>
      <c r="C615" t="s">
        <v>465</v>
      </c>
      <c r="D615" t="s">
        <v>831</v>
      </c>
      <c r="E615">
        <v>5510</v>
      </c>
      <c r="F615" t="s">
        <v>128</v>
      </c>
      <c r="G615">
        <v>1616</v>
      </c>
      <c r="H615" t="s">
        <v>131</v>
      </c>
      <c r="I615">
        <v>2021</v>
      </c>
      <c r="J615">
        <v>2021</v>
      </c>
      <c r="K615" t="s">
        <v>339</v>
      </c>
      <c r="L615">
        <v>225000</v>
      </c>
      <c r="M615" t="s">
        <v>832</v>
      </c>
      <c r="N615" t="s">
        <v>833</v>
      </c>
    </row>
    <row r="616" spans="1:18" x14ac:dyDescent="0.3">
      <c r="A616" t="s">
        <v>126</v>
      </c>
      <c r="B616" t="s">
        <v>125</v>
      </c>
      <c r="C616" t="s">
        <v>465</v>
      </c>
      <c r="D616" t="s">
        <v>831</v>
      </c>
      <c r="E616">
        <v>5610</v>
      </c>
      <c r="F616" t="s">
        <v>127</v>
      </c>
      <c r="G616">
        <v>1616</v>
      </c>
      <c r="H616" t="s">
        <v>131</v>
      </c>
      <c r="I616">
        <v>2021</v>
      </c>
      <c r="J616">
        <v>2021</v>
      </c>
      <c r="K616" t="s">
        <v>339</v>
      </c>
      <c r="L616">
        <v>496013.14</v>
      </c>
      <c r="M616" t="s">
        <v>829</v>
      </c>
      <c r="N616" t="s">
        <v>830</v>
      </c>
    </row>
    <row r="617" spans="1:18" x14ac:dyDescent="0.3">
      <c r="A617" t="s">
        <v>126</v>
      </c>
      <c r="B617" t="s">
        <v>125</v>
      </c>
      <c r="C617" t="s">
        <v>465</v>
      </c>
      <c r="D617" t="s">
        <v>831</v>
      </c>
      <c r="E617">
        <v>5910</v>
      </c>
      <c r="F617" t="s">
        <v>124</v>
      </c>
      <c r="G617">
        <v>1616</v>
      </c>
      <c r="H617" t="s">
        <v>131</v>
      </c>
      <c r="I617">
        <v>2021</v>
      </c>
      <c r="J617">
        <v>2021</v>
      </c>
      <c r="K617" t="s">
        <v>339</v>
      </c>
      <c r="L617">
        <v>235933.69</v>
      </c>
      <c r="M617" t="s">
        <v>829</v>
      </c>
      <c r="N617" t="s">
        <v>830</v>
      </c>
    </row>
    <row r="618" spans="1:18" x14ac:dyDescent="0.3">
      <c r="A618" t="s">
        <v>126</v>
      </c>
      <c r="B618" t="s">
        <v>125</v>
      </c>
      <c r="C618" t="s">
        <v>465</v>
      </c>
      <c r="D618" t="s">
        <v>831</v>
      </c>
      <c r="E618">
        <v>5510</v>
      </c>
      <c r="F618" t="s">
        <v>128</v>
      </c>
      <c r="G618">
        <v>1675</v>
      </c>
      <c r="H618" t="s">
        <v>87</v>
      </c>
      <c r="I618">
        <v>2021</v>
      </c>
      <c r="J618">
        <v>2021</v>
      </c>
      <c r="K618" t="s">
        <v>339</v>
      </c>
      <c r="L618">
        <v>10964000</v>
      </c>
      <c r="M618" t="s">
        <v>397</v>
      </c>
      <c r="N618" t="s">
        <v>398</v>
      </c>
    </row>
    <row r="619" spans="1:18" x14ac:dyDescent="0.3">
      <c r="A619" t="s">
        <v>126</v>
      </c>
      <c r="B619" t="s">
        <v>125</v>
      </c>
      <c r="C619" t="s">
        <v>465</v>
      </c>
      <c r="D619" t="s">
        <v>831</v>
      </c>
      <c r="E619">
        <v>5610</v>
      </c>
      <c r="F619" t="s">
        <v>127</v>
      </c>
      <c r="G619">
        <v>1675</v>
      </c>
      <c r="H619" t="s">
        <v>87</v>
      </c>
      <c r="I619">
        <v>2021</v>
      </c>
      <c r="J619">
        <v>2021</v>
      </c>
      <c r="K619" t="s">
        <v>339</v>
      </c>
      <c r="L619">
        <v>668867.78</v>
      </c>
      <c r="M619" t="s">
        <v>397</v>
      </c>
      <c r="N619" t="s">
        <v>398</v>
      </c>
    </row>
    <row r="620" spans="1:18" x14ac:dyDescent="0.3">
      <c r="A620" t="s">
        <v>126</v>
      </c>
      <c r="B620" t="s">
        <v>125</v>
      </c>
      <c r="C620" t="s">
        <v>465</v>
      </c>
      <c r="D620" t="s">
        <v>831</v>
      </c>
      <c r="E620">
        <v>5910</v>
      </c>
      <c r="F620" t="s">
        <v>124</v>
      </c>
      <c r="G620">
        <v>1675</v>
      </c>
      <c r="H620" t="s">
        <v>87</v>
      </c>
      <c r="I620">
        <v>2021</v>
      </c>
      <c r="J620">
        <v>2021</v>
      </c>
      <c r="K620" t="s">
        <v>339</v>
      </c>
      <c r="L620">
        <v>2212902.7400000002</v>
      </c>
      <c r="M620" t="s">
        <v>397</v>
      </c>
      <c r="N620" t="s">
        <v>398</v>
      </c>
    </row>
    <row r="621" spans="1:18" x14ac:dyDescent="0.3">
      <c r="A621" t="s">
        <v>126</v>
      </c>
      <c r="B621" t="s">
        <v>125</v>
      </c>
      <c r="C621" t="s">
        <v>465</v>
      </c>
      <c r="D621" t="s">
        <v>831</v>
      </c>
      <c r="E621">
        <v>5510</v>
      </c>
      <c r="F621" t="s">
        <v>128</v>
      </c>
      <c r="G621">
        <v>1676</v>
      </c>
      <c r="H621" t="s">
        <v>86</v>
      </c>
      <c r="I621">
        <v>2021</v>
      </c>
      <c r="J621">
        <v>2021</v>
      </c>
      <c r="K621" t="s">
        <v>339</v>
      </c>
      <c r="L621">
        <v>219000</v>
      </c>
      <c r="M621" t="s">
        <v>832</v>
      </c>
      <c r="N621" t="s">
        <v>833</v>
      </c>
      <c r="O621">
        <v>208050</v>
      </c>
      <c r="P621">
        <v>0.20804999999999998</v>
      </c>
      <c r="Q621" t="s">
        <v>811</v>
      </c>
      <c r="R621" s="141">
        <v>0.95</v>
      </c>
    </row>
    <row r="622" spans="1:18" x14ac:dyDescent="0.3">
      <c r="A622" t="s">
        <v>126</v>
      </c>
      <c r="B622" t="s">
        <v>125</v>
      </c>
      <c r="C622" t="s">
        <v>465</v>
      </c>
      <c r="D622" t="s">
        <v>831</v>
      </c>
      <c r="E622">
        <v>5610</v>
      </c>
      <c r="F622" t="s">
        <v>127</v>
      </c>
      <c r="G622">
        <v>1676</v>
      </c>
      <c r="H622" t="s">
        <v>86</v>
      </c>
      <c r="I622">
        <v>2021</v>
      </c>
      <c r="J622">
        <v>2021</v>
      </c>
      <c r="K622" t="s">
        <v>339</v>
      </c>
      <c r="L622">
        <v>8512.92</v>
      </c>
      <c r="M622" t="s">
        <v>829</v>
      </c>
      <c r="N622" t="s">
        <v>830</v>
      </c>
      <c r="O622">
        <v>8087.2739999999994</v>
      </c>
      <c r="P622">
        <v>8.0872739999999985E-3</v>
      </c>
      <c r="Q622" t="s">
        <v>812</v>
      </c>
      <c r="R622" s="141">
        <v>0.95</v>
      </c>
    </row>
    <row r="623" spans="1:18" x14ac:dyDescent="0.3">
      <c r="A623" t="s">
        <v>126</v>
      </c>
      <c r="B623" t="s">
        <v>125</v>
      </c>
      <c r="C623" t="s">
        <v>465</v>
      </c>
      <c r="D623" t="s">
        <v>831</v>
      </c>
      <c r="E623">
        <v>5910</v>
      </c>
      <c r="F623" t="s">
        <v>124</v>
      </c>
      <c r="G623">
        <v>1676</v>
      </c>
      <c r="H623" t="s">
        <v>86</v>
      </c>
      <c r="I623">
        <v>2021</v>
      </c>
      <c r="J623">
        <v>2021</v>
      </c>
      <c r="K623" t="s">
        <v>339</v>
      </c>
      <c r="L623">
        <v>29613.7</v>
      </c>
      <c r="M623" t="s">
        <v>829</v>
      </c>
      <c r="N623" t="s">
        <v>830</v>
      </c>
      <c r="O623">
        <v>28133.014999999999</v>
      </c>
      <c r="P623">
        <v>2.8133014999999997E-2</v>
      </c>
      <c r="Q623" t="s">
        <v>813</v>
      </c>
      <c r="R623" s="141">
        <v>0.95</v>
      </c>
    </row>
    <row r="624" spans="1:18" x14ac:dyDescent="0.3">
      <c r="A624" t="s">
        <v>126</v>
      </c>
      <c r="B624" t="s">
        <v>125</v>
      </c>
      <c r="C624" t="s">
        <v>465</v>
      </c>
      <c r="D624" t="s">
        <v>831</v>
      </c>
      <c r="E624">
        <v>5510</v>
      </c>
      <c r="F624" t="s">
        <v>128</v>
      </c>
      <c r="G624">
        <v>1681</v>
      </c>
      <c r="H624" t="s">
        <v>130</v>
      </c>
      <c r="I624">
        <v>2021</v>
      </c>
      <c r="J624">
        <v>2021</v>
      </c>
    </row>
    <row r="625" spans="1:18" x14ac:dyDescent="0.3">
      <c r="A625" t="s">
        <v>126</v>
      </c>
      <c r="B625" t="s">
        <v>125</v>
      </c>
      <c r="C625" t="s">
        <v>465</v>
      </c>
      <c r="D625" t="s">
        <v>831</v>
      </c>
      <c r="E625">
        <v>5610</v>
      </c>
      <c r="F625" t="s">
        <v>127</v>
      </c>
      <c r="G625">
        <v>1681</v>
      </c>
      <c r="H625" t="s">
        <v>130</v>
      </c>
      <c r="I625">
        <v>2021</v>
      </c>
      <c r="J625">
        <v>2021</v>
      </c>
    </row>
    <row r="626" spans="1:18" x14ac:dyDescent="0.3">
      <c r="A626" t="s">
        <v>126</v>
      </c>
      <c r="B626" t="s">
        <v>125</v>
      </c>
      <c r="C626" t="s">
        <v>465</v>
      </c>
      <c r="D626" t="s">
        <v>831</v>
      </c>
      <c r="E626">
        <v>5910</v>
      </c>
      <c r="F626" t="s">
        <v>124</v>
      </c>
      <c r="G626">
        <v>1681</v>
      </c>
      <c r="H626" t="s">
        <v>130</v>
      </c>
      <c r="I626">
        <v>2021</v>
      </c>
      <c r="J626">
        <v>2021</v>
      </c>
    </row>
    <row r="627" spans="1:18" x14ac:dyDescent="0.3">
      <c r="A627" t="s">
        <v>126</v>
      </c>
      <c r="B627" t="s">
        <v>125</v>
      </c>
      <c r="C627" t="s">
        <v>465</v>
      </c>
      <c r="D627" t="s">
        <v>831</v>
      </c>
      <c r="E627">
        <v>5510</v>
      </c>
      <c r="F627" t="s">
        <v>128</v>
      </c>
      <c r="G627">
        <v>1617</v>
      </c>
      <c r="H627" t="s">
        <v>85</v>
      </c>
      <c r="I627">
        <v>2021</v>
      </c>
      <c r="J627">
        <v>2021</v>
      </c>
      <c r="K627" t="s">
        <v>339</v>
      </c>
      <c r="L627">
        <v>6985000</v>
      </c>
      <c r="M627" t="s">
        <v>832</v>
      </c>
      <c r="N627" t="s">
        <v>833</v>
      </c>
      <c r="O627">
        <v>6635750</v>
      </c>
      <c r="P627">
        <v>6.6357499999999998</v>
      </c>
      <c r="Q627" t="s">
        <v>814</v>
      </c>
      <c r="R627" s="141">
        <v>0.95</v>
      </c>
    </row>
    <row r="628" spans="1:18" x14ac:dyDescent="0.3">
      <c r="A628" t="s">
        <v>126</v>
      </c>
      <c r="B628" t="s">
        <v>125</v>
      </c>
      <c r="C628" t="s">
        <v>465</v>
      </c>
      <c r="D628" t="s">
        <v>831</v>
      </c>
      <c r="E628">
        <v>5610</v>
      </c>
      <c r="F628" t="s">
        <v>127</v>
      </c>
      <c r="G628">
        <v>1617</v>
      </c>
      <c r="H628" t="s">
        <v>85</v>
      </c>
      <c r="I628">
        <v>2021</v>
      </c>
      <c r="J628">
        <v>2021</v>
      </c>
      <c r="K628" t="s">
        <v>339</v>
      </c>
      <c r="L628">
        <v>160967.04000000001</v>
      </c>
      <c r="M628" t="s">
        <v>829</v>
      </c>
      <c r="N628" t="s">
        <v>830</v>
      </c>
      <c r="O628">
        <v>152918.68799999999</v>
      </c>
      <c r="P628">
        <v>0.152918688</v>
      </c>
      <c r="Q628" t="s">
        <v>815</v>
      </c>
      <c r="R628" s="141">
        <v>0.95</v>
      </c>
    </row>
    <row r="629" spans="1:18" x14ac:dyDescent="0.3">
      <c r="A629" t="s">
        <v>126</v>
      </c>
      <c r="B629" t="s">
        <v>125</v>
      </c>
      <c r="C629" t="s">
        <v>465</v>
      </c>
      <c r="D629" t="s">
        <v>831</v>
      </c>
      <c r="E629">
        <v>5910</v>
      </c>
      <c r="F629" t="s">
        <v>124</v>
      </c>
      <c r="G629">
        <v>1617</v>
      </c>
      <c r="H629" t="s">
        <v>85</v>
      </c>
      <c r="I629">
        <v>2021</v>
      </c>
      <c r="J629">
        <v>2021</v>
      </c>
      <c r="K629" t="s">
        <v>339</v>
      </c>
      <c r="L629">
        <v>962482.68</v>
      </c>
      <c r="M629" t="s">
        <v>829</v>
      </c>
      <c r="N629" t="s">
        <v>830</v>
      </c>
      <c r="O629">
        <v>914358.54599999997</v>
      </c>
      <c r="P629">
        <v>0.91435854599999988</v>
      </c>
      <c r="Q629" t="s">
        <v>816</v>
      </c>
      <c r="R629" s="141">
        <v>0.95</v>
      </c>
    </row>
    <row r="630" spans="1:18" x14ac:dyDescent="0.3">
      <c r="A630" t="s">
        <v>126</v>
      </c>
      <c r="B630" t="s">
        <v>125</v>
      </c>
      <c r="C630" t="s">
        <v>465</v>
      </c>
      <c r="D630" t="s">
        <v>831</v>
      </c>
      <c r="E630">
        <v>5510</v>
      </c>
      <c r="F630" t="s">
        <v>128</v>
      </c>
      <c r="G630">
        <v>1618</v>
      </c>
      <c r="H630" t="s">
        <v>84</v>
      </c>
      <c r="I630">
        <v>2021</v>
      </c>
      <c r="J630">
        <v>2021</v>
      </c>
      <c r="K630" t="s">
        <v>339</v>
      </c>
      <c r="L630">
        <v>2835000</v>
      </c>
      <c r="M630" t="s">
        <v>832</v>
      </c>
      <c r="N630" t="s">
        <v>833</v>
      </c>
      <c r="O630">
        <v>2693250</v>
      </c>
      <c r="P630">
        <v>2.6932499999999999</v>
      </c>
      <c r="Q630" t="s">
        <v>817</v>
      </c>
      <c r="R630" s="141">
        <v>0.95</v>
      </c>
    </row>
    <row r="631" spans="1:18" x14ac:dyDescent="0.3">
      <c r="A631" t="s">
        <v>126</v>
      </c>
      <c r="B631" t="s">
        <v>125</v>
      </c>
      <c r="C631" t="s">
        <v>465</v>
      </c>
      <c r="D631" t="s">
        <v>831</v>
      </c>
      <c r="E631">
        <v>5610</v>
      </c>
      <c r="F631" t="s">
        <v>127</v>
      </c>
      <c r="G631">
        <v>1618</v>
      </c>
      <c r="H631" t="s">
        <v>84</v>
      </c>
      <c r="I631">
        <v>2021</v>
      </c>
      <c r="J631">
        <v>2021</v>
      </c>
      <c r="K631" t="s">
        <v>339</v>
      </c>
      <c r="L631">
        <v>243364.83</v>
      </c>
      <c r="M631" t="s">
        <v>829</v>
      </c>
      <c r="N631" t="s">
        <v>830</v>
      </c>
      <c r="O631">
        <v>231196.58849999998</v>
      </c>
      <c r="P631">
        <v>0.23119658849999997</v>
      </c>
      <c r="Q631" t="s">
        <v>818</v>
      </c>
      <c r="R631" s="141">
        <v>0.95</v>
      </c>
    </row>
    <row r="632" spans="1:18" x14ac:dyDescent="0.3">
      <c r="A632" t="s">
        <v>126</v>
      </c>
      <c r="B632" t="s">
        <v>125</v>
      </c>
      <c r="C632" t="s">
        <v>465</v>
      </c>
      <c r="D632" t="s">
        <v>831</v>
      </c>
      <c r="E632">
        <v>5910</v>
      </c>
      <c r="F632" t="s">
        <v>124</v>
      </c>
      <c r="G632">
        <v>1618</v>
      </c>
      <c r="H632" t="s">
        <v>84</v>
      </c>
      <c r="I632">
        <v>2021</v>
      </c>
      <c r="J632">
        <v>2021</v>
      </c>
      <c r="K632" t="s">
        <v>339</v>
      </c>
      <c r="L632">
        <v>735516.37</v>
      </c>
      <c r="M632" t="s">
        <v>829</v>
      </c>
      <c r="N632" t="s">
        <v>830</v>
      </c>
      <c r="O632">
        <v>698740.55149999994</v>
      </c>
      <c r="P632">
        <v>0.69874055149999992</v>
      </c>
      <c r="Q632" t="s">
        <v>819</v>
      </c>
      <c r="R632" s="141">
        <v>0.95</v>
      </c>
    </row>
    <row r="633" spans="1:18" x14ac:dyDescent="0.3">
      <c r="A633" t="s">
        <v>126</v>
      </c>
      <c r="B633" t="s">
        <v>125</v>
      </c>
      <c r="C633" t="s">
        <v>465</v>
      </c>
      <c r="D633" t="s">
        <v>831</v>
      </c>
      <c r="E633">
        <v>5510</v>
      </c>
      <c r="F633" t="s">
        <v>128</v>
      </c>
      <c r="G633">
        <v>1621</v>
      </c>
      <c r="H633" t="s">
        <v>129</v>
      </c>
      <c r="I633">
        <v>2021</v>
      </c>
      <c r="J633">
        <v>2021</v>
      </c>
      <c r="K633" t="s">
        <v>339</v>
      </c>
      <c r="L633">
        <v>185000</v>
      </c>
      <c r="M633" t="s">
        <v>832</v>
      </c>
      <c r="N633" t="s">
        <v>833</v>
      </c>
      <c r="O633">
        <v>175750</v>
      </c>
      <c r="P633">
        <v>0.17574999999999999</v>
      </c>
      <c r="Q633" t="s">
        <v>820</v>
      </c>
      <c r="R633" s="141">
        <v>0.95</v>
      </c>
    </row>
    <row r="634" spans="1:18" x14ac:dyDescent="0.3">
      <c r="A634" t="s">
        <v>126</v>
      </c>
      <c r="B634" t="s">
        <v>125</v>
      </c>
      <c r="C634" t="s">
        <v>465</v>
      </c>
      <c r="D634" t="s">
        <v>831</v>
      </c>
      <c r="E634">
        <v>5610</v>
      </c>
      <c r="F634" t="s">
        <v>127</v>
      </c>
      <c r="G634">
        <v>1621</v>
      </c>
      <c r="H634" t="s">
        <v>129</v>
      </c>
      <c r="I634">
        <v>2021</v>
      </c>
      <c r="J634">
        <v>2021</v>
      </c>
      <c r="K634" t="s">
        <v>339</v>
      </c>
      <c r="L634">
        <v>224329.35</v>
      </c>
      <c r="M634" t="s">
        <v>829</v>
      </c>
      <c r="N634" t="s">
        <v>830</v>
      </c>
      <c r="O634">
        <v>213112.88250000001</v>
      </c>
      <c r="P634">
        <v>0.21311288249999999</v>
      </c>
      <c r="Q634" t="s">
        <v>821</v>
      </c>
      <c r="R634" s="141">
        <v>0.95</v>
      </c>
    </row>
    <row r="635" spans="1:18" x14ac:dyDescent="0.3">
      <c r="A635" t="s">
        <v>126</v>
      </c>
      <c r="B635" t="s">
        <v>125</v>
      </c>
      <c r="C635" t="s">
        <v>465</v>
      </c>
      <c r="D635" t="s">
        <v>831</v>
      </c>
      <c r="E635">
        <v>5910</v>
      </c>
      <c r="F635" t="s">
        <v>124</v>
      </c>
      <c r="G635">
        <v>1621</v>
      </c>
      <c r="H635" t="s">
        <v>129</v>
      </c>
      <c r="I635">
        <v>2021</v>
      </c>
      <c r="J635">
        <v>2021</v>
      </c>
      <c r="K635" t="s">
        <v>339</v>
      </c>
      <c r="L635">
        <v>288287.71000000002</v>
      </c>
      <c r="M635" t="s">
        <v>829</v>
      </c>
      <c r="N635" t="s">
        <v>830</v>
      </c>
      <c r="O635">
        <v>273873.32449999999</v>
      </c>
      <c r="P635">
        <v>0.27387332449999996</v>
      </c>
      <c r="Q635" t="s">
        <v>822</v>
      </c>
      <c r="R635" s="141">
        <v>0.95</v>
      </c>
    </row>
    <row r="636" spans="1:18" x14ac:dyDescent="0.3">
      <c r="A636" t="s">
        <v>126</v>
      </c>
      <c r="B636" t="s">
        <v>125</v>
      </c>
      <c r="C636" t="s">
        <v>465</v>
      </c>
      <c r="D636" t="s">
        <v>831</v>
      </c>
      <c r="E636">
        <v>5510</v>
      </c>
      <c r="F636" t="s">
        <v>128</v>
      </c>
      <c r="G636">
        <v>1622</v>
      </c>
      <c r="H636" t="s">
        <v>83</v>
      </c>
      <c r="I636">
        <v>2021</v>
      </c>
      <c r="J636">
        <v>2021</v>
      </c>
      <c r="O636">
        <v>0</v>
      </c>
      <c r="P636">
        <v>0</v>
      </c>
      <c r="Q636" t="s">
        <v>823</v>
      </c>
      <c r="R636" s="141">
        <v>0.95</v>
      </c>
    </row>
    <row r="637" spans="1:18" x14ac:dyDescent="0.3">
      <c r="A637" t="s">
        <v>126</v>
      </c>
      <c r="B637" t="s">
        <v>125</v>
      </c>
      <c r="C637" t="s">
        <v>465</v>
      </c>
      <c r="D637" t="s">
        <v>831</v>
      </c>
      <c r="E637">
        <v>5610</v>
      </c>
      <c r="F637" t="s">
        <v>127</v>
      </c>
      <c r="G637">
        <v>1622</v>
      </c>
      <c r="H637" t="s">
        <v>83</v>
      </c>
      <c r="I637">
        <v>2021</v>
      </c>
      <c r="J637">
        <v>2021</v>
      </c>
      <c r="K637" t="s">
        <v>339</v>
      </c>
      <c r="L637">
        <v>12212.03</v>
      </c>
      <c r="M637" t="s">
        <v>829</v>
      </c>
      <c r="N637" t="s">
        <v>830</v>
      </c>
      <c r="O637">
        <v>11601.4285</v>
      </c>
      <c r="P637">
        <v>1.16014285E-2</v>
      </c>
      <c r="Q637" t="s">
        <v>824</v>
      </c>
      <c r="R637" s="141">
        <v>0.95</v>
      </c>
    </row>
    <row r="638" spans="1:18" x14ac:dyDescent="0.3">
      <c r="A638" t="s">
        <v>126</v>
      </c>
      <c r="B638" t="s">
        <v>125</v>
      </c>
      <c r="C638" t="s">
        <v>465</v>
      </c>
      <c r="D638" t="s">
        <v>831</v>
      </c>
      <c r="E638">
        <v>5910</v>
      </c>
      <c r="F638" t="s">
        <v>124</v>
      </c>
      <c r="G638">
        <v>1622</v>
      </c>
      <c r="H638" t="s">
        <v>83</v>
      </c>
      <c r="I638">
        <v>2021</v>
      </c>
      <c r="J638">
        <v>2021</v>
      </c>
      <c r="K638" t="s">
        <v>339</v>
      </c>
      <c r="L638">
        <v>153685.12</v>
      </c>
      <c r="M638" t="s">
        <v>829</v>
      </c>
      <c r="N638" t="s">
        <v>830</v>
      </c>
      <c r="O638">
        <v>146000.864</v>
      </c>
      <c r="P638">
        <v>0.14600086400000001</v>
      </c>
      <c r="Q638" t="s">
        <v>825</v>
      </c>
      <c r="R638" s="141">
        <v>0.95</v>
      </c>
    </row>
    <row r="639" spans="1:18" x14ac:dyDescent="0.3">
      <c r="A639" t="s">
        <v>126</v>
      </c>
      <c r="B639" t="s">
        <v>125</v>
      </c>
      <c r="C639" t="s">
        <v>465</v>
      </c>
      <c r="D639" t="s">
        <v>831</v>
      </c>
      <c r="E639">
        <v>5510</v>
      </c>
      <c r="F639" t="s">
        <v>128</v>
      </c>
      <c r="G639">
        <v>1683</v>
      </c>
      <c r="H639" t="s">
        <v>123</v>
      </c>
      <c r="I639">
        <v>2021</v>
      </c>
      <c r="J639">
        <v>2021</v>
      </c>
      <c r="K639" t="s">
        <v>339</v>
      </c>
      <c r="L639">
        <v>740000</v>
      </c>
      <c r="M639" t="s">
        <v>832</v>
      </c>
      <c r="N639" t="s">
        <v>833</v>
      </c>
      <c r="O639">
        <v>703000</v>
      </c>
      <c r="P639">
        <v>0.70299999999999996</v>
      </c>
      <c r="Q639" t="s">
        <v>826</v>
      </c>
      <c r="R639" s="141">
        <v>0.95</v>
      </c>
    </row>
    <row r="640" spans="1:18" x14ac:dyDescent="0.3">
      <c r="A640" t="s">
        <v>126</v>
      </c>
      <c r="B640" t="s">
        <v>125</v>
      </c>
      <c r="C640" t="s">
        <v>465</v>
      </c>
      <c r="D640" t="s">
        <v>831</v>
      </c>
      <c r="E640">
        <v>5610</v>
      </c>
      <c r="F640" t="s">
        <v>127</v>
      </c>
      <c r="G640">
        <v>1683</v>
      </c>
      <c r="H640" t="s">
        <v>123</v>
      </c>
      <c r="I640">
        <v>2021</v>
      </c>
      <c r="J640">
        <v>2021</v>
      </c>
      <c r="K640" t="s">
        <v>339</v>
      </c>
      <c r="L640">
        <v>19481.62</v>
      </c>
      <c r="M640" t="s">
        <v>829</v>
      </c>
      <c r="N640" t="s">
        <v>830</v>
      </c>
      <c r="O640">
        <v>18507.538999999997</v>
      </c>
      <c r="P640">
        <v>1.8507538999999996E-2</v>
      </c>
      <c r="Q640" t="s">
        <v>827</v>
      </c>
      <c r="R640" s="141">
        <v>0.95</v>
      </c>
    </row>
    <row r="641" spans="1:18" x14ac:dyDescent="0.3">
      <c r="A641" t="s">
        <v>126</v>
      </c>
      <c r="B641" t="s">
        <v>125</v>
      </c>
      <c r="C641" t="s">
        <v>465</v>
      </c>
      <c r="D641" t="s">
        <v>831</v>
      </c>
      <c r="E641">
        <v>5910</v>
      </c>
      <c r="F641" t="s">
        <v>124</v>
      </c>
      <c r="G641">
        <v>1683</v>
      </c>
      <c r="H641" t="s">
        <v>123</v>
      </c>
      <c r="I641">
        <v>2021</v>
      </c>
      <c r="J641">
        <v>2021</v>
      </c>
      <c r="K641" t="s">
        <v>339</v>
      </c>
      <c r="L641">
        <v>43317.16</v>
      </c>
      <c r="M641" t="s">
        <v>829</v>
      </c>
      <c r="N641" t="s">
        <v>830</v>
      </c>
      <c r="O641">
        <v>41151.302000000003</v>
      </c>
      <c r="P641">
        <v>4.1151302000000001E-2</v>
      </c>
      <c r="Q641" t="s">
        <v>828</v>
      </c>
      <c r="R641" s="141">
        <v>0.95</v>
      </c>
    </row>
    <row r="642" spans="1:18" x14ac:dyDescent="0.3">
      <c r="A642" t="s">
        <v>126</v>
      </c>
      <c r="B642" t="s">
        <v>125</v>
      </c>
      <c r="C642" t="s">
        <v>466</v>
      </c>
      <c r="D642" t="s">
        <v>836</v>
      </c>
      <c r="E642">
        <v>5516</v>
      </c>
      <c r="F642" t="s">
        <v>128</v>
      </c>
      <c r="G642">
        <v>1627</v>
      </c>
      <c r="H642" t="s">
        <v>121</v>
      </c>
      <c r="I642">
        <v>2021</v>
      </c>
      <c r="J642">
        <v>2021</v>
      </c>
      <c r="K642" t="s">
        <v>143</v>
      </c>
      <c r="L642">
        <v>0</v>
      </c>
      <c r="M642" t="s">
        <v>397</v>
      </c>
      <c r="N642" t="s">
        <v>398</v>
      </c>
      <c r="O642">
        <v>0</v>
      </c>
      <c r="P642">
        <v>0</v>
      </c>
      <c r="Q642" t="s">
        <v>724</v>
      </c>
      <c r="R642" s="141">
        <v>0.42725000000000002</v>
      </c>
    </row>
    <row r="643" spans="1:18" x14ac:dyDescent="0.3">
      <c r="A643" t="s">
        <v>126</v>
      </c>
      <c r="B643" t="s">
        <v>125</v>
      </c>
      <c r="C643" t="s">
        <v>466</v>
      </c>
      <c r="D643" t="s">
        <v>836</v>
      </c>
      <c r="E643">
        <v>5616</v>
      </c>
      <c r="F643" t="s">
        <v>127</v>
      </c>
      <c r="G643">
        <v>1627</v>
      </c>
      <c r="H643" t="s">
        <v>121</v>
      </c>
      <c r="I643">
        <v>2021</v>
      </c>
      <c r="J643">
        <v>2021</v>
      </c>
      <c r="K643" t="s">
        <v>143</v>
      </c>
      <c r="L643">
        <v>163</v>
      </c>
      <c r="M643" t="s">
        <v>832</v>
      </c>
      <c r="N643" t="s">
        <v>833</v>
      </c>
      <c r="O643">
        <v>69.641750000000002</v>
      </c>
      <c r="P643">
        <v>6.9641750000000005E-5</v>
      </c>
      <c r="Q643" t="s">
        <v>725</v>
      </c>
      <c r="R643" s="141">
        <v>0.42725000000000002</v>
      </c>
    </row>
    <row r="644" spans="1:18" x14ac:dyDescent="0.3">
      <c r="A644" t="s">
        <v>126</v>
      </c>
      <c r="B644" t="s">
        <v>125</v>
      </c>
      <c r="C644" t="s">
        <v>466</v>
      </c>
      <c r="D644" t="s">
        <v>836</v>
      </c>
      <c r="E644">
        <v>5916</v>
      </c>
      <c r="F644" t="s">
        <v>124</v>
      </c>
      <c r="G644">
        <v>1627</v>
      </c>
      <c r="H644" t="s">
        <v>121</v>
      </c>
      <c r="I644">
        <v>2021</v>
      </c>
      <c r="J644">
        <v>2021</v>
      </c>
      <c r="K644" t="s">
        <v>143</v>
      </c>
      <c r="L644">
        <v>1.82</v>
      </c>
      <c r="M644" t="s">
        <v>829</v>
      </c>
      <c r="N644" t="s">
        <v>830</v>
      </c>
      <c r="O644">
        <v>0.77759500000000004</v>
      </c>
      <c r="P644">
        <v>7.7759500000000005E-7</v>
      </c>
      <c r="Q644" t="s">
        <v>726</v>
      </c>
      <c r="R644" s="141">
        <v>0.42725000000000002</v>
      </c>
    </row>
    <row r="645" spans="1:18" x14ac:dyDescent="0.3">
      <c r="A645" t="s">
        <v>126</v>
      </c>
      <c r="B645" t="s">
        <v>125</v>
      </c>
      <c r="C645" t="s">
        <v>466</v>
      </c>
      <c r="D645" t="s">
        <v>836</v>
      </c>
      <c r="E645">
        <v>5516</v>
      </c>
      <c r="F645" t="s">
        <v>128</v>
      </c>
      <c r="G645">
        <v>1628</v>
      </c>
      <c r="H645" t="s">
        <v>120</v>
      </c>
      <c r="I645">
        <v>2021</v>
      </c>
      <c r="J645">
        <v>2021</v>
      </c>
      <c r="K645" t="s">
        <v>143</v>
      </c>
      <c r="L645">
        <v>9350000</v>
      </c>
      <c r="M645" t="s">
        <v>399</v>
      </c>
      <c r="N645" t="s">
        <v>400</v>
      </c>
      <c r="O645">
        <v>7480000</v>
      </c>
      <c r="P645">
        <v>7.4799999999999995</v>
      </c>
      <c r="Q645" t="s">
        <v>727</v>
      </c>
      <c r="R645" s="141">
        <v>0.8</v>
      </c>
    </row>
    <row r="646" spans="1:18" x14ac:dyDescent="0.3">
      <c r="A646" t="s">
        <v>126</v>
      </c>
      <c r="B646" t="s">
        <v>125</v>
      </c>
      <c r="C646" t="s">
        <v>466</v>
      </c>
      <c r="D646" t="s">
        <v>836</v>
      </c>
      <c r="E646">
        <v>5616</v>
      </c>
      <c r="F646" t="s">
        <v>127</v>
      </c>
      <c r="G646">
        <v>1628</v>
      </c>
      <c r="H646" t="s">
        <v>120</v>
      </c>
      <c r="I646">
        <v>2021</v>
      </c>
      <c r="J646">
        <v>2021</v>
      </c>
      <c r="K646" t="s">
        <v>143</v>
      </c>
      <c r="L646">
        <v>5042.25</v>
      </c>
      <c r="M646" t="s">
        <v>829</v>
      </c>
      <c r="N646" t="s">
        <v>830</v>
      </c>
      <c r="O646">
        <v>4033.8</v>
      </c>
      <c r="P646">
        <v>4.0337999999999997E-3</v>
      </c>
      <c r="Q646" t="s">
        <v>728</v>
      </c>
      <c r="R646" s="141">
        <v>0.8</v>
      </c>
    </row>
    <row r="647" spans="1:18" x14ac:dyDescent="0.3">
      <c r="A647" t="s">
        <v>126</v>
      </c>
      <c r="B647" t="s">
        <v>125</v>
      </c>
      <c r="C647" t="s">
        <v>466</v>
      </c>
      <c r="D647" t="s">
        <v>836</v>
      </c>
      <c r="E647">
        <v>5916</v>
      </c>
      <c r="F647" t="s">
        <v>124</v>
      </c>
      <c r="G647">
        <v>1628</v>
      </c>
      <c r="H647" t="s">
        <v>120</v>
      </c>
      <c r="I647">
        <v>2021</v>
      </c>
      <c r="J647">
        <v>2021</v>
      </c>
      <c r="K647" t="s">
        <v>143</v>
      </c>
      <c r="L647">
        <v>341.35</v>
      </c>
      <c r="M647" t="s">
        <v>829</v>
      </c>
      <c r="N647" t="s">
        <v>830</v>
      </c>
      <c r="O647">
        <v>273.08000000000004</v>
      </c>
      <c r="P647">
        <v>2.7308000000000003E-4</v>
      </c>
      <c r="Q647" t="s">
        <v>729</v>
      </c>
      <c r="R647" s="141">
        <v>0.8</v>
      </c>
    </row>
    <row r="648" spans="1:18" x14ac:dyDescent="0.3">
      <c r="A648" t="s">
        <v>126</v>
      </c>
      <c r="B648" t="s">
        <v>125</v>
      </c>
      <c r="C648" t="s">
        <v>466</v>
      </c>
      <c r="D648" t="s">
        <v>836</v>
      </c>
      <c r="E648">
        <v>5616</v>
      </c>
      <c r="F648" t="s">
        <v>127</v>
      </c>
      <c r="G648">
        <v>1629</v>
      </c>
      <c r="H648" t="s">
        <v>160</v>
      </c>
      <c r="I648">
        <v>2021</v>
      </c>
      <c r="J648">
        <v>2021</v>
      </c>
    </row>
    <row r="649" spans="1:18" x14ac:dyDescent="0.3">
      <c r="A649" t="s">
        <v>126</v>
      </c>
      <c r="B649" t="s">
        <v>125</v>
      </c>
      <c r="C649" t="s">
        <v>466</v>
      </c>
      <c r="D649" t="s">
        <v>836</v>
      </c>
      <c r="E649">
        <v>5916</v>
      </c>
      <c r="F649" t="s">
        <v>124</v>
      </c>
      <c r="G649">
        <v>1629</v>
      </c>
      <c r="H649" t="s">
        <v>160</v>
      </c>
      <c r="I649">
        <v>2021</v>
      </c>
      <c r="J649">
        <v>2021</v>
      </c>
    </row>
    <row r="650" spans="1:18" x14ac:dyDescent="0.3">
      <c r="A650" t="s">
        <v>126</v>
      </c>
      <c r="B650" t="s">
        <v>125</v>
      </c>
      <c r="C650" t="s">
        <v>466</v>
      </c>
      <c r="D650" t="s">
        <v>836</v>
      </c>
      <c r="E650">
        <v>5616</v>
      </c>
      <c r="F650" t="s">
        <v>127</v>
      </c>
      <c r="G650">
        <v>1651</v>
      </c>
      <c r="H650" t="s">
        <v>159</v>
      </c>
      <c r="I650">
        <v>2021</v>
      </c>
      <c r="J650">
        <v>2021</v>
      </c>
      <c r="K650" t="s">
        <v>143</v>
      </c>
      <c r="L650">
        <v>2586354</v>
      </c>
      <c r="M650" t="s">
        <v>829</v>
      </c>
      <c r="N650" t="s">
        <v>830</v>
      </c>
      <c r="O650">
        <v>1073336.9099999999</v>
      </c>
      <c r="P650">
        <v>1.0733369099999999</v>
      </c>
      <c r="Q650" t="s">
        <v>730</v>
      </c>
      <c r="R650" s="141">
        <v>0.41499999999999998</v>
      </c>
    </row>
    <row r="651" spans="1:18" x14ac:dyDescent="0.3">
      <c r="A651" t="s">
        <v>126</v>
      </c>
      <c r="B651" t="s">
        <v>125</v>
      </c>
      <c r="C651" t="s">
        <v>466</v>
      </c>
      <c r="D651" t="s">
        <v>836</v>
      </c>
      <c r="E651">
        <v>5916</v>
      </c>
      <c r="F651" t="s">
        <v>124</v>
      </c>
      <c r="G651">
        <v>1651</v>
      </c>
      <c r="H651" t="s">
        <v>159</v>
      </c>
      <c r="I651">
        <v>2021</v>
      </c>
      <c r="J651">
        <v>2021</v>
      </c>
      <c r="K651" t="s">
        <v>143</v>
      </c>
      <c r="L651">
        <v>1447092</v>
      </c>
      <c r="M651" t="s">
        <v>829</v>
      </c>
      <c r="N651" t="s">
        <v>830</v>
      </c>
      <c r="O651">
        <v>600543.17999999993</v>
      </c>
      <c r="P651">
        <v>0.60054317999999995</v>
      </c>
      <c r="Q651" t="s">
        <v>731</v>
      </c>
      <c r="R651" s="141">
        <v>0.41499999999999998</v>
      </c>
    </row>
    <row r="652" spans="1:18" x14ac:dyDescent="0.3">
      <c r="A652" t="s">
        <v>126</v>
      </c>
      <c r="B652" t="s">
        <v>125</v>
      </c>
      <c r="C652" t="s">
        <v>466</v>
      </c>
      <c r="D652" t="s">
        <v>836</v>
      </c>
      <c r="E652">
        <v>5616</v>
      </c>
      <c r="F652" t="s">
        <v>127</v>
      </c>
      <c r="G652">
        <v>1657</v>
      </c>
      <c r="H652" t="s">
        <v>158</v>
      </c>
      <c r="I652">
        <v>2021</v>
      </c>
      <c r="J652">
        <v>2021</v>
      </c>
      <c r="K652" t="s">
        <v>143</v>
      </c>
      <c r="L652">
        <v>13864</v>
      </c>
      <c r="M652" t="s">
        <v>829</v>
      </c>
      <c r="N652" t="s">
        <v>830</v>
      </c>
      <c r="O652">
        <v>7666.7920000000004</v>
      </c>
      <c r="P652">
        <v>7.6667920000000004E-3</v>
      </c>
      <c r="Q652" t="s">
        <v>732</v>
      </c>
      <c r="R652" s="141">
        <v>0.55300000000000005</v>
      </c>
    </row>
    <row r="653" spans="1:18" x14ac:dyDescent="0.3">
      <c r="A653" t="s">
        <v>126</v>
      </c>
      <c r="B653" t="s">
        <v>125</v>
      </c>
      <c r="C653" t="s">
        <v>466</v>
      </c>
      <c r="D653" t="s">
        <v>836</v>
      </c>
      <c r="E653">
        <v>5916</v>
      </c>
      <c r="F653" t="s">
        <v>124</v>
      </c>
      <c r="G653">
        <v>1657</v>
      </c>
      <c r="H653" t="s">
        <v>158</v>
      </c>
      <c r="I653">
        <v>2021</v>
      </c>
      <c r="J653">
        <v>2021</v>
      </c>
      <c r="K653" t="s">
        <v>143</v>
      </c>
      <c r="L653">
        <v>295</v>
      </c>
      <c r="M653" t="s">
        <v>834</v>
      </c>
      <c r="N653" t="s">
        <v>835</v>
      </c>
      <c r="O653">
        <v>163.13500000000002</v>
      </c>
      <c r="P653">
        <v>1.6313500000000002E-4</v>
      </c>
      <c r="Q653" t="s">
        <v>733</v>
      </c>
      <c r="R653" s="141">
        <v>0.55300000000000005</v>
      </c>
    </row>
    <row r="654" spans="1:18" x14ac:dyDescent="0.3">
      <c r="A654" t="s">
        <v>126</v>
      </c>
      <c r="B654" t="s">
        <v>125</v>
      </c>
      <c r="C654" t="s">
        <v>466</v>
      </c>
      <c r="D654" t="s">
        <v>836</v>
      </c>
      <c r="E654">
        <v>5616</v>
      </c>
      <c r="F654" t="s">
        <v>127</v>
      </c>
      <c r="G654">
        <v>1670</v>
      </c>
      <c r="H654" t="s">
        <v>157</v>
      </c>
      <c r="I654">
        <v>2021</v>
      </c>
      <c r="J654">
        <v>2021</v>
      </c>
      <c r="K654" t="s">
        <v>143</v>
      </c>
      <c r="L654">
        <v>13286</v>
      </c>
      <c r="M654" t="s">
        <v>829</v>
      </c>
      <c r="N654" t="s">
        <v>830</v>
      </c>
      <c r="O654">
        <v>7347.1580000000004</v>
      </c>
      <c r="P654">
        <v>7.3471580000000003E-3</v>
      </c>
      <c r="Q654" t="s">
        <v>734</v>
      </c>
      <c r="R654" s="141">
        <v>0.55300000000000005</v>
      </c>
    </row>
    <row r="655" spans="1:18" x14ac:dyDescent="0.3">
      <c r="A655" t="s">
        <v>126</v>
      </c>
      <c r="B655" t="s">
        <v>125</v>
      </c>
      <c r="C655" t="s">
        <v>466</v>
      </c>
      <c r="D655" t="s">
        <v>836</v>
      </c>
      <c r="E655">
        <v>5916</v>
      </c>
      <c r="F655" t="s">
        <v>124</v>
      </c>
      <c r="G655">
        <v>1670</v>
      </c>
      <c r="H655" t="s">
        <v>157</v>
      </c>
      <c r="I655">
        <v>2021</v>
      </c>
      <c r="J655">
        <v>2021</v>
      </c>
      <c r="K655" t="s">
        <v>143</v>
      </c>
      <c r="L655">
        <v>2596</v>
      </c>
      <c r="M655" t="s">
        <v>829</v>
      </c>
      <c r="N655" t="s">
        <v>830</v>
      </c>
      <c r="O655">
        <v>1435.5880000000002</v>
      </c>
      <c r="P655">
        <v>1.4355880000000002E-3</v>
      </c>
      <c r="Q655" t="s">
        <v>735</v>
      </c>
      <c r="R655" s="141">
        <v>0.55300000000000005</v>
      </c>
    </row>
    <row r="656" spans="1:18" x14ac:dyDescent="0.3">
      <c r="A656" t="s">
        <v>126</v>
      </c>
      <c r="B656" t="s">
        <v>125</v>
      </c>
      <c r="C656" t="s">
        <v>466</v>
      </c>
      <c r="D656" t="s">
        <v>836</v>
      </c>
      <c r="E656">
        <v>5516</v>
      </c>
      <c r="F656" t="s">
        <v>128</v>
      </c>
      <c r="G656">
        <v>1601</v>
      </c>
      <c r="H656" t="s">
        <v>119</v>
      </c>
      <c r="I656">
        <v>2021</v>
      </c>
      <c r="J656">
        <v>2021</v>
      </c>
      <c r="K656" t="s">
        <v>143</v>
      </c>
      <c r="L656">
        <v>17365000</v>
      </c>
      <c r="M656" t="s">
        <v>399</v>
      </c>
      <c r="N656" t="s">
        <v>400</v>
      </c>
      <c r="O656">
        <v>7293300</v>
      </c>
      <c r="P656">
        <v>7.2932999999999995</v>
      </c>
      <c r="Q656" t="s">
        <v>736</v>
      </c>
      <c r="R656" s="141">
        <v>0.42</v>
      </c>
    </row>
    <row r="657" spans="1:18" x14ac:dyDescent="0.3">
      <c r="A657" t="s">
        <v>126</v>
      </c>
      <c r="B657" t="s">
        <v>125</v>
      </c>
      <c r="C657" t="s">
        <v>466</v>
      </c>
      <c r="D657" t="s">
        <v>836</v>
      </c>
      <c r="E657">
        <v>5616</v>
      </c>
      <c r="F657" t="s">
        <v>127</v>
      </c>
      <c r="G657">
        <v>1601</v>
      </c>
      <c r="H657" t="s">
        <v>119</v>
      </c>
      <c r="I657">
        <v>2021</v>
      </c>
      <c r="J657">
        <v>2021</v>
      </c>
    </row>
    <row r="658" spans="1:18" x14ac:dyDescent="0.3">
      <c r="A658" t="s">
        <v>126</v>
      </c>
      <c r="B658" t="s">
        <v>125</v>
      </c>
      <c r="C658" t="s">
        <v>466</v>
      </c>
      <c r="D658" t="s">
        <v>836</v>
      </c>
      <c r="E658">
        <v>5916</v>
      </c>
      <c r="F658" t="s">
        <v>124</v>
      </c>
      <c r="G658">
        <v>1601</v>
      </c>
      <c r="H658" t="s">
        <v>119</v>
      </c>
      <c r="I658">
        <v>2021</v>
      </c>
      <c r="J658">
        <v>2021</v>
      </c>
    </row>
    <row r="659" spans="1:18" x14ac:dyDescent="0.3">
      <c r="A659" t="s">
        <v>126</v>
      </c>
      <c r="B659" t="s">
        <v>125</v>
      </c>
      <c r="C659" t="s">
        <v>466</v>
      </c>
      <c r="D659" t="s">
        <v>836</v>
      </c>
      <c r="E659">
        <v>5516</v>
      </c>
      <c r="F659" t="s">
        <v>128</v>
      </c>
      <c r="G659">
        <v>1604</v>
      </c>
      <c r="H659" t="s">
        <v>118</v>
      </c>
      <c r="I659">
        <v>2021</v>
      </c>
      <c r="J659">
        <v>2021</v>
      </c>
      <c r="K659" t="s">
        <v>143</v>
      </c>
      <c r="L659">
        <v>157000</v>
      </c>
      <c r="M659" t="s">
        <v>399</v>
      </c>
      <c r="N659" t="s">
        <v>400</v>
      </c>
      <c r="O659">
        <v>96241</v>
      </c>
      <c r="P659">
        <v>9.6240999999999993E-2</v>
      </c>
      <c r="Q659" t="s">
        <v>737</v>
      </c>
      <c r="R659" s="141">
        <v>0.61299999999999999</v>
      </c>
    </row>
    <row r="660" spans="1:18" x14ac:dyDescent="0.3">
      <c r="A660" t="s">
        <v>126</v>
      </c>
      <c r="B660" t="s">
        <v>125</v>
      </c>
      <c r="C660" t="s">
        <v>466</v>
      </c>
      <c r="D660" t="s">
        <v>836</v>
      </c>
      <c r="E660">
        <v>5616</v>
      </c>
      <c r="F660" t="s">
        <v>127</v>
      </c>
      <c r="G660">
        <v>1604</v>
      </c>
      <c r="H660" t="s">
        <v>118</v>
      </c>
      <c r="I660">
        <v>2021</v>
      </c>
      <c r="J660">
        <v>2021</v>
      </c>
    </row>
    <row r="661" spans="1:18" x14ac:dyDescent="0.3">
      <c r="A661" t="s">
        <v>126</v>
      </c>
      <c r="B661" t="s">
        <v>125</v>
      </c>
      <c r="C661" t="s">
        <v>466</v>
      </c>
      <c r="D661" t="s">
        <v>836</v>
      </c>
      <c r="E661">
        <v>5916</v>
      </c>
      <c r="F661" t="s">
        <v>124</v>
      </c>
      <c r="G661">
        <v>1604</v>
      </c>
      <c r="H661" t="s">
        <v>118</v>
      </c>
      <c r="I661">
        <v>2021</v>
      </c>
      <c r="J661">
        <v>2021</v>
      </c>
    </row>
    <row r="662" spans="1:18" x14ac:dyDescent="0.3">
      <c r="A662" t="s">
        <v>126</v>
      </c>
      <c r="B662" t="s">
        <v>125</v>
      </c>
      <c r="C662" t="s">
        <v>466</v>
      </c>
      <c r="D662" t="s">
        <v>836</v>
      </c>
      <c r="E662">
        <v>5516</v>
      </c>
      <c r="F662" t="s">
        <v>128</v>
      </c>
      <c r="G662">
        <v>1602</v>
      </c>
      <c r="H662" t="s">
        <v>156</v>
      </c>
      <c r="I662">
        <v>2021</v>
      </c>
      <c r="J662">
        <v>2021</v>
      </c>
      <c r="K662" t="s">
        <v>143</v>
      </c>
      <c r="L662">
        <v>2723000</v>
      </c>
      <c r="M662" t="s">
        <v>399</v>
      </c>
      <c r="N662" t="s">
        <v>400</v>
      </c>
      <c r="O662">
        <v>1116430</v>
      </c>
      <c r="P662">
        <v>1.11643</v>
      </c>
      <c r="Q662" t="s">
        <v>738</v>
      </c>
      <c r="R662" s="141">
        <v>0.41</v>
      </c>
    </row>
    <row r="663" spans="1:18" x14ac:dyDescent="0.3">
      <c r="A663" t="s">
        <v>126</v>
      </c>
      <c r="B663" t="s">
        <v>125</v>
      </c>
      <c r="C663" t="s">
        <v>466</v>
      </c>
      <c r="D663" t="s">
        <v>836</v>
      </c>
      <c r="E663">
        <v>5516</v>
      </c>
      <c r="F663" t="s">
        <v>128</v>
      </c>
      <c r="G663">
        <v>1603</v>
      </c>
      <c r="H663" t="s">
        <v>155</v>
      </c>
      <c r="I663">
        <v>2021</v>
      </c>
      <c r="J663">
        <v>2021</v>
      </c>
      <c r="K663" t="s">
        <v>143</v>
      </c>
      <c r="L663">
        <v>1602000</v>
      </c>
      <c r="M663" t="s">
        <v>399</v>
      </c>
      <c r="N663" t="s">
        <v>400</v>
      </c>
      <c r="O663">
        <v>789786</v>
      </c>
      <c r="P663">
        <v>0.78978599999999999</v>
      </c>
      <c r="Q663" t="s">
        <v>739</v>
      </c>
      <c r="R663" s="141">
        <v>0.49299999999999999</v>
      </c>
    </row>
    <row r="664" spans="1:18" x14ac:dyDescent="0.3">
      <c r="A664" t="s">
        <v>126</v>
      </c>
      <c r="B664" t="s">
        <v>125</v>
      </c>
      <c r="C664" t="s">
        <v>466</v>
      </c>
      <c r="D664" t="s">
        <v>836</v>
      </c>
      <c r="E664">
        <v>5516</v>
      </c>
      <c r="F664" t="s">
        <v>128</v>
      </c>
      <c r="G664">
        <v>1614</v>
      </c>
      <c r="H664" t="s">
        <v>154</v>
      </c>
      <c r="I664">
        <v>2021</v>
      </c>
      <c r="J664">
        <v>2021</v>
      </c>
    </row>
    <row r="665" spans="1:18" x14ac:dyDescent="0.3">
      <c r="A665" t="s">
        <v>126</v>
      </c>
      <c r="B665" t="s">
        <v>125</v>
      </c>
      <c r="C665" t="s">
        <v>466</v>
      </c>
      <c r="D665" t="s">
        <v>836</v>
      </c>
      <c r="E665">
        <v>5616</v>
      </c>
      <c r="F665" t="s">
        <v>127</v>
      </c>
      <c r="G665">
        <v>1614</v>
      </c>
      <c r="H665" t="s">
        <v>154</v>
      </c>
      <c r="I665">
        <v>2021</v>
      </c>
      <c r="J665">
        <v>2021</v>
      </c>
    </row>
    <row r="666" spans="1:18" x14ac:dyDescent="0.3">
      <c r="A666" t="s">
        <v>126</v>
      </c>
      <c r="B666" t="s">
        <v>125</v>
      </c>
      <c r="C666" t="s">
        <v>466</v>
      </c>
      <c r="D666" t="s">
        <v>836</v>
      </c>
      <c r="E666">
        <v>5916</v>
      </c>
      <c r="F666" t="s">
        <v>124</v>
      </c>
      <c r="G666">
        <v>1614</v>
      </c>
      <c r="H666" t="s">
        <v>154</v>
      </c>
      <c r="I666">
        <v>2021</v>
      </c>
      <c r="J666">
        <v>2021</v>
      </c>
    </row>
    <row r="667" spans="1:18" x14ac:dyDescent="0.3">
      <c r="A667" t="s">
        <v>126</v>
      </c>
      <c r="B667" t="s">
        <v>125</v>
      </c>
      <c r="C667" t="s">
        <v>466</v>
      </c>
      <c r="D667" t="s">
        <v>836</v>
      </c>
      <c r="E667">
        <v>5516</v>
      </c>
      <c r="F667" t="s">
        <v>128</v>
      </c>
      <c r="G667">
        <v>1608</v>
      </c>
      <c r="H667" t="s">
        <v>153</v>
      </c>
      <c r="I667">
        <v>2021</v>
      </c>
      <c r="J667">
        <v>2021</v>
      </c>
    </row>
    <row r="668" spans="1:18" x14ac:dyDescent="0.3">
      <c r="A668" t="s">
        <v>126</v>
      </c>
      <c r="B668" t="s">
        <v>125</v>
      </c>
      <c r="C668" t="s">
        <v>466</v>
      </c>
      <c r="D668" t="s">
        <v>836</v>
      </c>
      <c r="E668">
        <v>5516</v>
      </c>
      <c r="F668" t="s">
        <v>128</v>
      </c>
      <c r="G668">
        <v>1611</v>
      </c>
      <c r="H668" t="s">
        <v>152</v>
      </c>
      <c r="I668">
        <v>2021</v>
      </c>
      <c r="J668">
        <v>2021</v>
      </c>
    </row>
    <row r="669" spans="1:18" x14ac:dyDescent="0.3">
      <c r="A669" t="s">
        <v>126</v>
      </c>
      <c r="B669" t="s">
        <v>125</v>
      </c>
      <c r="C669" t="s">
        <v>466</v>
      </c>
      <c r="D669" t="s">
        <v>836</v>
      </c>
      <c r="E669">
        <v>5516</v>
      </c>
      <c r="F669" t="s">
        <v>128</v>
      </c>
      <c r="G669">
        <v>1623</v>
      </c>
      <c r="H669" t="s">
        <v>151</v>
      </c>
      <c r="I669">
        <v>2021</v>
      </c>
      <c r="J669">
        <v>2021</v>
      </c>
      <c r="K669" t="s">
        <v>143</v>
      </c>
      <c r="L669">
        <v>1397000</v>
      </c>
      <c r="M669" t="s">
        <v>397</v>
      </c>
      <c r="N669" t="s">
        <v>398</v>
      </c>
      <c r="O669">
        <v>579755</v>
      </c>
      <c r="P669">
        <v>0.57975500000000002</v>
      </c>
      <c r="Q669" t="s">
        <v>740</v>
      </c>
      <c r="R669" s="141">
        <v>0.41499999999999998</v>
      </c>
    </row>
    <row r="670" spans="1:18" x14ac:dyDescent="0.3">
      <c r="A670" t="s">
        <v>126</v>
      </c>
      <c r="B670" t="s">
        <v>125</v>
      </c>
      <c r="C670" t="s">
        <v>466</v>
      </c>
      <c r="D670" t="s">
        <v>836</v>
      </c>
      <c r="E670">
        <v>5516</v>
      </c>
      <c r="F670" t="s">
        <v>128</v>
      </c>
      <c r="G670">
        <v>1626</v>
      </c>
      <c r="H670" t="s">
        <v>150</v>
      </c>
      <c r="I670">
        <v>2021</v>
      </c>
      <c r="J670">
        <v>2021</v>
      </c>
      <c r="K670" t="s">
        <v>143</v>
      </c>
      <c r="L670">
        <v>465000</v>
      </c>
      <c r="M670" t="s">
        <v>397</v>
      </c>
      <c r="N670" t="s">
        <v>398</v>
      </c>
      <c r="O670">
        <v>257145.00000000003</v>
      </c>
      <c r="P670">
        <v>0.25714500000000001</v>
      </c>
      <c r="Q670" t="s">
        <v>741</v>
      </c>
      <c r="R670" s="141">
        <v>0.55300000000000005</v>
      </c>
    </row>
    <row r="671" spans="1:18" x14ac:dyDescent="0.3">
      <c r="A671" t="s">
        <v>126</v>
      </c>
      <c r="B671" t="s">
        <v>125</v>
      </c>
      <c r="C671" t="s">
        <v>466</v>
      </c>
      <c r="D671" t="s">
        <v>836</v>
      </c>
      <c r="E671">
        <v>5616</v>
      </c>
      <c r="F671" t="s">
        <v>127</v>
      </c>
      <c r="G671">
        <v>1625</v>
      </c>
      <c r="H671" t="s">
        <v>149</v>
      </c>
      <c r="I671">
        <v>2021</v>
      </c>
      <c r="J671">
        <v>2021</v>
      </c>
    </row>
    <row r="672" spans="1:18" x14ac:dyDescent="0.3">
      <c r="A672" t="s">
        <v>126</v>
      </c>
      <c r="B672" t="s">
        <v>125</v>
      </c>
      <c r="C672" t="s">
        <v>466</v>
      </c>
      <c r="D672" t="s">
        <v>836</v>
      </c>
      <c r="E672">
        <v>5916</v>
      </c>
      <c r="F672" t="s">
        <v>124</v>
      </c>
      <c r="G672">
        <v>1625</v>
      </c>
      <c r="H672" t="s">
        <v>149</v>
      </c>
      <c r="I672">
        <v>2021</v>
      </c>
      <c r="J672">
        <v>2021</v>
      </c>
    </row>
    <row r="673" spans="1:18" x14ac:dyDescent="0.3">
      <c r="A673" t="s">
        <v>126</v>
      </c>
      <c r="B673" t="s">
        <v>125</v>
      </c>
      <c r="C673" t="s">
        <v>466</v>
      </c>
      <c r="D673" t="s">
        <v>836</v>
      </c>
      <c r="E673">
        <v>5510</v>
      </c>
      <c r="F673" t="s">
        <v>128</v>
      </c>
      <c r="G673">
        <v>1630</v>
      </c>
      <c r="H673" t="s">
        <v>117</v>
      </c>
      <c r="I673">
        <v>2021</v>
      </c>
      <c r="J673">
        <v>2021</v>
      </c>
      <c r="K673" t="s">
        <v>339</v>
      </c>
      <c r="L673">
        <v>12000</v>
      </c>
      <c r="M673" t="s">
        <v>399</v>
      </c>
      <c r="N673" t="s">
        <v>400</v>
      </c>
      <c r="O673">
        <v>11580</v>
      </c>
      <c r="P673">
        <v>1.158E-2</v>
      </c>
      <c r="Q673" t="s">
        <v>742</v>
      </c>
      <c r="R673" s="141">
        <v>0.96499999999999997</v>
      </c>
    </row>
    <row r="674" spans="1:18" x14ac:dyDescent="0.3">
      <c r="A674" t="s">
        <v>126</v>
      </c>
      <c r="B674" t="s">
        <v>125</v>
      </c>
      <c r="C674" t="s">
        <v>466</v>
      </c>
      <c r="D674" t="s">
        <v>836</v>
      </c>
      <c r="E674">
        <v>5510</v>
      </c>
      <c r="F674" t="s">
        <v>128</v>
      </c>
      <c r="G674">
        <v>1694</v>
      </c>
      <c r="H674" t="s">
        <v>348</v>
      </c>
      <c r="I674">
        <v>2021</v>
      </c>
      <c r="J674">
        <v>2021</v>
      </c>
      <c r="O674">
        <v>0</v>
      </c>
      <c r="P674">
        <v>0</v>
      </c>
      <c r="Q674" t="s">
        <v>743</v>
      </c>
      <c r="R674" s="141">
        <v>0.92500000000000004</v>
      </c>
    </row>
    <row r="675" spans="1:18" x14ac:dyDescent="0.3">
      <c r="A675" t="s">
        <v>126</v>
      </c>
      <c r="B675" t="s">
        <v>125</v>
      </c>
      <c r="C675" t="s">
        <v>466</v>
      </c>
      <c r="D675" t="s">
        <v>836</v>
      </c>
      <c r="E675">
        <v>5610</v>
      </c>
      <c r="F675" t="s">
        <v>127</v>
      </c>
      <c r="G675">
        <v>1630</v>
      </c>
      <c r="H675" t="s">
        <v>117</v>
      </c>
      <c r="I675">
        <v>2021</v>
      </c>
      <c r="J675">
        <v>2021</v>
      </c>
      <c r="K675" t="s">
        <v>339</v>
      </c>
      <c r="L675">
        <v>121808</v>
      </c>
      <c r="M675" t="s">
        <v>399</v>
      </c>
      <c r="N675" t="s">
        <v>400</v>
      </c>
      <c r="O675">
        <v>117544.72</v>
      </c>
      <c r="P675">
        <v>0.11754471999999999</v>
      </c>
      <c r="Q675" t="s">
        <v>744</v>
      </c>
      <c r="R675" s="141">
        <v>0.96499999999999997</v>
      </c>
    </row>
    <row r="676" spans="1:18" x14ac:dyDescent="0.3">
      <c r="A676" t="s">
        <v>126</v>
      </c>
      <c r="B676" t="s">
        <v>125</v>
      </c>
      <c r="C676" t="s">
        <v>466</v>
      </c>
      <c r="D676" t="s">
        <v>836</v>
      </c>
      <c r="E676">
        <v>5610</v>
      </c>
      <c r="F676" t="s">
        <v>127</v>
      </c>
      <c r="G676">
        <v>1694</v>
      </c>
      <c r="H676" t="s">
        <v>348</v>
      </c>
      <c r="I676">
        <v>2021</v>
      </c>
      <c r="J676">
        <v>2021</v>
      </c>
      <c r="K676" t="s">
        <v>339</v>
      </c>
      <c r="L676">
        <v>20941.240000000002</v>
      </c>
      <c r="M676" t="s">
        <v>829</v>
      </c>
      <c r="N676" t="s">
        <v>830</v>
      </c>
      <c r="O676">
        <v>19370.647000000001</v>
      </c>
      <c r="P676">
        <v>1.9370647000000001E-2</v>
      </c>
      <c r="Q676" t="s">
        <v>745</v>
      </c>
      <c r="R676" s="141">
        <v>0.92500000000000004</v>
      </c>
    </row>
    <row r="677" spans="1:18" x14ac:dyDescent="0.3">
      <c r="A677" t="s">
        <v>126</v>
      </c>
      <c r="B677" t="s">
        <v>125</v>
      </c>
      <c r="C677" t="s">
        <v>466</v>
      </c>
      <c r="D677" t="s">
        <v>836</v>
      </c>
      <c r="E677">
        <v>5910</v>
      </c>
      <c r="F677" t="s">
        <v>124</v>
      </c>
      <c r="G677">
        <v>1630</v>
      </c>
      <c r="H677" t="s">
        <v>117</v>
      </c>
      <c r="I677">
        <v>2021</v>
      </c>
      <c r="J677">
        <v>2021</v>
      </c>
      <c r="K677" t="s">
        <v>339</v>
      </c>
      <c r="L677">
        <v>270</v>
      </c>
      <c r="M677" t="s">
        <v>399</v>
      </c>
      <c r="N677" t="s">
        <v>400</v>
      </c>
      <c r="O677">
        <v>260.55</v>
      </c>
      <c r="P677">
        <v>2.6055000000000002E-4</v>
      </c>
      <c r="Q677" t="s">
        <v>746</v>
      </c>
      <c r="R677" s="141">
        <v>0.96499999999999997</v>
      </c>
    </row>
    <row r="678" spans="1:18" x14ac:dyDescent="0.3">
      <c r="A678" t="s">
        <v>126</v>
      </c>
      <c r="B678" t="s">
        <v>125</v>
      </c>
      <c r="C678" t="s">
        <v>466</v>
      </c>
      <c r="D678" t="s">
        <v>836</v>
      </c>
      <c r="E678">
        <v>5910</v>
      </c>
      <c r="F678" t="s">
        <v>124</v>
      </c>
      <c r="G678">
        <v>1694</v>
      </c>
      <c r="H678" t="s">
        <v>348</v>
      </c>
      <c r="I678">
        <v>2021</v>
      </c>
      <c r="J678">
        <v>2021</v>
      </c>
      <c r="K678" t="s">
        <v>339</v>
      </c>
      <c r="L678">
        <v>84</v>
      </c>
      <c r="M678" t="s">
        <v>832</v>
      </c>
      <c r="N678" t="s">
        <v>833</v>
      </c>
      <c r="O678">
        <v>77.7</v>
      </c>
      <c r="P678">
        <v>7.7700000000000005E-5</v>
      </c>
      <c r="Q678" t="s">
        <v>747</v>
      </c>
      <c r="R678" s="141">
        <v>0.92500000000000004</v>
      </c>
    </row>
    <row r="679" spans="1:18" x14ac:dyDescent="0.3">
      <c r="A679" t="s">
        <v>126</v>
      </c>
      <c r="B679" t="s">
        <v>125</v>
      </c>
      <c r="C679" t="s">
        <v>466</v>
      </c>
      <c r="D679" t="s">
        <v>836</v>
      </c>
      <c r="E679">
        <v>5516</v>
      </c>
      <c r="F679" t="s">
        <v>128</v>
      </c>
      <c r="G679">
        <v>1619</v>
      </c>
      <c r="H679" t="s">
        <v>92</v>
      </c>
      <c r="I679">
        <v>2021</v>
      </c>
      <c r="J679">
        <v>2021</v>
      </c>
      <c r="K679" t="s">
        <v>143</v>
      </c>
      <c r="L679">
        <v>5467000</v>
      </c>
      <c r="M679" t="s">
        <v>399</v>
      </c>
      <c r="N679" t="s">
        <v>400</v>
      </c>
      <c r="O679">
        <v>2249794.2386831273</v>
      </c>
      <c r="P679">
        <v>2.2497942386831271</v>
      </c>
      <c r="Q679" t="s">
        <v>748</v>
      </c>
      <c r="R679" s="141">
        <v>0.41152263374485593</v>
      </c>
    </row>
    <row r="680" spans="1:18" x14ac:dyDescent="0.3">
      <c r="A680" t="s">
        <v>126</v>
      </c>
      <c r="B680" t="s">
        <v>125</v>
      </c>
      <c r="C680" t="s">
        <v>466</v>
      </c>
      <c r="D680" t="s">
        <v>836</v>
      </c>
      <c r="E680">
        <v>5616</v>
      </c>
      <c r="F680" t="s">
        <v>127</v>
      </c>
      <c r="G680">
        <v>1619</v>
      </c>
      <c r="H680" t="s">
        <v>92</v>
      </c>
      <c r="I680">
        <v>2021</v>
      </c>
      <c r="J680">
        <v>2021</v>
      </c>
      <c r="K680" t="s">
        <v>143</v>
      </c>
      <c r="L680">
        <v>19481516</v>
      </c>
      <c r="M680" t="s">
        <v>399</v>
      </c>
      <c r="N680" t="s">
        <v>400</v>
      </c>
      <c r="O680">
        <v>8017084.7736625504</v>
      </c>
      <c r="P680">
        <v>8.0170847736625497</v>
      </c>
      <c r="Q680" t="s">
        <v>749</v>
      </c>
      <c r="R680" s="141">
        <v>0.41152263374485593</v>
      </c>
    </row>
    <row r="681" spans="1:18" x14ac:dyDescent="0.3">
      <c r="A681" t="s">
        <v>126</v>
      </c>
      <c r="B681" t="s">
        <v>125</v>
      </c>
      <c r="C681" t="s">
        <v>466</v>
      </c>
      <c r="D681" t="s">
        <v>836</v>
      </c>
      <c r="E681">
        <v>5916</v>
      </c>
      <c r="F681" t="s">
        <v>124</v>
      </c>
      <c r="G681">
        <v>1619</v>
      </c>
      <c r="H681" t="s">
        <v>92</v>
      </c>
      <c r="I681">
        <v>2021</v>
      </c>
      <c r="J681">
        <v>2021</v>
      </c>
      <c r="K681" t="s">
        <v>143</v>
      </c>
      <c r="L681">
        <v>9162</v>
      </c>
      <c r="M681" t="s">
        <v>832</v>
      </c>
      <c r="N681" t="s">
        <v>833</v>
      </c>
      <c r="O681">
        <v>3770.37037037037</v>
      </c>
      <c r="P681">
        <v>3.7703703703703697E-3</v>
      </c>
      <c r="Q681" t="s">
        <v>750</v>
      </c>
      <c r="R681" s="141">
        <v>0.41152263374485593</v>
      </c>
    </row>
    <row r="682" spans="1:18" x14ac:dyDescent="0.3">
      <c r="A682" t="s">
        <v>126</v>
      </c>
      <c r="B682" t="s">
        <v>125</v>
      </c>
      <c r="C682" t="s">
        <v>466</v>
      </c>
      <c r="D682" t="s">
        <v>836</v>
      </c>
      <c r="E682">
        <v>5516</v>
      </c>
      <c r="F682" t="s">
        <v>128</v>
      </c>
      <c r="G682">
        <v>1620</v>
      </c>
      <c r="H682" t="s">
        <v>115</v>
      </c>
      <c r="I682">
        <v>2021</v>
      </c>
      <c r="J682">
        <v>2021</v>
      </c>
      <c r="K682" t="s">
        <v>143</v>
      </c>
      <c r="L682">
        <v>7159000</v>
      </c>
      <c r="M682" t="s">
        <v>399</v>
      </c>
      <c r="N682" t="s">
        <v>400</v>
      </c>
      <c r="O682">
        <v>2940041.0677618068</v>
      </c>
      <c r="P682">
        <v>2.9400410677618067</v>
      </c>
      <c r="Q682" t="s">
        <v>751</v>
      </c>
      <c r="R682" s="141">
        <v>0.41067761806981518</v>
      </c>
    </row>
    <row r="683" spans="1:18" x14ac:dyDescent="0.3">
      <c r="A683" t="s">
        <v>126</v>
      </c>
      <c r="B683" t="s">
        <v>125</v>
      </c>
      <c r="C683" t="s">
        <v>466</v>
      </c>
      <c r="D683" t="s">
        <v>836</v>
      </c>
      <c r="E683">
        <v>5616</v>
      </c>
      <c r="F683" t="s">
        <v>127</v>
      </c>
      <c r="G683">
        <v>1620</v>
      </c>
      <c r="H683" t="s">
        <v>115</v>
      </c>
      <c r="I683">
        <v>2021</v>
      </c>
      <c r="J683">
        <v>2021</v>
      </c>
      <c r="K683" t="s">
        <v>143</v>
      </c>
      <c r="L683">
        <v>13761</v>
      </c>
      <c r="M683" t="s">
        <v>399</v>
      </c>
      <c r="N683" t="s">
        <v>400</v>
      </c>
      <c r="O683">
        <v>5651.3347022587268</v>
      </c>
      <c r="P683">
        <v>5.6513347022587269E-3</v>
      </c>
      <c r="Q683" t="s">
        <v>752</v>
      </c>
      <c r="R683" s="141">
        <v>0.41067761806981518</v>
      </c>
    </row>
    <row r="684" spans="1:18" x14ac:dyDescent="0.3">
      <c r="A684" t="s">
        <v>126</v>
      </c>
      <c r="B684" t="s">
        <v>125</v>
      </c>
      <c r="C684" t="s">
        <v>466</v>
      </c>
      <c r="D684" t="s">
        <v>836</v>
      </c>
      <c r="E684">
        <v>5916</v>
      </c>
      <c r="F684" t="s">
        <v>124</v>
      </c>
      <c r="G684">
        <v>1620</v>
      </c>
      <c r="H684" t="s">
        <v>115</v>
      </c>
      <c r="I684">
        <v>2021</v>
      </c>
      <c r="J684">
        <v>2021</v>
      </c>
      <c r="K684" t="s">
        <v>143</v>
      </c>
      <c r="L684">
        <v>3011.35</v>
      </c>
      <c r="M684" t="s">
        <v>829</v>
      </c>
      <c r="N684" t="s">
        <v>830</v>
      </c>
      <c r="O684">
        <v>1236.6940451745379</v>
      </c>
      <c r="P684">
        <v>1.2366940451745379E-3</v>
      </c>
      <c r="Q684" t="s">
        <v>753</v>
      </c>
      <c r="R684" s="141">
        <v>0.41067761806981518</v>
      </c>
    </row>
    <row r="685" spans="1:18" x14ac:dyDescent="0.3">
      <c r="A685" t="s">
        <v>126</v>
      </c>
      <c r="B685" t="s">
        <v>125</v>
      </c>
      <c r="C685" t="s">
        <v>466</v>
      </c>
      <c r="D685" t="s">
        <v>836</v>
      </c>
      <c r="E685">
        <v>5510</v>
      </c>
      <c r="F685" t="s">
        <v>128</v>
      </c>
      <c r="G685">
        <v>1600</v>
      </c>
      <c r="H685" t="s">
        <v>148</v>
      </c>
      <c r="I685">
        <v>2021</v>
      </c>
      <c r="J685">
        <v>2021</v>
      </c>
      <c r="K685" t="s">
        <v>339</v>
      </c>
      <c r="L685">
        <v>656000</v>
      </c>
      <c r="M685" t="s">
        <v>832</v>
      </c>
      <c r="N685" t="s">
        <v>833</v>
      </c>
      <c r="O685">
        <v>508400</v>
      </c>
      <c r="P685">
        <v>0.50839999999999996</v>
      </c>
      <c r="Q685" t="s">
        <v>754</v>
      </c>
      <c r="R685" s="141">
        <v>0.77500000000000002</v>
      </c>
    </row>
    <row r="686" spans="1:18" x14ac:dyDescent="0.3">
      <c r="A686" t="s">
        <v>126</v>
      </c>
      <c r="B686" t="s">
        <v>125</v>
      </c>
      <c r="C686" t="s">
        <v>466</v>
      </c>
      <c r="D686" t="s">
        <v>836</v>
      </c>
      <c r="E686">
        <v>5610</v>
      </c>
      <c r="F686" t="s">
        <v>127</v>
      </c>
      <c r="G686">
        <v>1600</v>
      </c>
      <c r="H686" t="s">
        <v>148</v>
      </c>
      <c r="I686">
        <v>2021</v>
      </c>
      <c r="J686">
        <v>2021</v>
      </c>
      <c r="O686">
        <v>0</v>
      </c>
      <c r="P686">
        <v>0</v>
      </c>
      <c r="Q686" t="s">
        <v>755</v>
      </c>
      <c r="R686" s="141">
        <v>0.77500000000000002</v>
      </c>
    </row>
    <row r="687" spans="1:18" x14ac:dyDescent="0.3">
      <c r="A687" t="s">
        <v>126</v>
      </c>
      <c r="B687" t="s">
        <v>125</v>
      </c>
      <c r="C687" t="s">
        <v>466</v>
      </c>
      <c r="D687" t="s">
        <v>836</v>
      </c>
      <c r="E687">
        <v>5910</v>
      </c>
      <c r="F687" t="s">
        <v>124</v>
      </c>
      <c r="G687">
        <v>1600</v>
      </c>
      <c r="H687" t="s">
        <v>148</v>
      </c>
      <c r="I687">
        <v>2021</v>
      </c>
      <c r="J687">
        <v>2021</v>
      </c>
      <c r="O687">
        <v>0</v>
      </c>
      <c r="P687">
        <v>0</v>
      </c>
      <c r="Q687" t="s">
        <v>756</v>
      </c>
      <c r="R687" s="141">
        <v>0.77500000000000002</v>
      </c>
    </row>
    <row r="688" spans="1:18" x14ac:dyDescent="0.3">
      <c r="A688" t="s">
        <v>126</v>
      </c>
      <c r="B688" t="s">
        <v>125</v>
      </c>
      <c r="C688" t="s">
        <v>466</v>
      </c>
      <c r="D688" t="s">
        <v>836</v>
      </c>
      <c r="E688">
        <v>5510</v>
      </c>
      <c r="F688" t="s">
        <v>128</v>
      </c>
      <c r="G688">
        <v>1693</v>
      </c>
      <c r="H688" t="s">
        <v>114</v>
      </c>
      <c r="I688">
        <v>2021</v>
      </c>
      <c r="J688">
        <v>2021</v>
      </c>
      <c r="K688" t="s">
        <v>339</v>
      </c>
      <c r="L688">
        <v>149000</v>
      </c>
      <c r="M688" t="s">
        <v>397</v>
      </c>
      <c r="N688" t="s">
        <v>398</v>
      </c>
      <c r="O688">
        <v>137825</v>
      </c>
      <c r="P688">
        <v>0.137825</v>
      </c>
      <c r="Q688" t="s">
        <v>757</v>
      </c>
      <c r="R688" s="141">
        <v>0.92500000000000004</v>
      </c>
    </row>
    <row r="689" spans="1:18" x14ac:dyDescent="0.3">
      <c r="A689" t="s">
        <v>126</v>
      </c>
      <c r="B689" t="s">
        <v>125</v>
      </c>
      <c r="C689" t="s">
        <v>466</v>
      </c>
      <c r="D689" t="s">
        <v>836</v>
      </c>
      <c r="E689">
        <v>5610</v>
      </c>
      <c r="F689" t="s">
        <v>127</v>
      </c>
      <c r="G689">
        <v>1693</v>
      </c>
      <c r="H689" t="s">
        <v>114</v>
      </c>
      <c r="I689">
        <v>2021</v>
      </c>
      <c r="J689">
        <v>2021</v>
      </c>
      <c r="K689" t="s">
        <v>339</v>
      </c>
      <c r="L689">
        <v>3117761</v>
      </c>
      <c r="M689" t="s">
        <v>399</v>
      </c>
      <c r="N689" t="s">
        <v>400</v>
      </c>
      <c r="O689">
        <v>2883928.9250000003</v>
      </c>
      <c r="P689">
        <v>2.8839289250000002</v>
      </c>
      <c r="Q689" t="s">
        <v>758</v>
      </c>
      <c r="R689" s="141">
        <v>0.92500000000000004</v>
      </c>
    </row>
    <row r="690" spans="1:18" x14ac:dyDescent="0.3">
      <c r="A690" t="s">
        <v>126</v>
      </c>
      <c r="B690" t="s">
        <v>125</v>
      </c>
      <c r="C690" t="s">
        <v>466</v>
      </c>
      <c r="D690" t="s">
        <v>836</v>
      </c>
      <c r="E690">
        <v>5910</v>
      </c>
      <c r="F690" t="s">
        <v>124</v>
      </c>
      <c r="G690">
        <v>1693</v>
      </c>
      <c r="H690" t="s">
        <v>114</v>
      </c>
      <c r="I690">
        <v>2021</v>
      </c>
      <c r="J690">
        <v>2021</v>
      </c>
      <c r="K690" t="s">
        <v>339</v>
      </c>
      <c r="L690">
        <v>1728.04</v>
      </c>
      <c r="M690" t="s">
        <v>829</v>
      </c>
      <c r="N690" t="s">
        <v>830</v>
      </c>
      <c r="O690">
        <v>1598.4370000000001</v>
      </c>
      <c r="P690">
        <v>1.5984370000000001E-3</v>
      </c>
      <c r="Q690" t="s">
        <v>759</v>
      </c>
      <c r="R690" s="141">
        <v>0.92500000000000004</v>
      </c>
    </row>
    <row r="691" spans="1:18" x14ac:dyDescent="0.3">
      <c r="A691" t="s">
        <v>126</v>
      </c>
      <c r="B691" t="s">
        <v>125</v>
      </c>
      <c r="C691" t="s">
        <v>466</v>
      </c>
      <c r="D691" t="s">
        <v>836</v>
      </c>
      <c r="E691">
        <v>5516</v>
      </c>
      <c r="F691" t="s">
        <v>128</v>
      </c>
      <c r="G691">
        <v>1632</v>
      </c>
      <c r="H691" t="s">
        <v>110</v>
      </c>
      <c r="I691">
        <v>2021</v>
      </c>
      <c r="J691">
        <v>2021</v>
      </c>
      <c r="K691" t="s">
        <v>143</v>
      </c>
      <c r="L691">
        <v>7522000</v>
      </c>
      <c r="M691" t="s">
        <v>399</v>
      </c>
      <c r="N691" t="s">
        <v>400</v>
      </c>
      <c r="O691">
        <v>3659453.0000000005</v>
      </c>
      <c r="P691">
        <v>3.6594530000000005</v>
      </c>
      <c r="Q691" t="s">
        <v>760</v>
      </c>
      <c r="R691" s="141">
        <v>0.48650000000000004</v>
      </c>
    </row>
    <row r="692" spans="1:18" x14ac:dyDescent="0.3">
      <c r="A692" t="s">
        <v>126</v>
      </c>
      <c r="B692" t="s">
        <v>125</v>
      </c>
      <c r="C692" t="s">
        <v>466</v>
      </c>
      <c r="D692" t="s">
        <v>836</v>
      </c>
      <c r="E692">
        <v>5616</v>
      </c>
      <c r="F692" t="s">
        <v>127</v>
      </c>
      <c r="G692">
        <v>1632</v>
      </c>
      <c r="H692" t="s">
        <v>110</v>
      </c>
      <c r="I692">
        <v>2021</v>
      </c>
      <c r="J692">
        <v>2021</v>
      </c>
      <c r="K692" t="s">
        <v>143</v>
      </c>
      <c r="L692">
        <v>4688347</v>
      </c>
      <c r="M692" t="s">
        <v>829</v>
      </c>
      <c r="N692" t="s">
        <v>830</v>
      </c>
      <c r="O692">
        <v>2280880.8155</v>
      </c>
      <c r="P692">
        <v>2.2808808154999998</v>
      </c>
      <c r="Q692" t="s">
        <v>761</v>
      </c>
      <c r="R692" s="141">
        <v>0.48650000000000004</v>
      </c>
    </row>
    <row r="693" spans="1:18" x14ac:dyDescent="0.3">
      <c r="A693" t="s">
        <v>126</v>
      </c>
      <c r="B693" t="s">
        <v>125</v>
      </c>
      <c r="C693" t="s">
        <v>466</v>
      </c>
      <c r="D693" t="s">
        <v>836</v>
      </c>
      <c r="E693">
        <v>5916</v>
      </c>
      <c r="F693" t="s">
        <v>124</v>
      </c>
      <c r="G693">
        <v>1632</v>
      </c>
      <c r="H693" t="s">
        <v>110</v>
      </c>
      <c r="I693">
        <v>2021</v>
      </c>
      <c r="J693">
        <v>2021</v>
      </c>
      <c r="K693" t="s">
        <v>143</v>
      </c>
      <c r="L693">
        <v>204829</v>
      </c>
      <c r="M693" t="s">
        <v>829</v>
      </c>
      <c r="N693" t="s">
        <v>830</v>
      </c>
      <c r="O693">
        <v>99649.308500000014</v>
      </c>
      <c r="P693">
        <v>9.9649308500000006E-2</v>
      </c>
      <c r="Q693" t="s">
        <v>762</v>
      </c>
      <c r="R693" s="141">
        <v>0.48650000000000004</v>
      </c>
    </row>
    <row r="694" spans="1:18" x14ac:dyDescent="0.3">
      <c r="A694" t="s">
        <v>126</v>
      </c>
      <c r="B694" t="s">
        <v>125</v>
      </c>
      <c r="C694" t="s">
        <v>466</v>
      </c>
      <c r="D694" t="s">
        <v>836</v>
      </c>
      <c r="E694">
        <v>5516</v>
      </c>
      <c r="F694" t="s">
        <v>128</v>
      </c>
      <c r="G694">
        <v>1633</v>
      </c>
      <c r="H694" t="s">
        <v>109</v>
      </c>
      <c r="I694">
        <v>2021</v>
      </c>
      <c r="J694">
        <v>2021</v>
      </c>
      <c r="K694" t="s">
        <v>143</v>
      </c>
      <c r="L694">
        <v>681000</v>
      </c>
      <c r="M694" t="s">
        <v>399</v>
      </c>
      <c r="N694" t="s">
        <v>400</v>
      </c>
      <c r="O694">
        <v>434988.74999999994</v>
      </c>
      <c r="P694">
        <v>0.43498874999999992</v>
      </c>
      <c r="Q694" t="s">
        <v>763</v>
      </c>
      <c r="R694" s="141">
        <v>0.63874999999999993</v>
      </c>
    </row>
    <row r="695" spans="1:18" x14ac:dyDescent="0.3">
      <c r="A695" t="s">
        <v>126</v>
      </c>
      <c r="B695" t="s">
        <v>125</v>
      </c>
      <c r="C695" t="s">
        <v>466</v>
      </c>
      <c r="D695" t="s">
        <v>836</v>
      </c>
      <c r="E695">
        <v>5616</v>
      </c>
      <c r="F695" t="s">
        <v>127</v>
      </c>
      <c r="G695">
        <v>1633</v>
      </c>
      <c r="H695" t="s">
        <v>109</v>
      </c>
      <c r="I695">
        <v>2021</v>
      </c>
      <c r="J695">
        <v>2021</v>
      </c>
      <c r="K695" t="s">
        <v>143</v>
      </c>
      <c r="L695">
        <v>142803</v>
      </c>
      <c r="M695" t="s">
        <v>829</v>
      </c>
      <c r="N695" t="s">
        <v>830</v>
      </c>
      <c r="O695">
        <v>91215.416249999995</v>
      </c>
      <c r="P695">
        <v>9.1215416249999987E-2</v>
      </c>
      <c r="Q695" t="s">
        <v>764</v>
      </c>
      <c r="R695" s="141">
        <v>0.63874999999999993</v>
      </c>
    </row>
    <row r="696" spans="1:18" x14ac:dyDescent="0.3">
      <c r="A696" t="s">
        <v>126</v>
      </c>
      <c r="B696" t="s">
        <v>125</v>
      </c>
      <c r="C696" t="s">
        <v>466</v>
      </c>
      <c r="D696" t="s">
        <v>836</v>
      </c>
      <c r="E696">
        <v>5916</v>
      </c>
      <c r="F696" t="s">
        <v>124</v>
      </c>
      <c r="G696">
        <v>1633</v>
      </c>
      <c r="H696" t="s">
        <v>109</v>
      </c>
      <c r="I696">
        <v>2021</v>
      </c>
      <c r="J696">
        <v>2021</v>
      </c>
      <c r="K696" t="s">
        <v>143</v>
      </c>
      <c r="L696">
        <v>3078</v>
      </c>
      <c r="M696" t="s">
        <v>829</v>
      </c>
      <c r="N696" t="s">
        <v>830</v>
      </c>
      <c r="O696">
        <v>1966.0724999999998</v>
      </c>
      <c r="P696">
        <v>1.9660724999999999E-3</v>
      </c>
      <c r="Q696" t="s">
        <v>765</v>
      </c>
      <c r="R696" s="141">
        <v>0.63874999999999993</v>
      </c>
    </row>
    <row r="697" spans="1:18" x14ac:dyDescent="0.3">
      <c r="A697" t="s">
        <v>126</v>
      </c>
      <c r="B697" t="s">
        <v>125</v>
      </c>
      <c r="C697" t="s">
        <v>466</v>
      </c>
      <c r="D697" t="s">
        <v>836</v>
      </c>
      <c r="E697">
        <v>5516</v>
      </c>
      <c r="F697" t="s">
        <v>128</v>
      </c>
      <c r="G697">
        <v>1634</v>
      </c>
      <c r="H697" t="s">
        <v>108</v>
      </c>
      <c r="I697">
        <v>2021</v>
      </c>
      <c r="J697">
        <v>2021</v>
      </c>
      <c r="K697" t="s">
        <v>143</v>
      </c>
      <c r="L697">
        <v>60000</v>
      </c>
      <c r="M697" t="s">
        <v>397</v>
      </c>
      <c r="N697" t="s">
        <v>398</v>
      </c>
      <c r="O697">
        <v>34290</v>
      </c>
      <c r="P697">
        <v>3.4290000000000001E-2</v>
      </c>
      <c r="Q697" t="s">
        <v>766</v>
      </c>
      <c r="R697" s="141">
        <v>0.57150000000000001</v>
      </c>
    </row>
    <row r="698" spans="1:18" x14ac:dyDescent="0.3">
      <c r="A698" t="s">
        <v>126</v>
      </c>
      <c r="B698" t="s">
        <v>125</v>
      </c>
      <c r="C698" t="s">
        <v>466</v>
      </c>
      <c r="D698" t="s">
        <v>836</v>
      </c>
      <c r="E698">
        <v>5616</v>
      </c>
      <c r="F698" t="s">
        <v>127</v>
      </c>
      <c r="G698">
        <v>1634</v>
      </c>
      <c r="H698" t="s">
        <v>108</v>
      </c>
      <c r="I698">
        <v>2021</v>
      </c>
      <c r="J698">
        <v>2021</v>
      </c>
      <c r="K698" t="s">
        <v>143</v>
      </c>
      <c r="L698">
        <v>255113</v>
      </c>
      <c r="M698" t="s">
        <v>397</v>
      </c>
      <c r="N698" t="s">
        <v>398</v>
      </c>
      <c r="O698">
        <v>145797.07949999999</v>
      </c>
      <c r="P698">
        <v>0.14579707949999998</v>
      </c>
      <c r="Q698" t="s">
        <v>767</v>
      </c>
      <c r="R698" s="141">
        <v>0.57150000000000001</v>
      </c>
    </row>
    <row r="699" spans="1:18" x14ac:dyDescent="0.3">
      <c r="A699" t="s">
        <v>126</v>
      </c>
      <c r="B699" t="s">
        <v>125</v>
      </c>
      <c r="C699" t="s">
        <v>466</v>
      </c>
      <c r="D699" t="s">
        <v>836</v>
      </c>
      <c r="E699">
        <v>5916</v>
      </c>
      <c r="F699" t="s">
        <v>124</v>
      </c>
      <c r="G699">
        <v>1634</v>
      </c>
      <c r="H699" t="s">
        <v>108</v>
      </c>
      <c r="I699">
        <v>2021</v>
      </c>
      <c r="J699">
        <v>2021</v>
      </c>
      <c r="K699" t="s">
        <v>143</v>
      </c>
      <c r="L699">
        <v>447</v>
      </c>
      <c r="M699" t="s">
        <v>397</v>
      </c>
      <c r="N699" t="s">
        <v>398</v>
      </c>
      <c r="O699">
        <v>255.4605</v>
      </c>
      <c r="P699">
        <v>2.554605E-4</v>
      </c>
      <c r="Q699" t="s">
        <v>768</v>
      </c>
      <c r="R699" s="141">
        <v>0.57150000000000001</v>
      </c>
    </row>
    <row r="700" spans="1:18" x14ac:dyDescent="0.3">
      <c r="A700" t="s">
        <v>126</v>
      </c>
      <c r="B700" t="s">
        <v>125</v>
      </c>
      <c r="C700" t="s">
        <v>466</v>
      </c>
      <c r="D700" t="s">
        <v>836</v>
      </c>
      <c r="E700">
        <v>5516</v>
      </c>
      <c r="F700" t="s">
        <v>128</v>
      </c>
      <c r="G700">
        <v>1640</v>
      </c>
      <c r="H700" t="s">
        <v>104</v>
      </c>
      <c r="I700">
        <v>2021</v>
      </c>
      <c r="J700">
        <v>2021</v>
      </c>
      <c r="K700" t="s">
        <v>143</v>
      </c>
      <c r="L700">
        <v>3172000</v>
      </c>
      <c r="M700" t="s">
        <v>399</v>
      </c>
      <c r="N700" t="s">
        <v>400</v>
      </c>
      <c r="O700">
        <v>1812798</v>
      </c>
      <c r="P700">
        <v>1.8127979999999999</v>
      </c>
      <c r="Q700" t="s">
        <v>769</v>
      </c>
      <c r="R700" s="141">
        <v>0.57150000000000001</v>
      </c>
    </row>
    <row r="701" spans="1:18" x14ac:dyDescent="0.3">
      <c r="A701" t="s">
        <v>126</v>
      </c>
      <c r="B701" t="s">
        <v>125</v>
      </c>
      <c r="C701" t="s">
        <v>466</v>
      </c>
      <c r="D701" t="s">
        <v>836</v>
      </c>
      <c r="E701">
        <v>5616</v>
      </c>
      <c r="F701" t="s">
        <v>127</v>
      </c>
      <c r="G701">
        <v>1640</v>
      </c>
      <c r="H701" t="s">
        <v>104</v>
      </c>
      <c r="I701">
        <v>2021</v>
      </c>
      <c r="J701">
        <v>2021</v>
      </c>
      <c r="K701" t="s">
        <v>143</v>
      </c>
      <c r="L701">
        <v>2648233</v>
      </c>
      <c r="M701" t="s">
        <v>399</v>
      </c>
      <c r="N701" t="s">
        <v>400</v>
      </c>
      <c r="O701">
        <v>1513465.1595000001</v>
      </c>
      <c r="P701">
        <v>1.5134651594999999</v>
      </c>
      <c r="Q701" t="s">
        <v>770</v>
      </c>
      <c r="R701" s="141">
        <v>0.57150000000000001</v>
      </c>
    </row>
    <row r="702" spans="1:18" x14ac:dyDescent="0.3">
      <c r="A702" t="s">
        <v>126</v>
      </c>
      <c r="B702" t="s">
        <v>125</v>
      </c>
      <c r="C702" t="s">
        <v>466</v>
      </c>
      <c r="D702" t="s">
        <v>836</v>
      </c>
      <c r="E702">
        <v>5916</v>
      </c>
      <c r="F702" t="s">
        <v>124</v>
      </c>
      <c r="G702">
        <v>1640</v>
      </c>
      <c r="H702" t="s">
        <v>104</v>
      </c>
      <c r="I702">
        <v>2021</v>
      </c>
      <c r="J702">
        <v>2021</v>
      </c>
      <c r="K702" t="s">
        <v>143</v>
      </c>
      <c r="L702">
        <v>140891</v>
      </c>
      <c r="M702" t="s">
        <v>399</v>
      </c>
      <c r="N702" t="s">
        <v>400</v>
      </c>
      <c r="O702">
        <v>80519.2065</v>
      </c>
      <c r="P702">
        <v>8.0519206499999996E-2</v>
      </c>
      <c r="Q702" t="s">
        <v>771</v>
      </c>
      <c r="R702" s="141">
        <v>0.57150000000000001</v>
      </c>
    </row>
    <row r="703" spans="1:18" x14ac:dyDescent="0.3">
      <c r="A703" t="s">
        <v>126</v>
      </c>
      <c r="B703" t="s">
        <v>125</v>
      </c>
      <c r="C703" t="s">
        <v>466</v>
      </c>
      <c r="D703" t="s">
        <v>836</v>
      </c>
      <c r="E703">
        <v>5516</v>
      </c>
      <c r="F703" t="s">
        <v>128</v>
      </c>
      <c r="G703">
        <v>1646</v>
      </c>
      <c r="H703" t="s">
        <v>147</v>
      </c>
      <c r="I703">
        <v>2021</v>
      </c>
      <c r="J703">
        <v>2021</v>
      </c>
    </row>
    <row r="704" spans="1:18" x14ac:dyDescent="0.3">
      <c r="A704" t="s">
        <v>126</v>
      </c>
      <c r="B704" t="s">
        <v>125</v>
      </c>
      <c r="C704" t="s">
        <v>466</v>
      </c>
      <c r="D704" t="s">
        <v>836</v>
      </c>
      <c r="E704">
        <v>5616</v>
      </c>
      <c r="F704" t="s">
        <v>127</v>
      </c>
      <c r="G704">
        <v>1646</v>
      </c>
      <c r="H704" t="s">
        <v>147</v>
      </c>
      <c r="I704">
        <v>2021</v>
      </c>
      <c r="J704">
        <v>2021</v>
      </c>
    </row>
    <row r="705" spans="1:18" x14ac:dyDescent="0.3">
      <c r="A705" t="s">
        <v>126</v>
      </c>
      <c r="B705" t="s">
        <v>125</v>
      </c>
      <c r="C705" t="s">
        <v>466</v>
      </c>
      <c r="D705" t="s">
        <v>836</v>
      </c>
      <c r="E705">
        <v>5916</v>
      </c>
      <c r="F705" t="s">
        <v>124</v>
      </c>
      <c r="G705">
        <v>1646</v>
      </c>
      <c r="H705" t="s">
        <v>147</v>
      </c>
      <c r="I705">
        <v>2021</v>
      </c>
      <c r="J705">
        <v>2021</v>
      </c>
    </row>
    <row r="706" spans="1:18" x14ac:dyDescent="0.3">
      <c r="A706" t="s">
        <v>126</v>
      </c>
      <c r="B706" t="s">
        <v>125</v>
      </c>
      <c r="C706" t="s">
        <v>466</v>
      </c>
      <c r="D706" t="s">
        <v>836</v>
      </c>
      <c r="E706">
        <v>5516</v>
      </c>
      <c r="F706" t="s">
        <v>128</v>
      </c>
      <c r="G706">
        <v>1697</v>
      </c>
      <c r="H706" t="s">
        <v>103</v>
      </c>
      <c r="I706">
        <v>2021</v>
      </c>
      <c r="J706">
        <v>2021</v>
      </c>
      <c r="K706" t="s">
        <v>143</v>
      </c>
      <c r="L706">
        <v>1004000</v>
      </c>
      <c r="M706" t="s">
        <v>399</v>
      </c>
      <c r="N706" t="s">
        <v>400</v>
      </c>
      <c r="O706">
        <v>569534.7771428572</v>
      </c>
      <c r="P706">
        <v>0.56953477714285716</v>
      </c>
      <c r="Q706" t="s">
        <v>772</v>
      </c>
      <c r="R706" s="141">
        <v>0.56726571428571437</v>
      </c>
    </row>
    <row r="707" spans="1:18" x14ac:dyDescent="0.3">
      <c r="A707" t="s">
        <v>126</v>
      </c>
      <c r="B707" t="s">
        <v>125</v>
      </c>
      <c r="C707" t="s">
        <v>466</v>
      </c>
      <c r="D707" t="s">
        <v>836</v>
      </c>
      <c r="E707">
        <v>5616</v>
      </c>
      <c r="F707" t="s">
        <v>127</v>
      </c>
      <c r="G707">
        <v>1697</v>
      </c>
      <c r="H707" t="s">
        <v>103</v>
      </c>
      <c r="I707">
        <v>2021</v>
      </c>
      <c r="J707">
        <v>2021</v>
      </c>
      <c r="K707" t="s">
        <v>143</v>
      </c>
      <c r="L707">
        <v>257406</v>
      </c>
      <c r="M707" t="s">
        <v>399</v>
      </c>
      <c r="N707" t="s">
        <v>400</v>
      </c>
      <c r="O707">
        <v>146017.59845142858</v>
      </c>
      <c r="P707">
        <v>0.14601759845142859</v>
      </c>
      <c r="Q707" t="s">
        <v>773</v>
      </c>
      <c r="R707" s="141">
        <v>0.56726571428571437</v>
      </c>
    </row>
    <row r="708" spans="1:18" x14ac:dyDescent="0.3">
      <c r="A708" t="s">
        <v>126</v>
      </c>
      <c r="B708" t="s">
        <v>125</v>
      </c>
      <c r="C708" t="s">
        <v>466</v>
      </c>
      <c r="D708" t="s">
        <v>836</v>
      </c>
      <c r="E708">
        <v>5916</v>
      </c>
      <c r="F708" t="s">
        <v>124</v>
      </c>
      <c r="G708">
        <v>1697</v>
      </c>
      <c r="H708" t="s">
        <v>103</v>
      </c>
      <c r="I708">
        <v>2021</v>
      </c>
      <c r="J708">
        <v>2021</v>
      </c>
      <c r="K708" t="s">
        <v>143</v>
      </c>
      <c r="L708">
        <v>20094</v>
      </c>
      <c r="M708" t="s">
        <v>399</v>
      </c>
      <c r="N708" t="s">
        <v>400</v>
      </c>
      <c r="O708">
        <v>11398.637262857144</v>
      </c>
      <c r="P708">
        <v>1.1398637262857144E-2</v>
      </c>
      <c r="Q708" t="s">
        <v>774</v>
      </c>
      <c r="R708" s="141">
        <v>0.56726571428571437</v>
      </c>
    </row>
    <row r="709" spans="1:18" x14ac:dyDescent="0.3">
      <c r="A709" t="s">
        <v>126</v>
      </c>
      <c r="B709" t="s">
        <v>125</v>
      </c>
      <c r="C709" t="s">
        <v>466</v>
      </c>
      <c r="D709" t="s">
        <v>836</v>
      </c>
      <c r="E709">
        <v>5516</v>
      </c>
      <c r="F709" t="s">
        <v>128</v>
      </c>
      <c r="G709">
        <v>1606</v>
      </c>
      <c r="H709" t="s">
        <v>102</v>
      </c>
      <c r="I709">
        <v>2021</v>
      </c>
      <c r="J709">
        <v>2021</v>
      </c>
      <c r="O709">
        <v>0</v>
      </c>
      <c r="P709">
        <v>0</v>
      </c>
      <c r="Q709" t="s">
        <v>775</v>
      </c>
      <c r="R709" s="141">
        <v>0.57827142857142866</v>
      </c>
    </row>
    <row r="710" spans="1:18" x14ac:dyDescent="0.3">
      <c r="A710" t="s">
        <v>126</v>
      </c>
      <c r="B710" t="s">
        <v>125</v>
      </c>
      <c r="C710" t="s">
        <v>466</v>
      </c>
      <c r="D710" t="s">
        <v>836</v>
      </c>
      <c r="E710">
        <v>5616</v>
      </c>
      <c r="F710" t="s">
        <v>127</v>
      </c>
      <c r="G710">
        <v>1606</v>
      </c>
      <c r="H710" t="s">
        <v>102</v>
      </c>
      <c r="I710">
        <v>2021</v>
      </c>
      <c r="J710">
        <v>2021</v>
      </c>
      <c r="K710" t="s">
        <v>143</v>
      </c>
      <c r="L710">
        <v>211476</v>
      </c>
      <c r="M710" t="s">
        <v>399</v>
      </c>
      <c r="N710" t="s">
        <v>400</v>
      </c>
      <c r="O710">
        <v>122290.52862857145</v>
      </c>
      <c r="P710">
        <v>0.12229052862857145</v>
      </c>
      <c r="Q710" t="s">
        <v>776</v>
      </c>
      <c r="R710" s="141">
        <v>0.57827142857142866</v>
      </c>
    </row>
    <row r="711" spans="1:18" x14ac:dyDescent="0.3">
      <c r="A711" t="s">
        <v>126</v>
      </c>
      <c r="B711" t="s">
        <v>125</v>
      </c>
      <c r="C711" t="s">
        <v>466</v>
      </c>
      <c r="D711" t="s">
        <v>836</v>
      </c>
      <c r="E711">
        <v>5916</v>
      </c>
      <c r="F711" t="s">
        <v>124</v>
      </c>
      <c r="G711">
        <v>1606</v>
      </c>
      <c r="H711" t="s">
        <v>102</v>
      </c>
      <c r="I711">
        <v>2021</v>
      </c>
      <c r="J711">
        <v>2021</v>
      </c>
      <c r="K711" t="s">
        <v>143</v>
      </c>
      <c r="L711">
        <v>0</v>
      </c>
      <c r="M711" t="s">
        <v>399</v>
      </c>
      <c r="N711" t="s">
        <v>400</v>
      </c>
      <c r="O711">
        <v>0</v>
      </c>
      <c r="P711">
        <v>0</v>
      </c>
      <c r="Q711" t="s">
        <v>777</v>
      </c>
      <c r="R711" s="141">
        <v>0.57827142857142866</v>
      </c>
    </row>
    <row r="712" spans="1:18" x14ac:dyDescent="0.3">
      <c r="A712" t="s">
        <v>126</v>
      </c>
      <c r="B712" t="s">
        <v>125</v>
      </c>
      <c r="C712" t="s">
        <v>466</v>
      </c>
      <c r="D712" t="s">
        <v>836</v>
      </c>
      <c r="E712">
        <v>5516</v>
      </c>
      <c r="F712" t="s">
        <v>128</v>
      </c>
      <c r="G712">
        <v>1647</v>
      </c>
      <c r="H712" t="s">
        <v>146</v>
      </c>
      <c r="I712">
        <v>2021</v>
      </c>
      <c r="J712">
        <v>2021</v>
      </c>
      <c r="K712" t="s">
        <v>143</v>
      </c>
      <c r="L712">
        <v>44000</v>
      </c>
      <c r="M712" t="s">
        <v>397</v>
      </c>
      <c r="N712" t="s">
        <v>398</v>
      </c>
      <c r="O712">
        <v>34056</v>
      </c>
      <c r="P712">
        <v>3.4055999999999996E-2</v>
      </c>
      <c r="Q712" t="s">
        <v>778</v>
      </c>
      <c r="R712" s="141">
        <v>0.77400000000000002</v>
      </c>
    </row>
    <row r="713" spans="1:18" x14ac:dyDescent="0.3">
      <c r="A713" t="s">
        <v>126</v>
      </c>
      <c r="B713" t="s">
        <v>125</v>
      </c>
      <c r="C713" t="s">
        <v>466</v>
      </c>
      <c r="D713" t="s">
        <v>836</v>
      </c>
      <c r="E713">
        <v>5616</v>
      </c>
      <c r="F713" t="s">
        <v>127</v>
      </c>
      <c r="G713">
        <v>1647</v>
      </c>
      <c r="H713" t="s">
        <v>146</v>
      </c>
      <c r="I713">
        <v>2021</v>
      </c>
      <c r="J713">
        <v>2021</v>
      </c>
      <c r="K713" t="s">
        <v>143</v>
      </c>
      <c r="L713">
        <v>188</v>
      </c>
      <c r="M713" t="s">
        <v>399</v>
      </c>
      <c r="N713" t="s">
        <v>400</v>
      </c>
      <c r="O713">
        <v>145.512</v>
      </c>
      <c r="P713">
        <v>1.4551199999999999E-4</v>
      </c>
      <c r="Q713" t="s">
        <v>779</v>
      </c>
      <c r="R713" s="141">
        <v>0.77400000000000002</v>
      </c>
    </row>
    <row r="714" spans="1:18" x14ac:dyDescent="0.3">
      <c r="A714" t="s">
        <v>126</v>
      </c>
      <c r="B714" t="s">
        <v>125</v>
      </c>
      <c r="C714" t="s">
        <v>466</v>
      </c>
      <c r="D714" t="s">
        <v>836</v>
      </c>
      <c r="E714">
        <v>5916</v>
      </c>
      <c r="F714" t="s">
        <v>124</v>
      </c>
      <c r="G714">
        <v>1647</v>
      </c>
      <c r="H714" t="s">
        <v>146</v>
      </c>
      <c r="I714">
        <v>2021</v>
      </c>
      <c r="J714">
        <v>2021</v>
      </c>
      <c r="K714" t="s">
        <v>143</v>
      </c>
      <c r="L714">
        <v>282.64999999999998</v>
      </c>
      <c r="M714" t="s">
        <v>829</v>
      </c>
      <c r="N714" t="s">
        <v>830</v>
      </c>
      <c r="O714">
        <v>218.77109999999999</v>
      </c>
      <c r="P714">
        <v>2.1877109999999999E-4</v>
      </c>
      <c r="Q714" t="s">
        <v>780</v>
      </c>
      <c r="R714" s="141">
        <v>0.77400000000000002</v>
      </c>
    </row>
    <row r="715" spans="1:18" x14ac:dyDescent="0.3">
      <c r="A715" t="s">
        <v>126</v>
      </c>
      <c r="B715" t="s">
        <v>125</v>
      </c>
      <c r="C715" t="s">
        <v>466</v>
      </c>
      <c r="D715" t="s">
        <v>836</v>
      </c>
      <c r="E715">
        <v>5516</v>
      </c>
      <c r="F715" t="s">
        <v>128</v>
      </c>
      <c r="G715">
        <v>1648</v>
      </c>
      <c r="H715" t="s">
        <v>145</v>
      </c>
      <c r="I715">
        <v>2021</v>
      </c>
      <c r="J715">
        <v>2021</v>
      </c>
      <c r="K715" t="s">
        <v>143</v>
      </c>
      <c r="L715">
        <v>378000</v>
      </c>
      <c r="M715" t="s">
        <v>399</v>
      </c>
      <c r="N715" t="s">
        <v>400</v>
      </c>
      <c r="O715">
        <v>229027.5</v>
      </c>
      <c r="P715">
        <v>0.22902749999999999</v>
      </c>
      <c r="Q715" t="s">
        <v>781</v>
      </c>
      <c r="R715" s="141">
        <v>0.60589285714285712</v>
      </c>
    </row>
    <row r="716" spans="1:18" x14ac:dyDescent="0.3">
      <c r="A716" t="s">
        <v>126</v>
      </c>
      <c r="B716" t="s">
        <v>125</v>
      </c>
      <c r="C716" t="s">
        <v>466</v>
      </c>
      <c r="D716" t="s">
        <v>836</v>
      </c>
      <c r="E716">
        <v>5616</v>
      </c>
      <c r="F716" t="s">
        <v>127</v>
      </c>
      <c r="G716">
        <v>1648</v>
      </c>
      <c r="H716" t="s">
        <v>145</v>
      </c>
      <c r="I716">
        <v>2021</v>
      </c>
      <c r="J716">
        <v>2021</v>
      </c>
      <c r="K716" t="s">
        <v>143</v>
      </c>
      <c r="L716">
        <v>462682</v>
      </c>
      <c r="M716" t="s">
        <v>399</v>
      </c>
      <c r="N716" t="s">
        <v>400</v>
      </c>
      <c r="O716">
        <v>280335.71892857144</v>
      </c>
      <c r="P716">
        <v>0.28033571892857145</v>
      </c>
      <c r="Q716" t="s">
        <v>782</v>
      </c>
      <c r="R716" s="141">
        <v>0.60589285714285712</v>
      </c>
    </row>
    <row r="717" spans="1:18" x14ac:dyDescent="0.3">
      <c r="A717" t="s">
        <v>126</v>
      </c>
      <c r="B717" t="s">
        <v>125</v>
      </c>
      <c r="C717" t="s">
        <v>466</v>
      </c>
      <c r="D717" t="s">
        <v>836</v>
      </c>
      <c r="E717">
        <v>5916</v>
      </c>
      <c r="F717" t="s">
        <v>124</v>
      </c>
      <c r="G717">
        <v>1648</v>
      </c>
      <c r="H717" t="s">
        <v>145</v>
      </c>
      <c r="I717">
        <v>2021</v>
      </c>
      <c r="J717">
        <v>2021</v>
      </c>
      <c r="K717" t="s">
        <v>143</v>
      </c>
      <c r="L717">
        <v>2929</v>
      </c>
      <c r="M717" t="s">
        <v>399</v>
      </c>
      <c r="N717" t="s">
        <v>400</v>
      </c>
      <c r="O717">
        <v>1774.6601785714286</v>
      </c>
      <c r="P717">
        <v>1.7746601785714284E-3</v>
      </c>
      <c r="Q717" t="s">
        <v>783</v>
      </c>
      <c r="R717" s="141">
        <v>0.60589285714285712</v>
      </c>
    </row>
    <row r="718" spans="1:18" x14ac:dyDescent="0.3">
      <c r="A718" t="s">
        <v>126</v>
      </c>
      <c r="B718" t="s">
        <v>125</v>
      </c>
      <c r="C718" t="s">
        <v>466</v>
      </c>
      <c r="D718" t="s">
        <v>836</v>
      </c>
      <c r="E718">
        <v>5516</v>
      </c>
      <c r="F718" t="s">
        <v>128</v>
      </c>
      <c r="G718">
        <v>1650</v>
      </c>
      <c r="H718" t="s">
        <v>144</v>
      </c>
      <c r="I718">
        <v>2021</v>
      </c>
      <c r="J718">
        <v>2021</v>
      </c>
      <c r="K718" t="s">
        <v>143</v>
      </c>
      <c r="L718">
        <v>300000</v>
      </c>
      <c r="M718" t="s">
        <v>832</v>
      </c>
      <c r="N718" t="s">
        <v>833</v>
      </c>
      <c r="O718">
        <v>73203.75</v>
      </c>
      <c r="P718">
        <v>7.3203749999999998E-2</v>
      </c>
      <c r="Q718" t="s">
        <v>784</v>
      </c>
      <c r="R718" s="141">
        <v>0.24401250000000002</v>
      </c>
    </row>
    <row r="719" spans="1:18" x14ac:dyDescent="0.3">
      <c r="A719" t="s">
        <v>126</v>
      </c>
      <c r="B719" t="s">
        <v>125</v>
      </c>
      <c r="C719" t="s">
        <v>466</v>
      </c>
      <c r="D719" t="s">
        <v>836</v>
      </c>
      <c r="E719">
        <v>5616</v>
      </c>
      <c r="F719" t="s">
        <v>127</v>
      </c>
      <c r="G719">
        <v>1650</v>
      </c>
      <c r="H719" t="s">
        <v>144</v>
      </c>
      <c r="I719">
        <v>2021</v>
      </c>
      <c r="J719">
        <v>2021</v>
      </c>
      <c r="K719" t="s">
        <v>143</v>
      </c>
      <c r="L719">
        <v>1328</v>
      </c>
      <c r="M719" t="s">
        <v>399</v>
      </c>
      <c r="N719" t="s">
        <v>400</v>
      </c>
      <c r="O719">
        <v>324.04860000000002</v>
      </c>
      <c r="P719">
        <v>3.240486E-4</v>
      </c>
      <c r="Q719" t="s">
        <v>785</v>
      </c>
      <c r="R719" s="141">
        <v>0.24401250000000002</v>
      </c>
    </row>
    <row r="720" spans="1:18" x14ac:dyDescent="0.3">
      <c r="A720" t="s">
        <v>126</v>
      </c>
      <c r="B720" t="s">
        <v>125</v>
      </c>
      <c r="C720" t="s">
        <v>466</v>
      </c>
      <c r="D720" t="s">
        <v>836</v>
      </c>
      <c r="E720">
        <v>5916</v>
      </c>
      <c r="F720" t="s">
        <v>124</v>
      </c>
      <c r="G720">
        <v>1650</v>
      </c>
      <c r="H720" t="s">
        <v>144</v>
      </c>
      <c r="I720">
        <v>2021</v>
      </c>
      <c r="J720">
        <v>2021</v>
      </c>
      <c r="K720" t="s">
        <v>143</v>
      </c>
      <c r="L720">
        <v>499</v>
      </c>
      <c r="M720" t="s">
        <v>399</v>
      </c>
      <c r="N720" t="s">
        <v>400</v>
      </c>
      <c r="O720">
        <v>121.76223750000001</v>
      </c>
      <c r="P720">
        <v>1.217622375E-4</v>
      </c>
      <c r="Q720" t="s">
        <v>786</v>
      </c>
      <c r="R720" s="141">
        <v>0.24401250000000002</v>
      </c>
    </row>
    <row r="721" spans="1:18" x14ac:dyDescent="0.3">
      <c r="A721" t="s">
        <v>126</v>
      </c>
      <c r="B721" t="s">
        <v>125</v>
      </c>
      <c r="C721" t="s">
        <v>466</v>
      </c>
      <c r="D721" t="s">
        <v>836</v>
      </c>
      <c r="E721">
        <v>5516</v>
      </c>
      <c r="F721" t="s">
        <v>128</v>
      </c>
      <c r="G721">
        <v>1649</v>
      </c>
      <c r="H721" t="s">
        <v>142</v>
      </c>
      <c r="I721">
        <v>2021</v>
      </c>
      <c r="J721">
        <v>2021</v>
      </c>
    </row>
    <row r="722" spans="1:18" x14ac:dyDescent="0.3">
      <c r="A722" t="s">
        <v>126</v>
      </c>
      <c r="B722" t="s">
        <v>125</v>
      </c>
      <c r="C722" t="s">
        <v>466</v>
      </c>
      <c r="D722" t="s">
        <v>836</v>
      </c>
      <c r="E722">
        <v>5616</v>
      </c>
      <c r="F722" t="s">
        <v>127</v>
      </c>
      <c r="G722">
        <v>1649</v>
      </c>
      <c r="H722" t="s">
        <v>142</v>
      </c>
      <c r="I722">
        <v>2021</v>
      </c>
      <c r="J722">
        <v>2021</v>
      </c>
    </row>
    <row r="723" spans="1:18" x14ac:dyDescent="0.3">
      <c r="A723" t="s">
        <v>126</v>
      </c>
      <c r="B723" t="s">
        <v>125</v>
      </c>
      <c r="C723" t="s">
        <v>466</v>
      </c>
      <c r="D723" t="s">
        <v>836</v>
      </c>
      <c r="E723">
        <v>5916</v>
      </c>
      <c r="F723" t="s">
        <v>124</v>
      </c>
      <c r="G723">
        <v>1649</v>
      </c>
      <c r="H723" t="s">
        <v>142</v>
      </c>
      <c r="I723">
        <v>2021</v>
      </c>
      <c r="J723">
        <v>2021</v>
      </c>
    </row>
    <row r="724" spans="1:18" x14ac:dyDescent="0.3">
      <c r="A724" t="s">
        <v>126</v>
      </c>
      <c r="B724" t="s">
        <v>125</v>
      </c>
      <c r="C724" t="s">
        <v>466</v>
      </c>
      <c r="D724" t="s">
        <v>836</v>
      </c>
      <c r="E724">
        <v>5510</v>
      </c>
      <c r="F724" t="s">
        <v>128</v>
      </c>
      <c r="G724">
        <v>1685</v>
      </c>
      <c r="H724" t="s">
        <v>98</v>
      </c>
      <c r="I724">
        <v>2021</v>
      </c>
      <c r="J724">
        <v>2021</v>
      </c>
      <c r="K724" t="s">
        <v>339</v>
      </c>
      <c r="L724">
        <v>474000</v>
      </c>
      <c r="M724" t="s">
        <v>399</v>
      </c>
      <c r="N724" t="s">
        <v>400</v>
      </c>
      <c r="O724">
        <v>426600</v>
      </c>
      <c r="P724">
        <v>0.42659999999999998</v>
      </c>
      <c r="Q724" t="s">
        <v>787</v>
      </c>
      <c r="R724" s="141">
        <v>0.9</v>
      </c>
    </row>
    <row r="725" spans="1:18" x14ac:dyDescent="0.3">
      <c r="A725" t="s">
        <v>126</v>
      </c>
      <c r="B725" t="s">
        <v>125</v>
      </c>
      <c r="C725" t="s">
        <v>466</v>
      </c>
      <c r="D725" t="s">
        <v>836</v>
      </c>
      <c r="E725">
        <v>5610</v>
      </c>
      <c r="F725" t="s">
        <v>127</v>
      </c>
      <c r="G725">
        <v>1685</v>
      </c>
      <c r="H725" t="s">
        <v>98</v>
      </c>
      <c r="I725">
        <v>2021</v>
      </c>
      <c r="J725">
        <v>2021</v>
      </c>
      <c r="K725" t="s">
        <v>339</v>
      </c>
      <c r="L725">
        <v>55062.47</v>
      </c>
      <c r="M725" t="s">
        <v>829</v>
      </c>
      <c r="N725" t="s">
        <v>830</v>
      </c>
      <c r="O725">
        <v>49556.223000000005</v>
      </c>
      <c r="P725">
        <v>4.9556223000000003E-2</v>
      </c>
      <c r="Q725" t="s">
        <v>788</v>
      </c>
      <c r="R725" s="141">
        <v>0.9</v>
      </c>
    </row>
    <row r="726" spans="1:18" x14ac:dyDescent="0.3">
      <c r="A726" t="s">
        <v>126</v>
      </c>
      <c r="B726" t="s">
        <v>125</v>
      </c>
      <c r="C726" t="s">
        <v>466</v>
      </c>
      <c r="D726" t="s">
        <v>836</v>
      </c>
      <c r="E726">
        <v>5910</v>
      </c>
      <c r="F726" t="s">
        <v>124</v>
      </c>
      <c r="G726">
        <v>1685</v>
      </c>
      <c r="H726" t="s">
        <v>98</v>
      </c>
      <c r="I726">
        <v>2021</v>
      </c>
      <c r="J726">
        <v>2021</v>
      </c>
      <c r="K726" t="s">
        <v>339</v>
      </c>
      <c r="L726">
        <v>177.68</v>
      </c>
      <c r="M726" t="s">
        <v>829</v>
      </c>
      <c r="N726" t="s">
        <v>830</v>
      </c>
      <c r="O726">
        <v>159.91200000000001</v>
      </c>
      <c r="P726">
        <v>1.5991200000000001E-4</v>
      </c>
      <c r="Q726" t="s">
        <v>789</v>
      </c>
      <c r="R726" s="141">
        <v>0.9</v>
      </c>
    </row>
    <row r="727" spans="1:18" x14ac:dyDescent="0.3">
      <c r="A727" t="s">
        <v>126</v>
      </c>
      <c r="B727" t="s">
        <v>125</v>
      </c>
      <c r="C727" t="s">
        <v>466</v>
      </c>
      <c r="D727" t="s">
        <v>836</v>
      </c>
      <c r="E727">
        <v>5510</v>
      </c>
      <c r="F727" t="s">
        <v>128</v>
      </c>
      <c r="G727">
        <v>1654</v>
      </c>
      <c r="H727" t="s">
        <v>141</v>
      </c>
      <c r="I727">
        <v>2021</v>
      </c>
      <c r="J727">
        <v>2021</v>
      </c>
    </row>
    <row r="728" spans="1:18" x14ac:dyDescent="0.3">
      <c r="A728" t="s">
        <v>126</v>
      </c>
      <c r="B728" t="s">
        <v>125</v>
      </c>
      <c r="C728" t="s">
        <v>466</v>
      </c>
      <c r="D728" t="s">
        <v>836</v>
      </c>
      <c r="E728">
        <v>5610</v>
      </c>
      <c r="F728" t="s">
        <v>127</v>
      </c>
      <c r="G728">
        <v>1654</v>
      </c>
      <c r="H728" t="s">
        <v>141</v>
      </c>
      <c r="I728">
        <v>2021</v>
      </c>
      <c r="J728">
        <v>2021</v>
      </c>
    </row>
    <row r="729" spans="1:18" x14ac:dyDescent="0.3">
      <c r="A729" t="s">
        <v>126</v>
      </c>
      <c r="B729" t="s">
        <v>125</v>
      </c>
      <c r="C729" t="s">
        <v>466</v>
      </c>
      <c r="D729" t="s">
        <v>836</v>
      </c>
      <c r="E729">
        <v>5910</v>
      </c>
      <c r="F729" t="s">
        <v>124</v>
      </c>
      <c r="G729">
        <v>1654</v>
      </c>
      <c r="H729" t="s">
        <v>141</v>
      </c>
      <c r="I729">
        <v>2021</v>
      </c>
      <c r="J729">
        <v>2021</v>
      </c>
    </row>
    <row r="730" spans="1:18" x14ac:dyDescent="0.3">
      <c r="A730" t="s">
        <v>126</v>
      </c>
      <c r="B730" t="s">
        <v>125</v>
      </c>
      <c r="C730" t="s">
        <v>466</v>
      </c>
      <c r="D730" t="s">
        <v>836</v>
      </c>
      <c r="E730">
        <v>5510</v>
      </c>
      <c r="F730" t="s">
        <v>128</v>
      </c>
      <c r="G730">
        <v>1655</v>
      </c>
      <c r="H730" t="s">
        <v>140</v>
      </c>
      <c r="I730">
        <v>2021</v>
      </c>
      <c r="J730">
        <v>2021</v>
      </c>
    </row>
    <row r="731" spans="1:18" x14ac:dyDescent="0.3">
      <c r="A731" t="s">
        <v>126</v>
      </c>
      <c r="B731" t="s">
        <v>125</v>
      </c>
      <c r="C731" t="s">
        <v>466</v>
      </c>
      <c r="D731" t="s">
        <v>836</v>
      </c>
      <c r="E731">
        <v>5610</v>
      </c>
      <c r="F731" t="s">
        <v>127</v>
      </c>
      <c r="G731">
        <v>1655</v>
      </c>
      <c r="H731" t="s">
        <v>140</v>
      </c>
      <c r="I731">
        <v>2021</v>
      </c>
      <c r="J731">
        <v>2021</v>
      </c>
    </row>
    <row r="732" spans="1:18" x14ac:dyDescent="0.3">
      <c r="A732" t="s">
        <v>126</v>
      </c>
      <c r="B732" t="s">
        <v>125</v>
      </c>
      <c r="C732" t="s">
        <v>466</v>
      </c>
      <c r="D732" t="s">
        <v>836</v>
      </c>
      <c r="E732">
        <v>5910</v>
      </c>
      <c r="F732" t="s">
        <v>124</v>
      </c>
      <c r="G732">
        <v>1655</v>
      </c>
      <c r="H732" t="s">
        <v>140</v>
      </c>
      <c r="I732">
        <v>2021</v>
      </c>
      <c r="J732">
        <v>2021</v>
      </c>
    </row>
    <row r="733" spans="1:18" x14ac:dyDescent="0.3">
      <c r="A733" t="s">
        <v>126</v>
      </c>
      <c r="B733" t="s">
        <v>125</v>
      </c>
      <c r="C733" t="s">
        <v>466</v>
      </c>
      <c r="D733" t="s">
        <v>836</v>
      </c>
      <c r="E733">
        <v>5510</v>
      </c>
      <c r="F733" t="s">
        <v>128</v>
      </c>
      <c r="G733">
        <v>1656</v>
      </c>
      <c r="H733" t="s">
        <v>97</v>
      </c>
      <c r="I733">
        <v>2021</v>
      </c>
      <c r="J733">
        <v>2021</v>
      </c>
      <c r="K733" t="s">
        <v>339</v>
      </c>
      <c r="L733">
        <v>7151000</v>
      </c>
      <c r="M733" t="s">
        <v>397</v>
      </c>
      <c r="N733" t="s">
        <v>398</v>
      </c>
      <c r="O733">
        <v>6435900</v>
      </c>
      <c r="P733">
        <v>6.4358999999999993</v>
      </c>
      <c r="Q733" t="s">
        <v>790</v>
      </c>
      <c r="R733" s="141">
        <v>0.9</v>
      </c>
    </row>
    <row r="734" spans="1:18" x14ac:dyDescent="0.3">
      <c r="A734" t="s">
        <v>126</v>
      </c>
      <c r="B734" t="s">
        <v>125</v>
      </c>
      <c r="C734" t="s">
        <v>466</v>
      </c>
      <c r="D734" t="s">
        <v>836</v>
      </c>
      <c r="E734">
        <v>5610</v>
      </c>
      <c r="F734" t="s">
        <v>127</v>
      </c>
      <c r="G734">
        <v>1656</v>
      </c>
      <c r="H734" t="s">
        <v>97</v>
      </c>
      <c r="I734">
        <v>2021</v>
      </c>
      <c r="J734">
        <v>2021</v>
      </c>
      <c r="K734" t="s">
        <v>339</v>
      </c>
      <c r="L734">
        <v>1304477.77</v>
      </c>
      <c r="M734" t="s">
        <v>397</v>
      </c>
      <c r="N734" t="s">
        <v>398</v>
      </c>
      <c r="O734">
        <v>1174029.993</v>
      </c>
      <c r="P734">
        <v>1.174029993</v>
      </c>
      <c r="Q734" t="s">
        <v>791</v>
      </c>
      <c r="R734" s="141">
        <v>0.9</v>
      </c>
    </row>
    <row r="735" spans="1:18" x14ac:dyDescent="0.3">
      <c r="A735" t="s">
        <v>126</v>
      </c>
      <c r="B735" t="s">
        <v>125</v>
      </c>
      <c r="C735" t="s">
        <v>466</v>
      </c>
      <c r="D735" t="s">
        <v>836</v>
      </c>
      <c r="E735">
        <v>5910</v>
      </c>
      <c r="F735" t="s">
        <v>124</v>
      </c>
      <c r="G735">
        <v>1656</v>
      </c>
      <c r="H735" t="s">
        <v>97</v>
      </c>
      <c r="I735">
        <v>2021</v>
      </c>
      <c r="J735">
        <v>2021</v>
      </c>
      <c r="K735" t="s">
        <v>339</v>
      </c>
      <c r="L735">
        <v>257175.46</v>
      </c>
      <c r="M735" t="s">
        <v>397</v>
      </c>
      <c r="N735" t="s">
        <v>398</v>
      </c>
      <c r="O735">
        <v>231457.91399999999</v>
      </c>
      <c r="P735">
        <v>0.23145791399999999</v>
      </c>
      <c r="Q735" t="s">
        <v>792</v>
      </c>
      <c r="R735" s="141">
        <v>0.9</v>
      </c>
    </row>
    <row r="736" spans="1:18" x14ac:dyDescent="0.3">
      <c r="A736" t="s">
        <v>126</v>
      </c>
      <c r="B736" t="s">
        <v>125</v>
      </c>
      <c r="C736" t="s">
        <v>466</v>
      </c>
      <c r="D736" t="s">
        <v>836</v>
      </c>
      <c r="E736">
        <v>5510</v>
      </c>
      <c r="F736" t="s">
        <v>128</v>
      </c>
      <c r="G736">
        <v>1662</v>
      </c>
      <c r="H736" t="s">
        <v>139</v>
      </c>
      <c r="I736">
        <v>2021</v>
      </c>
      <c r="J736">
        <v>2021</v>
      </c>
      <c r="K736" t="s">
        <v>339</v>
      </c>
      <c r="L736">
        <v>1019000</v>
      </c>
      <c r="M736" t="s">
        <v>399</v>
      </c>
      <c r="N736" t="s">
        <v>400</v>
      </c>
    </row>
    <row r="737" spans="1:18" x14ac:dyDescent="0.3">
      <c r="A737" t="s">
        <v>126</v>
      </c>
      <c r="B737" t="s">
        <v>125</v>
      </c>
      <c r="C737" t="s">
        <v>466</v>
      </c>
      <c r="D737" t="s">
        <v>836</v>
      </c>
      <c r="E737">
        <v>5610</v>
      </c>
      <c r="F737" t="s">
        <v>127</v>
      </c>
      <c r="G737">
        <v>1662</v>
      </c>
      <c r="H737" t="s">
        <v>139</v>
      </c>
      <c r="I737">
        <v>2021</v>
      </c>
      <c r="J737">
        <v>2021</v>
      </c>
      <c r="K737" t="s">
        <v>339</v>
      </c>
      <c r="L737">
        <v>18169.009999999998</v>
      </c>
      <c r="M737" t="s">
        <v>829</v>
      </c>
      <c r="N737" t="s">
        <v>830</v>
      </c>
    </row>
    <row r="738" spans="1:18" x14ac:dyDescent="0.3">
      <c r="A738" t="s">
        <v>126</v>
      </c>
      <c r="B738" t="s">
        <v>125</v>
      </c>
      <c r="C738" t="s">
        <v>466</v>
      </c>
      <c r="D738" t="s">
        <v>836</v>
      </c>
      <c r="E738">
        <v>5910</v>
      </c>
      <c r="F738" t="s">
        <v>124</v>
      </c>
      <c r="G738">
        <v>1662</v>
      </c>
      <c r="H738" t="s">
        <v>139</v>
      </c>
      <c r="I738">
        <v>2021</v>
      </c>
      <c r="J738">
        <v>2021</v>
      </c>
      <c r="K738" t="s">
        <v>339</v>
      </c>
      <c r="L738">
        <v>116940.22</v>
      </c>
      <c r="M738" t="s">
        <v>829</v>
      </c>
      <c r="N738" t="s">
        <v>830</v>
      </c>
    </row>
    <row r="739" spans="1:18" x14ac:dyDescent="0.3">
      <c r="A739" t="s">
        <v>126</v>
      </c>
      <c r="B739" t="s">
        <v>125</v>
      </c>
      <c r="C739" t="s">
        <v>466</v>
      </c>
      <c r="D739" t="s">
        <v>836</v>
      </c>
      <c r="E739">
        <v>5510</v>
      </c>
      <c r="F739" t="s">
        <v>128</v>
      </c>
      <c r="G739">
        <v>1663</v>
      </c>
      <c r="H739" t="s">
        <v>138</v>
      </c>
      <c r="I739">
        <v>2021</v>
      </c>
      <c r="J739">
        <v>2021</v>
      </c>
      <c r="K739" t="s">
        <v>339</v>
      </c>
      <c r="L739">
        <v>6118000</v>
      </c>
      <c r="M739" t="s">
        <v>399</v>
      </c>
      <c r="N739" t="s">
        <v>400</v>
      </c>
    </row>
    <row r="740" spans="1:18" x14ac:dyDescent="0.3">
      <c r="A740" t="s">
        <v>126</v>
      </c>
      <c r="B740" t="s">
        <v>125</v>
      </c>
      <c r="C740" t="s">
        <v>466</v>
      </c>
      <c r="D740" t="s">
        <v>836</v>
      </c>
      <c r="E740">
        <v>5610</v>
      </c>
      <c r="F740" t="s">
        <v>127</v>
      </c>
      <c r="G740">
        <v>1663</v>
      </c>
      <c r="H740" t="s">
        <v>138</v>
      </c>
      <c r="I740">
        <v>2021</v>
      </c>
      <c r="J740">
        <v>2021</v>
      </c>
      <c r="K740" t="s">
        <v>339</v>
      </c>
      <c r="L740">
        <v>1282509.49</v>
      </c>
      <c r="M740" t="s">
        <v>829</v>
      </c>
      <c r="N740" t="s">
        <v>830</v>
      </c>
    </row>
    <row r="741" spans="1:18" x14ac:dyDescent="0.3">
      <c r="A741" t="s">
        <v>126</v>
      </c>
      <c r="B741" t="s">
        <v>125</v>
      </c>
      <c r="C741" t="s">
        <v>466</v>
      </c>
      <c r="D741" t="s">
        <v>836</v>
      </c>
      <c r="E741">
        <v>5910</v>
      </c>
      <c r="F741" t="s">
        <v>124</v>
      </c>
      <c r="G741">
        <v>1663</v>
      </c>
      <c r="H741" t="s">
        <v>138</v>
      </c>
      <c r="I741">
        <v>2021</v>
      </c>
      <c r="J741">
        <v>2021</v>
      </c>
      <c r="K741" t="s">
        <v>339</v>
      </c>
      <c r="L741">
        <v>140109.24</v>
      </c>
      <c r="M741" t="s">
        <v>829</v>
      </c>
      <c r="N741" t="s">
        <v>830</v>
      </c>
    </row>
    <row r="742" spans="1:18" x14ac:dyDescent="0.3">
      <c r="A742" t="s">
        <v>126</v>
      </c>
      <c r="B742" t="s">
        <v>125</v>
      </c>
      <c r="C742" t="s">
        <v>466</v>
      </c>
      <c r="D742" t="s">
        <v>836</v>
      </c>
      <c r="E742">
        <v>5510</v>
      </c>
      <c r="F742" t="s">
        <v>128</v>
      </c>
      <c r="G742">
        <v>1686</v>
      </c>
      <c r="H742" t="s">
        <v>137</v>
      </c>
      <c r="I742">
        <v>2021</v>
      </c>
      <c r="J742">
        <v>2021</v>
      </c>
      <c r="K742" t="s">
        <v>339</v>
      </c>
      <c r="L742">
        <v>14000</v>
      </c>
      <c r="M742" t="s">
        <v>832</v>
      </c>
      <c r="N742" t="s">
        <v>833</v>
      </c>
    </row>
    <row r="743" spans="1:18" x14ac:dyDescent="0.3">
      <c r="A743" t="s">
        <v>126</v>
      </c>
      <c r="B743" t="s">
        <v>125</v>
      </c>
      <c r="C743" t="s">
        <v>466</v>
      </c>
      <c r="D743" t="s">
        <v>836</v>
      </c>
      <c r="E743">
        <v>5610</v>
      </c>
      <c r="F743" t="s">
        <v>127</v>
      </c>
      <c r="G743">
        <v>1686</v>
      </c>
      <c r="H743" t="s">
        <v>137</v>
      </c>
      <c r="I743">
        <v>2021</v>
      </c>
      <c r="J743">
        <v>2021</v>
      </c>
      <c r="K743" t="s">
        <v>339</v>
      </c>
      <c r="L743">
        <v>3799.27</v>
      </c>
      <c r="M743" t="s">
        <v>829</v>
      </c>
      <c r="N743" t="s">
        <v>830</v>
      </c>
    </row>
    <row r="744" spans="1:18" x14ac:dyDescent="0.3">
      <c r="A744" t="s">
        <v>126</v>
      </c>
      <c r="B744" t="s">
        <v>125</v>
      </c>
      <c r="C744" t="s">
        <v>466</v>
      </c>
      <c r="D744" t="s">
        <v>836</v>
      </c>
      <c r="E744">
        <v>5910</v>
      </c>
      <c r="F744" t="s">
        <v>124</v>
      </c>
      <c r="G744">
        <v>1686</v>
      </c>
      <c r="H744" t="s">
        <v>137</v>
      </c>
      <c r="I744">
        <v>2021</v>
      </c>
      <c r="J744">
        <v>2021</v>
      </c>
      <c r="K744" t="s">
        <v>339</v>
      </c>
      <c r="L744">
        <v>126</v>
      </c>
      <c r="M744" t="s">
        <v>832</v>
      </c>
      <c r="N744" t="s">
        <v>833</v>
      </c>
    </row>
    <row r="745" spans="1:18" x14ac:dyDescent="0.3">
      <c r="A745" t="s">
        <v>126</v>
      </c>
      <c r="B745" t="s">
        <v>125</v>
      </c>
      <c r="C745" t="s">
        <v>466</v>
      </c>
      <c r="D745" t="s">
        <v>836</v>
      </c>
      <c r="E745">
        <v>5510</v>
      </c>
      <c r="F745" t="s">
        <v>128</v>
      </c>
      <c r="G745">
        <v>1660</v>
      </c>
      <c r="H745" t="s">
        <v>136</v>
      </c>
      <c r="I745">
        <v>2021</v>
      </c>
      <c r="J745">
        <v>2021</v>
      </c>
    </row>
    <row r="746" spans="1:18" x14ac:dyDescent="0.3">
      <c r="A746" t="s">
        <v>126</v>
      </c>
      <c r="B746" t="s">
        <v>125</v>
      </c>
      <c r="C746" t="s">
        <v>466</v>
      </c>
      <c r="D746" t="s">
        <v>836</v>
      </c>
      <c r="E746">
        <v>5610</v>
      </c>
      <c r="F746" t="s">
        <v>127</v>
      </c>
      <c r="G746">
        <v>1660</v>
      </c>
      <c r="H746" t="s">
        <v>136</v>
      </c>
      <c r="I746">
        <v>2021</v>
      </c>
      <c r="J746">
        <v>2021</v>
      </c>
    </row>
    <row r="747" spans="1:18" x14ac:dyDescent="0.3">
      <c r="A747" t="s">
        <v>126</v>
      </c>
      <c r="B747" t="s">
        <v>125</v>
      </c>
      <c r="C747" t="s">
        <v>466</v>
      </c>
      <c r="D747" t="s">
        <v>836</v>
      </c>
      <c r="E747">
        <v>5910</v>
      </c>
      <c r="F747" t="s">
        <v>124</v>
      </c>
      <c r="G747">
        <v>1660</v>
      </c>
      <c r="H747" t="s">
        <v>136</v>
      </c>
      <c r="I747">
        <v>2021</v>
      </c>
      <c r="J747">
        <v>2021</v>
      </c>
    </row>
    <row r="748" spans="1:18" x14ac:dyDescent="0.3">
      <c r="A748" t="s">
        <v>126</v>
      </c>
      <c r="B748" t="s">
        <v>125</v>
      </c>
      <c r="C748" t="s">
        <v>466</v>
      </c>
      <c r="D748" t="s">
        <v>836</v>
      </c>
      <c r="E748">
        <v>5510</v>
      </c>
      <c r="F748" t="s">
        <v>128</v>
      </c>
      <c r="G748">
        <v>1661</v>
      </c>
      <c r="H748" t="s">
        <v>135</v>
      </c>
      <c r="I748">
        <v>2021</v>
      </c>
      <c r="J748">
        <v>2021</v>
      </c>
    </row>
    <row r="749" spans="1:18" x14ac:dyDescent="0.3">
      <c r="A749" t="s">
        <v>126</v>
      </c>
      <c r="B749" t="s">
        <v>125</v>
      </c>
      <c r="C749" t="s">
        <v>466</v>
      </c>
      <c r="D749" t="s">
        <v>836</v>
      </c>
      <c r="E749">
        <v>5610</v>
      </c>
      <c r="F749" t="s">
        <v>127</v>
      </c>
      <c r="G749">
        <v>1661</v>
      </c>
      <c r="H749" t="s">
        <v>135</v>
      </c>
      <c r="I749">
        <v>2021</v>
      </c>
      <c r="J749">
        <v>2021</v>
      </c>
    </row>
    <row r="750" spans="1:18" x14ac:dyDescent="0.3">
      <c r="A750" t="s">
        <v>126</v>
      </c>
      <c r="B750" t="s">
        <v>125</v>
      </c>
      <c r="C750" t="s">
        <v>466</v>
      </c>
      <c r="D750" t="s">
        <v>836</v>
      </c>
      <c r="E750">
        <v>5910</v>
      </c>
      <c r="F750" t="s">
        <v>124</v>
      </c>
      <c r="G750">
        <v>1661</v>
      </c>
      <c r="H750" t="s">
        <v>135</v>
      </c>
      <c r="I750">
        <v>2021</v>
      </c>
      <c r="J750">
        <v>2021</v>
      </c>
    </row>
    <row r="751" spans="1:18" x14ac:dyDescent="0.3">
      <c r="A751" t="s">
        <v>126</v>
      </c>
      <c r="B751" t="s">
        <v>125</v>
      </c>
      <c r="C751" t="s">
        <v>466</v>
      </c>
      <c r="D751" t="s">
        <v>836</v>
      </c>
      <c r="E751">
        <v>5510</v>
      </c>
      <c r="F751" t="s">
        <v>128</v>
      </c>
      <c r="G751">
        <v>1667</v>
      </c>
      <c r="H751" t="s">
        <v>96</v>
      </c>
      <c r="I751">
        <v>2021</v>
      </c>
      <c r="J751">
        <v>2021</v>
      </c>
      <c r="K751" t="s">
        <v>339</v>
      </c>
      <c r="L751">
        <v>158000</v>
      </c>
      <c r="M751" t="s">
        <v>399</v>
      </c>
      <c r="N751" t="s">
        <v>400</v>
      </c>
      <c r="O751">
        <v>142200</v>
      </c>
      <c r="P751">
        <v>0.14219999999999999</v>
      </c>
      <c r="Q751" t="s">
        <v>793</v>
      </c>
      <c r="R751" s="141">
        <v>0.9</v>
      </c>
    </row>
    <row r="752" spans="1:18" x14ac:dyDescent="0.3">
      <c r="A752" t="s">
        <v>126</v>
      </c>
      <c r="B752" t="s">
        <v>125</v>
      </c>
      <c r="C752" t="s">
        <v>466</v>
      </c>
      <c r="D752" t="s">
        <v>836</v>
      </c>
      <c r="E752">
        <v>5610</v>
      </c>
      <c r="F752" t="s">
        <v>127</v>
      </c>
      <c r="G752">
        <v>1667</v>
      </c>
      <c r="H752" t="s">
        <v>96</v>
      </c>
      <c r="I752">
        <v>2021</v>
      </c>
      <c r="J752">
        <v>2021</v>
      </c>
      <c r="K752" t="s">
        <v>339</v>
      </c>
      <c r="L752">
        <v>95627.69</v>
      </c>
      <c r="M752" t="s">
        <v>829</v>
      </c>
      <c r="N752" t="s">
        <v>830</v>
      </c>
      <c r="O752">
        <v>86064.921000000002</v>
      </c>
      <c r="P752">
        <v>8.6064921000000003E-2</v>
      </c>
      <c r="Q752" t="s">
        <v>794</v>
      </c>
      <c r="R752" s="141">
        <v>0.9</v>
      </c>
    </row>
    <row r="753" spans="1:18" x14ac:dyDescent="0.3">
      <c r="A753" t="s">
        <v>126</v>
      </c>
      <c r="B753" t="s">
        <v>125</v>
      </c>
      <c r="C753" t="s">
        <v>466</v>
      </c>
      <c r="D753" t="s">
        <v>836</v>
      </c>
      <c r="E753">
        <v>5910</v>
      </c>
      <c r="F753" t="s">
        <v>124</v>
      </c>
      <c r="G753">
        <v>1667</v>
      </c>
      <c r="H753" t="s">
        <v>96</v>
      </c>
      <c r="I753">
        <v>2021</v>
      </c>
      <c r="J753">
        <v>2021</v>
      </c>
      <c r="K753" t="s">
        <v>339</v>
      </c>
      <c r="L753">
        <v>108646.53</v>
      </c>
      <c r="M753" t="s">
        <v>829</v>
      </c>
      <c r="N753" t="s">
        <v>830</v>
      </c>
      <c r="O753">
        <v>97781.877000000008</v>
      </c>
      <c r="P753">
        <v>9.7781877000000003E-2</v>
      </c>
      <c r="Q753" t="s">
        <v>795</v>
      </c>
      <c r="R753" s="141">
        <v>0.9</v>
      </c>
    </row>
    <row r="754" spans="1:18" x14ac:dyDescent="0.3">
      <c r="A754" t="s">
        <v>126</v>
      </c>
      <c r="B754" t="s">
        <v>125</v>
      </c>
      <c r="C754" t="s">
        <v>466</v>
      </c>
      <c r="D754" t="s">
        <v>836</v>
      </c>
      <c r="E754">
        <v>5510</v>
      </c>
      <c r="F754" t="s">
        <v>128</v>
      </c>
      <c r="G754">
        <v>1668</v>
      </c>
      <c r="H754" t="s">
        <v>95</v>
      </c>
      <c r="I754">
        <v>2021</v>
      </c>
      <c r="J754">
        <v>2021</v>
      </c>
      <c r="K754" t="s">
        <v>339</v>
      </c>
      <c r="L754">
        <v>5000</v>
      </c>
      <c r="M754" t="s">
        <v>399</v>
      </c>
      <c r="N754" t="s">
        <v>400</v>
      </c>
      <c r="O754">
        <v>4500</v>
      </c>
      <c r="P754">
        <v>4.4999999999999997E-3</v>
      </c>
      <c r="Q754" t="s">
        <v>796</v>
      </c>
      <c r="R754" s="141">
        <v>0.9</v>
      </c>
    </row>
    <row r="755" spans="1:18" x14ac:dyDescent="0.3">
      <c r="A755" t="s">
        <v>126</v>
      </c>
      <c r="B755" t="s">
        <v>125</v>
      </c>
      <c r="C755" t="s">
        <v>466</v>
      </c>
      <c r="D755" t="s">
        <v>836</v>
      </c>
      <c r="E755">
        <v>5610</v>
      </c>
      <c r="F755" t="s">
        <v>127</v>
      </c>
      <c r="G755">
        <v>1668</v>
      </c>
      <c r="H755" t="s">
        <v>95</v>
      </c>
      <c r="I755">
        <v>2021</v>
      </c>
      <c r="J755">
        <v>2021</v>
      </c>
      <c r="K755" t="s">
        <v>339</v>
      </c>
      <c r="L755">
        <v>25780.36</v>
      </c>
      <c r="M755" t="s">
        <v>829</v>
      </c>
      <c r="N755" t="s">
        <v>830</v>
      </c>
      <c r="O755">
        <v>23202.324000000001</v>
      </c>
      <c r="P755">
        <v>2.3202324E-2</v>
      </c>
      <c r="Q755" t="s">
        <v>797</v>
      </c>
      <c r="R755" s="141">
        <v>0.9</v>
      </c>
    </row>
    <row r="756" spans="1:18" x14ac:dyDescent="0.3">
      <c r="A756" t="s">
        <v>126</v>
      </c>
      <c r="B756" t="s">
        <v>125</v>
      </c>
      <c r="C756" t="s">
        <v>466</v>
      </c>
      <c r="D756" t="s">
        <v>836</v>
      </c>
      <c r="E756">
        <v>5910</v>
      </c>
      <c r="F756" t="s">
        <v>124</v>
      </c>
      <c r="G756">
        <v>1668</v>
      </c>
      <c r="H756" t="s">
        <v>95</v>
      </c>
      <c r="I756">
        <v>2021</v>
      </c>
      <c r="J756">
        <v>2021</v>
      </c>
      <c r="K756" t="s">
        <v>339</v>
      </c>
      <c r="L756">
        <v>620</v>
      </c>
      <c r="M756" t="s">
        <v>832</v>
      </c>
      <c r="N756" t="s">
        <v>833</v>
      </c>
      <c r="O756">
        <v>558</v>
      </c>
      <c r="P756">
        <v>5.5800000000000001E-4</v>
      </c>
      <c r="Q756" t="s">
        <v>798</v>
      </c>
      <c r="R756" s="141">
        <v>0.9</v>
      </c>
    </row>
    <row r="757" spans="1:18" x14ac:dyDescent="0.3">
      <c r="A757" t="s">
        <v>126</v>
      </c>
      <c r="B757" t="s">
        <v>125</v>
      </c>
      <c r="C757" t="s">
        <v>466</v>
      </c>
      <c r="D757" t="s">
        <v>836</v>
      </c>
      <c r="E757">
        <v>5510</v>
      </c>
      <c r="F757" t="s">
        <v>128</v>
      </c>
      <c r="G757">
        <v>1609</v>
      </c>
      <c r="H757" t="s">
        <v>94</v>
      </c>
      <c r="I757">
        <v>2021</v>
      </c>
      <c r="J757">
        <v>2021</v>
      </c>
      <c r="O757">
        <v>0</v>
      </c>
      <c r="P757">
        <v>0</v>
      </c>
      <c r="Q757" t="s">
        <v>799</v>
      </c>
      <c r="R757" s="141">
        <v>0.9</v>
      </c>
    </row>
    <row r="758" spans="1:18" x14ac:dyDescent="0.3">
      <c r="A758" t="s">
        <v>126</v>
      </c>
      <c r="B758" t="s">
        <v>125</v>
      </c>
      <c r="C758" t="s">
        <v>466</v>
      </c>
      <c r="D758" t="s">
        <v>836</v>
      </c>
      <c r="E758">
        <v>5610</v>
      </c>
      <c r="F758" t="s">
        <v>127</v>
      </c>
      <c r="G758">
        <v>1609</v>
      </c>
      <c r="H758" t="s">
        <v>94</v>
      </c>
      <c r="I758">
        <v>2021</v>
      </c>
      <c r="J758">
        <v>2021</v>
      </c>
      <c r="K758" t="s">
        <v>339</v>
      </c>
      <c r="L758">
        <v>1122.8800000000001</v>
      </c>
      <c r="M758" t="s">
        <v>829</v>
      </c>
      <c r="N758" t="s">
        <v>830</v>
      </c>
      <c r="O758">
        <v>1010.5920000000001</v>
      </c>
      <c r="P758">
        <v>1.010592E-3</v>
      </c>
      <c r="Q758" t="s">
        <v>800</v>
      </c>
      <c r="R758" s="141">
        <v>0.9</v>
      </c>
    </row>
    <row r="759" spans="1:18" x14ac:dyDescent="0.3">
      <c r="A759" t="s">
        <v>126</v>
      </c>
      <c r="B759" t="s">
        <v>125</v>
      </c>
      <c r="C759" t="s">
        <v>466</v>
      </c>
      <c r="D759" t="s">
        <v>836</v>
      </c>
      <c r="E759">
        <v>5910</v>
      </c>
      <c r="F759" t="s">
        <v>124</v>
      </c>
      <c r="G759">
        <v>1609</v>
      </c>
      <c r="H759" t="s">
        <v>94</v>
      </c>
      <c r="I759">
        <v>2021</v>
      </c>
      <c r="J759">
        <v>2021</v>
      </c>
      <c r="K759" t="s">
        <v>339</v>
      </c>
      <c r="L759">
        <v>2040.01</v>
      </c>
      <c r="M759" t="s">
        <v>829</v>
      </c>
      <c r="N759" t="s">
        <v>830</v>
      </c>
      <c r="O759">
        <v>1836.009</v>
      </c>
      <c r="P759">
        <v>1.836009E-3</v>
      </c>
      <c r="Q759" t="s">
        <v>801</v>
      </c>
      <c r="R759" s="141">
        <v>0.9</v>
      </c>
    </row>
    <row r="760" spans="1:18" x14ac:dyDescent="0.3">
      <c r="A760" t="s">
        <v>126</v>
      </c>
      <c r="B760" t="s">
        <v>125</v>
      </c>
      <c r="C760" t="s">
        <v>466</v>
      </c>
      <c r="D760" t="s">
        <v>836</v>
      </c>
      <c r="E760">
        <v>5510</v>
      </c>
      <c r="F760" t="s">
        <v>128</v>
      </c>
      <c r="G760">
        <v>1669</v>
      </c>
      <c r="H760" t="s">
        <v>134</v>
      </c>
      <c r="I760">
        <v>2021</v>
      </c>
      <c r="J760">
        <v>2021</v>
      </c>
      <c r="K760" t="s">
        <v>339</v>
      </c>
      <c r="L760">
        <v>18409000</v>
      </c>
      <c r="M760" t="s">
        <v>399</v>
      </c>
      <c r="N760" t="s">
        <v>400</v>
      </c>
      <c r="O760">
        <v>16107875</v>
      </c>
      <c r="P760">
        <v>16.107875</v>
      </c>
      <c r="Q760" t="s">
        <v>802</v>
      </c>
      <c r="R760" s="141">
        <v>0.875</v>
      </c>
    </row>
    <row r="761" spans="1:18" x14ac:dyDescent="0.3">
      <c r="A761" t="s">
        <v>126</v>
      </c>
      <c r="B761" t="s">
        <v>125</v>
      </c>
      <c r="C761" t="s">
        <v>466</v>
      </c>
      <c r="D761" t="s">
        <v>836</v>
      </c>
      <c r="E761">
        <v>5610</v>
      </c>
      <c r="F761" t="s">
        <v>127</v>
      </c>
      <c r="G761">
        <v>1669</v>
      </c>
      <c r="H761" t="s">
        <v>134</v>
      </c>
      <c r="I761">
        <v>2021</v>
      </c>
      <c r="J761">
        <v>2021</v>
      </c>
      <c r="K761" t="s">
        <v>339</v>
      </c>
      <c r="L761">
        <v>16108</v>
      </c>
      <c r="M761" t="s">
        <v>399</v>
      </c>
      <c r="N761" t="s">
        <v>400</v>
      </c>
      <c r="O761">
        <v>14094.5</v>
      </c>
      <c r="P761">
        <v>1.4094499999999999E-2</v>
      </c>
      <c r="Q761" t="s">
        <v>803</v>
      </c>
      <c r="R761" s="141">
        <v>0.875</v>
      </c>
    </row>
    <row r="762" spans="1:18" x14ac:dyDescent="0.3">
      <c r="A762" t="s">
        <v>126</v>
      </c>
      <c r="B762" t="s">
        <v>125</v>
      </c>
      <c r="C762" t="s">
        <v>466</v>
      </c>
      <c r="D762" t="s">
        <v>836</v>
      </c>
      <c r="E762">
        <v>5910</v>
      </c>
      <c r="F762" t="s">
        <v>124</v>
      </c>
      <c r="G762">
        <v>1669</v>
      </c>
      <c r="H762" t="s">
        <v>134</v>
      </c>
      <c r="I762">
        <v>2021</v>
      </c>
      <c r="J762">
        <v>2021</v>
      </c>
      <c r="K762" t="s">
        <v>339</v>
      </c>
      <c r="L762">
        <v>2365517.77</v>
      </c>
      <c r="M762" t="s">
        <v>829</v>
      </c>
      <c r="N762" t="s">
        <v>830</v>
      </c>
      <c r="O762">
        <v>2069828.0487500001</v>
      </c>
      <c r="P762">
        <v>2.0698280487499998</v>
      </c>
      <c r="Q762" t="s">
        <v>804</v>
      </c>
      <c r="R762" s="141">
        <v>0.875</v>
      </c>
    </row>
    <row r="763" spans="1:18" x14ac:dyDescent="0.3">
      <c r="A763" t="s">
        <v>126</v>
      </c>
      <c r="B763" t="s">
        <v>125</v>
      </c>
      <c r="C763" t="s">
        <v>466</v>
      </c>
      <c r="D763" t="s">
        <v>836</v>
      </c>
      <c r="E763">
        <v>5510</v>
      </c>
      <c r="F763" t="s">
        <v>128</v>
      </c>
      <c r="G763">
        <v>1671</v>
      </c>
      <c r="H763" t="s">
        <v>89</v>
      </c>
      <c r="I763">
        <v>2021</v>
      </c>
      <c r="J763">
        <v>2021</v>
      </c>
      <c r="K763" t="s">
        <v>339</v>
      </c>
      <c r="L763">
        <v>1978000</v>
      </c>
      <c r="M763" t="s">
        <v>399</v>
      </c>
      <c r="N763" t="s">
        <v>400</v>
      </c>
      <c r="O763">
        <v>1879100</v>
      </c>
      <c r="P763">
        <v>1.8791</v>
      </c>
      <c r="Q763" t="s">
        <v>805</v>
      </c>
      <c r="R763" s="141">
        <v>0.95</v>
      </c>
    </row>
    <row r="764" spans="1:18" x14ac:dyDescent="0.3">
      <c r="A764" t="s">
        <v>126</v>
      </c>
      <c r="B764" t="s">
        <v>125</v>
      </c>
      <c r="C764" t="s">
        <v>466</v>
      </c>
      <c r="D764" t="s">
        <v>836</v>
      </c>
      <c r="E764">
        <v>5610</v>
      </c>
      <c r="F764" t="s">
        <v>127</v>
      </c>
      <c r="G764">
        <v>1671</v>
      </c>
      <c r="H764" t="s">
        <v>89</v>
      </c>
      <c r="I764">
        <v>2021</v>
      </c>
      <c r="J764">
        <v>2021</v>
      </c>
      <c r="K764" t="s">
        <v>339</v>
      </c>
      <c r="L764">
        <v>1829</v>
      </c>
      <c r="M764" t="s">
        <v>399</v>
      </c>
      <c r="N764" t="s">
        <v>400</v>
      </c>
      <c r="O764">
        <v>1737.55</v>
      </c>
      <c r="P764">
        <v>1.7375499999999998E-3</v>
      </c>
      <c r="Q764" t="s">
        <v>806</v>
      </c>
      <c r="R764" s="141">
        <v>0.95</v>
      </c>
    </row>
    <row r="765" spans="1:18" x14ac:dyDescent="0.3">
      <c r="A765" t="s">
        <v>126</v>
      </c>
      <c r="B765" t="s">
        <v>125</v>
      </c>
      <c r="C765" t="s">
        <v>466</v>
      </c>
      <c r="D765" t="s">
        <v>836</v>
      </c>
      <c r="E765">
        <v>5910</v>
      </c>
      <c r="F765" t="s">
        <v>124</v>
      </c>
      <c r="G765">
        <v>1671</v>
      </c>
      <c r="H765" t="s">
        <v>89</v>
      </c>
      <c r="I765">
        <v>2021</v>
      </c>
      <c r="J765">
        <v>2021</v>
      </c>
      <c r="K765" t="s">
        <v>339</v>
      </c>
      <c r="L765">
        <v>4088.69</v>
      </c>
      <c r="M765" t="s">
        <v>829</v>
      </c>
      <c r="N765" t="s">
        <v>830</v>
      </c>
      <c r="O765">
        <v>3884.2554999999998</v>
      </c>
      <c r="P765">
        <v>3.8842554999999994E-3</v>
      </c>
      <c r="Q765" t="s">
        <v>807</v>
      </c>
      <c r="R765" s="141">
        <v>0.95</v>
      </c>
    </row>
    <row r="766" spans="1:18" x14ac:dyDescent="0.3">
      <c r="A766" t="s">
        <v>126</v>
      </c>
      <c r="B766" t="s">
        <v>125</v>
      </c>
      <c r="C766" t="s">
        <v>466</v>
      </c>
      <c r="D766" t="s">
        <v>836</v>
      </c>
      <c r="E766">
        <v>5510</v>
      </c>
      <c r="F766" t="s">
        <v>128</v>
      </c>
      <c r="G766">
        <v>1674</v>
      </c>
      <c r="H766" t="s">
        <v>88</v>
      </c>
      <c r="I766">
        <v>2021</v>
      </c>
      <c r="J766">
        <v>2021</v>
      </c>
      <c r="K766" t="s">
        <v>339</v>
      </c>
      <c r="L766">
        <v>6128000</v>
      </c>
      <c r="M766" t="s">
        <v>397</v>
      </c>
      <c r="N766" t="s">
        <v>398</v>
      </c>
      <c r="O766">
        <v>5821600</v>
      </c>
      <c r="P766">
        <v>5.8216000000000001</v>
      </c>
      <c r="Q766" t="s">
        <v>808</v>
      </c>
      <c r="R766" s="141">
        <v>0.95</v>
      </c>
    </row>
    <row r="767" spans="1:18" x14ac:dyDescent="0.3">
      <c r="A767" t="s">
        <v>126</v>
      </c>
      <c r="B767" t="s">
        <v>125</v>
      </c>
      <c r="C767" t="s">
        <v>466</v>
      </c>
      <c r="D767" t="s">
        <v>836</v>
      </c>
      <c r="E767">
        <v>5610</v>
      </c>
      <c r="F767" t="s">
        <v>127</v>
      </c>
      <c r="G767">
        <v>1674</v>
      </c>
      <c r="H767" t="s">
        <v>88</v>
      </c>
      <c r="I767">
        <v>2021</v>
      </c>
      <c r="J767">
        <v>2021</v>
      </c>
      <c r="K767" t="s">
        <v>339</v>
      </c>
      <c r="L767">
        <v>703515.85</v>
      </c>
      <c r="M767" t="s">
        <v>397</v>
      </c>
      <c r="N767" t="s">
        <v>398</v>
      </c>
      <c r="O767">
        <v>668340.0575</v>
      </c>
      <c r="P767">
        <v>0.66834005749999992</v>
      </c>
      <c r="Q767" t="s">
        <v>809</v>
      </c>
      <c r="R767" s="141">
        <v>0.95</v>
      </c>
    </row>
    <row r="768" spans="1:18" x14ac:dyDescent="0.3">
      <c r="A768" t="s">
        <v>126</v>
      </c>
      <c r="B768" t="s">
        <v>125</v>
      </c>
      <c r="C768" t="s">
        <v>466</v>
      </c>
      <c r="D768" t="s">
        <v>836</v>
      </c>
      <c r="E768">
        <v>5910</v>
      </c>
      <c r="F768" t="s">
        <v>124</v>
      </c>
      <c r="G768">
        <v>1674</v>
      </c>
      <c r="H768" t="s">
        <v>88</v>
      </c>
      <c r="I768">
        <v>2021</v>
      </c>
      <c r="J768">
        <v>2021</v>
      </c>
      <c r="K768" t="s">
        <v>339</v>
      </c>
      <c r="L768">
        <v>730884.69</v>
      </c>
      <c r="M768" t="s">
        <v>397</v>
      </c>
      <c r="N768" t="s">
        <v>398</v>
      </c>
      <c r="O768">
        <v>694340.45549999992</v>
      </c>
      <c r="P768">
        <v>0.6943404554999999</v>
      </c>
      <c r="Q768" t="s">
        <v>810</v>
      </c>
      <c r="R768" s="141">
        <v>0.95</v>
      </c>
    </row>
    <row r="769" spans="1:18" x14ac:dyDescent="0.3">
      <c r="A769" t="s">
        <v>126</v>
      </c>
      <c r="B769" t="s">
        <v>125</v>
      </c>
      <c r="C769" t="s">
        <v>466</v>
      </c>
      <c r="D769" t="s">
        <v>836</v>
      </c>
      <c r="E769">
        <v>5510</v>
      </c>
      <c r="F769" t="s">
        <v>128</v>
      </c>
      <c r="G769">
        <v>1612</v>
      </c>
      <c r="H769" t="s">
        <v>133</v>
      </c>
      <c r="I769">
        <v>2021</v>
      </c>
      <c r="J769">
        <v>2021</v>
      </c>
      <c r="K769" t="s">
        <v>339</v>
      </c>
      <c r="L769">
        <v>497000</v>
      </c>
      <c r="M769" t="s">
        <v>399</v>
      </c>
      <c r="N769" t="s">
        <v>400</v>
      </c>
    </row>
    <row r="770" spans="1:18" x14ac:dyDescent="0.3">
      <c r="A770" t="s">
        <v>126</v>
      </c>
      <c r="B770" t="s">
        <v>125</v>
      </c>
      <c r="C770" t="s">
        <v>466</v>
      </c>
      <c r="D770" t="s">
        <v>836</v>
      </c>
      <c r="E770">
        <v>5610</v>
      </c>
      <c r="F770" t="s">
        <v>127</v>
      </c>
      <c r="G770">
        <v>1612</v>
      </c>
      <c r="H770" t="s">
        <v>133</v>
      </c>
      <c r="I770">
        <v>2021</v>
      </c>
      <c r="J770">
        <v>2021</v>
      </c>
      <c r="K770" t="s">
        <v>339</v>
      </c>
      <c r="L770">
        <v>21613.96</v>
      </c>
      <c r="M770" t="s">
        <v>829</v>
      </c>
      <c r="N770" t="s">
        <v>830</v>
      </c>
    </row>
    <row r="771" spans="1:18" x14ac:dyDescent="0.3">
      <c r="A771" t="s">
        <v>126</v>
      </c>
      <c r="B771" t="s">
        <v>125</v>
      </c>
      <c r="C771" t="s">
        <v>466</v>
      </c>
      <c r="D771" t="s">
        <v>836</v>
      </c>
      <c r="E771">
        <v>5910</v>
      </c>
      <c r="F771" t="s">
        <v>124</v>
      </c>
      <c r="G771">
        <v>1612</v>
      </c>
      <c r="H771" t="s">
        <v>133</v>
      </c>
      <c r="I771">
        <v>2021</v>
      </c>
      <c r="J771">
        <v>2021</v>
      </c>
      <c r="K771" t="s">
        <v>339</v>
      </c>
      <c r="L771">
        <v>7585.55</v>
      </c>
      <c r="M771" t="s">
        <v>829</v>
      </c>
      <c r="N771" t="s">
        <v>830</v>
      </c>
    </row>
    <row r="772" spans="1:18" x14ac:dyDescent="0.3">
      <c r="A772" t="s">
        <v>126</v>
      </c>
      <c r="B772" t="s">
        <v>125</v>
      </c>
      <c r="C772" t="s">
        <v>466</v>
      </c>
      <c r="D772" t="s">
        <v>836</v>
      </c>
      <c r="E772">
        <v>5510</v>
      </c>
      <c r="F772" t="s">
        <v>128</v>
      </c>
      <c r="G772">
        <v>1615</v>
      </c>
      <c r="H772" t="s">
        <v>132</v>
      </c>
      <c r="I772">
        <v>2021</v>
      </c>
      <c r="J772">
        <v>2021</v>
      </c>
      <c r="K772" t="s">
        <v>339</v>
      </c>
      <c r="L772">
        <v>2163000</v>
      </c>
      <c r="M772" t="s">
        <v>399</v>
      </c>
      <c r="N772" t="s">
        <v>400</v>
      </c>
    </row>
    <row r="773" spans="1:18" x14ac:dyDescent="0.3">
      <c r="A773" t="s">
        <v>126</v>
      </c>
      <c r="B773" t="s">
        <v>125</v>
      </c>
      <c r="C773" t="s">
        <v>466</v>
      </c>
      <c r="D773" t="s">
        <v>836</v>
      </c>
      <c r="E773">
        <v>5610</v>
      </c>
      <c r="F773" t="s">
        <v>127</v>
      </c>
      <c r="G773">
        <v>1615</v>
      </c>
      <c r="H773" t="s">
        <v>132</v>
      </c>
      <c r="I773">
        <v>2021</v>
      </c>
      <c r="J773">
        <v>2021</v>
      </c>
      <c r="K773" t="s">
        <v>339</v>
      </c>
      <c r="L773">
        <v>448485.49</v>
      </c>
      <c r="M773" t="s">
        <v>829</v>
      </c>
      <c r="N773" t="s">
        <v>830</v>
      </c>
    </row>
    <row r="774" spans="1:18" x14ac:dyDescent="0.3">
      <c r="A774" t="s">
        <v>126</v>
      </c>
      <c r="B774" t="s">
        <v>125</v>
      </c>
      <c r="C774" t="s">
        <v>466</v>
      </c>
      <c r="D774" t="s">
        <v>836</v>
      </c>
      <c r="E774">
        <v>5910</v>
      </c>
      <c r="F774" t="s">
        <v>124</v>
      </c>
      <c r="G774">
        <v>1615</v>
      </c>
      <c r="H774" t="s">
        <v>132</v>
      </c>
      <c r="I774">
        <v>2021</v>
      </c>
      <c r="J774">
        <v>2021</v>
      </c>
      <c r="K774" t="s">
        <v>339</v>
      </c>
      <c r="L774">
        <v>215827.98</v>
      </c>
      <c r="M774" t="s">
        <v>829</v>
      </c>
      <c r="N774" t="s">
        <v>830</v>
      </c>
    </row>
    <row r="775" spans="1:18" x14ac:dyDescent="0.3">
      <c r="A775" t="s">
        <v>126</v>
      </c>
      <c r="B775" t="s">
        <v>125</v>
      </c>
      <c r="C775" t="s">
        <v>466</v>
      </c>
      <c r="D775" t="s">
        <v>836</v>
      </c>
      <c r="E775">
        <v>5510</v>
      </c>
      <c r="F775" t="s">
        <v>128</v>
      </c>
      <c r="G775">
        <v>1616</v>
      </c>
      <c r="H775" t="s">
        <v>131</v>
      </c>
      <c r="I775">
        <v>2021</v>
      </c>
      <c r="J775">
        <v>2021</v>
      </c>
      <c r="K775" t="s">
        <v>339</v>
      </c>
      <c r="L775">
        <v>3468000</v>
      </c>
      <c r="M775" t="s">
        <v>399</v>
      </c>
      <c r="N775" t="s">
        <v>400</v>
      </c>
    </row>
    <row r="776" spans="1:18" x14ac:dyDescent="0.3">
      <c r="A776" t="s">
        <v>126</v>
      </c>
      <c r="B776" t="s">
        <v>125</v>
      </c>
      <c r="C776" t="s">
        <v>466</v>
      </c>
      <c r="D776" t="s">
        <v>836</v>
      </c>
      <c r="E776">
        <v>5610</v>
      </c>
      <c r="F776" t="s">
        <v>127</v>
      </c>
      <c r="G776">
        <v>1616</v>
      </c>
      <c r="H776" t="s">
        <v>131</v>
      </c>
      <c r="I776">
        <v>2021</v>
      </c>
      <c r="J776">
        <v>2021</v>
      </c>
      <c r="K776" t="s">
        <v>339</v>
      </c>
      <c r="L776">
        <v>233416.4</v>
      </c>
      <c r="M776" t="s">
        <v>829</v>
      </c>
      <c r="N776" t="s">
        <v>830</v>
      </c>
    </row>
    <row r="777" spans="1:18" x14ac:dyDescent="0.3">
      <c r="A777" t="s">
        <v>126</v>
      </c>
      <c r="B777" t="s">
        <v>125</v>
      </c>
      <c r="C777" t="s">
        <v>466</v>
      </c>
      <c r="D777" t="s">
        <v>836</v>
      </c>
      <c r="E777">
        <v>5910</v>
      </c>
      <c r="F777" t="s">
        <v>124</v>
      </c>
      <c r="G777">
        <v>1616</v>
      </c>
      <c r="H777" t="s">
        <v>131</v>
      </c>
      <c r="I777">
        <v>2021</v>
      </c>
      <c r="J777">
        <v>2021</v>
      </c>
      <c r="K777" t="s">
        <v>339</v>
      </c>
      <c r="L777">
        <v>507471.16</v>
      </c>
      <c r="M777" t="s">
        <v>829</v>
      </c>
      <c r="N777" t="s">
        <v>830</v>
      </c>
    </row>
    <row r="778" spans="1:18" x14ac:dyDescent="0.3">
      <c r="A778" t="s">
        <v>126</v>
      </c>
      <c r="B778" t="s">
        <v>125</v>
      </c>
      <c r="C778" t="s">
        <v>466</v>
      </c>
      <c r="D778" t="s">
        <v>836</v>
      </c>
      <c r="E778">
        <v>5510</v>
      </c>
      <c r="F778" t="s">
        <v>128</v>
      </c>
      <c r="G778">
        <v>1675</v>
      </c>
      <c r="H778" t="s">
        <v>87</v>
      </c>
      <c r="I778">
        <v>2021</v>
      </c>
      <c r="J778">
        <v>2021</v>
      </c>
      <c r="K778" t="s">
        <v>339</v>
      </c>
      <c r="L778">
        <v>15645000</v>
      </c>
      <c r="M778" t="s">
        <v>397</v>
      </c>
      <c r="N778" t="s">
        <v>398</v>
      </c>
    </row>
    <row r="779" spans="1:18" x14ac:dyDescent="0.3">
      <c r="A779" t="s">
        <v>126</v>
      </c>
      <c r="B779" t="s">
        <v>125</v>
      </c>
      <c r="C779" t="s">
        <v>466</v>
      </c>
      <c r="D779" t="s">
        <v>836</v>
      </c>
      <c r="E779">
        <v>5610</v>
      </c>
      <c r="F779" t="s">
        <v>127</v>
      </c>
      <c r="G779">
        <v>1675</v>
      </c>
      <c r="H779" t="s">
        <v>87</v>
      </c>
      <c r="I779">
        <v>2021</v>
      </c>
      <c r="J779">
        <v>2021</v>
      </c>
      <c r="K779" t="s">
        <v>339</v>
      </c>
      <c r="L779">
        <v>531588.82999999996</v>
      </c>
      <c r="M779" t="s">
        <v>397</v>
      </c>
      <c r="N779" t="s">
        <v>398</v>
      </c>
    </row>
    <row r="780" spans="1:18" x14ac:dyDescent="0.3">
      <c r="A780" t="s">
        <v>126</v>
      </c>
      <c r="B780" t="s">
        <v>125</v>
      </c>
      <c r="C780" t="s">
        <v>466</v>
      </c>
      <c r="D780" t="s">
        <v>836</v>
      </c>
      <c r="E780">
        <v>5910</v>
      </c>
      <c r="F780" t="s">
        <v>124</v>
      </c>
      <c r="G780">
        <v>1675</v>
      </c>
      <c r="H780" t="s">
        <v>87</v>
      </c>
      <c r="I780">
        <v>2021</v>
      </c>
      <c r="J780">
        <v>2021</v>
      </c>
      <c r="K780" t="s">
        <v>339</v>
      </c>
      <c r="L780">
        <v>1582531.53</v>
      </c>
      <c r="M780" t="s">
        <v>397</v>
      </c>
      <c r="N780" t="s">
        <v>398</v>
      </c>
    </row>
    <row r="781" spans="1:18" x14ac:dyDescent="0.3">
      <c r="A781" t="s">
        <v>126</v>
      </c>
      <c r="B781" t="s">
        <v>125</v>
      </c>
      <c r="C781" t="s">
        <v>466</v>
      </c>
      <c r="D781" t="s">
        <v>836</v>
      </c>
      <c r="E781">
        <v>5510</v>
      </c>
      <c r="F781" t="s">
        <v>128</v>
      </c>
      <c r="G781">
        <v>1676</v>
      </c>
      <c r="H781" t="s">
        <v>86</v>
      </c>
      <c r="I781">
        <v>2021</v>
      </c>
      <c r="J781">
        <v>2021</v>
      </c>
      <c r="K781" t="s">
        <v>339</v>
      </c>
      <c r="L781">
        <v>1796000</v>
      </c>
      <c r="M781" t="s">
        <v>399</v>
      </c>
      <c r="N781" t="s">
        <v>400</v>
      </c>
      <c r="O781">
        <v>1706200</v>
      </c>
      <c r="P781">
        <v>1.7061999999999999</v>
      </c>
      <c r="Q781" t="s">
        <v>811</v>
      </c>
      <c r="R781" s="141">
        <v>0.95</v>
      </c>
    </row>
    <row r="782" spans="1:18" x14ac:dyDescent="0.3">
      <c r="A782" t="s">
        <v>126</v>
      </c>
      <c r="B782" t="s">
        <v>125</v>
      </c>
      <c r="C782" t="s">
        <v>466</v>
      </c>
      <c r="D782" t="s">
        <v>836</v>
      </c>
      <c r="E782">
        <v>5610</v>
      </c>
      <c r="F782" t="s">
        <v>127</v>
      </c>
      <c r="G782">
        <v>1676</v>
      </c>
      <c r="H782" t="s">
        <v>86</v>
      </c>
      <c r="I782">
        <v>2021</v>
      </c>
      <c r="J782">
        <v>2021</v>
      </c>
      <c r="K782" t="s">
        <v>339</v>
      </c>
      <c r="L782">
        <v>27822.1</v>
      </c>
      <c r="M782" t="s">
        <v>829</v>
      </c>
      <c r="N782" t="s">
        <v>830</v>
      </c>
      <c r="O782">
        <v>26430.994999999999</v>
      </c>
      <c r="P782">
        <v>2.6430994999999999E-2</v>
      </c>
      <c r="Q782" t="s">
        <v>812</v>
      </c>
      <c r="R782" s="141">
        <v>0.95</v>
      </c>
    </row>
    <row r="783" spans="1:18" x14ac:dyDescent="0.3">
      <c r="A783" t="s">
        <v>126</v>
      </c>
      <c r="B783" t="s">
        <v>125</v>
      </c>
      <c r="C783" t="s">
        <v>466</v>
      </c>
      <c r="D783" t="s">
        <v>836</v>
      </c>
      <c r="E783">
        <v>5910</v>
      </c>
      <c r="F783" t="s">
        <v>124</v>
      </c>
      <c r="G783">
        <v>1676</v>
      </c>
      <c r="H783" t="s">
        <v>86</v>
      </c>
      <c r="I783">
        <v>2021</v>
      </c>
      <c r="J783">
        <v>2021</v>
      </c>
      <c r="K783" t="s">
        <v>339</v>
      </c>
      <c r="L783">
        <v>11160.22</v>
      </c>
      <c r="M783" t="s">
        <v>829</v>
      </c>
      <c r="N783" t="s">
        <v>830</v>
      </c>
      <c r="O783">
        <v>10602.208999999999</v>
      </c>
      <c r="P783">
        <v>1.0602208999999998E-2</v>
      </c>
      <c r="Q783" t="s">
        <v>813</v>
      </c>
      <c r="R783" s="141">
        <v>0.95</v>
      </c>
    </row>
    <row r="784" spans="1:18" x14ac:dyDescent="0.3">
      <c r="A784" t="s">
        <v>126</v>
      </c>
      <c r="B784" t="s">
        <v>125</v>
      </c>
      <c r="C784" t="s">
        <v>466</v>
      </c>
      <c r="D784" t="s">
        <v>836</v>
      </c>
      <c r="E784">
        <v>5510</v>
      </c>
      <c r="F784" t="s">
        <v>128</v>
      </c>
      <c r="G784">
        <v>1681</v>
      </c>
      <c r="H784" t="s">
        <v>130</v>
      </c>
      <c r="I784">
        <v>2021</v>
      </c>
      <c r="J784">
        <v>2021</v>
      </c>
    </row>
    <row r="785" spans="1:18" x14ac:dyDescent="0.3">
      <c r="A785" t="s">
        <v>126</v>
      </c>
      <c r="B785" t="s">
        <v>125</v>
      </c>
      <c r="C785" t="s">
        <v>466</v>
      </c>
      <c r="D785" t="s">
        <v>836</v>
      </c>
      <c r="E785">
        <v>5610</v>
      </c>
      <c r="F785" t="s">
        <v>127</v>
      </c>
      <c r="G785">
        <v>1681</v>
      </c>
      <c r="H785" t="s">
        <v>130</v>
      </c>
      <c r="I785">
        <v>2021</v>
      </c>
      <c r="J785">
        <v>2021</v>
      </c>
    </row>
    <row r="786" spans="1:18" x14ac:dyDescent="0.3">
      <c r="A786" t="s">
        <v>126</v>
      </c>
      <c r="B786" t="s">
        <v>125</v>
      </c>
      <c r="C786" t="s">
        <v>466</v>
      </c>
      <c r="D786" t="s">
        <v>836</v>
      </c>
      <c r="E786">
        <v>5910</v>
      </c>
      <c r="F786" t="s">
        <v>124</v>
      </c>
      <c r="G786">
        <v>1681</v>
      </c>
      <c r="H786" t="s">
        <v>130</v>
      </c>
      <c r="I786">
        <v>2021</v>
      </c>
      <c r="J786">
        <v>2021</v>
      </c>
    </row>
    <row r="787" spans="1:18" x14ac:dyDescent="0.3">
      <c r="A787" t="s">
        <v>126</v>
      </c>
      <c r="B787" t="s">
        <v>125</v>
      </c>
      <c r="C787" t="s">
        <v>466</v>
      </c>
      <c r="D787" t="s">
        <v>836</v>
      </c>
      <c r="E787">
        <v>5510</v>
      </c>
      <c r="F787" t="s">
        <v>128</v>
      </c>
      <c r="G787">
        <v>1617</v>
      </c>
      <c r="H787" t="s">
        <v>85</v>
      </c>
      <c r="I787">
        <v>2021</v>
      </c>
      <c r="J787">
        <v>2021</v>
      </c>
      <c r="K787" t="s">
        <v>339</v>
      </c>
      <c r="L787">
        <v>10131000</v>
      </c>
      <c r="M787" t="s">
        <v>399</v>
      </c>
      <c r="N787" t="s">
        <v>400</v>
      </c>
      <c r="O787">
        <v>9624450</v>
      </c>
      <c r="P787">
        <v>9.6244499999999995</v>
      </c>
      <c r="Q787" t="s">
        <v>814</v>
      </c>
      <c r="R787" s="141">
        <v>0.95</v>
      </c>
    </row>
    <row r="788" spans="1:18" x14ac:dyDescent="0.3">
      <c r="A788" t="s">
        <v>126</v>
      </c>
      <c r="B788" t="s">
        <v>125</v>
      </c>
      <c r="C788" t="s">
        <v>466</v>
      </c>
      <c r="D788" t="s">
        <v>836</v>
      </c>
      <c r="E788">
        <v>5610</v>
      </c>
      <c r="F788" t="s">
        <v>127</v>
      </c>
      <c r="G788">
        <v>1617</v>
      </c>
      <c r="H788" t="s">
        <v>85</v>
      </c>
      <c r="I788">
        <v>2021</v>
      </c>
      <c r="J788">
        <v>2021</v>
      </c>
      <c r="K788" t="s">
        <v>339</v>
      </c>
      <c r="L788">
        <v>38566.99</v>
      </c>
      <c r="M788" t="s">
        <v>829</v>
      </c>
      <c r="N788" t="s">
        <v>830</v>
      </c>
      <c r="O788">
        <v>36638.640499999994</v>
      </c>
      <c r="P788">
        <v>3.6638640499999993E-2</v>
      </c>
      <c r="Q788" t="s">
        <v>815</v>
      </c>
      <c r="R788" s="141">
        <v>0.95</v>
      </c>
    </row>
    <row r="789" spans="1:18" x14ac:dyDescent="0.3">
      <c r="A789" t="s">
        <v>126</v>
      </c>
      <c r="B789" t="s">
        <v>125</v>
      </c>
      <c r="C789" t="s">
        <v>466</v>
      </c>
      <c r="D789" t="s">
        <v>836</v>
      </c>
      <c r="E789">
        <v>5910</v>
      </c>
      <c r="F789" t="s">
        <v>124</v>
      </c>
      <c r="G789">
        <v>1617</v>
      </c>
      <c r="H789" t="s">
        <v>85</v>
      </c>
      <c r="I789">
        <v>2021</v>
      </c>
      <c r="J789">
        <v>2021</v>
      </c>
      <c r="K789" t="s">
        <v>339</v>
      </c>
      <c r="L789">
        <v>1022109.85</v>
      </c>
      <c r="M789" t="s">
        <v>829</v>
      </c>
      <c r="N789" t="s">
        <v>830</v>
      </c>
      <c r="O789">
        <v>971004.35749999993</v>
      </c>
      <c r="P789">
        <v>0.97100435749999991</v>
      </c>
      <c r="Q789" t="s">
        <v>816</v>
      </c>
      <c r="R789" s="141">
        <v>0.95</v>
      </c>
    </row>
    <row r="790" spans="1:18" x14ac:dyDescent="0.3">
      <c r="A790" t="s">
        <v>126</v>
      </c>
      <c r="B790" t="s">
        <v>125</v>
      </c>
      <c r="C790" t="s">
        <v>466</v>
      </c>
      <c r="D790" t="s">
        <v>836</v>
      </c>
      <c r="E790">
        <v>5510</v>
      </c>
      <c r="F790" t="s">
        <v>128</v>
      </c>
      <c r="G790">
        <v>1618</v>
      </c>
      <c r="H790" t="s">
        <v>84</v>
      </c>
      <c r="I790">
        <v>2021</v>
      </c>
      <c r="J790">
        <v>2021</v>
      </c>
      <c r="K790" t="s">
        <v>339</v>
      </c>
      <c r="L790">
        <v>1375000</v>
      </c>
      <c r="M790" t="s">
        <v>399</v>
      </c>
      <c r="N790" t="s">
        <v>400</v>
      </c>
      <c r="O790">
        <v>1306250</v>
      </c>
      <c r="P790">
        <v>1.3062499999999999</v>
      </c>
      <c r="Q790" t="s">
        <v>817</v>
      </c>
      <c r="R790" s="141">
        <v>0.95</v>
      </c>
    </row>
    <row r="791" spans="1:18" x14ac:dyDescent="0.3">
      <c r="A791" t="s">
        <v>126</v>
      </c>
      <c r="B791" t="s">
        <v>125</v>
      </c>
      <c r="C791" t="s">
        <v>466</v>
      </c>
      <c r="D791" t="s">
        <v>836</v>
      </c>
      <c r="E791">
        <v>5610</v>
      </c>
      <c r="F791" t="s">
        <v>127</v>
      </c>
      <c r="G791">
        <v>1618</v>
      </c>
      <c r="H791" t="s">
        <v>84</v>
      </c>
      <c r="I791">
        <v>2021</v>
      </c>
      <c r="J791">
        <v>2021</v>
      </c>
      <c r="K791" t="s">
        <v>339</v>
      </c>
      <c r="L791">
        <v>421677.5</v>
      </c>
      <c r="M791" t="s">
        <v>829</v>
      </c>
      <c r="N791" t="s">
        <v>830</v>
      </c>
      <c r="O791">
        <v>400593.625</v>
      </c>
      <c r="P791">
        <v>0.40059362500000001</v>
      </c>
      <c r="Q791" t="s">
        <v>818</v>
      </c>
      <c r="R791" s="141">
        <v>0.95</v>
      </c>
    </row>
    <row r="792" spans="1:18" x14ac:dyDescent="0.3">
      <c r="A792" t="s">
        <v>126</v>
      </c>
      <c r="B792" t="s">
        <v>125</v>
      </c>
      <c r="C792" t="s">
        <v>466</v>
      </c>
      <c r="D792" t="s">
        <v>836</v>
      </c>
      <c r="E792">
        <v>5910</v>
      </c>
      <c r="F792" t="s">
        <v>124</v>
      </c>
      <c r="G792">
        <v>1618</v>
      </c>
      <c r="H792" t="s">
        <v>84</v>
      </c>
      <c r="I792">
        <v>2021</v>
      </c>
      <c r="J792">
        <v>2021</v>
      </c>
      <c r="K792" t="s">
        <v>339</v>
      </c>
      <c r="L792">
        <v>200225.1</v>
      </c>
      <c r="M792" t="s">
        <v>829</v>
      </c>
      <c r="N792" t="s">
        <v>830</v>
      </c>
      <c r="O792">
        <v>190213.845</v>
      </c>
      <c r="P792">
        <v>0.19021384499999999</v>
      </c>
      <c r="Q792" t="s">
        <v>819</v>
      </c>
      <c r="R792" s="141">
        <v>0.95</v>
      </c>
    </row>
    <row r="793" spans="1:18" x14ac:dyDescent="0.3">
      <c r="A793" t="s">
        <v>126</v>
      </c>
      <c r="B793" t="s">
        <v>125</v>
      </c>
      <c r="C793" t="s">
        <v>466</v>
      </c>
      <c r="D793" t="s">
        <v>836</v>
      </c>
      <c r="E793">
        <v>5510</v>
      </c>
      <c r="F793" t="s">
        <v>128</v>
      </c>
      <c r="G793">
        <v>1621</v>
      </c>
      <c r="H793" t="s">
        <v>129</v>
      </c>
      <c r="I793">
        <v>2021</v>
      </c>
      <c r="J793">
        <v>2021</v>
      </c>
      <c r="K793" t="s">
        <v>339</v>
      </c>
      <c r="L793">
        <v>831000</v>
      </c>
      <c r="M793" t="s">
        <v>399</v>
      </c>
      <c r="N793" t="s">
        <v>400</v>
      </c>
      <c r="O793">
        <v>789450</v>
      </c>
      <c r="P793">
        <v>0.78944999999999999</v>
      </c>
      <c r="Q793" t="s">
        <v>820</v>
      </c>
      <c r="R793" s="141">
        <v>0.95</v>
      </c>
    </row>
    <row r="794" spans="1:18" x14ac:dyDescent="0.3">
      <c r="A794" t="s">
        <v>126</v>
      </c>
      <c r="B794" t="s">
        <v>125</v>
      </c>
      <c r="C794" t="s">
        <v>466</v>
      </c>
      <c r="D794" t="s">
        <v>836</v>
      </c>
      <c r="E794">
        <v>5610</v>
      </c>
      <c r="F794" t="s">
        <v>127</v>
      </c>
      <c r="G794">
        <v>1621</v>
      </c>
      <c r="H794" t="s">
        <v>129</v>
      </c>
      <c r="I794">
        <v>2021</v>
      </c>
      <c r="J794">
        <v>2021</v>
      </c>
      <c r="K794" t="s">
        <v>339</v>
      </c>
      <c r="L794">
        <v>21040.58</v>
      </c>
      <c r="M794" t="s">
        <v>829</v>
      </c>
      <c r="N794" t="s">
        <v>830</v>
      </c>
      <c r="O794">
        <v>19988.550999999999</v>
      </c>
      <c r="P794">
        <v>1.9988551E-2</v>
      </c>
      <c r="Q794" t="s">
        <v>821</v>
      </c>
      <c r="R794" s="141">
        <v>0.95</v>
      </c>
    </row>
    <row r="795" spans="1:18" x14ac:dyDescent="0.3">
      <c r="A795" t="s">
        <v>126</v>
      </c>
      <c r="B795" t="s">
        <v>125</v>
      </c>
      <c r="C795" t="s">
        <v>466</v>
      </c>
      <c r="D795" t="s">
        <v>836</v>
      </c>
      <c r="E795">
        <v>5910</v>
      </c>
      <c r="F795" t="s">
        <v>124</v>
      </c>
      <c r="G795">
        <v>1621</v>
      </c>
      <c r="H795" t="s">
        <v>129</v>
      </c>
      <c r="I795">
        <v>2021</v>
      </c>
      <c r="J795">
        <v>2021</v>
      </c>
      <c r="K795" t="s">
        <v>339</v>
      </c>
      <c r="L795">
        <v>293842.93</v>
      </c>
      <c r="M795" t="s">
        <v>829</v>
      </c>
      <c r="N795" t="s">
        <v>830</v>
      </c>
      <c r="O795">
        <v>279150.78349999996</v>
      </c>
      <c r="P795">
        <v>0.27915078349999994</v>
      </c>
      <c r="Q795" t="s">
        <v>822</v>
      </c>
      <c r="R795" s="141">
        <v>0.95</v>
      </c>
    </row>
    <row r="796" spans="1:18" x14ac:dyDescent="0.3">
      <c r="A796" t="s">
        <v>126</v>
      </c>
      <c r="B796" t="s">
        <v>125</v>
      </c>
      <c r="C796" t="s">
        <v>466</v>
      </c>
      <c r="D796" t="s">
        <v>836</v>
      </c>
      <c r="E796">
        <v>5510</v>
      </c>
      <c r="F796" t="s">
        <v>128</v>
      </c>
      <c r="G796">
        <v>1622</v>
      </c>
      <c r="H796" t="s">
        <v>83</v>
      </c>
      <c r="I796">
        <v>2021</v>
      </c>
      <c r="J796">
        <v>2021</v>
      </c>
      <c r="K796" t="s">
        <v>339</v>
      </c>
      <c r="L796">
        <v>133000</v>
      </c>
      <c r="M796" t="s">
        <v>399</v>
      </c>
      <c r="N796" t="s">
        <v>400</v>
      </c>
      <c r="O796">
        <v>126350</v>
      </c>
      <c r="P796">
        <v>0.12634999999999999</v>
      </c>
      <c r="Q796" t="s">
        <v>823</v>
      </c>
      <c r="R796" s="141">
        <v>0.95</v>
      </c>
    </row>
    <row r="797" spans="1:18" x14ac:dyDescent="0.3">
      <c r="A797" t="s">
        <v>126</v>
      </c>
      <c r="B797" t="s">
        <v>125</v>
      </c>
      <c r="C797" t="s">
        <v>466</v>
      </c>
      <c r="D797" t="s">
        <v>836</v>
      </c>
      <c r="E797">
        <v>5610</v>
      </c>
      <c r="F797" t="s">
        <v>127</v>
      </c>
      <c r="G797">
        <v>1622</v>
      </c>
      <c r="H797" t="s">
        <v>83</v>
      </c>
      <c r="I797">
        <v>2021</v>
      </c>
      <c r="J797">
        <v>2021</v>
      </c>
      <c r="K797" t="s">
        <v>339</v>
      </c>
      <c r="L797">
        <v>8139</v>
      </c>
      <c r="M797" t="s">
        <v>399</v>
      </c>
      <c r="N797" t="s">
        <v>400</v>
      </c>
      <c r="O797">
        <v>7732.0499999999993</v>
      </c>
      <c r="P797">
        <v>7.732049999999999E-3</v>
      </c>
      <c r="Q797" t="s">
        <v>824</v>
      </c>
      <c r="R797" s="141">
        <v>0.95</v>
      </c>
    </row>
    <row r="798" spans="1:18" x14ac:dyDescent="0.3">
      <c r="A798" t="s">
        <v>126</v>
      </c>
      <c r="B798" t="s">
        <v>125</v>
      </c>
      <c r="C798" t="s">
        <v>466</v>
      </c>
      <c r="D798" t="s">
        <v>836</v>
      </c>
      <c r="E798">
        <v>5910</v>
      </c>
      <c r="F798" t="s">
        <v>124</v>
      </c>
      <c r="G798">
        <v>1622</v>
      </c>
      <c r="H798" t="s">
        <v>83</v>
      </c>
      <c r="I798">
        <v>2021</v>
      </c>
      <c r="J798">
        <v>2021</v>
      </c>
      <c r="K798" t="s">
        <v>339</v>
      </c>
      <c r="L798">
        <v>49667.13</v>
      </c>
      <c r="M798" t="s">
        <v>829</v>
      </c>
      <c r="N798" t="s">
        <v>830</v>
      </c>
      <c r="O798">
        <v>47183.773499999996</v>
      </c>
      <c r="P798">
        <v>4.7183773499999991E-2</v>
      </c>
      <c r="Q798" t="s">
        <v>825</v>
      </c>
      <c r="R798" s="141">
        <v>0.95</v>
      </c>
    </row>
    <row r="799" spans="1:18" x14ac:dyDescent="0.3">
      <c r="A799" t="s">
        <v>126</v>
      </c>
      <c r="B799" t="s">
        <v>125</v>
      </c>
      <c r="C799" t="s">
        <v>466</v>
      </c>
      <c r="D799" t="s">
        <v>836</v>
      </c>
      <c r="E799">
        <v>5510</v>
      </c>
      <c r="F799" t="s">
        <v>128</v>
      </c>
      <c r="G799">
        <v>1683</v>
      </c>
      <c r="H799" t="s">
        <v>123</v>
      </c>
      <c r="I799">
        <v>2021</v>
      </c>
      <c r="J799">
        <v>2021</v>
      </c>
      <c r="K799" t="s">
        <v>339</v>
      </c>
      <c r="L799">
        <v>1379000</v>
      </c>
      <c r="M799" t="s">
        <v>399</v>
      </c>
      <c r="N799" t="s">
        <v>400</v>
      </c>
      <c r="O799">
        <v>1310050</v>
      </c>
      <c r="P799">
        <v>1.3100499999999999</v>
      </c>
      <c r="Q799" t="s">
        <v>826</v>
      </c>
      <c r="R799" s="141">
        <v>0.95</v>
      </c>
    </row>
    <row r="800" spans="1:18" x14ac:dyDescent="0.3">
      <c r="A800" t="s">
        <v>126</v>
      </c>
      <c r="B800" t="s">
        <v>125</v>
      </c>
      <c r="C800" t="s">
        <v>466</v>
      </c>
      <c r="D800" t="s">
        <v>836</v>
      </c>
      <c r="E800">
        <v>5610</v>
      </c>
      <c r="F800" t="s">
        <v>127</v>
      </c>
      <c r="G800">
        <v>1683</v>
      </c>
      <c r="H800" t="s">
        <v>123</v>
      </c>
      <c r="I800">
        <v>2021</v>
      </c>
      <c r="J800">
        <v>2021</v>
      </c>
      <c r="K800" t="s">
        <v>339</v>
      </c>
      <c r="L800">
        <v>14342.67</v>
      </c>
      <c r="M800" t="s">
        <v>829</v>
      </c>
      <c r="N800" t="s">
        <v>830</v>
      </c>
      <c r="O800">
        <v>13625.5365</v>
      </c>
      <c r="P800">
        <v>1.36255365E-2</v>
      </c>
      <c r="Q800" t="s">
        <v>827</v>
      </c>
      <c r="R800" s="141">
        <v>0.95</v>
      </c>
    </row>
    <row r="801" spans="1:18" x14ac:dyDescent="0.3">
      <c r="A801" t="s">
        <v>126</v>
      </c>
      <c r="B801" t="s">
        <v>125</v>
      </c>
      <c r="C801" t="s">
        <v>466</v>
      </c>
      <c r="D801" t="s">
        <v>836</v>
      </c>
      <c r="E801">
        <v>5910</v>
      </c>
      <c r="F801" t="s">
        <v>124</v>
      </c>
      <c r="G801">
        <v>1683</v>
      </c>
      <c r="H801" t="s">
        <v>123</v>
      </c>
      <c r="I801">
        <v>2021</v>
      </c>
      <c r="J801">
        <v>2021</v>
      </c>
      <c r="K801" t="s">
        <v>339</v>
      </c>
      <c r="L801">
        <v>5526.3</v>
      </c>
      <c r="M801" t="s">
        <v>829</v>
      </c>
      <c r="N801" t="s">
        <v>830</v>
      </c>
      <c r="O801">
        <v>5249.9849999999997</v>
      </c>
      <c r="P801">
        <v>5.2499849999999995E-3</v>
      </c>
      <c r="Q801" t="s">
        <v>828</v>
      </c>
      <c r="R801" s="141">
        <v>0.95</v>
      </c>
    </row>
    <row r="802" spans="1:18" x14ac:dyDescent="0.3">
      <c r="A802" t="s">
        <v>126</v>
      </c>
      <c r="B802" t="s">
        <v>125</v>
      </c>
      <c r="C802" t="s">
        <v>467</v>
      </c>
      <c r="D802" t="s">
        <v>467</v>
      </c>
      <c r="E802">
        <v>5516</v>
      </c>
      <c r="F802" t="s">
        <v>128</v>
      </c>
      <c r="G802">
        <v>1627</v>
      </c>
      <c r="H802" t="s">
        <v>121</v>
      </c>
      <c r="I802">
        <v>2021</v>
      </c>
      <c r="J802">
        <v>2021</v>
      </c>
      <c r="K802" t="s">
        <v>143</v>
      </c>
      <c r="L802">
        <v>37101665</v>
      </c>
      <c r="O802">
        <v>17734595.870000001</v>
      </c>
      <c r="P802">
        <v>17.73459587</v>
      </c>
      <c r="Q802" t="s">
        <v>724</v>
      </c>
      <c r="R802" s="141">
        <v>0.47799999999999998</v>
      </c>
    </row>
    <row r="803" spans="1:18" x14ac:dyDescent="0.3">
      <c r="A803" t="s">
        <v>126</v>
      </c>
      <c r="B803" t="s">
        <v>125</v>
      </c>
      <c r="C803" t="s">
        <v>467</v>
      </c>
      <c r="D803" t="s">
        <v>467</v>
      </c>
      <c r="E803">
        <v>5616</v>
      </c>
      <c r="F803" t="s">
        <v>127</v>
      </c>
      <c r="G803">
        <v>1627</v>
      </c>
      <c r="H803" t="s">
        <v>121</v>
      </c>
      <c r="I803">
        <v>2021</v>
      </c>
      <c r="J803">
        <v>2021</v>
      </c>
      <c r="K803" t="s">
        <v>143</v>
      </c>
      <c r="L803">
        <v>122</v>
      </c>
      <c r="O803">
        <v>49.860179999999993</v>
      </c>
      <c r="P803">
        <v>4.9860179999999993E-5</v>
      </c>
      <c r="Q803" t="s">
        <v>725</v>
      </c>
      <c r="R803" s="141">
        <v>0.47799999999999998</v>
      </c>
    </row>
    <row r="804" spans="1:18" x14ac:dyDescent="0.3">
      <c r="A804" t="s">
        <v>126</v>
      </c>
      <c r="B804" t="s">
        <v>125</v>
      </c>
      <c r="C804" t="s">
        <v>467</v>
      </c>
      <c r="D804" t="s">
        <v>467</v>
      </c>
      <c r="E804">
        <v>5916</v>
      </c>
      <c r="F804" t="s">
        <v>124</v>
      </c>
      <c r="G804">
        <v>1627</v>
      </c>
      <c r="H804" t="s">
        <v>121</v>
      </c>
      <c r="I804">
        <v>2021</v>
      </c>
      <c r="J804">
        <v>2021</v>
      </c>
      <c r="K804" t="s">
        <v>143</v>
      </c>
      <c r="L804">
        <v>14053.07</v>
      </c>
      <c r="O804">
        <v>5743.349178299999</v>
      </c>
      <c r="P804">
        <v>5.7433491782999989E-3</v>
      </c>
      <c r="Q804" t="s">
        <v>726</v>
      </c>
      <c r="R804" s="141">
        <v>0.47799999999999998</v>
      </c>
    </row>
    <row r="805" spans="1:18" x14ac:dyDescent="0.3">
      <c r="A805" t="s">
        <v>126</v>
      </c>
      <c r="B805" t="s">
        <v>125</v>
      </c>
      <c r="C805" t="s">
        <v>467</v>
      </c>
      <c r="D805" t="s">
        <v>467</v>
      </c>
      <c r="E805">
        <v>5516</v>
      </c>
      <c r="F805" t="s">
        <v>128</v>
      </c>
      <c r="G805">
        <v>1628</v>
      </c>
      <c r="H805" t="s">
        <v>120</v>
      </c>
      <c r="I805">
        <v>2021</v>
      </c>
      <c r="J805">
        <v>2021</v>
      </c>
      <c r="K805" t="s">
        <v>143</v>
      </c>
      <c r="L805">
        <v>230061351</v>
      </c>
      <c r="O805">
        <v>137346626.54699999</v>
      </c>
      <c r="P805">
        <v>137.34662654699997</v>
      </c>
      <c r="Q805" t="s">
        <v>727</v>
      </c>
      <c r="R805" s="141">
        <v>0.59699999999999998</v>
      </c>
    </row>
    <row r="806" spans="1:18" x14ac:dyDescent="0.3">
      <c r="A806" t="s">
        <v>126</v>
      </c>
      <c r="B806" t="s">
        <v>125</v>
      </c>
      <c r="C806" t="s">
        <v>467</v>
      </c>
      <c r="D806" t="s">
        <v>467</v>
      </c>
      <c r="E806">
        <v>5616</v>
      </c>
      <c r="F806" t="s">
        <v>127</v>
      </c>
      <c r="G806">
        <v>1628</v>
      </c>
      <c r="H806" t="s">
        <v>120</v>
      </c>
      <c r="I806">
        <v>2021</v>
      </c>
      <c r="J806">
        <v>2021</v>
      </c>
      <c r="K806" t="s">
        <v>143</v>
      </c>
      <c r="L806">
        <v>559.42999999999995</v>
      </c>
      <c r="O806">
        <v>285.55265204999995</v>
      </c>
      <c r="P806">
        <v>2.8555265204999994E-4</v>
      </c>
      <c r="Q806" t="s">
        <v>728</v>
      </c>
      <c r="R806" s="141">
        <v>0.59699999999999998</v>
      </c>
    </row>
    <row r="807" spans="1:18" x14ac:dyDescent="0.3">
      <c r="A807" t="s">
        <v>126</v>
      </c>
      <c r="B807" t="s">
        <v>125</v>
      </c>
      <c r="C807" t="s">
        <v>467</v>
      </c>
      <c r="D807" t="s">
        <v>467</v>
      </c>
      <c r="E807">
        <v>5916</v>
      </c>
      <c r="F807" t="s">
        <v>124</v>
      </c>
      <c r="G807">
        <v>1628</v>
      </c>
      <c r="H807" t="s">
        <v>120</v>
      </c>
      <c r="I807">
        <v>2021</v>
      </c>
      <c r="J807">
        <v>2021</v>
      </c>
      <c r="K807" t="s">
        <v>143</v>
      </c>
      <c r="L807">
        <v>14563.03</v>
      </c>
      <c r="O807">
        <v>7433.4802180499992</v>
      </c>
      <c r="P807">
        <v>7.4334802180499992E-3</v>
      </c>
      <c r="Q807" t="s">
        <v>729</v>
      </c>
      <c r="R807" s="141">
        <v>0.59699999999999998</v>
      </c>
    </row>
    <row r="808" spans="1:18" x14ac:dyDescent="0.3">
      <c r="A808" t="s">
        <v>126</v>
      </c>
      <c r="B808" t="s">
        <v>125</v>
      </c>
      <c r="C808" t="s">
        <v>467</v>
      </c>
      <c r="D808" t="s">
        <v>467</v>
      </c>
      <c r="E808">
        <v>5616</v>
      </c>
      <c r="F808" t="s">
        <v>127</v>
      </c>
      <c r="G808">
        <v>1629</v>
      </c>
      <c r="H808" t="s">
        <v>160</v>
      </c>
      <c r="I808">
        <v>2021</v>
      </c>
      <c r="J808">
        <v>2021</v>
      </c>
      <c r="L808">
        <v>0</v>
      </c>
    </row>
    <row r="809" spans="1:18" x14ac:dyDescent="0.3">
      <c r="A809" t="s">
        <v>126</v>
      </c>
      <c r="B809" t="s">
        <v>125</v>
      </c>
      <c r="C809" t="s">
        <v>467</v>
      </c>
      <c r="D809" t="s">
        <v>467</v>
      </c>
      <c r="E809">
        <v>5916</v>
      </c>
      <c r="F809" t="s">
        <v>124</v>
      </c>
      <c r="G809">
        <v>1629</v>
      </c>
      <c r="H809" t="s">
        <v>160</v>
      </c>
      <c r="I809">
        <v>2021</v>
      </c>
      <c r="J809">
        <v>2021</v>
      </c>
      <c r="L809">
        <v>0</v>
      </c>
    </row>
    <row r="810" spans="1:18" x14ac:dyDescent="0.3">
      <c r="A810" t="s">
        <v>126</v>
      </c>
      <c r="B810" t="s">
        <v>125</v>
      </c>
      <c r="C810" t="s">
        <v>467</v>
      </c>
      <c r="D810" t="s">
        <v>467</v>
      </c>
      <c r="E810">
        <v>5616</v>
      </c>
      <c r="F810" t="s">
        <v>127</v>
      </c>
      <c r="G810">
        <v>1651</v>
      </c>
      <c r="H810" t="s">
        <v>159</v>
      </c>
      <c r="I810">
        <v>2021</v>
      </c>
      <c r="J810">
        <v>2021</v>
      </c>
      <c r="K810" t="s">
        <v>143</v>
      </c>
      <c r="L810">
        <v>246030</v>
      </c>
      <c r="O810">
        <v>85825.105199999991</v>
      </c>
      <c r="P810">
        <v>8.5825105199999988E-2</v>
      </c>
      <c r="Q810" t="s">
        <v>730</v>
      </c>
      <c r="R810" s="141">
        <v>0.40799999999999997</v>
      </c>
    </row>
    <row r="811" spans="1:18" x14ac:dyDescent="0.3">
      <c r="A811" t="s">
        <v>126</v>
      </c>
      <c r="B811" t="s">
        <v>125</v>
      </c>
      <c r="C811" t="s">
        <v>467</v>
      </c>
      <c r="D811" t="s">
        <v>467</v>
      </c>
      <c r="E811">
        <v>5916</v>
      </c>
      <c r="F811" t="s">
        <v>124</v>
      </c>
      <c r="G811">
        <v>1651</v>
      </c>
      <c r="H811" t="s">
        <v>159</v>
      </c>
      <c r="I811">
        <v>2021</v>
      </c>
      <c r="J811">
        <v>2021</v>
      </c>
      <c r="K811" t="s">
        <v>143</v>
      </c>
      <c r="L811">
        <v>4776190</v>
      </c>
      <c r="O811">
        <v>1666126.1195999999</v>
      </c>
      <c r="P811">
        <v>1.6661261195999997</v>
      </c>
      <c r="Q811" t="s">
        <v>731</v>
      </c>
      <c r="R811" s="141">
        <v>0.40799999999999997</v>
      </c>
    </row>
    <row r="812" spans="1:18" x14ac:dyDescent="0.3">
      <c r="A812" t="s">
        <v>126</v>
      </c>
      <c r="B812" t="s">
        <v>125</v>
      </c>
      <c r="C812" t="s">
        <v>467</v>
      </c>
      <c r="D812" t="s">
        <v>467</v>
      </c>
      <c r="E812">
        <v>5616</v>
      </c>
      <c r="F812" t="s">
        <v>127</v>
      </c>
      <c r="G812">
        <v>1657</v>
      </c>
      <c r="H812" t="s">
        <v>158</v>
      </c>
      <c r="I812">
        <v>2021</v>
      </c>
      <c r="J812">
        <v>2021</v>
      </c>
      <c r="K812" t="s">
        <v>143</v>
      </c>
      <c r="L812">
        <v>50738</v>
      </c>
      <c r="O812">
        <v>25833.379545000003</v>
      </c>
      <c r="P812">
        <v>2.5833379545000004E-2</v>
      </c>
      <c r="Q812" t="s">
        <v>732</v>
      </c>
      <c r="R812" s="141">
        <v>0.59550000000000003</v>
      </c>
    </row>
    <row r="813" spans="1:18" x14ac:dyDescent="0.3">
      <c r="A813" t="s">
        <v>126</v>
      </c>
      <c r="B813" t="s">
        <v>125</v>
      </c>
      <c r="C813" t="s">
        <v>467</v>
      </c>
      <c r="D813" t="s">
        <v>467</v>
      </c>
      <c r="E813">
        <v>5916</v>
      </c>
      <c r="F813" t="s">
        <v>124</v>
      </c>
      <c r="G813">
        <v>1657</v>
      </c>
      <c r="H813" t="s">
        <v>158</v>
      </c>
      <c r="I813">
        <v>2021</v>
      </c>
      <c r="J813">
        <v>2021</v>
      </c>
      <c r="K813" t="s">
        <v>143</v>
      </c>
      <c r="L813">
        <v>3710885</v>
      </c>
      <c r="O813">
        <v>1889406.3749625001</v>
      </c>
      <c r="P813">
        <v>1.8894063749625001</v>
      </c>
      <c r="Q813" t="s">
        <v>733</v>
      </c>
      <c r="R813" s="141">
        <v>0.59550000000000003</v>
      </c>
    </row>
    <row r="814" spans="1:18" x14ac:dyDescent="0.3">
      <c r="A814" t="s">
        <v>126</v>
      </c>
      <c r="B814" t="s">
        <v>125</v>
      </c>
      <c r="C814" t="s">
        <v>467</v>
      </c>
      <c r="D814" t="s">
        <v>467</v>
      </c>
      <c r="E814">
        <v>5616</v>
      </c>
      <c r="F814" t="s">
        <v>127</v>
      </c>
      <c r="G814">
        <v>1670</v>
      </c>
      <c r="H814" t="s">
        <v>157</v>
      </c>
      <c r="I814">
        <v>2021</v>
      </c>
      <c r="J814">
        <v>2021</v>
      </c>
      <c r="K814" t="s">
        <v>143</v>
      </c>
      <c r="L814">
        <v>59308</v>
      </c>
      <c r="O814">
        <v>30196.816470000002</v>
      </c>
      <c r="P814">
        <v>3.0196816469999999E-2</v>
      </c>
      <c r="Q814" t="s">
        <v>734</v>
      </c>
      <c r="R814" s="141">
        <v>0.59550000000000003</v>
      </c>
    </row>
    <row r="815" spans="1:18" x14ac:dyDescent="0.3">
      <c r="A815" t="s">
        <v>126</v>
      </c>
      <c r="B815" t="s">
        <v>125</v>
      </c>
      <c r="C815" t="s">
        <v>467</v>
      </c>
      <c r="D815" t="s">
        <v>467</v>
      </c>
      <c r="E815">
        <v>5916</v>
      </c>
      <c r="F815" t="s">
        <v>124</v>
      </c>
      <c r="G815">
        <v>1670</v>
      </c>
      <c r="H815" t="s">
        <v>157</v>
      </c>
      <c r="I815">
        <v>2021</v>
      </c>
      <c r="J815">
        <v>2021</v>
      </c>
      <c r="K815" t="s">
        <v>143</v>
      </c>
      <c r="L815">
        <v>80725</v>
      </c>
      <c r="O815">
        <v>41101.335562500004</v>
      </c>
      <c r="P815">
        <v>4.1101335562500001E-2</v>
      </c>
      <c r="Q815" t="s">
        <v>735</v>
      </c>
      <c r="R815" s="141">
        <v>0.59550000000000003</v>
      </c>
    </row>
    <row r="816" spans="1:18" x14ac:dyDescent="0.3">
      <c r="A816" t="s">
        <v>126</v>
      </c>
      <c r="B816" t="s">
        <v>125</v>
      </c>
      <c r="C816" t="s">
        <v>467</v>
      </c>
      <c r="D816" t="s">
        <v>467</v>
      </c>
      <c r="E816">
        <v>5516</v>
      </c>
      <c r="F816" t="s">
        <v>128</v>
      </c>
      <c r="G816">
        <v>1601</v>
      </c>
      <c r="H816" t="s">
        <v>119</v>
      </c>
      <c r="I816">
        <v>2021</v>
      </c>
      <c r="J816">
        <v>2021</v>
      </c>
      <c r="K816" t="s">
        <v>143</v>
      </c>
      <c r="L816">
        <v>61674583</v>
      </c>
      <c r="O816">
        <v>25348253.612999998</v>
      </c>
      <c r="P816">
        <v>25.348253612999997</v>
      </c>
      <c r="Q816" t="s">
        <v>736</v>
      </c>
      <c r="R816" s="141">
        <v>0.41099999999999998</v>
      </c>
    </row>
    <row r="817" spans="1:18" x14ac:dyDescent="0.3">
      <c r="A817" t="s">
        <v>126</v>
      </c>
      <c r="B817" t="s">
        <v>125</v>
      </c>
      <c r="C817" t="s">
        <v>467</v>
      </c>
      <c r="D817" t="s">
        <v>467</v>
      </c>
      <c r="E817">
        <v>5616</v>
      </c>
      <c r="F817" t="s">
        <v>127</v>
      </c>
      <c r="G817">
        <v>1601</v>
      </c>
      <c r="H817" t="s">
        <v>119</v>
      </c>
      <c r="I817">
        <v>2021</v>
      </c>
      <c r="J817">
        <v>2021</v>
      </c>
      <c r="L817">
        <v>0</v>
      </c>
    </row>
    <row r="818" spans="1:18" x14ac:dyDescent="0.3">
      <c r="A818" t="s">
        <v>126</v>
      </c>
      <c r="B818" t="s">
        <v>125</v>
      </c>
      <c r="C818" t="s">
        <v>467</v>
      </c>
      <c r="D818" t="s">
        <v>467</v>
      </c>
      <c r="E818">
        <v>5916</v>
      </c>
      <c r="F818" t="s">
        <v>124</v>
      </c>
      <c r="G818">
        <v>1601</v>
      </c>
      <c r="H818" t="s">
        <v>119</v>
      </c>
      <c r="I818">
        <v>2021</v>
      </c>
      <c r="J818">
        <v>2021</v>
      </c>
      <c r="L818">
        <v>0</v>
      </c>
    </row>
    <row r="819" spans="1:18" x14ac:dyDescent="0.3">
      <c r="A819" t="s">
        <v>126</v>
      </c>
      <c r="B819" t="s">
        <v>125</v>
      </c>
      <c r="C819" t="s">
        <v>467</v>
      </c>
      <c r="D819" t="s">
        <v>467</v>
      </c>
      <c r="E819">
        <v>5516</v>
      </c>
      <c r="F819" t="s">
        <v>128</v>
      </c>
      <c r="G819">
        <v>1604</v>
      </c>
      <c r="H819" t="s">
        <v>118</v>
      </c>
      <c r="I819">
        <v>2021</v>
      </c>
      <c r="J819">
        <v>2021</v>
      </c>
      <c r="K819" t="s">
        <v>143</v>
      </c>
      <c r="L819">
        <v>46707269</v>
      </c>
      <c r="O819">
        <v>30686675.733000003</v>
      </c>
      <c r="P819">
        <v>30.686675733000001</v>
      </c>
      <c r="Q819" t="s">
        <v>737</v>
      </c>
      <c r="R819" s="141">
        <v>0.65700000000000003</v>
      </c>
    </row>
    <row r="820" spans="1:18" x14ac:dyDescent="0.3">
      <c r="A820" t="s">
        <v>126</v>
      </c>
      <c r="B820" t="s">
        <v>125</v>
      </c>
      <c r="C820" t="s">
        <v>467</v>
      </c>
      <c r="D820" t="s">
        <v>467</v>
      </c>
      <c r="E820">
        <v>5616</v>
      </c>
      <c r="F820" t="s">
        <v>127</v>
      </c>
      <c r="G820">
        <v>1604</v>
      </c>
      <c r="H820" t="s">
        <v>118</v>
      </c>
      <c r="I820">
        <v>2021</v>
      </c>
      <c r="J820">
        <v>2021</v>
      </c>
      <c r="L820">
        <v>0</v>
      </c>
    </row>
    <row r="821" spans="1:18" x14ac:dyDescent="0.3">
      <c r="A821" t="s">
        <v>126</v>
      </c>
      <c r="B821" t="s">
        <v>125</v>
      </c>
      <c r="C821" t="s">
        <v>467</v>
      </c>
      <c r="D821" t="s">
        <v>467</v>
      </c>
      <c r="E821">
        <v>5916</v>
      </c>
      <c r="F821" t="s">
        <v>124</v>
      </c>
      <c r="G821">
        <v>1604</v>
      </c>
      <c r="H821" t="s">
        <v>118</v>
      </c>
      <c r="I821">
        <v>2021</v>
      </c>
      <c r="J821">
        <v>2021</v>
      </c>
      <c r="L821">
        <v>0</v>
      </c>
    </row>
    <row r="822" spans="1:18" x14ac:dyDescent="0.3">
      <c r="A822" t="s">
        <v>126</v>
      </c>
      <c r="B822" t="s">
        <v>125</v>
      </c>
      <c r="C822" t="s">
        <v>467</v>
      </c>
      <c r="D822" t="s">
        <v>467</v>
      </c>
      <c r="E822">
        <v>5516</v>
      </c>
      <c r="F822" t="s">
        <v>128</v>
      </c>
      <c r="G822">
        <v>1602</v>
      </c>
      <c r="H822" t="s">
        <v>156</v>
      </c>
      <c r="I822">
        <v>2021</v>
      </c>
      <c r="J822">
        <v>2021</v>
      </c>
      <c r="K822" t="s">
        <v>143</v>
      </c>
      <c r="L822">
        <v>27265478</v>
      </c>
      <c r="O822">
        <v>11042518.59</v>
      </c>
      <c r="P822">
        <v>11.042518589999998</v>
      </c>
      <c r="Q822" t="s">
        <v>738</v>
      </c>
      <c r="R822" s="141">
        <v>0.40500000000000003</v>
      </c>
    </row>
    <row r="823" spans="1:18" x14ac:dyDescent="0.3">
      <c r="A823" t="s">
        <v>126</v>
      </c>
      <c r="B823" t="s">
        <v>125</v>
      </c>
      <c r="C823" t="s">
        <v>467</v>
      </c>
      <c r="D823" t="s">
        <v>467</v>
      </c>
      <c r="E823">
        <v>5516</v>
      </c>
      <c r="F823" t="s">
        <v>128</v>
      </c>
      <c r="G823">
        <v>1603</v>
      </c>
      <c r="H823" t="s">
        <v>155</v>
      </c>
      <c r="I823">
        <v>2021</v>
      </c>
      <c r="J823">
        <v>2021</v>
      </c>
      <c r="K823" t="s">
        <v>143</v>
      </c>
      <c r="L823">
        <v>93136147</v>
      </c>
      <c r="O823">
        <v>49734702.498000003</v>
      </c>
      <c r="P823">
        <v>49.734702498000004</v>
      </c>
      <c r="Q823" t="s">
        <v>739</v>
      </c>
      <c r="R823" s="141">
        <v>0.53400000000000003</v>
      </c>
    </row>
    <row r="824" spans="1:18" x14ac:dyDescent="0.3">
      <c r="A824" t="s">
        <v>126</v>
      </c>
      <c r="B824" t="s">
        <v>125</v>
      </c>
      <c r="C824" t="s">
        <v>467</v>
      </c>
      <c r="D824" t="s">
        <v>467</v>
      </c>
      <c r="E824">
        <v>5516</v>
      </c>
      <c r="F824" t="s">
        <v>128</v>
      </c>
      <c r="G824">
        <v>1614</v>
      </c>
      <c r="H824" t="s">
        <v>154</v>
      </c>
      <c r="I824">
        <v>2021</v>
      </c>
      <c r="J824">
        <v>2021</v>
      </c>
      <c r="L824">
        <v>0</v>
      </c>
    </row>
    <row r="825" spans="1:18" x14ac:dyDescent="0.3">
      <c r="A825" t="s">
        <v>126</v>
      </c>
      <c r="B825" t="s">
        <v>125</v>
      </c>
      <c r="C825" t="s">
        <v>467</v>
      </c>
      <c r="D825" t="s">
        <v>467</v>
      </c>
      <c r="E825">
        <v>5616</v>
      </c>
      <c r="F825" t="s">
        <v>127</v>
      </c>
      <c r="G825">
        <v>1614</v>
      </c>
      <c r="H825" t="s">
        <v>154</v>
      </c>
      <c r="I825">
        <v>2021</v>
      </c>
      <c r="J825">
        <v>2021</v>
      </c>
      <c r="L825">
        <v>0</v>
      </c>
    </row>
    <row r="826" spans="1:18" x14ac:dyDescent="0.3">
      <c r="A826" t="s">
        <v>126</v>
      </c>
      <c r="B826" t="s">
        <v>125</v>
      </c>
      <c r="C826" t="s">
        <v>467</v>
      </c>
      <c r="D826" t="s">
        <v>467</v>
      </c>
      <c r="E826">
        <v>5916</v>
      </c>
      <c r="F826" t="s">
        <v>124</v>
      </c>
      <c r="G826">
        <v>1614</v>
      </c>
      <c r="H826" t="s">
        <v>154</v>
      </c>
      <c r="I826">
        <v>2021</v>
      </c>
      <c r="J826">
        <v>2021</v>
      </c>
      <c r="L826">
        <v>0</v>
      </c>
    </row>
    <row r="827" spans="1:18" x14ac:dyDescent="0.3">
      <c r="A827" t="s">
        <v>126</v>
      </c>
      <c r="B827" t="s">
        <v>125</v>
      </c>
      <c r="C827" t="s">
        <v>467</v>
      </c>
      <c r="D827" t="s">
        <v>467</v>
      </c>
      <c r="E827">
        <v>5516</v>
      </c>
      <c r="F827" t="s">
        <v>128</v>
      </c>
      <c r="G827">
        <v>1608</v>
      </c>
      <c r="H827" t="s">
        <v>153</v>
      </c>
      <c r="I827">
        <v>2021</v>
      </c>
      <c r="J827">
        <v>2021</v>
      </c>
      <c r="L827">
        <v>0</v>
      </c>
    </row>
    <row r="828" spans="1:18" x14ac:dyDescent="0.3">
      <c r="A828" t="s">
        <v>126</v>
      </c>
      <c r="B828" t="s">
        <v>125</v>
      </c>
      <c r="C828" t="s">
        <v>467</v>
      </c>
      <c r="D828" t="s">
        <v>467</v>
      </c>
      <c r="E828">
        <v>5516</v>
      </c>
      <c r="F828" t="s">
        <v>128</v>
      </c>
      <c r="G828">
        <v>1611</v>
      </c>
      <c r="H828" t="s">
        <v>152</v>
      </c>
      <c r="I828">
        <v>2021</v>
      </c>
      <c r="J828">
        <v>2021</v>
      </c>
      <c r="L828">
        <v>0</v>
      </c>
    </row>
    <row r="829" spans="1:18" x14ac:dyDescent="0.3">
      <c r="A829" t="s">
        <v>126</v>
      </c>
      <c r="B829" t="s">
        <v>125</v>
      </c>
      <c r="C829" t="s">
        <v>467</v>
      </c>
      <c r="D829" t="s">
        <v>467</v>
      </c>
      <c r="E829">
        <v>5516</v>
      </c>
      <c r="F829" t="s">
        <v>128</v>
      </c>
      <c r="G829">
        <v>1623</v>
      </c>
      <c r="H829" t="s">
        <v>151</v>
      </c>
      <c r="I829">
        <v>2021</v>
      </c>
      <c r="J829">
        <v>2021</v>
      </c>
      <c r="K829" t="s">
        <v>143</v>
      </c>
      <c r="L829">
        <v>3119768</v>
      </c>
      <c r="O829">
        <v>1272865.3439999998</v>
      </c>
      <c r="P829">
        <v>1.2728653439999997</v>
      </c>
      <c r="Q829" t="s">
        <v>740</v>
      </c>
      <c r="R829" s="141">
        <v>0.40799999999999997</v>
      </c>
    </row>
    <row r="830" spans="1:18" x14ac:dyDescent="0.3">
      <c r="A830" t="s">
        <v>126</v>
      </c>
      <c r="B830" t="s">
        <v>125</v>
      </c>
      <c r="C830" t="s">
        <v>467</v>
      </c>
      <c r="D830" t="s">
        <v>467</v>
      </c>
      <c r="E830">
        <v>5516</v>
      </c>
      <c r="F830" t="s">
        <v>128</v>
      </c>
      <c r="G830">
        <v>1626</v>
      </c>
      <c r="H830" t="s">
        <v>150</v>
      </c>
      <c r="I830">
        <v>2021</v>
      </c>
      <c r="J830">
        <v>2021</v>
      </c>
      <c r="K830" t="s">
        <v>143</v>
      </c>
      <c r="L830">
        <v>10038124</v>
      </c>
      <c r="O830">
        <v>5977702.8420000002</v>
      </c>
      <c r="P830">
        <v>5.9777028420000002</v>
      </c>
      <c r="Q830" t="s">
        <v>741</v>
      </c>
      <c r="R830" s="141">
        <v>0.59550000000000003</v>
      </c>
    </row>
    <row r="831" spans="1:18" x14ac:dyDescent="0.3">
      <c r="A831" t="s">
        <v>126</v>
      </c>
      <c r="B831" t="s">
        <v>125</v>
      </c>
      <c r="C831" t="s">
        <v>467</v>
      </c>
      <c r="D831" t="s">
        <v>467</v>
      </c>
      <c r="E831">
        <v>5616</v>
      </c>
      <c r="F831" t="s">
        <v>127</v>
      </c>
      <c r="G831">
        <v>1625</v>
      </c>
      <c r="H831" t="s">
        <v>149</v>
      </c>
      <c r="I831">
        <v>2021</v>
      </c>
      <c r="J831">
        <v>2021</v>
      </c>
      <c r="L831">
        <v>0</v>
      </c>
    </row>
    <row r="832" spans="1:18" x14ac:dyDescent="0.3">
      <c r="A832" t="s">
        <v>126</v>
      </c>
      <c r="B832" t="s">
        <v>125</v>
      </c>
      <c r="C832" t="s">
        <v>467</v>
      </c>
      <c r="D832" t="s">
        <v>467</v>
      </c>
      <c r="E832">
        <v>5916</v>
      </c>
      <c r="F832" t="s">
        <v>124</v>
      </c>
      <c r="G832">
        <v>1625</v>
      </c>
      <c r="H832" t="s">
        <v>149</v>
      </c>
      <c r="I832">
        <v>2021</v>
      </c>
      <c r="J832">
        <v>2021</v>
      </c>
      <c r="L832">
        <v>0</v>
      </c>
    </row>
    <row r="833" spans="1:18" x14ac:dyDescent="0.3">
      <c r="A833" t="s">
        <v>126</v>
      </c>
      <c r="B833" t="s">
        <v>125</v>
      </c>
      <c r="C833" t="s">
        <v>467</v>
      </c>
      <c r="D833" t="s">
        <v>467</v>
      </c>
      <c r="E833">
        <v>5510</v>
      </c>
      <c r="F833" t="s">
        <v>128</v>
      </c>
      <c r="G833">
        <v>1630</v>
      </c>
      <c r="H833" t="s">
        <v>117</v>
      </c>
      <c r="I833">
        <v>2021</v>
      </c>
      <c r="J833">
        <v>2021</v>
      </c>
      <c r="K833" t="s">
        <v>339</v>
      </c>
      <c r="L833">
        <v>8313502</v>
      </c>
      <c r="O833">
        <v>8022529.4299999997</v>
      </c>
      <c r="P833">
        <v>8.0225294299999987</v>
      </c>
      <c r="Q833" t="s">
        <v>742</v>
      </c>
      <c r="R833" s="141">
        <v>0.96499999999999997</v>
      </c>
    </row>
    <row r="834" spans="1:18" x14ac:dyDescent="0.3">
      <c r="A834" t="s">
        <v>126</v>
      </c>
      <c r="B834" t="s">
        <v>125</v>
      </c>
      <c r="C834" t="s">
        <v>467</v>
      </c>
      <c r="D834" t="s">
        <v>467</v>
      </c>
      <c r="E834">
        <v>5510</v>
      </c>
      <c r="F834" t="s">
        <v>128</v>
      </c>
      <c r="G834">
        <v>1694</v>
      </c>
      <c r="H834" t="s">
        <v>348</v>
      </c>
      <c r="I834">
        <v>2021</v>
      </c>
      <c r="J834">
        <v>2021</v>
      </c>
      <c r="K834" t="s">
        <v>339</v>
      </c>
      <c r="L834">
        <v>2478944</v>
      </c>
      <c r="O834">
        <v>2293023.2000000002</v>
      </c>
      <c r="P834">
        <v>2.2930231999999999</v>
      </c>
      <c r="Q834" t="s">
        <v>743</v>
      </c>
      <c r="R834" s="141">
        <v>0.92500000000000004</v>
      </c>
    </row>
    <row r="835" spans="1:18" x14ac:dyDescent="0.3">
      <c r="A835" t="s">
        <v>126</v>
      </c>
      <c r="B835" t="s">
        <v>125</v>
      </c>
      <c r="C835" t="s">
        <v>467</v>
      </c>
      <c r="D835" t="s">
        <v>467</v>
      </c>
      <c r="E835">
        <v>5610</v>
      </c>
      <c r="F835" t="s">
        <v>127</v>
      </c>
      <c r="G835">
        <v>1630</v>
      </c>
      <c r="H835" t="s">
        <v>117</v>
      </c>
      <c r="I835">
        <v>2021</v>
      </c>
      <c r="J835">
        <v>2021</v>
      </c>
      <c r="K835" t="s">
        <v>339</v>
      </c>
      <c r="L835">
        <v>124560.84000000001</v>
      </c>
      <c r="O835">
        <v>102772.035063</v>
      </c>
      <c r="P835">
        <v>0.10277203506299999</v>
      </c>
      <c r="Q835" t="s">
        <v>744</v>
      </c>
      <c r="R835" s="141">
        <v>0.96499999999999997</v>
      </c>
    </row>
    <row r="836" spans="1:18" x14ac:dyDescent="0.3">
      <c r="A836" t="s">
        <v>126</v>
      </c>
      <c r="B836" t="s">
        <v>125</v>
      </c>
      <c r="C836" t="s">
        <v>467</v>
      </c>
      <c r="D836" t="s">
        <v>467</v>
      </c>
      <c r="E836">
        <v>5610</v>
      </c>
      <c r="F836" t="s">
        <v>127</v>
      </c>
      <c r="G836">
        <v>1694</v>
      </c>
      <c r="H836" t="s">
        <v>348</v>
      </c>
      <c r="I836">
        <v>2021</v>
      </c>
      <c r="J836">
        <v>2021</v>
      </c>
      <c r="K836" t="s">
        <v>339</v>
      </c>
      <c r="L836">
        <v>3211.27</v>
      </c>
      <c r="O836">
        <v>2539.7131612500002</v>
      </c>
      <c r="P836">
        <v>2.5397131612500002E-3</v>
      </c>
      <c r="Q836" t="s">
        <v>745</v>
      </c>
      <c r="R836" s="141">
        <v>0.92500000000000004</v>
      </c>
    </row>
    <row r="837" spans="1:18" x14ac:dyDescent="0.3">
      <c r="A837" t="s">
        <v>126</v>
      </c>
      <c r="B837" t="s">
        <v>125</v>
      </c>
      <c r="C837" t="s">
        <v>467</v>
      </c>
      <c r="D837" t="s">
        <v>467</v>
      </c>
      <c r="E837">
        <v>5910</v>
      </c>
      <c r="F837" t="s">
        <v>124</v>
      </c>
      <c r="G837">
        <v>1630</v>
      </c>
      <c r="H837" t="s">
        <v>117</v>
      </c>
      <c r="I837">
        <v>2021</v>
      </c>
      <c r="J837">
        <v>2021</v>
      </c>
      <c r="K837" t="s">
        <v>339</v>
      </c>
      <c r="L837">
        <v>501923.44999999995</v>
      </c>
      <c r="O837">
        <v>414124.49050874996</v>
      </c>
      <c r="P837">
        <v>0.41412449050874994</v>
      </c>
      <c r="Q837" t="s">
        <v>746</v>
      </c>
      <c r="R837" s="141">
        <v>0.96499999999999997</v>
      </c>
    </row>
    <row r="838" spans="1:18" x14ac:dyDescent="0.3">
      <c r="A838" t="s">
        <v>126</v>
      </c>
      <c r="B838" t="s">
        <v>125</v>
      </c>
      <c r="C838" t="s">
        <v>467</v>
      </c>
      <c r="D838" t="s">
        <v>467</v>
      </c>
      <c r="E838">
        <v>5910</v>
      </c>
      <c r="F838" t="s">
        <v>124</v>
      </c>
      <c r="G838">
        <v>1694</v>
      </c>
      <c r="H838" t="s">
        <v>348</v>
      </c>
      <c r="I838">
        <v>2021</v>
      </c>
      <c r="J838">
        <v>2021</v>
      </c>
      <c r="K838" t="s">
        <v>339</v>
      </c>
      <c r="L838">
        <v>17207.689999999999</v>
      </c>
      <c r="O838">
        <v>13609.13182875</v>
      </c>
      <c r="P838">
        <v>1.3609131828749999E-2</v>
      </c>
      <c r="Q838" t="s">
        <v>747</v>
      </c>
      <c r="R838" s="141">
        <v>0.92500000000000004</v>
      </c>
    </row>
    <row r="839" spans="1:18" x14ac:dyDescent="0.3">
      <c r="A839" t="s">
        <v>126</v>
      </c>
      <c r="B839" t="s">
        <v>125</v>
      </c>
      <c r="C839" t="s">
        <v>467</v>
      </c>
      <c r="D839" t="s">
        <v>467</v>
      </c>
      <c r="E839">
        <v>5516</v>
      </c>
      <c r="F839" t="s">
        <v>128</v>
      </c>
      <c r="G839">
        <v>1619</v>
      </c>
      <c r="H839" t="s">
        <v>92</v>
      </c>
      <c r="I839">
        <v>2021</v>
      </c>
      <c r="J839">
        <v>2021</v>
      </c>
      <c r="K839" t="s">
        <v>143</v>
      </c>
      <c r="L839">
        <v>26562234</v>
      </c>
      <c r="O839">
        <v>12019110.407239819</v>
      </c>
      <c r="P839">
        <v>12.019110407239818</v>
      </c>
      <c r="Q839" t="s">
        <v>748</v>
      </c>
      <c r="R839" s="141">
        <v>0.45248868778280543</v>
      </c>
    </row>
    <row r="840" spans="1:18" x14ac:dyDescent="0.3">
      <c r="A840" t="s">
        <v>126</v>
      </c>
      <c r="B840" t="s">
        <v>125</v>
      </c>
      <c r="C840" t="s">
        <v>467</v>
      </c>
      <c r="D840" t="s">
        <v>467</v>
      </c>
      <c r="E840">
        <v>5616</v>
      </c>
      <c r="F840" t="s">
        <v>127</v>
      </c>
      <c r="G840">
        <v>1619</v>
      </c>
      <c r="H840" t="s">
        <v>92</v>
      </c>
      <c r="I840">
        <v>2021</v>
      </c>
      <c r="J840">
        <v>2021</v>
      </c>
      <c r="K840" t="s">
        <v>143</v>
      </c>
      <c r="L840">
        <v>27060.2</v>
      </c>
      <c r="O840">
        <v>10468.991402714932</v>
      </c>
      <c r="P840">
        <v>1.0468991402714931E-2</v>
      </c>
      <c r="Q840" t="s">
        <v>749</v>
      </c>
      <c r="R840" s="141">
        <v>0.45248868778280543</v>
      </c>
    </row>
    <row r="841" spans="1:18" x14ac:dyDescent="0.3">
      <c r="A841" t="s">
        <v>126</v>
      </c>
      <c r="B841" t="s">
        <v>125</v>
      </c>
      <c r="C841" t="s">
        <v>467</v>
      </c>
      <c r="D841" t="s">
        <v>467</v>
      </c>
      <c r="E841">
        <v>5916</v>
      </c>
      <c r="F841" t="s">
        <v>124</v>
      </c>
      <c r="G841">
        <v>1619</v>
      </c>
      <c r="H841" t="s">
        <v>92</v>
      </c>
      <c r="I841">
        <v>2021</v>
      </c>
      <c r="J841">
        <v>2021</v>
      </c>
      <c r="K841" t="s">
        <v>143</v>
      </c>
      <c r="L841">
        <v>6860306.4299999988</v>
      </c>
      <c r="O841">
        <v>2654100.4514253391</v>
      </c>
      <c r="P841">
        <v>2.654100451425339</v>
      </c>
      <c r="Q841" t="s">
        <v>750</v>
      </c>
      <c r="R841" s="141">
        <v>0.45248868778280543</v>
      </c>
    </row>
    <row r="842" spans="1:18" x14ac:dyDescent="0.3">
      <c r="A842" t="s">
        <v>126</v>
      </c>
      <c r="B842" t="s">
        <v>125</v>
      </c>
      <c r="C842" t="s">
        <v>467</v>
      </c>
      <c r="D842" t="s">
        <v>467</v>
      </c>
      <c r="E842">
        <v>5516</v>
      </c>
      <c r="F842" t="s">
        <v>128</v>
      </c>
      <c r="G842">
        <v>1620</v>
      </c>
      <c r="H842" t="s">
        <v>115</v>
      </c>
      <c r="I842">
        <v>2021</v>
      </c>
      <c r="J842">
        <v>2021</v>
      </c>
      <c r="K842" t="s">
        <v>143</v>
      </c>
      <c r="L842">
        <v>26778765</v>
      </c>
      <c r="O842">
        <v>12008414.798206279</v>
      </c>
      <c r="P842">
        <v>12.008414798206278</v>
      </c>
      <c r="Q842" t="s">
        <v>751</v>
      </c>
      <c r="R842" s="141">
        <v>0.44843049327354262</v>
      </c>
    </row>
    <row r="843" spans="1:18" x14ac:dyDescent="0.3">
      <c r="A843" t="s">
        <v>126</v>
      </c>
      <c r="B843" t="s">
        <v>125</v>
      </c>
      <c r="C843" t="s">
        <v>467</v>
      </c>
      <c r="D843" t="s">
        <v>467</v>
      </c>
      <c r="E843">
        <v>5616</v>
      </c>
      <c r="F843" t="s">
        <v>127</v>
      </c>
      <c r="G843">
        <v>1620</v>
      </c>
      <c r="H843" t="s">
        <v>115</v>
      </c>
      <c r="I843">
        <v>2021</v>
      </c>
      <c r="J843">
        <v>2021</v>
      </c>
      <c r="K843" t="s">
        <v>143</v>
      </c>
      <c r="L843">
        <v>46043.560000000005</v>
      </c>
      <c r="O843">
        <v>17653.472556053814</v>
      </c>
      <c r="P843">
        <v>1.7653472556053814E-2</v>
      </c>
      <c r="Q843" t="s">
        <v>752</v>
      </c>
      <c r="R843" s="141">
        <v>0.44843049327354262</v>
      </c>
    </row>
    <row r="844" spans="1:18" x14ac:dyDescent="0.3">
      <c r="A844" t="s">
        <v>126</v>
      </c>
      <c r="B844" t="s">
        <v>125</v>
      </c>
      <c r="C844" t="s">
        <v>467</v>
      </c>
      <c r="D844" t="s">
        <v>467</v>
      </c>
      <c r="E844">
        <v>5916</v>
      </c>
      <c r="F844" t="s">
        <v>124</v>
      </c>
      <c r="G844">
        <v>1620</v>
      </c>
      <c r="H844" t="s">
        <v>115</v>
      </c>
      <c r="I844">
        <v>2021</v>
      </c>
      <c r="J844">
        <v>2021</v>
      </c>
      <c r="K844" t="s">
        <v>143</v>
      </c>
      <c r="L844">
        <v>24018.91</v>
      </c>
      <c r="O844">
        <v>9209.0439686098653</v>
      </c>
      <c r="P844">
        <v>9.2090439686098643E-3</v>
      </c>
      <c r="Q844" t="s">
        <v>753</v>
      </c>
      <c r="R844" s="141">
        <v>0.44843049327354262</v>
      </c>
    </row>
    <row r="845" spans="1:18" x14ac:dyDescent="0.3">
      <c r="A845" t="s">
        <v>126</v>
      </c>
      <c r="B845" t="s">
        <v>125</v>
      </c>
      <c r="C845" t="s">
        <v>467</v>
      </c>
      <c r="D845" t="s">
        <v>467</v>
      </c>
      <c r="E845">
        <v>5510</v>
      </c>
      <c r="F845" t="s">
        <v>128</v>
      </c>
      <c r="G845">
        <v>1600</v>
      </c>
      <c r="H845" t="s">
        <v>148</v>
      </c>
      <c r="I845">
        <v>2021</v>
      </c>
      <c r="J845">
        <v>2021</v>
      </c>
      <c r="K845" t="s">
        <v>339</v>
      </c>
      <c r="L845">
        <v>0</v>
      </c>
      <c r="O845">
        <v>0</v>
      </c>
      <c r="P845">
        <v>0</v>
      </c>
      <c r="Q845" t="s">
        <v>754</v>
      </c>
      <c r="R845" s="141">
        <v>0.77500000000000002</v>
      </c>
    </row>
    <row r="846" spans="1:18" x14ac:dyDescent="0.3">
      <c r="A846" t="s">
        <v>126</v>
      </c>
      <c r="B846" t="s">
        <v>125</v>
      </c>
      <c r="C846" t="s">
        <v>467</v>
      </c>
      <c r="D846" t="s">
        <v>467</v>
      </c>
      <c r="E846">
        <v>5610</v>
      </c>
      <c r="F846" t="s">
        <v>127</v>
      </c>
      <c r="G846">
        <v>1600</v>
      </c>
      <c r="H846" t="s">
        <v>148</v>
      </c>
      <c r="I846">
        <v>2021</v>
      </c>
      <c r="J846">
        <v>2021</v>
      </c>
      <c r="K846" t="s">
        <v>339</v>
      </c>
      <c r="L846">
        <v>0</v>
      </c>
      <c r="O846">
        <v>0</v>
      </c>
      <c r="P846">
        <v>0</v>
      </c>
      <c r="Q846" t="s">
        <v>755</v>
      </c>
      <c r="R846" s="141">
        <v>0.77500000000000002</v>
      </c>
    </row>
    <row r="847" spans="1:18" x14ac:dyDescent="0.3">
      <c r="A847" t="s">
        <v>126</v>
      </c>
      <c r="B847" t="s">
        <v>125</v>
      </c>
      <c r="C847" t="s">
        <v>467</v>
      </c>
      <c r="D847" t="s">
        <v>467</v>
      </c>
      <c r="E847">
        <v>5910</v>
      </c>
      <c r="F847" t="s">
        <v>124</v>
      </c>
      <c r="G847">
        <v>1600</v>
      </c>
      <c r="H847" t="s">
        <v>148</v>
      </c>
      <c r="I847">
        <v>2021</v>
      </c>
      <c r="J847">
        <v>2021</v>
      </c>
      <c r="K847" t="s">
        <v>339</v>
      </c>
      <c r="L847">
        <v>0</v>
      </c>
      <c r="O847">
        <v>0</v>
      </c>
      <c r="P847">
        <v>0</v>
      </c>
      <c r="Q847" t="s">
        <v>756</v>
      </c>
      <c r="R847" s="141">
        <v>0.77500000000000002</v>
      </c>
    </row>
    <row r="848" spans="1:18" x14ac:dyDescent="0.3">
      <c r="A848" t="s">
        <v>126</v>
      </c>
      <c r="B848" t="s">
        <v>125</v>
      </c>
      <c r="C848" t="s">
        <v>467</v>
      </c>
      <c r="D848" t="s">
        <v>467</v>
      </c>
      <c r="E848">
        <v>5510</v>
      </c>
      <c r="F848" t="s">
        <v>128</v>
      </c>
      <c r="G848">
        <v>1693</v>
      </c>
      <c r="H848" t="s">
        <v>114</v>
      </c>
      <c r="I848">
        <v>2021</v>
      </c>
      <c r="J848">
        <v>2021</v>
      </c>
      <c r="K848" t="s">
        <v>339</v>
      </c>
      <c r="L848">
        <v>886096</v>
      </c>
      <c r="O848">
        <v>819638.8</v>
      </c>
      <c r="P848">
        <v>0.8196388</v>
      </c>
      <c r="Q848" t="s">
        <v>757</v>
      </c>
      <c r="R848" s="141">
        <v>0.92500000000000004</v>
      </c>
    </row>
    <row r="849" spans="1:18" x14ac:dyDescent="0.3">
      <c r="A849" t="s">
        <v>126</v>
      </c>
      <c r="B849" t="s">
        <v>125</v>
      </c>
      <c r="C849" t="s">
        <v>467</v>
      </c>
      <c r="D849" t="s">
        <v>467</v>
      </c>
      <c r="E849">
        <v>5610</v>
      </c>
      <c r="F849" t="s">
        <v>127</v>
      </c>
      <c r="G849">
        <v>1693</v>
      </c>
      <c r="H849" t="s">
        <v>114</v>
      </c>
      <c r="I849">
        <v>2021</v>
      </c>
      <c r="J849">
        <v>2021</v>
      </c>
      <c r="K849" t="s">
        <v>339</v>
      </c>
      <c r="L849">
        <v>11493.62</v>
      </c>
      <c r="O849">
        <v>9090.0167175000006</v>
      </c>
      <c r="P849">
        <v>9.0900167174999998E-3</v>
      </c>
      <c r="Q849" t="s">
        <v>758</v>
      </c>
      <c r="R849" s="141">
        <v>0.92500000000000004</v>
      </c>
    </row>
    <row r="850" spans="1:18" x14ac:dyDescent="0.3">
      <c r="A850" t="s">
        <v>126</v>
      </c>
      <c r="B850" t="s">
        <v>125</v>
      </c>
      <c r="C850" t="s">
        <v>467</v>
      </c>
      <c r="D850" t="s">
        <v>467</v>
      </c>
      <c r="E850">
        <v>5910</v>
      </c>
      <c r="F850" t="s">
        <v>124</v>
      </c>
      <c r="G850">
        <v>1693</v>
      </c>
      <c r="H850" t="s">
        <v>114</v>
      </c>
      <c r="I850">
        <v>2021</v>
      </c>
      <c r="J850">
        <v>2021</v>
      </c>
      <c r="K850" t="s">
        <v>339</v>
      </c>
      <c r="L850">
        <v>418923.29</v>
      </c>
      <c r="O850">
        <v>331315.95697875001</v>
      </c>
      <c r="P850">
        <v>0.33131595697874999</v>
      </c>
      <c r="Q850" t="s">
        <v>759</v>
      </c>
      <c r="R850" s="141">
        <v>0.92500000000000004</v>
      </c>
    </row>
    <row r="851" spans="1:18" x14ac:dyDescent="0.3">
      <c r="A851" t="s">
        <v>126</v>
      </c>
      <c r="B851" t="s">
        <v>125</v>
      </c>
      <c r="C851" t="s">
        <v>467</v>
      </c>
      <c r="D851" t="s">
        <v>467</v>
      </c>
      <c r="E851">
        <v>5516</v>
      </c>
      <c r="F851" t="s">
        <v>128</v>
      </c>
      <c r="G851">
        <v>1632</v>
      </c>
      <c r="H851" t="s">
        <v>110</v>
      </c>
      <c r="I851">
        <v>2021</v>
      </c>
      <c r="J851">
        <v>2021</v>
      </c>
      <c r="K851" t="s">
        <v>143</v>
      </c>
      <c r="L851">
        <v>22937317</v>
      </c>
      <c r="O851">
        <v>9312550.7020000014</v>
      </c>
      <c r="P851">
        <v>9.3125507020000011</v>
      </c>
      <c r="Q851" t="s">
        <v>760</v>
      </c>
      <c r="R851" s="141">
        <v>0.40600000000000003</v>
      </c>
    </row>
    <row r="852" spans="1:18" x14ac:dyDescent="0.3">
      <c r="A852" t="s">
        <v>126</v>
      </c>
      <c r="B852" t="s">
        <v>125</v>
      </c>
      <c r="C852" t="s">
        <v>467</v>
      </c>
      <c r="D852" t="s">
        <v>467</v>
      </c>
      <c r="E852">
        <v>5616</v>
      </c>
      <c r="F852" t="s">
        <v>127</v>
      </c>
      <c r="G852">
        <v>1632</v>
      </c>
      <c r="H852" t="s">
        <v>110</v>
      </c>
      <c r="I852">
        <v>2021</v>
      </c>
      <c r="J852">
        <v>2021</v>
      </c>
      <c r="K852" t="s">
        <v>143</v>
      </c>
      <c r="L852">
        <v>3803719</v>
      </c>
      <c r="O852">
        <v>1320384.9764700001</v>
      </c>
      <c r="P852">
        <v>1.32038497647</v>
      </c>
      <c r="Q852" t="s">
        <v>761</v>
      </c>
      <c r="R852" s="141">
        <v>0.40600000000000003</v>
      </c>
    </row>
    <row r="853" spans="1:18" x14ac:dyDescent="0.3">
      <c r="A853" t="s">
        <v>126</v>
      </c>
      <c r="B853" t="s">
        <v>125</v>
      </c>
      <c r="C853" t="s">
        <v>467</v>
      </c>
      <c r="D853" t="s">
        <v>467</v>
      </c>
      <c r="E853">
        <v>5916</v>
      </c>
      <c r="F853" t="s">
        <v>124</v>
      </c>
      <c r="G853">
        <v>1632</v>
      </c>
      <c r="H853" t="s">
        <v>110</v>
      </c>
      <c r="I853">
        <v>2021</v>
      </c>
      <c r="J853">
        <v>2021</v>
      </c>
      <c r="K853" t="s">
        <v>143</v>
      </c>
      <c r="L853">
        <v>7522765</v>
      </c>
      <c r="O853">
        <v>2611377.41445</v>
      </c>
      <c r="P853">
        <v>2.6113774144499997</v>
      </c>
      <c r="Q853" t="s">
        <v>762</v>
      </c>
      <c r="R853" s="141">
        <v>0.40600000000000003</v>
      </c>
    </row>
    <row r="854" spans="1:18" x14ac:dyDescent="0.3">
      <c r="A854" t="s">
        <v>126</v>
      </c>
      <c r="B854" t="s">
        <v>125</v>
      </c>
      <c r="C854" t="s">
        <v>467</v>
      </c>
      <c r="D854" t="s">
        <v>467</v>
      </c>
      <c r="E854">
        <v>5516</v>
      </c>
      <c r="F854" t="s">
        <v>128</v>
      </c>
      <c r="G854">
        <v>1633</v>
      </c>
      <c r="H854" t="s">
        <v>109</v>
      </c>
      <c r="I854">
        <v>2021</v>
      </c>
      <c r="J854">
        <v>2021</v>
      </c>
      <c r="K854" t="s">
        <v>143</v>
      </c>
      <c r="L854">
        <v>8175774</v>
      </c>
      <c r="O854">
        <v>5393966.8965000007</v>
      </c>
      <c r="P854">
        <v>5.3939668965000003</v>
      </c>
      <c r="Q854" t="s">
        <v>763</v>
      </c>
      <c r="R854" s="141">
        <v>0.65975000000000006</v>
      </c>
    </row>
    <row r="855" spans="1:18" x14ac:dyDescent="0.3">
      <c r="A855" t="s">
        <v>126</v>
      </c>
      <c r="B855" t="s">
        <v>125</v>
      </c>
      <c r="C855" t="s">
        <v>467</v>
      </c>
      <c r="D855" t="s">
        <v>467</v>
      </c>
      <c r="E855">
        <v>5616</v>
      </c>
      <c r="F855" t="s">
        <v>127</v>
      </c>
      <c r="G855">
        <v>1633</v>
      </c>
      <c r="H855" t="s">
        <v>109</v>
      </c>
      <c r="I855">
        <v>2021</v>
      </c>
      <c r="J855">
        <v>2021</v>
      </c>
      <c r="K855" t="s">
        <v>143</v>
      </c>
      <c r="L855">
        <v>691951</v>
      </c>
      <c r="O855">
        <v>390320.04477375007</v>
      </c>
      <c r="P855">
        <v>0.39032004477375004</v>
      </c>
      <c r="Q855" t="s">
        <v>764</v>
      </c>
      <c r="R855" s="141">
        <v>0.65975000000000006</v>
      </c>
    </row>
    <row r="856" spans="1:18" x14ac:dyDescent="0.3">
      <c r="A856" t="s">
        <v>126</v>
      </c>
      <c r="B856" t="s">
        <v>125</v>
      </c>
      <c r="C856" t="s">
        <v>467</v>
      </c>
      <c r="D856" t="s">
        <v>467</v>
      </c>
      <c r="E856">
        <v>5916</v>
      </c>
      <c r="F856" t="s">
        <v>124</v>
      </c>
      <c r="G856">
        <v>1633</v>
      </c>
      <c r="H856" t="s">
        <v>109</v>
      </c>
      <c r="I856">
        <v>2021</v>
      </c>
      <c r="J856">
        <v>2021</v>
      </c>
      <c r="K856" t="s">
        <v>143</v>
      </c>
      <c r="L856">
        <v>1062909</v>
      </c>
      <c r="O856">
        <v>599572.35190125008</v>
      </c>
      <c r="P856">
        <v>0.59957235190125002</v>
      </c>
      <c r="Q856" t="s">
        <v>765</v>
      </c>
      <c r="R856" s="141">
        <v>0.65975000000000006</v>
      </c>
    </row>
    <row r="857" spans="1:18" x14ac:dyDescent="0.3">
      <c r="A857" t="s">
        <v>126</v>
      </c>
      <c r="B857" t="s">
        <v>125</v>
      </c>
      <c r="C857" t="s">
        <v>467</v>
      </c>
      <c r="D857" t="s">
        <v>467</v>
      </c>
      <c r="E857">
        <v>5516</v>
      </c>
      <c r="F857" t="s">
        <v>128</v>
      </c>
      <c r="G857">
        <v>1634</v>
      </c>
      <c r="H857" t="s">
        <v>108</v>
      </c>
      <c r="I857">
        <v>2021</v>
      </c>
      <c r="J857">
        <v>2021</v>
      </c>
      <c r="K857" t="s">
        <v>143</v>
      </c>
      <c r="L857">
        <v>1536818</v>
      </c>
      <c r="O857">
        <v>771789.9996000001</v>
      </c>
      <c r="P857">
        <v>0.77178999960000005</v>
      </c>
      <c r="Q857" t="s">
        <v>766</v>
      </c>
      <c r="R857" s="141">
        <v>0.50220000000000009</v>
      </c>
    </row>
    <row r="858" spans="1:18" x14ac:dyDescent="0.3">
      <c r="A858" t="s">
        <v>126</v>
      </c>
      <c r="B858" t="s">
        <v>125</v>
      </c>
      <c r="C858" t="s">
        <v>467</v>
      </c>
      <c r="D858" t="s">
        <v>467</v>
      </c>
      <c r="E858">
        <v>5616</v>
      </c>
      <c r="F858" t="s">
        <v>127</v>
      </c>
      <c r="G858">
        <v>1634</v>
      </c>
      <c r="H858" t="s">
        <v>108</v>
      </c>
      <c r="I858">
        <v>2021</v>
      </c>
      <c r="J858">
        <v>2021</v>
      </c>
      <c r="K858" t="s">
        <v>143</v>
      </c>
      <c r="L858">
        <v>67323</v>
      </c>
      <c r="O858">
        <v>28907.217063000007</v>
      </c>
      <c r="P858">
        <v>2.8907217063000007E-2</v>
      </c>
      <c r="Q858" t="s">
        <v>767</v>
      </c>
      <c r="R858" s="141">
        <v>0.50220000000000009</v>
      </c>
    </row>
    <row r="859" spans="1:18" x14ac:dyDescent="0.3">
      <c r="A859" t="s">
        <v>126</v>
      </c>
      <c r="B859" t="s">
        <v>125</v>
      </c>
      <c r="C859" t="s">
        <v>467</v>
      </c>
      <c r="D859" t="s">
        <v>467</v>
      </c>
      <c r="E859">
        <v>5916</v>
      </c>
      <c r="F859" t="s">
        <v>124</v>
      </c>
      <c r="G859">
        <v>1634</v>
      </c>
      <c r="H859" t="s">
        <v>108</v>
      </c>
      <c r="I859">
        <v>2021</v>
      </c>
      <c r="J859">
        <v>2021</v>
      </c>
      <c r="K859" t="s">
        <v>143</v>
      </c>
      <c r="L859">
        <v>221251</v>
      </c>
      <c r="O859">
        <v>95000.975631000008</v>
      </c>
      <c r="P859">
        <v>9.5000975631000004E-2</v>
      </c>
      <c r="Q859" t="s">
        <v>768</v>
      </c>
      <c r="R859" s="141">
        <v>0.50220000000000009</v>
      </c>
    </row>
    <row r="860" spans="1:18" x14ac:dyDescent="0.3">
      <c r="A860" t="s">
        <v>126</v>
      </c>
      <c r="B860" t="s">
        <v>125</v>
      </c>
      <c r="C860" t="s">
        <v>467</v>
      </c>
      <c r="D860" t="s">
        <v>467</v>
      </c>
      <c r="E860">
        <v>5516</v>
      </c>
      <c r="F860" t="s">
        <v>128</v>
      </c>
      <c r="G860">
        <v>1640</v>
      </c>
      <c r="H860" t="s">
        <v>104</v>
      </c>
      <c r="I860">
        <v>2021</v>
      </c>
      <c r="J860">
        <v>2021</v>
      </c>
      <c r="K860" t="s">
        <v>143</v>
      </c>
      <c r="L860">
        <v>5752562</v>
      </c>
      <c r="O860">
        <v>2888936.6364000007</v>
      </c>
      <c r="P860">
        <v>2.8889366364000004</v>
      </c>
      <c r="Q860" t="s">
        <v>769</v>
      </c>
      <c r="R860" s="141">
        <v>0.50220000000000009</v>
      </c>
    </row>
    <row r="861" spans="1:18" x14ac:dyDescent="0.3">
      <c r="A861" t="s">
        <v>126</v>
      </c>
      <c r="B861" t="s">
        <v>125</v>
      </c>
      <c r="C861" t="s">
        <v>467</v>
      </c>
      <c r="D861" t="s">
        <v>467</v>
      </c>
      <c r="E861">
        <v>5616</v>
      </c>
      <c r="F861" t="s">
        <v>127</v>
      </c>
      <c r="G861">
        <v>1640</v>
      </c>
      <c r="H861" t="s">
        <v>104</v>
      </c>
      <c r="I861">
        <v>2021</v>
      </c>
      <c r="J861">
        <v>2021</v>
      </c>
      <c r="K861" t="s">
        <v>143</v>
      </c>
      <c r="L861">
        <v>1716490</v>
      </c>
      <c r="O861">
        <v>737028.19269000017</v>
      </c>
      <c r="P861">
        <v>0.73702819269000008</v>
      </c>
      <c r="Q861" t="s">
        <v>770</v>
      </c>
      <c r="R861" s="141">
        <v>0.50220000000000009</v>
      </c>
    </row>
    <row r="862" spans="1:18" x14ac:dyDescent="0.3">
      <c r="A862" t="s">
        <v>126</v>
      </c>
      <c r="B862" t="s">
        <v>125</v>
      </c>
      <c r="C862" t="s">
        <v>467</v>
      </c>
      <c r="D862" t="s">
        <v>467</v>
      </c>
      <c r="E862">
        <v>5916</v>
      </c>
      <c r="F862" t="s">
        <v>124</v>
      </c>
      <c r="G862">
        <v>1640</v>
      </c>
      <c r="H862" t="s">
        <v>104</v>
      </c>
      <c r="I862">
        <v>2021</v>
      </c>
      <c r="J862">
        <v>2021</v>
      </c>
      <c r="K862" t="s">
        <v>143</v>
      </c>
      <c r="L862">
        <v>4219381</v>
      </c>
      <c r="O862">
        <v>1811722.0331610003</v>
      </c>
      <c r="P862">
        <v>1.8117220331610002</v>
      </c>
      <c r="Q862" t="s">
        <v>771</v>
      </c>
      <c r="R862" s="141">
        <v>0.50220000000000009</v>
      </c>
    </row>
    <row r="863" spans="1:18" x14ac:dyDescent="0.3">
      <c r="A863" t="s">
        <v>126</v>
      </c>
      <c r="B863" t="s">
        <v>125</v>
      </c>
      <c r="C863" t="s">
        <v>467</v>
      </c>
      <c r="D863" t="s">
        <v>467</v>
      </c>
      <c r="E863">
        <v>5516</v>
      </c>
      <c r="F863" t="s">
        <v>128</v>
      </c>
      <c r="G863">
        <v>1646</v>
      </c>
      <c r="H863" t="s">
        <v>147</v>
      </c>
      <c r="I863">
        <v>2021</v>
      </c>
      <c r="J863">
        <v>2021</v>
      </c>
      <c r="L863">
        <v>0</v>
      </c>
    </row>
    <row r="864" spans="1:18" x14ac:dyDescent="0.3">
      <c r="A864" t="s">
        <v>126</v>
      </c>
      <c r="B864" t="s">
        <v>125</v>
      </c>
      <c r="C864" t="s">
        <v>467</v>
      </c>
      <c r="D864" t="s">
        <v>467</v>
      </c>
      <c r="E864">
        <v>5616</v>
      </c>
      <c r="F864" t="s">
        <v>127</v>
      </c>
      <c r="G864">
        <v>1646</v>
      </c>
      <c r="H864" t="s">
        <v>147</v>
      </c>
      <c r="I864">
        <v>2021</v>
      </c>
      <c r="J864">
        <v>2021</v>
      </c>
      <c r="L864">
        <v>0</v>
      </c>
    </row>
    <row r="865" spans="1:18" x14ac:dyDescent="0.3">
      <c r="A865" t="s">
        <v>126</v>
      </c>
      <c r="B865" t="s">
        <v>125</v>
      </c>
      <c r="C865" t="s">
        <v>467</v>
      </c>
      <c r="D865" t="s">
        <v>467</v>
      </c>
      <c r="E865">
        <v>5916</v>
      </c>
      <c r="F865" t="s">
        <v>124</v>
      </c>
      <c r="G865">
        <v>1646</v>
      </c>
      <c r="H865" t="s">
        <v>147</v>
      </c>
      <c r="I865">
        <v>2021</v>
      </c>
      <c r="J865">
        <v>2021</v>
      </c>
      <c r="L865">
        <v>0</v>
      </c>
    </row>
    <row r="866" spans="1:18" x14ac:dyDescent="0.3">
      <c r="A866" t="s">
        <v>126</v>
      </c>
      <c r="B866" t="s">
        <v>125</v>
      </c>
      <c r="C866" t="s">
        <v>467</v>
      </c>
      <c r="D866" t="s">
        <v>467</v>
      </c>
      <c r="E866">
        <v>5516</v>
      </c>
      <c r="F866" t="s">
        <v>128</v>
      </c>
      <c r="G866">
        <v>1697</v>
      </c>
      <c r="H866" t="s">
        <v>103</v>
      </c>
      <c r="I866">
        <v>2021</v>
      </c>
      <c r="J866">
        <v>2021</v>
      </c>
      <c r="K866" t="s">
        <v>143</v>
      </c>
      <c r="L866">
        <v>5886648</v>
      </c>
      <c r="O866">
        <v>3240189.5274171429</v>
      </c>
      <c r="P866">
        <v>3.2401895274171428</v>
      </c>
      <c r="Q866" t="s">
        <v>772</v>
      </c>
      <c r="R866" s="141">
        <v>0.55043031746031745</v>
      </c>
    </row>
    <row r="867" spans="1:18" x14ac:dyDescent="0.3">
      <c r="A867" t="s">
        <v>126</v>
      </c>
      <c r="B867" t="s">
        <v>125</v>
      </c>
      <c r="C867" t="s">
        <v>467</v>
      </c>
      <c r="D867" t="s">
        <v>467</v>
      </c>
      <c r="E867">
        <v>5616</v>
      </c>
      <c r="F867" t="s">
        <v>127</v>
      </c>
      <c r="G867">
        <v>1697</v>
      </c>
      <c r="H867" t="s">
        <v>103</v>
      </c>
      <c r="I867">
        <v>2021</v>
      </c>
      <c r="J867">
        <v>2021</v>
      </c>
      <c r="K867" t="s">
        <v>143</v>
      </c>
      <c r="L867">
        <v>1420349.9599999995</v>
      </c>
      <c r="O867">
        <v>668442.14587635431</v>
      </c>
      <c r="P867">
        <v>0.66844214587635431</v>
      </c>
      <c r="Q867" t="s">
        <v>773</v>
      </c>
      <c r="R867" s="141">
        <v>0.55043031746031745</v>
      </c>
    </row>
    <row r="868" spans="1:18" x14ac:dyDescent="0.3">
      <c r="A868" t="s">
        <v>126</v>
      </c>
      <c r="B868" t="s">
        <v>125</v>
      </c>
      <c r="C868" t="s">
        <v>467</v>
      </c>
      <c r="D868" t="s">
        <v>467</v>
      </c>
      <c r="E868">
        <v>5916</v>
      </c>
      <c r="F868" t="s">
        <v>124</v>
      </c>
      <c r="G868">
        <v>1697</v>
      </c>
      <c r="H868" t="s">
        <v>103</v>
      </c>
      <c r="I868">
        <v>2021</v>
      </c>
      <c r="J868">
        <v>2021</v>
      </c>
      <c r="K868" t="s">
        <v>143</v>
      </c>
      <c r="L868">
        <v>1273975.6000000003</v>
      </c>
      <c r="O868">
        <v>599555.74882271723</v>
      </c>
      <c r="P868">
        <v>0.59955574882271723</v>
      </c>
      <c r="Q868" t="s">
        <v>774</v>
      </c>
      <c r="R868" s="141">
        <v>0.55043031746031745</v>
      </c>
    </row>
    <row r="869" spans="1:18" x14ac:dyDescent="0.3">
      <c r="A869" t="s">
        <v>126</v>
      </c>
      <c r="B869" t="s">
        <v>125</v>
      </c>
      <c r="C869" t="s">
        <v>467</v>
      </c>
      <c r="D869" t="s">
        <v>467</v>
      </c>
      <c r="E869">
        <v>5516</v>
      </c>
      <c r="F869" t="s">
        <v>128</v>
      </c>
      <c r="G869">
        <v>1606</v>
      </c>
      <c r="H869" t="s">
        <v>102</v>
      </c>
      <c r="I869">
        <v>2021</v>
      </c>
      <c r="J869">
        <v>2021</v>
      </c>
      <c r="K869" t="s">
        <v>143</v>
      </c>
      <c r="L869">
        <v>632649</v>
      </c>
      <c r="O869">
        <v>375896.53740857146</v>
      </c>
      <c r="P869">
        <v>0.37589653740857143</v>
      </c>
      <c r="Q869" t="s">
        <v>775</v>
      </c>
      <c r="R869" s="141">
        <v>0.59416285714285721</v>
      </c>
    </row>
    <row r="870" spans="1:18" x14ac:dyDescent="0.3">
      <c r="A870" t="s">
        <v>126</v>
      </c>
      <c r="B870" t="s">
        <v>125</v>
      </c>
      <c r="C870" t="s">
        <v>467</v>
      </c>
      <c r="D870" t="s">
        <v>467</v>
      </c>
      <c r="E870">
        <v>5616</v>
      </c>
      <c r="F870" t="s">
        <v>127</v>
      </c>
      <c r="G870">
        <v>1606</v>
      </c>
      <c r="H870" t="s">
        <v>102</v>
      </c>
      <c r="I870">
        <v>2021</v>
      </c>
      <c r="J870">
        <v>2021</v>
      </c>
      <c r="K870" t="s">
        <v>143</v>
      </c>
      <c r="L870">
        <v>440398.4</v>
      </c>
      <c r="O870">
        <v>223726.45773949719</v>
      </c>
      <c r="P870">
        <v>0.22372645773949718</v>
      </c>
      <c r="Q870" t="s">
        <v>776</v>
      </c>
      <c r="R870" s="141">
        <v>0.59416285714285721</v>
      </c>
    </row>
    <row r="871" spans="1:18" x14ac:dyDescent="0.3">
      <c r="A871" t="s">
        <v>126</v>
      </c>
      <c r="B871" t="s">
        <v>125</v>
      </c>
      <c r="C871" t="s">
        <v>467</v>
      </c>
      <c r="D871" t="s">
        <v>467</v>
      </c>
      <c r="E871">
        <v>5916</v>
      </c>
      <c r="F871" t="s">
        <v>124</v>
      </c>
      <c r="G871">
        <v>1606</v>
      </c>
      <c r="H871" t="s">
        <v>102</v>
      </c>
      <c r="I871">
        <v>2021</v>
      </c>
      <c r="J871">
        <v>2021</v>
      </c>
      <c r="K871" t="s">
        <v>143</v>
      </c>
      <c r="L871">
        <v>241086.34999999998</v>
      </c>
      <c r="O871">
        <v>122474.09412669214</v>
      </c>
      <c r="P871">
        <v>0.12247409412669213</v>
      </c>
      <c r="Q871" t="s">
        <v>777</v>
      </c>
      <c r="R871" s="141">
        <v>0.59416285714285721</v>
      </c>
    </row>
    <row r="872" spans="1:18" x14ac:dyDescent="0.3">
      <c r="A872" t="s">
        <v>126</v>
      </c>
      <c r="B872" t="s">
        <v>125</v>
      </c>
      <c r="C872" t="s">
        <v>467</v>
      </c>
      <c r="D872" t="s">
        <v>467</v>
      </c>
      <c r="E872">
        <v>5516</v>
      </c>
      <c r="F872" t="s">
        <v>128</v>
      </c>
      <c r="G872">
        <v>1647</v>
      </c>
      <c r="H872" t="s">
        <v>146</v>
      </c>
      <c r="I872">
        <v>2021</v>
      </c>
      <c r="J872">
        <v>2021</v>
      </c>
      <c r="K872" t="s">
        <v>143</v>
      </c>
      <c r="L872">
        <v>564286</v>
      </c>
      <c r="O872">
        <v>445007.22531999997</v>
      </c>
      <c r="P872">
        <v>0.44500722531999992</v>
      </c>
      <c r="Q872" t="s">
        <v>778</v>
      </c>
      <c r="R872" s="141">
        <v>0.78861999999999999</v>
      </c>
    </row>
    <row r="873" spans="1:18" x14ac:dyDescent="0.3">
      <c r="A873" t="s">
        <v>126</v>
      </c>
      <c r="B873" t="s">
        <v>125</v>
      </c>
      <c r="C873" t="s">
        <v>467</v>
      </c>
      <c r="D873" t="s">
        <v>467</v>
      </c>
      <c r="E873">
        <v>5616</v>
      </c>
      <c r="F873" t="s">
        <v>127</v>
      </c>
      <c r="G873">
        <v>1647</v>
      </c>
      <c r="H873" t="s">
        <v>146</v>
      </c>
      <c r="I873">
        <v>2021</v>
      </c>
      <c r="J873">
        <v>2021</v>
      </c>
      <c r="K873" t="s">
        <v>143</v>
      </c>
      <c r="L873">
        <v>226042.46</v>
      </c>
      <c r="O873">
        <v>152413.67210844599</v>
      </c>
      <c r="P873">
        <v>0.15241367210844597</v>
      </c>
      <c r="Q873" t="s">
        <v>779</v>
      </c>
      <c r="R873" s="141">
        <v>0.78861999999999999</v>
      </c>
    </row>
    <row r="874" spans="1:18" x14ac:dyDescent="0.3">
      <c r="A874" t="s">
        <v>126</v>
      </c>
      <c r="B874" t="s">
        <v>125</v>
      </c>
      <c r="C874" t="s">
        <v>467</v>
      </c>
      <c r="D874" t="s">
        <v>467</v>
      </c>
      <c r="E874">
        <v>5916</v>
      </c>
      <c r="F874" t="s">
        <v>124</v>
      </c>
      <c r="G874">
        <v>1647</v>
      </c>
      <c r="H874" t="s">
        <v>146</v>
      </c>
      <c r="I874">
        <v>2021</v>
      </c>
      <c r="J874">
        <v>2021</v>
      </c>
      <c r="K874" t="s">
        <v>143</v>
      </c>
      <c r="L874">
        <v>190823.61</v>
      </c>
      <c r="O874">
        <v>128666.65459706099</v>
      </c>
      <c r="P874">
        <v>0.12866665459706098</v>
      </c>
      <c r="Q874" t="s">
        <v>780</v>
      </c>
      <c r="R874" s="141">
        <v>0.78861999999999999</v>
      </c>
    </row>
    <row r="875" spans="1:18" x14ac:dyDescent="0.3">
      <c r="A875" t="s">
        <v>126</v>
      </c>
      <c r="B875" t="s">
        <v>125</v>
      </c>
      <c r="C875" t="s">
        <v>467</v>
      </c>
      <c r="D875" t="s">
        <v>467</v>
      </c>
      <c r="E875">
        <v>5516</v>
      </c>
      <c r="F875" t="s">
        <v>128</v>
      </c>
      <c r="G875">
        <v>1648</v>
      </c>
      <c r="H875" t="s">
        <v>145</v>
      </c>
      <c r="I875">
        <v>2021</v>
      </c>
      <c r="J875">
        <v>2021</v>
      </c>
      <c r="K875" t="s">
        <v>143</v>
      </c>
      <c r="L875">
        <v>7940139</v>
      </c>
      <c r="O875">
        <v>4379553.8112857146</v>
      </c>
      <c r="P875">
        <v>4.3795538112857146</v>
      </c>
      <c r="Q875" t="s">
        <v>781</v>
      </c>
      <c r="R875" s="141">
        <v>0.5515714285714286</v>
      </c>
    </row>
    <row r="876" spans="1:18" x14ac:dyDescent="0.3">
      <c r="A876" t="s">
        <v>126</v>
      </c>
      <c r="B876" t="s">
        <v>125</v>
      </c>
      <c r="C876" t="s">
        <v>467</v>
      </c>
      <c r="D876" t="s">
        <v>467</v>
      </c>
      <c r="E876">
        <v>5616</v>
      </c>
      <c r="F876" t="s">
        <v>127</v>
      </c>
      <c r="G876">
        <v>1648</v>
      </c>
      <c r="H876" t="s">
        <v>145</v>
      </c>
      <c r="I876">
        <v>2021</v>
      </c>
      <c r="J876">
        <v>2021</v>
      </c>
      <c r="K876" t="s">
        <v>143</v>
      </c>
      <c r="L876">
        <v>1292735.3600000003</v>
      </c>
      <c r="O876">
        <v>609645.68533440016</v>
      </c>
      <c r="P876">
        <v>0.60964568533440011</v>
      </c>
      <c r="Q876" t="s">
        <v>782</v>
      </c>
      <c r="R876" s="141">
        <v>0.5515714285714286</v>
      </c>
    </row>
    <row r="877" spans="1:18" x14ac:dyDescent="0.3">
      <c r="A877" t="s">
        <v>126</v>
      </c>
      <c r="B877" t="s">
        <v>125</v>
      </c>
      <c r="C877" t="s">
        <v>467</v>
      </c>
      <c r="D877" t="s">
        <v>467</v>
      </c>
      <c r="E877">
        <v>5916</v>
      </c>
      <c r="F877" t="s">
        <v>124</v>
      </c>
      <c r="G877">
        <v>1648</v>
      </c>
      <c r="H877" t="s">
        <v>145</v>
      </c>
      <c r="I877">
        <v>2021</v>
      </c>
      <c r="J877">
        <v>2021</v>
      </c>
      <c r="K877" t="s">
        <v>143</v>
      </c>
      <c r="L877">
        <v>1256286.3799999999</v>
      </c>
      <c r="O877">
        <v>592456.58068127139</v>
      </c>
      <c r="P877">
        <v>0.59245658068127138</v>
      </c>
      <c r="Q877" t="s">
        <v>783</v>
      </c>
      <c r="R877" s="141">
        <v>0.5515714285714286</v>
      </c>
    </row>
    <row r="878" spans="1:18" x14ac:dyDescent="0.3">
      <c r="A878" t="s">
        <v>126</v>
      </c>
      <c r="B878" t="s">
        <v>125</v>
      </c>
      <c r="C878" t="s">
        <v>467</v>
      </c>
      <c r="D878" t="s">
        <v>467</v>
      </c>
      <c r="E878">
        <v>5516</v>
      </c>
      <c r="F878" t="s">
        <v>128</v>
      </c>
      <c r="G878">
        <v>1650</v>
      </c>
      <c r="H878" t="s">
        <v>144</v>
      </c>
      <c r="I878">
        <v>2021</v>
      </c>
      <c r="J878">
        <v>2021</v>
      </c>
      <c r="K878" t="s">
        <v>143</v>
      </c>
      <c r="L878">
        <v>33000</v>
      </c>
      <c r="O878">
        <v>8052.4125000000004</v>
      </c>
      <c r="P878">
        <v>8.0524124999999998E-3</v>
      </c>
      <c r="Q878" t="s">
        <v>784</v>
      </c>
      <c r="R878" s="141">
        <v>0.24401250000000002</v>
      </c>
    </row>
    <row r="879" spans="1:18" x14ac:dyDescent="0.3">
      <c r="A879" t="s">
        <v>126</v>
      </c>
      <c r="B879" t="s">
        <v>125</v>
      </c>
      <c r="C879" t="s">
        <v>467</v>
      </c>
      <c r="D879" t="s">
        <v>467</v>
      </c>
      <c r="E879">
        <v>5616</v>
      </c>
      <c r="F879" t="s">
        <v>127</v>
      </c>
      <c r="G879">
        <v>1650</v>
      </c>
      <c r="H879" t="s">
        <v>144</v>
      </c>
      <c r="I879">
        <v>2021</v>
      </c>
      <c r="J879">
        <v>2021</v>
      </c>
      <c r="K879" t="s">
        <v>143</v>
      </c>
      <c r="L879">
        <v>44114.21</v>
      </c>
      <c r="O879">
        <v>9203.5779608193752</v>
      </c>
      <c r="P879">
        <v>9.2035779608193747E-3</v>
      </c>
      <c r="Q879" t="s">
        <v>785</v>
      </c>
      <c r="R879" s="141">
        <v>0.24401250000000002</v>
      </c>
    </row>
    <row r="880" spans="1:18" x14ac:dyDescent="0.3">
      <c r="A880" t="s">
        <v>126</v>
      </c>
      <c r="B880" t="s">
        <v>125</v>
      </c>
      <c r="C880" t="s">
        <v>467</v>
      </c>
      <c r="D880" t="s">
        <v>467</v>
      </c>
      <c r="E880">
        <v>5916</v>
      </c>
      <c r="F880" t="s">
        <v>124</v>
      </c>
      <c r="G880">
        <v>1650</v>
      </c>
      <c r="H880" t="s">
        <v>144</v>
      </c>
      <c r="I880">
        <v>2021</v>
      </c>
      <c r="J880">
        <v>2021</v>
      </c>
      <c r="K880" t="s">
        <v>143</v>
      </c>
      <c r="L880">
        <v>2666.2599999999998</v>
      </c>
      <c r="O880">
        <v>556.26365685374992</v>
      </c>
      <c r="P880">
        <v>5.5626365685374987E-4</v>
      </c>
      <c r="Q880" t="s">
        <v>786</v>
      </c>
      <c r="R880" s="141">
        <v>0.24401250000000002</v>
      </c>
    </row>
    <row r="881" spans="1:18" x14ac:dyDescent="0.3">
      <c r="A881" t="s">
        <v>126</v>
      </c>
      <c r="B881" t="s">
        <v>125</v>
      </c>
      <c r="C881" t="s">
        <v>467</v>
      </c>
      <c r="D881" t="s">
        <v>467</v>
      </c>
      <c r="E881">
        <v>5516</v>
      </c>
      <c r="F881" t="s">
        <v>128</v>
      </c>
      <c r="G881">
        <v>1649</v>
      </c>
      <c r="H881" t="s">
        <v>142</v>
      </c>
      <c r="I881">
        <v>2021</v>
      </c>
      <c r="J881">
        <v>2021</v>
      </c>
      <c r="L881">
        <v>0</v>
      </c>
    </row>
    <row r="882" spans="1:18" x14ac:dyDescent="0.3">
      <c r="A882" t="s">
        <v>126</v>
      </c>
      <c r="B882" t="s">
        <v>125</v>
      </c>
      <c r="C882" t="s">
        <v>467</v>
      </c>
      <c r="D882" t="s">
        <v>467</v>
      </c>
      <c r="E882">
        <v>5616</v>
      </c>
      <c r="F882" t="s">
        <v>127</v>
      </c>
      <c r="G882">
        <v>1649</v>
      </c>
      <c r="H882" t="s">
        <v>142</v>
      </c>
      <c r="I882">
        <v>2021</v>
      </c>
      <c r="J882">
        <v>2021</v>
      </c>
      <c r="L882">
        <v>0</v>
      </c>
    </row>
    <row r="883" spans="1:18" x14ac:dyDescent="0.3">
      <c r="A883" t="s">
        <v>126</v>
      </c>
      <c r="B883" t="s">
        <v>125</v>
      </c>
      <c r="C883" t="s">
        <v>467</v>
      </c>
      <c r="D883" t="s">
        <v>467</v>
      </c>
      <c r="E883">
        <v>5916</v>
      </c>
      <c r="F883" t="s">
        <v>124</v>
      </c>
      <c r="G883">
        <v>1649</v>
      </c>
      <c r="H883" t="s">
        <v>142</v>
      </c>
      <c r="I883">
        <v>2021</v>
      </c>
      <c r="J883">
        <v>2021</v>
      </c>
      <c r="L883">
        <v>0</v>
      </c>
    </row>
    <row r="884" spans="1:18" x14ac:dyDescent="0.3">
      <c r="A884" t="s">
        <v>126</v>
      </c>
      <c r="B884" t="s">
        <v>125</v>
      </c>
      <c r="C884" t="s">
        <v>467</v>
      </c>
      <c r="D884" t="s">
        <v>467</v>
      </c>
      <c r="E884">
        <v>5510</v>
      </c>
      <c r="F884" t="s">
        <v>128</v>
      </c>
      <c r="G884">
        <v>1685</v>
      </c>
      <c r="H884" t="s">
        <v>98</v>
      </c>
      <c r="I884">
        <v>2021</v>
      </c>
      <c r="J884">
        <v>2021</v>
      </c>
      <c r="K884" t="s">
        <v>339</v>
      </c>
      <c r="L884">
        <v>1010000</v>
      </c>
      <c r="O884">
        <v>909000</v>
      </c>
      <c r="P884">
        <v>0.90899999999999992</v>
      </c>
      <c r="Q884" t="s">
        <v>787</v>
      </c>
      <c r="R884" s="141">
        <v>0.9</v>
      </c>
    </row>
    <row r="885" spans="1:18" x14ac:dyDescent="0.3">
      <c r="A885" t="s">
        <v>126</v>
      </c>
      <c r="B885" t="s">
        <v>125</v>
      </c>
      <c r="C885" t="s">
        <v>467</v>
      </c>
      <c r="D885" t="s">
        <v>467</v>
      </c>
      <c r="E885">
        <v>5610</v>
      </c>
      <c r="F885" t="s">
        <v>127</v>
      </c>
      <c r="G885">
        <v>1685</v>
      </c>
      <c r="H885" t="s">
        <v>98</v>
      </c>
      <c r="I885">
        <v>2021</v>
      </c>
      <c r="J885">
        <v>2021</v>
      </c>
      <c r="K885" t="s">
        <v>339</v>
      </c>
      <c r="L885">
        <v>48686.13</v>
      </c>
      <c r="O885">
        <v>37463.977034999996</v>
      </c>
      <c r="P885">
        <v>3.7463977034999991E-2</v>
      </c>
      <c r="Q885" t="s">
        <v>788</v>
      </c>
      <c r="R885" s="141">
        <v>0.9</v>
      </c>
    </row>
    <row r="886" spans="1:18" x14ac:dyDescent="0.3">
      <c r="A886" t="s">
        <v>126</v>
      </c>
      <c r="B886" t="s">
        <v>125</v>
      </c>
      <c r="C886" t="s">
        <v>467</v>
      </c>
      <c r="D886" t="s">
        <v>467</v>
      </c>
      <c r="E886">
        <v>5910</v>
      </c>
      <c r="F886" t="s">
        <v>124</v>
      </c>
      <c r="G886">
        <v>1685</v>
      </c>
      <c r="H886" t="s">
        <v>98</v>
      </c>
      <c r="I886">
        <v>2021</v>
      </c>
      <c r="J886">
        <v>2021</v>
      </c>
      <c r="K886" t="s">
        <v>339</v>
      </c>
      <c r="L886">
        <v>59661.63</v>
      </c>
      <c r="O886">
        <v>45909.624284999998</v>
      </c>
      <c r="P886">
        <v>4.5909624284999999E-2</v>
      </c>
      <c r="Q886" t="s">
        <v>789</v>
      </c>
      <c r="R886" s="141">
        <v>0.9</v>
      </c>
    </row>
    <row r="887" spans="1:18" x14ac:dyDescent="0.3">
      <c r="A887" t="s">
        <v>126</v>
      </c>
      <c r="B887" t="s">
        <v>125</v>
      </c>
      <c r="C887" t="s">
        <v>467</v>
      </c>
      <c r="D887" t="s">
        <v>467</v>
      </c>
      <c r="E887">
        <v>5510</v>
      </c>
      <c r="F887" t="s">
        <v>128</v>
      </c>
      <c r="G887">
        <v>1654</v>
      </c>
      <c r="H887" t="s">
        <v>141</v>
      </c>
      <c r="I887">
        <v>2021</v>
      </c>
      <c r="J887">
        <v>2021</v>
      </c>
      <c r="L887">
        <v>0</v>
      </c>
    </row>
    <row r="888" spans="1:18" x14ac:dyDescent="0.3">
      <c r="A888" t="s">
        <v>126</v>
      </c>
      <c r="B888" t="s">
        <v>125</v>
      </c>
      <c r="C888" t="s">
        <v>467</v>
      </c>
      <c r="D888" t="s">
        <v>467</v>
      </c>
      <c r="E888">
        <v>5610</v>
      </c>
      <c r="F888" t="s">
        <v>127</v>
      </c>
      <c r="G888">
        <v>1654</v>
      </c>
      <c r="H888" t="s">
        <v>141</v>
      </c>
      <c r="I888">
        <v>2021</v>
      </c>
      <c r="J888">
        <v>2021</v>
      </c>
      <c r="L888">
        <v>0</v>
      </c>
    </row>
    <row r="889" spans="1:18" x14ac:dyDescent="0.3">
      <c r="A889" t="s">
        <v>126</v>
      </c>
      <c r="B889" t="s">
        <v>125</v>
      </c>
      <c r="C889" t="s">
        <v>467</v>
      </c>
      <c r="D889" t="s">
        <v>467</v>
      </c>
      <c r="E889">
        <v>5910</v>
      </c>
      <c r="F889" t="s">
        <v>124</v>
      </c>
      <c r="G889">
        <v>1654</v>
      </c>
      <c r="H889" t="s">
        <v>141</v>
      </c>
      <c r="I889">
        <v>2021</v>
      </c>
      <c r="J889">
        <v>2021</v>
      </c>
      <c r="L889">
        <v>0</v>
      </c>
    </row>
    <row r="890" spans="1:18" x14ac:dyDescent="0.3">
      <c r="A890" t="s">
        <v>126</v>
      </c>
      <c r="B890" t="s">
        <v>125</v>
      </c>
      <c r="C890" t="s">
        <v>467</v>
      </c>
      <c r="D890" t="s">
        <v>467</v>
      </c>
      <c r="E890">
        <v>5510</v>
      </c>
      <c r="F890" t="s">
        <v>128</v>
      </c>
      <c r="G890">
        <v>1655</v>
      </c>
      <c r="H890" t="s">
        <v>140</v>
      </c>
      <c r="I890">
        <v>2021</v>
      </c>
      <c r="J890">
        <v>2021</v>
      </c>
      <c r="L890">
        <v>0</v>
      </c>
    </row>
    <row r="891" spans="1:18" x14ac:dyDescent="0.3">
      <c r="A891" t="s">
        <v>126</v>
      </c>
      <c r="B891" t="s">
        <v>125</v>
      </c>
      <c r="C891" t="s">
        <v>467</v>
      </c>
      <c r="D891" t="s">
        <v>467</v>
      </c>
      <c r="E891">
        <v>5610</v>
      </c>
      <c r="F891" t="s">
        <v>127</v>
      </c>
      <c r="G891">
        <v>1655</v>
      </c>
      <c r="H891" t="s">
        <v>140</v>
      </c>
      <c r="I891">
        <v>2021</v>
      </c>
      <c r="J891">
        <v>2021</v>
      </c>
      <c r="L891">
        <v>0</v>
      </c>
    </row>
    <row r="892" spans="1:18" x14ac:dyDescent="0.3">
      <c r="A892" t="s">
        <v>126</v>
      </c>
      <c r="B892" t="s">
        <v>125</v>
      </c>
      <c r="C892" t="s">
        <v>467</v>
      </c>
      <c r="D892" t="s">
        <v>467</v>
      </c>
      <c r="E892">
        <v>5910</v>
      </c>
      <c r="F892" t="s">
        <v>124</v>
      </c>
      <c r="G892">
        <v>1655</v>
      </c>
      <c r="H892" t="s">
        <v>140</v>
      </c>
      <c r="I892">
        <v>2021</v>
      </c>
      <c r="J892">
        <v>2021</v>
      </c>
      <c r="L892">
        <v>0</v>
      </c>
    </row>
    <row r="893" spans="1:18" x14ac:dyDescent="0.3">
      <c r="A893" t="s">
        <v>126</v>
      </c>
      <c r="B893" t="s">
        <v>125</v>
      </c>
      <c r="C893" t="s">
        <v>467</v>
      </c>
      <c r="D893" t="s">
        <v>467</v>
      </c>
      <c r="E893">
        <v>5510</v>
      </c>
      <c r="F893" t="s">
        <v>128</v>
      </c>
      <c r="G893">
        <v>1656</v>
      </c>
      <c r="H893" t="s">
        <v>97</v>
      </c>
      <c r="I893">
        <v>2021</v>
      </c>
      <c r="J893">
        <v>2021</v>
      </c>
      <c r="K893" t="s">
        <v>339</v>
      </c>
      <c r="L893">
        <v>30163928</v>
      </c>
      <c r="O893">
        <v>27147535.199999999</v>
      </c>
      <c r="P893">
        <v>27.147535199999997</v>
      </c>
      <c r="Q893" t="s">
        <v>790</v>
      </c>
      <c r="R893" s="141">
        <v>0.9</v>
      </c>
    </row>
    <row r="894" spans="1:18" x14ac:dyDescent="0.3">
      <c r="A894" t="s">
        <v>126</v>
      </c>
      <c r="B894" t="s">
        <v>125</v>
      </c>
      <c r="C894" t="s">
        <v>467</v>
      </c>
      <c r="D894" t="s">
        <v>467</v>
      </c>
      <c r="E894">
        <v>5610</v>
      </c>
      <c r="F894" t="s">
        <v>127</v>
      </c>
      <c r="G894">
        <v>1656</v>
      </c>
      <c r="H894" t="s">
        <v>97</v>
      </c>
      <c r="I894">
        <v>2021</v>
      </c>
      <c r="J894">
        <v>2021</v>
      </c>
      <c r="K894" t="s">
        <v>339</v>
      </c>
      <c r="L894">
        <v>1709771.0399999998</v>
      </c>
      <c r="O894">
        <v>1315668.8152799997</v>
      </c>
      <c r="P894">
        <v>1.3156688152799998</v>
      </c>
      <c r="Q894" t="s">
        <v>791</v>
      </c>
      <c r="R894" s="141">
        <v>0.9</v>
      </c>
    </row>
    <row r="895" spans="1:18" x14ac:dyDescent="0.3">
      <c r="A895" t="s">
        <v>126</v>
      </c>
      <c r="B895" t="s">
        <v>125</v>
      </c>
      <c r="C895" t="s">
        <v>467</v>
      </c>
      <c r="D895" t="s">
        <v>467</v>
      </c>
      <c r="E895">
        <v>5910</v>
      </c>
      <c r="F895" t="s">
        <v>124</v>
      </c>
      <c r="G895">
        <v>1656</v>
      </c>
      <c r="H895" t="s">
        <v>97</v>
      </c>
      <c r="I895">
        <v>2021</v>
      </c>
      <c r="J895">
        <v>2021</v>
      </c>
      <c r="K895" t="s">
        <v>339</v>
      </c>
      <c r="L895">
        <v>22504201.669999998</v>
      </c>
      <c r="O895">
        <v>17316983.185064998</v>
      </c>
      <c r="P895">
        <v>17.316983185064998</v>
      </c>
      <c r="Q895" t="s">
        <v>792</v>
      </c>
      <c r="R895" s="141">
        <v>0.9</v>
      </c>
    </row>
    <row r="896" spans="1:18" x14ac:dyDescent="0.3">
      <c r="A896" t="s">
        <v>126</v>
      </c>
      <c r="B896" t="s">
        <v>125</v>
      </c>
      <c r="C896" t="s">
        <v>467</v>
      </c>
      <c r="D896" t="s">
        <v>467</v>
      </c>
      <c r="E896">
        <v>5510</v>
      </c>
      <c r="F896" t="s">
        <v>128</v>
      </c>
      <c r="G896">
        <v>1662</v>
      </c>
      <c r="H896" t="s">
        <v>139</v>
      </c>
      <c r="I896">
        <v>2021</v>
      </c>
      <c r="J896">
        <v>2021</v>
      </c>
      <c r="K896" t="s">
        <v>339</v>
      </c>
      <c r="L896">
        <v>2835000</v>
      </c>
    </row>
    <row r="897" spans="1:18" x14ac:dyDescent="0.3">
      <c r="A897" t="s">
        <v>126</v>
      </c>
      <c r="B897" t="s">
        <v>125</v>
      </c>
      <c r="C897" t="s">
        <v>467</v>
      </c>
      <c r="D897" t="s">
        <v>467</v>
      </c>
      <c r="E897">
        <v>5610</v>
      </c>
      <c r="F897" t="s">
        <v>127</v>
      </c>
      <c r="G897">
        <v>1662</v>
      </c>
      <c r="H897" t="s">
        <v>139</v>
      </c>
      <c r="I897">
        <v>2021</v>
      </c>
      <c r="J897">
        <v>2021</v>
      </c>
      <c r="K897" t="s">
        <v>339</v>
      </c>
      <c r="L897">
        <v>42642.35</v>
      </c>
    </row>
    <row r="898" spans="1:18" x14ac:dyDescent="0.3">
      <c r="A898" t="s">
        <v>126</v>
      </c>
      <c r="B898" t="s">
        <v>125</v>
      </c>
      <c r="C898" t="s">
        <v>467</v>
      </c>
      <c r="D898" t="s">
        <v>467</v>
      </c>
      <c r="E898">
        <v>5910</v>
      </c>
      <c r="F898" t="s">
        <v>124</v>
      </c>
      <c r="G898">
        <v>1662</v>
      </c>
      <c r="H898" t="s">
        <v>139</v>
      </c>
      <c r="I898">
        <v>2021</v>
      </c>
      <c r="J898">
        <v>2021</v>
      </c>
      <c r="K898" t="s">
        <v>339</v>
      </c>
      <c r="L898">
        <v>453180.28</v>
      </c>
    </row>
    <row r="899" spans="1:18" x14ac:dyDescent="0.3">
      <c r="A899" t="s">
        <v>126</v>
      </c>
      <c r="B899" t="s">
        <v>125</v>
      </c>
      <c r="C899" t="s">
        <v>467</v>
      </c>
      <c r="D899" t="s">
        <v>467</v>
      </c>
      <c r="E899">
        <v>5510</v>
      </c>
      <c r="F899" t="s">
        <v>128</v>
      </c>
      <c r="G899">
        <v>1663</v>
      </c>
      <c r="H899" t="s">
        <v>138</v>
      </c>
      <c r="I899">
        <v>2021</v>
      </c>
      <c r="J899">
        <v>2021</v>
      </c>
      <c r="K899" t="s">
        <v>339</v>
      </c>
      <c r="L899">
        <v>27238928</v>
      </c>
    </row>
    <row r="900" spans="1:18" x14ac:dyDescent="0.3">
      <c r="A900" t="s">
        <v>126</v>
      </c>
      <c r="B900" t="s">
        <v>125</v>
      </c>
      <c r="C900" t="s">
        <v>467</v>
      </c>
      <c r="D900" t="s">
        <v>467</v>
      </c>
      <c r="E900">
        <v>5610</v>
      </c>
      <c r="F900" t="s">
        <v>127</v>
      </c>
      <c r="G900">
        <v>1663</v>
      </c>
      <c r="H900" t="s">
        <v>138</v>
      </c>
      <c r="I900">
        <v>2021</v>
      </c>
      <c r="J900">
        <v>2021</v>
      </c>
      <c r="K900" t="s">
        <v>339</v>
      </c>
      <c r="L900">
        <v>1660304.9899999998</v>
      </c>
    </row>
    <row r="901" spans="1:18" x14ac:dyDescent="0.3">
      <c r="A901" t="s">
        <v>126</v>
      </c>
      <c r="B901" t="s">
        <v>125</v>
      </c>
      <c r="C901" t="s">
        <v>467</v>
      </c>
      <c r="D901" t="s">
        <v>467</v>
      </c>
      <c r="E901">
        <v>5910</v>
      </c>
      <c r="F901" t="s">
        <v>124</v>
      </c>
      <c r="G901">
        <v>1663</v>
      </c>
      <c r="H901" t="s">
        <v>138</v>
      </c>
      <c r="I901">
        <v>2021</v>
      </c>
      <c r="J901">
        <v>2021</v>
      </c>
      <c r="K901" t="s">
        <v>339</v>
      </c>
      <c r="L901">
        <v>22050142.579999994</v>
      </c>
    </row>
    <row r="902" spans="1:18" x14ac:dyDescent="0.3">
      <c r="A902" t="s">
        <v>126</v>
      </c>
      <c r="B902" t="s">
        <v>125</v>
      </c>
      <c r="C902" t="s">
        <v>467</v>
      </c>
      <c r="D902" t="s">
        <v>467</v>
      </c>
      <c r="E902">
        <v>5510</v>
      </c>
      <c r="F902" t="s">
        <v>128</v>
      </c>
      <c r="G902">
        <v>1686</v>
      </c>
      <c r="H902" t="s">
        <v>137</v>
      </c>
      <c r="I902">
        <v>2021</v>
      </c>
      <c r="J902">
        <v>2021</v>
      </c>
      <c r="K902" t="s">
        <v>339</v>
      </c>
      <c r="L902">
        <v>90000</v>
      </c>
    </row>
    <row r="903" spans="1:18" x14ac:dyDescent="0.3">
      <c r="A903" t="s">
        <v>126</v>
      </c>
      <c r="B903" t="s">
        <v>125</v>
      </c>
      <c r="C903" t="s">
        <v>467</v>
      </c>
      <c r="D903" t="s">
        <v>467</v>
      </c>
      <c r="E903">
        <v>5610</v>
      </c>
      <c r="F903" t="s">
        <v>127</v>
      </c>
      <c r="G903">
        <v>1686</v>
      </c>
      <c r="H903" t="s">
        <v>137</v>
      </c>
      <c r="I903">
        <v>2021</v>
      </c>
      <c r="J903">
        <v>2021</v>
      </c>
      <c r="K903" t="s">
        <v>339</v>
      </c>
      <c r="L903">
        <v>6746.7100000000009</v>
      </c>
    </row>
    <row r="904" spans="1:18" x14ac:dyDescent="0.3">
      <c r="A904" t="s">
        <v>126</v>
      </c>
      <c r="B904" t="s">
        <v>125</v>
      </c>
      <c r="C904" t="s">
        <v>467</v>
      </c>
      <c r="D904" t="s">
        <v>467</v>
      </c>
      <c r="E904">
        <v>5910</v>
      </c>
      <c r="F904" t="s">
        <v>124</v>
      </c>
      <c r="G904">
        <v>1686</v>
      </c>
      <c r="H904" t="s">
        <v>137</v>
      </c>
      <c r="I904">
        <v>2021</v>
      </c>
      <c r="J904">
        <v>2021</v>
      </c>
      <c r="K904" t="s">
        <v>339</v>
      </c>
      <c r="L904">
        <v>0.81</v>
      </c>
    </row>
    <row r="905" spans="1:18" x14ac:dyDescent="0.3">
      <c r="A905" t="s">
        <v>126</v>
      </c>
      <c r="B905" t="s">
        <v>125</v>
      </c>
      <c r="C905" t="s">
        <v>467</v>
      </c>
      <c r="D905" t="s">
        <v>467</v>
      </c>
      <c r="E905">
        <v>5510</v>
      </c>
      <c r="F905" t="s">
        <v>128</v>
      </c>
      <c r="G905">
        <v>1660</v>
      </c>
      <c r="H905" t="s">
        <v>136</v>
      </c>
      <c r="I905">
        <v>2021</v>
      </c>
      <c r="J905">
        <v>2021</v>
      </c>
      <c r="L905">
        <v>0</v>
      </c>
    </row>
    <row r="906" spans="1:18" x14ac:dyDescent="0.3">
      <c r="A906" t="s">
        <v>126</v>
      </c>
      <c r="B906" t="s">
        <v>125</v>
      </c>
      <c r="C906" t="s">
        <v>467</v>
      </c>
      <c r="D906" t="s">
        <v>467</v>
      </c>
      <c r="E906">
        <v>5610</v>
      </c>
      <c r="F906" t="s">
        <v>127</v>
      </c>
      <c r="G906">
        <v>1660</v>
      </c>
      <c r="H906" t="s">
        <v>136</v>
      </c>
      <c r="I906">
        <v>2021</v>
      </c>
      <c r="J906">
        <v>2021</v>
      </c>
      <c r="L906">
        <v>0</v>
      </c>
    </row>
    <row r="907" spans="1:18" x14ac:dyDescent="0.3">
      <c r="A907" t="s">
        <v>126</v>
      </c>
      <c r="B907" t="s">
        <v>125</v>
      </c>
      <c r="C907" t="s">
        <v>467</v>
      </c>
      <c r="D907" t="s">
        <v>467</v>
      </c>
      <c r="E907">
        <v>5910</v>
      </c>
      <c r="F907" t="s">
        <v>124</v>
      </c>
      <c r="G907">
        <v>1660</v>
      </c>
      <c r="H907" t="s">
        <v>136</v>
      </c>
      <c r="I907">
        <v>2021</v>
      </c>
      <c r="J907">
        <v>2021</v>
      </c>
      <c r="L907">
        <v>0</v>
      </c>
    </row>
    <row r="908" spans="1:18" x14ac:dyDescent="0.3">
      <c r="A908" t="s">
        <v>126</v>
      </c>
      <c r="B908" t="s">
        <v>125</v>
      </c>
      <c r="C908" t="s">
        <v>467</v>
      </c>
      <c r="D908" t="s">
        <v>467</v>
      </c>
      <c r="E908">
        <v>5510</v>
      </c>
      <c r="F908" t="s">
        <v>128</v>
      </c>
      <c r="G908">
        <v>1661</v>
      </c>
      <c r="H908" t="s">
        <v>135</v>
      </c>
      <c r="I908">
        <v>2021</v>
      </c>
      <c r="J908">
        <v>2021</v>
      </c>
      <c r="L908">
        <v>0</v>
      </c>
    </row>
    <row r="909" spans="1:18" x14ac:dyDescent="0.3">
      <c r="A909" t="s">
        <v>126</v>
      </c>
      <c r="B909" t="s">
        <v>125</v>
      </c>
      <c r="C909" t="s">
        <v>467</v>
      </c>
      <c r="D909" t="s">
        <v>467</v>
      </c>
      <c r="E909">
        <v>5610</v>
      </c>
      <c r="F909" t="s">
        <v>127</v>
      </c>
      <c r="G909">
        <v>1661</v>
      </c>
      <c r="H909" t="s">
        <v>135</v>
      </c>
      <c r="I909">
        <v>2021</v>
      </c>
      <c r="J909">
        <v>2021</v>
      </c>
      <c r="L909">
        <v>0</v>
      </c>
    </row>
    <row r="910" spans="1:18" x14ac:dyDescent="0.3">
      <c r="A910" t="s">
        <v>126</v>
      </c>
      <c r="B910" t="s">
        <v>125</v>
      </c>
      <c r="C910" t="s">
        <v>467</v>
      </c>
      <c r="D910" t="s">
        <v>467</v>
      </c>
      <c r="E910">
        <v>5910</v>
      </c>
      <c r="F910" t="s">
        <v>124</v>
      </c>
      <c r="G910">
        <v>1661</v>
      </c>
      <c r="H910" t="s">
        <v>135</v>
      </c>
      <c r="I910">
        <v>2021</v>
      </c>
      <c r="J910">
        <v>2021</v>
      </c>
      <c r="L910">
        <v>0</v>
      </c>
    </row>
    <row r="911" spans="1:18" x14ac:dyDescent="0.3">
      <c r="A911" t="s">
        <v>126</v>
      </c>
      <c r="B911" t="s">
        <v>125</v>
      </c>
      <c r="C911" t="s">
        <v>467</v>
      </c>
      <c r="D911" t="s">
        <v>467</v>
      </c>
      <c r="E911">
        <v>5510</v>
      </c>
      <c r="F911" t="s">
        <v>128</v>
      </c>
      <c r="G911">
        <v>1667</v>
      </c>
      <c r="H911" t="s">
        <v>96</v>
      </c>
      <c r="I911">
        <v>2021</v>
      </c>
      <c r="J911">
        <v>2021</v>
      </c>
      <c r="K911" t="s">
        <v>339</v>
      </c>
      <c r="L911">
        <v>590000</v>
      </c>
      <c r="O911">
        <v>531000</v>
      </c>
      <c r="P911">
        <v>0.53100000000000003</v>
      </c>
      <c r="Q911" t="s">
        <v>793</v>
      </c>
      <c r="R911" s="141">
        <v>0.9</v>
      </c>
    </row>
    <row r="912" spans="1:18" x14ac:dyDescent="0.3">
      <c r="A912" t="s">
        <v>126</v>
      </c>
      <c r="B912" t="s">
        <v>125</v>
      </c>
      <c r="C912" t="s">
        <v>467</v>
      </c>
      <c r="D912" t="s">
        <v>467</v>
      </c>
      <c r="E912">
        <v>5610</v>
      </c>
      <c r="F912" t="s">
        <v>127</v>
      </c>
      <c r="G912">
        <v>1667</v>
      </c>
      <c r="H912" t="s">
        <v>96</v>
      </c>
      <c r="I912">
        <v>2021</v>
      </c>
      <c r="J912">
        <v>2021</v>
      </c>
      <c r="K912" t="s">
        <v>339</v>
      </c>
      <c r="L912">
        <v>29334.3</v>
      </c>
      <c r="O912">
        <v>22572.743849999999</v>
      </c>
      <c r="P912">
        <v>2.2572743849999997E-2</v>
      </c>
      <c r="Q912" t="s">
        <v>794</v>
      </c>
      <c r="R912" s="141">
        <v>0.9</v>
      </c>
    </row>
    <row r="913" spans="1:18" x14ac:dyDescent="0.3">
      <c r="A913" t="s">
        <v>126</v>
      </c>
      <c r="B913" t="s">
        <v>125</v>
      </c>
      <c r="C913" t="s">
        <v>467</v>
      </c>
      <c r="D913" t="s">
        <v>467</v>
      </c>
      <c r="E913">
        <v>5910</v>
      </c>
      <c r="F913" t="s">
        <v>124</v>
      </c>
      <c r="G913">
        <v>1667</v>
      </c>
      <c r="H913" t="s">
        <v>96</v>
      </c>
      <c r="I913">
        <v>2021</v>
      </c>
      <c r="J913">
        <v>2021</v>
      </c>
      <c r="K913" t="s">
        <v>339</v>
      </c>
      <c r="L913">
        <v>576528.94999999995</v>
      </c>
      <c r="O913">
        <v>443639.02702499996</v>
      </c>
      <c r="P913">
        <v>0.44363902702499997</v>
      </c>
      <c r="Q913" t="s">
        <v>795</v>
      </c>
      <c r="R913" s="141">
        <v>0.9</v>
      </c>
    </row>
    <row r="914" spans="1:18" x14ac:dyDescent="0.3">
      <c r="A914" t="s">
        <v>126</v>
      </c>
      <c r="B914" t="s">
        <v>125</v>
      </c>
      <c r="C914" t="s">
        <v>467</v>
      </c>
      <c r="D914" t="s">
        <v>467</v>
      </c>
      <c r="E914">
        <v>5510</v>
      </c>
      <c r="F914" t="s">
        <v>128</v>
      </c>
      <c r="G914">
        <v>1668</v>
      </c>
      <c r="H914" t="s">
        <v>95</v>
      </c>
      <c r="I914">
        <v>2021</v>
      </c>
      <c r="J914">
        <v>2021</v>
      </c>
      <c r="K914" t="s">
        <v>339</v>
      </c>
      <c r="L914">
        <v>507100</v>
      </c>
      <c r="O914">
        <v>456390</v>
      </c>
      <c r="P914">
        <v>0.45638999999999996</v>
      </c>
      <c r="Q914" t="s">
        <v>796</v>
      </c>
      <c r="R914" s="141">
        <v>0.9</v>
      </c>
    </row>
    <row r="915" spans="1:18" x14ac:dyDescent="0.3">
      <c r="A915" t="s">
        <v>126</v>
      </c>
      <c r="B915" t="s">
        <v>125</v>
      </c>
      <c r="C915" t="s">
        <v>467</v>
      </c>
      <c r="D915" t="s">
        <v>467</v>
      </c>
      <c r="E915">
        <v>5610</v>
      </c>
      <c r="F915" t="s">
        <v>127</v>
      </c>
      <c r="G915">
        <v>1668</v>
      </c>
      <c r="H915" t="s">
        <v>95</v>
      </c>
      <c r="I915">
        <v>2021</v>
      </c>
      <c r="J915">
        <v>2021</v>
      </c>
      <c r="K915" t="s">
        <v>339</v>
      </c>
      <c r="L915">
        <v>43707.18</v>
      </c>
      <c r="O915">
        <v>33632.675009999999</v>
      </c>
      <c r="P915">
        <v>3.3632675009999995E-2</v>
      </c>
      <c r="Q915" t="s">
        <v>797</v>
      </c>
      <c r="R915" s="141">
        <v>0.9</v>
      </c>
    </row>
    <row r="916" spans="1:18" x14ac:dyDescent="0.3">
      <c r="A916" t="s">
        <v>126</v>
      </c>
      <c r="B916" t="s">
        <v>125</v>
      </c>
      <c r="C916" t="s">
        <v>467</v>
      </c>
      <c r="D916" t="s">
        <v>467</v>
      </c>
      <c r="E916">
        <v>5910</v>
      </c>
      <c r="F916" t="s">
        <v>124</v>
      </c>
      <c r="G916">
        <v>1668</v>
      </c>
      <c r="H916" t="s">
        <v>95</v>
      </c>
      <c r="I916">
        <v>2021</v>
      </c>
      <c r="J916">
        <v>2021</v>
      </c>
      <c r="K916" t="s">
        <v>339</v>
      </c>
      <c r="L916">
        <v>11765.65</v>
      </c>
      <c r="O916">
        <v>9053.6676749999988</v>
      </c>
      <c r="P916">
        <v>9.0536676749999982E-3</v>
      </c>
      <c r="Q916" t="s">
        <v>798</v>
      </c>
      <c r="R916" s="141">
        <v>0.9</v>
      </c>
    </row>
    <row r="917" spans="1:18" x14ac:dyDescent="0.3">
      <c r="A917" t="s">
        <v>126</v>
      </c>
      <c r="B917" t="s">
        <v>125</v>
      </c>
      <c r="C917" t="s">
        <v>467</v>
      </c>
      <c r="D917" t="s">
        <v>467</v>
      </c>
      <c r="E917">
        <v>5510</v>
      </c>
      <c r="F917" t="s">
        <v>128</v>
      </c>
      <c r="G917">
        <v>1609</v>
      </c>
      <c r="H917" t="s">
        <v>94</v>
      </c>
      <c r="I917">
        <v>2021</v>
      </c>
      <c r="J917">
        <v>2021</v>
      </c>
      <c r="L917">
        <v>0</v>
      </c>
      <c r="O917">
        <v>0</v>
      </c>
      <c r="P917">
        <v>0</v>
      </c>
      <c r="Q917" t="s">
        <v>799</v>
      </c>
      <c r="R917" s="141">
        <v>0.9</v>
      </c>
    </row>
    <row r="918" spans="1:18" x14ac:dyDescent="0.3">
      <c r="A918" t="s">
        <v>126</v>
      </c>
      <c r="B918" t="s">
        <v>125</v>
      </c>
      <c r="C918" t="s">
        <v>467</v>
      </c>
      <c r="D918" t="s">
        <v>467</v>
      </c>
      <c r="E918">
        <v>5610</v>
      </c>
      <c r="F918" t="s">
        <v>127</v>
      </c>
      <c r="G918">
        <v>1609</v>
      </c>
      <c r="H918" t="s">
        <v>94</v>
      </c>
      <c r="I918">
        <v>2021</v>
      </c>
      <c r="J918">
        <v>2021</v>
      </c>
      <c r="K918" t="s">
        <v>339</v>
      </c>
      <c r="L918">
        <v>11909.990000000002</v>
      </c>
      <c r="O918">
        <v>9164.7373050000006</v>
      </c>
      <c r="P918">
        <v>9.1647373050000001E-3</v>
      </c>
      <c r="Q918" t="s">
        <v>800</v>
      </c>
      <c r="R918" s="141">
        <v>0.9</v>
      </c>
    </row>
    <row r="919" spans="1:18" x14ac:dyDescent="0.3">
      <c r="A919" t="s">
        <v>126</v>
      </c>
      <c r="B919" t="s">
        <v>125</v>
      </c>
      <c r="C919" t="s">
        <v>467</v>
      </c>
      <c r="D919" t="s">
        <v>467</v>
      </c>
      <c r="E919">
        <v>5910</v>
      </c>
      <c r="F919" t="s">
        <v>124</v>
      </c>
      <c r="G919">
        <v>1609</v>
      </c>
      <c r="H919" t="s">
        <v>94</v>
      </c>
      <c r="I919">
        <v>2021</v>
      </c>
      <c r="J919">
        <v>2021</v>
      </c>
      <c r="K919" t="s">
        <v>339</v>
      </c>
      <c r="L919">
        <v>1740.25</v>
      </c>
      <c r="O919">
        <v>1339.1223750000001</v>
      </c>
      <c r="P919">
        <v>1.3391223750000001E-3</v>
      </c>
      <c r="Q919" t="s">
        <v>801</v>
      </c>
      <c r="R919" s="141">
        <v>0.9</v>
      </c>
    </row>
    <row r="920" spans="1:18" x14ac:dyDescent="0.3">
      <c r="A920" t="s">
        <v>126</v>
      </c>
      <c r="B920" t="s">
        <v>125</v>
      </c>
      <c r="C920" t="s">
        <v>467</v>
      </c>
      <c r="D920" t="s">
        <v>467</v>
      </c>
      <c r="E920">
        <v>5510</v>
      </c>
      <c r="F920" t="s">
        <v>128</v>
      </c>
      <c r="G920">
        <v>1669</v>
      </c>
      <c r="H920" t="s">
        <v>134</v>
      </c>
      <c r="I920">
        <v>2021</v>
      </c>
      <c r="J920">
        <v>2021</v>
      </c>
      <c r="K920" t="s">
        <v>339</v>
      </c>
      <c r="L920">
        <v>12676086</v>
      </c>
      <c r="O920">
        <v>11091575.25</v>
      </c>
      <c r="P920">
        <v>11.09157525</v>
      </c>
      <c r="Q920" t="s">
        <v>802</v>
      </c>
      <c r="R920" s="141">
        <v>0.875</v>
      </c>
    </row>
    <row r="921" spans="1:18" x14ac:dyDescent="0.3">
      <c r="A921" t="s">
        <v>126</v>
      </c>
      <c r="B921" t="s">
        <v>125</v>
      </c>
      <c r="C921" t="s">
        <v>467</v>
      </c>
      <c r="D921" t="s">
        <v>467</v>
      </c>
      <c r="E921">
        <v>5610</v>
      </c>
      <c r="F921" t="s">
        <v>127</v>
      </c>
      <c r="G921">
        <v>1669</v>
      </c>
      <c r="H921" t="s">
        <v>134</v>
      </c>
      <c r="I921">
        <v>2021</v>
      </c>
      <c r="J921">
        <v>2021</v>
      </c>
      <c r="K921" t="s">
        <v>339</v>
      </c>
      <c r="L921">
        <v>2749304.1199999996</v>
      </c>
      <c r="O921">
        <v>2056823.1447749995</v>
      </c>
      <c r="P921">
        <v>2.0568231447749992</v>
      </c>
      <c r="Q921" t="s">
        <v>803</v>
      </c>
      <c r="R921" s="141">
        <v>0.875</v>
      </c>
    </row>
    <row r="922" spans="1:18" x14ac:dyDescent="0.3">
      <c r="A922" t="s">
        <v>126</v>
      </c>
      <c r="B922" t="s">
        <v>125</v>
      </c>
      <c r="C922" t="s">
        <v>467</v>
      </c>
      <c r="D922" t="s">
        <v>467</v>
      </c>
      <c r="E922">
        <v>5910</v>
      </c>
      <c r="F922" t="s">
        <v>124</v>
      </c>
      <c r="G922">
        <v>1669</v>
      </c>
      <c r="H922" t="s">
        <v>134</v>
      </c>
      <c r="I922">
        <v>2021</v>
      </c>
      <c r="J922">
        <v>2021</v>
      </c>
      <c r="K922" t="s">
        <v>339</v>
      </c>
      <c r="L922">
        <v>615110.96</v>
      </c>
      <c r="O922">
        <v>460179.88694999996</v>
      </c>
      <c r="P922">
        <v>0.46017988694999995</v>
      </c>
      <c r="Q922" t="s">
        <v>804</v>
      </c>
      <c r="R922" s="141">
        <v>0.875</v>
      </c>
    </row>
    <row r="923" spans="1:18" x14ac:dyDescent="0.3">
      <c r="A923" t="s">
        <v>126</v>
      </c>
      <c r="B923" t="s">
        <v>125</v>
      </c>
      <c r="C923" t="s">
        <v>467</v>
      </c>
      <c r="D923" t="s">
        <v>467</v>
      </c>
      <c r="E923">
        <v>5510</v>
      </c>
      <c r="F923" t="s">
        <v>128</v>
      </c>
      <c r="G923">
        <v>1671</v>
      </c>
      <c r="H923" t="s">
        <v>89</v>
      </c>
      <c r="I923">
        <v>2021</v>
      </c>
      <c r="J923">
        <v>2021</v>
      </c>
      <c r="K923" t="s">
        <v>339</v>
      </c>
      <c r="L923">
        <v>233431</v>
      </c>
      <c r="O923">
        <v>221759.44999999998</v>
      </c>
      <c r="P923">
        <v>0.22175944999999997</v>
      </c>
      <c r="Q923" t="s">
        <v>805</v>
      </c>
      <c r="R923" s="141">
        <v>0.95</v>
      </c>
    </row>
    <row r="924" spans="1:18" x14ac:dyDescent="0.3">
      <c r="A924" t="s">
        <v>126</v>
      </c>
      <c r="B924" t="s">
        <v>125</v>
      </c>
      <c r="C924" t="s">
        <v>467</v>
      </c>
      <c r="D924" t="s">
        <v>467</v>
      </c>
      <c r="E924">
        <v>5610</v>
      </c>
      <c r="F924" t="s">
        <v>127</v>
      </c>
      <c r="G924">
        <v>1671</v>
      </c>
      <c r="H924" t="s">
        <v>89</v>
      </c>
      <c r="I924">
        <v>2021</v>
      </c>
      <c r="J924">
        <v>2021</v>
      </c>
      <c r="K924" t="s">
        <v>339</v>
      </c>
      <c r="L924">
        <v>292949.76999999996</v>
      </c>
      <c r="O924">
        <v>237948.45068249994</v>
      </c>
      <c r="P924">
        <v>0.23794845068249992</v>
      </c>
      <c r="Q924" t="s">
        <v>806</v>
      </c>
      <c r="R924" s="141">
        <v>0.95</v>
      </c>
    </row>
    <row r="925" spans="1:18" x14ac:dyDescent="0.3">
      <c r="A925" t="s">
        <v>126</v>
      </c>
      <c r="B925" t="s">
        <v>125</v>
      </c>
      <c r="C925" t="s">
        <v>467</v>
      </c>
      <c r="D925" t="s">
        <v>467</v>
      </c>
      <c r="E925">
        <v>5910</v>
      </c>
      <c r="F925" t="s">
        <v>124</v>
      </c>
      <c r="G925">
        <v>1671</v>
      </c>
      <c r="H925" t="s">
        <v>89</v>
      </c>
      <c r="I925">
        <v>2021</v>
      </c>
      <c r="J925">
        <v>2021</v>
      </c>
      <c r="K925" t="s">
        <v>339</v>
      </c>
      <c r="L925">
        <v>24039.48</v>
      </c>
      <c r="O925">
        <v>19526.067629999998</v>
      </c>
      <c r="P925">
        <v>1.9526067629999998E-2</v>
      </c>
      <c r="Q925" t="s">
        <v>807</v>
      </c>
      <c r="R925" s="141">
        <v>0.95</v>
      </c>
    </row>
    <row r="926" spans="1:18" x14ac:dyDescent="0.3">
      <c r="A926" t="s">
        <v>126</v>
      </c>
      <c r="B926" t="s">
        <v>125</v>
      </c>
      <c r="C926" t="s">
        <v>467</v>
      </c>
      <c r="D926" t="s">
        <v>467</v>
      </c>
      <c r="E926">
        <v>5510</v>
      </c>
      <c r="F926" t="s">
        <v>128</v>
      </c>
      <c r="G926">
        <v>1674</v>
      </c>
      <c r="H926" t="s">
        <v>88</v>
      </c>
      <c r="I926">
        <v>2021</v>
      </c>
      <c r="J926">
        <v>2021</v>
      </c>
      <c r="K926" t="s">
        <v>339</v>
      </c>
      <c r="L926">
        <v>3356955</v>
      </c>
      <c r="O926">
        <v>3189107.25</v>
      </c>
      <c r="P926">
        <v>3.1891072499999997</v>
      </c>
      <c r="Q926" t="s">
        <v>808</v>
      </c>
      <c r="R926" s="141">
        <v>0.95</v>
      </c>
    </row>
    <row r="927" spans="1:18" x14ac:dyDescent="0.3">
      <c r="A927" t="s">
        <v>126</v>
      </c>
      <c r="B927" t="s">
        <v>125</v>
      </c>
      <c r="C927" t="s">
        <v>467</v>
      </c>
      <c r="D927" t="s">
        <v>467</v>
      </c>
      <c r="E927">
        <v>5610</v>
      </c>
      <c r="F927" t="s">
        <v>127</v>
      </c>
      <c r="G927">
        <v>1674</v>
      </c>
      <c r="H927" t="s">
        <v>88</v>
      </c>
      <c r="I927">
        <v>2021</v>
      </c>
      <c r="J927">
        <v>2021</v>
      </c>
      <c r="K927" t="s">
        <v>339</v>
      </c>
      <c r="L927">
        <v>2043679.53</v>
      </c>
      <c r="O927">
        <v>1659978.6982425</v>
      </c>
      <c r="P927">
        <v>1.6599786982424998</v>
      </c>
      <c r="Q927" t="s">
        <v>809</v>
      </c>
      <c r="R927" s="141">
        <v>0.95</v>
      </c>
    </row>
    <row r="928" spans="1:18" x14ac:dyDescent="0.3">
      <c r="A928" t="s">
        <v>126</v>
      </c>
      <c r="B928" t="s">
        <v>125</v>
      </c>
      <c r="C928" t="s">
        <v>467</v>
      </c>
      <c r="D928" t="s">
        <v>467</v>
      </c>
      <c r="E928">
        <v>5910</v>
      </c>
      <c r="F928" t="s">
        <v>124</v>
      </c>
      <c r="G928">
        <v>1674</v>
      </c>
      <c r="H928" t="s">
        <v>88</v>
      </c>
      <c r="I928">
        <v>2021</v>
      </c>
      <c r="J928">
        <v>2021</v>
      </c>
      <c r="K928" t="s">
        <v>339</v>
      </c>
      <c r="L928">
        <v>1318021.05</v>
      </c>
      <c r="O928">
        <v>1070562.5978625</v>
      </c>
      <c r="P928">
        <v>1.0705625978625</v>
      </c>
      <c r="Q928" t="s">
        <v>810</v>
      </c>
      <c r="R928" s="141">
        <v>0.95</v>
      </c>
    </row>
    <row r="929" spans="1:18" x14ac:dyDescent="0.3">
      <c r="A929" t="s">
        <v>126</v>
      </c>
      <c r="B929" t="s">
        <v>125</v>
      </c>
      <c r="C929" t="s">
        <v>467</v>
      </c>
      <c r="D929" t="s">
        <v>467</v>
      </c>
      <c r="E929">
        <v>5510</v>
      </c>
      <c r="F929" t="s">
        <v>128</v>
      </c>
      <c r="G929">
        <v>1612</v>
      </c>
      <c r="H929" t="s">
        <v>133</v>
      </c>
      <c r="I929">
        <v>2021</v>
      </c>
      <c r="J929">
        <v>2021</v>
      </c>
      <c r="K929" t="s">
        <v>339</v>
      </c>
      <c r="L929">
        <v>55330</v>
      </c>
    </row>
    <row r="930" spans="1:18" x14ac:dyDescent="0.3">
      <c r="A930" t="s">
        <v>126</v>
      </c>
      <c r="B930" t="s">
        <v>125</v>
      </c>
      <c r="C930" t="s">
        <v>467</v>
      </c>
      <c r="D930" t="s">
        <v>467</v>
      </c>
      <c r="E930">
        <v>5610</v>
      </c>
      <c r="F930" t="s">
        <v>127</v>
      </c>
      <c r="G930">
        <v>1612</v>
      </c>
      <c r="H930" t="s">
        <v>133</v>
      </c>
      <c r="I930">
        <v>2021</v>
      </c>
      <c r="J930">
        <v>2021</v>
      </c>
      <c r="K930" t="s">
        <v>339</v>
      </c>
      <c r="L930">
        <v>119196.25999999997</v>
      </c>
    </row>
    <row r="931" spans="1:18" x14ac:dyDescent="0.3">
      <c r="A931" t="s">
        <v>126</v>
      </c>
      <c r="B931" t="s">
        <v>125</v>
      </c>
      <c r="C931" t="s">
        <v>467</v>
      </c>
      <c r="D931" t="s">
        <v>467</v>
      </c>
      <c r="E931">
        <v>5910</v>
      </c>
      <c r="F931" t="s">
        <v>124</v>
      </c>
      <c r="G931">
        <v>1612</v>
      </c>
      <c r="H931" t="s">
        <v>133</v>
      </c>
      <c r="I931">
        <v>2021</v>
      </c>
      <c r="J931">
        <v>2021</v>
      </c>
      <c r="K931" t="s">
        <v>339</v>
      </c>
      <c r="L931">
        <v>18100.86</v>
      </c>
    </row>
    <row r="932" spans="1:18" x14ac:dyDescent="0.3">
      <c r="A932" t="s">
        <v>126</v>
      </c>
      <c r="B932" t="s">
        <v>125</v>
      </c>
      <c r="C932" t="s">
        <v>467</v>
      </c>
      <c r="D932" t="s">
        <v>467</v>
      </c>
      <c r="E932">
        <v>5510</v>
      </c>
      <c r="F932" t="s">
        <v>128</v>
      </c>
      <c r="G932">
        <v>1615</v>
      </c>
      <c r="H932" t="s">
        <v>132</v>
      </c>
      <c r="I932">
        <v>2021</v>
      </c>
      <c r="J932">
        <v>2021</v>
      </c>
      <c r="K932" t="s">
        <v>339</v>
      </c>
      <c r="L932">
        <v>2406453</v>
      </c>
    </row>
    <row r="933" spans="1:18" x14ac:dyDescent="0.3">
      <c r="A933" t="s">
        <v>126</v>
      </c>
      <c r="B933" t="s">
        <v>125</v>
      </c>
      <c r="C933" t="s">
        <v>467</v>
      </c>
      <c r="D933" t="s">
        <v>467</v>
      </c>
      <c r="E933">
        <v>5610</v>
      </c>
      <c r="F933" t="s">
        <v>127</v>
      </c>
      <c r="G933">
        <v>1615</v>
      </c>
      <c r="H933" t="s">
        <v>132</v>
      </c>
      <c r="I933">
        <v>2021</v>
      </c>
      <c r="J933">
        <v>2021</v>
      </c>
      <c r="K933" t="s">
        <v>339</v>
      </c>
      <c r="L933">
        <v>970499.05000000016</v>
      </c>
    </row>
    <row r="934" spans="1:18" x14ac:dyDescent="0.3">
      <c r="A934" t="s">
        <v>126</v>
      </c>
      <c r="B934" t="s">
        <v>125</v>
      </c>
      <c r="C934" t="s">
        <v>467</v>
      </c>
      <c r="D934" t="s">
        <v>467</v>
      </c>
      <c r="E934">
        <v>5910</v>
      </c>
      <c r="F934" t="s">
        <v>124</v>
      </c>
      <c r="G934">
        <v>1615</v>
      </c>
      <c r="H934" t="s">
        <v>132</v>
      </c>
      <c r="I934">
        <v>2021</v>
      </c>
      <c r="J934">
        <v>2021</v>
      </c>
      <c r="K934" t="s">
        <v>339</v>
      </c>
      <c r="L934">
        <v>896043.72</v>
      </c>
    </row>
    <row r="935" spans="1:18" x14ac:dyDescent="0.3">
      <c r="A935" t="s">
        <v>126</v>
      </c>
      <c r="B935" t="s">
        <v>125</v>
      </c>
      <c r="C935" t="s">
        <v>467</v>
      </c>
      <c r="D935" t="s">
        <v>467</v>
      </c>
      <c r="E935">
        <v>5510</v>
      </c>
      <c r="F935" t="s">
        <v>128</v>
      </c>
      <c r="G935">
        <v>1616</v>
      </c>
      <c r="H935" t="s">
        <v>131</v>
      </c>
      <c r="I935">
        <v>2021</v>
      </c>
      <c r="J935">
        <v>2021</v>
      </c>
      <c r="K935" t="s">
        <v>339</v>
      </c>
      <c r="L935">
        <v>880989</v>
      </c>
    </row>
    <row r="936" spans="1:18" x14ac:dyDescent="0.3">
      <c r="A936" t="s">
        <v>126</v>
      </c>
      <c r="B936" t="s">
        <v>125</v>
      </c>
      <c r="C936" t="s">
        <v>467</v>
      </c>
      <c r="D936" t="s">
        <v>467</v>
      </c>
      <c r="E936">
        <v>5610</v>
      </c>
      <c r="F936" t="s">
        <v>127</v>
      </c>
      <c r="G936">
        <v>1616</v>
      </c>
      <c r="H936" t="s">
        <v>131</v>
      </c>
      <c r="I936">
        <v>2021</v>
      </c>
      <c r="J936">
        <v>2021</v>
      </c>
      <c r="K936" t="s">
        <v>339</v>
      </c>
      <c r="L936">
        <v>953088.2699999999</v>
      </c>
    </row>
    <row r="937" spans="1:18" x14ac:dyDescent="0.3">
      <c r="A937" t="s">
        <v>126</v>
      </c>
      <c r="B937" t="s">
        <v>125</v>
      </c>
      <c r="C937" t="s">
        <v>467</v>
      </c>
      <c r="D937" t="s">
        <v>467</v>
      </c>
      <c r="E937">
        <v>5910</v>
      </c>
      <c r="F937" t="s">
        <v>124</v>
      </c>
      <c r="G937">
        <v>1616</v>
      </c>
      <c r="H937" t="s">
        <v>131</v>
      </c>
      <c r="I937">
        <v>2021</v>
      </c>
      <c r="J937">
        <v>2021</v>
      </c>
      <c r="K937" t="s">
        <v>339</v>
      </c>
      <c r="L937">
        <v>403616.47000000003</v>
      </c>
    </row>
    <row r="938" spans="1:18" x14ac:dyDescent="0.3">
      <c r="A938" t="s">
        <v>126</v>
      </c>
      <c r="B938" t="s">
        <v>125</v>
      </c>
      <c r="C938" t="s">
        <v>467</v>
      </c>
      <c r="D938" t="s">
        <v>467</v>
      </c>
      <c r="E938">
        <v>5510</v>
      </c>
      <c r="F938" t="s">
        <v>128</v>
      </c>
      <c r="G938">
        <v>1675</v>
      </c>
      <c r="H938" t="s">
        <v>87</v>
      </c>
      <c r="I938">
        <v>2021</v>
      </c>
      <c r="J938">
        <v>2021</v>
      </c>
      <c r="K938" t="s">
        <v>339</v>
      </c>
      <c r="L938">
        <v>19263393</v>
      </c>
    </row>
    <row r="939" spans="1:18" x14ac:dyDescent="0.3">
      <c r="A939" t="s">
        <v>126</v>
      </c>
      <c r="B939" t="s">
        <v>125</v>
      </c>
      <c r="C939" t="s">
        <v>467</v>
      </c>
      <c r="D939" t="s">
        <v>467</v>
      </c>
      <c r="E939">
        <v>5610</v>
      </c>
      <c r="F939" t="s">
        <v>127</v>
      </c>
      <c r="G939">
        <v>1675</v>
      </c>
      <c r="H939" t="s">
        <v>87</v>
      </c>
      <c r="I939">
        <v>2021</v>
      </c>
      <c r="J939">
        <v>2021</v>
      </c>
      <c r="K939" t="s">
        <v>339</v>
      </c>
      <c r="L939">
        <v>6977617.7300000014</v>
      </c>
    </row>
    <row r="940" spans="1:18" x14ac:dyDescent="0.3">
      <c r="A940" t="s">
        <v>126</v>
      </c>
      <c r="B940" t="s">
        <v>125</v>
      </c>
      <c r="C940" t="s">
        <v>467</v>
      </c>
      <c r="D940" t="s">
        <v>467</v>
      </c>
      <c r="E940">
        <v>5910</v>
      </c>
      <c r="F940" t="s">
        <v>124</v>
      </c>
      <c r="G940">
        <v>1675</v>
      </c>
      <c r="H940" t="s">
        <v>87</v>
      </c>
      <c r="I940">
        <v>2021</v>
      </c>
      <c r="J940">
        <v>2021</v>
      </c>
      <c r="K940" t="s">
        <v>339</v>
      </c>
      <c r="L940">
        <v>1960193.1500000001</v>
      </c>
    </row>
    <row r="941" spans="1:18" x14ac:dyDescent="0.3">
      <c r="A941" t="s">
        <v>126</v>
      </c>
      <c r="B941" t="s">
        <v>125</v>
      </c>
      <c r="C941" t="s">
        <v>467</v>
      </c>
      <c r="D941" t="s">
        <v>467</v>
      </c>
      <c r="E941">
        <v>5510</v>
      </c>
      <c r="F941" t="s">
        <v>128</v>
      </c>
      <c r="G941">
        <v>1676</v>
      </c>
      <c r="H941" t="s">
        <v>86</v>
      </c>
      <c r="I941">
        <v>2021</v>
      </c>
      <c r="J941">
        <v>2021</v>
      </c>
      <c r="K941" t="s">
        <v>339</v>
      </c>
      <c r="L941">
        <v>3909525</v>
      </c>
      <c r="O941">
        <v>3714048.75</v>
      </c>
      <c r="P941">
        <v>3.7140487499999999</v>
      </c>
      <c r="Q941" t="s">
        <v>811</v>
      </c>
      <c r="R941" s="141">
        <v>0.95</v>
      </c>
    </row>
    <row r="942" spans="1:18" x14ac:dyDescent="0.3">
      <c r="A942" t="s">
        <v>126</v>
      </c>
      <c r="B942" t="s">
        <v>125</v>
      </c>
      <c r="C942" t="s">
        <v>467</v>
      </c>
      <c r="D942" t="s">
        <v>467</v>
      </c>
      <c r="E942">
        <v>5610</v>
      </c>
      <c r="F942" t="s">
        <v>127</v>
      </c>
      <c r="G942">
        <v>1676</v>
      </c>
      <c r="H942" t="s">
        <v>86</v>
      </c>
      <c r="I942">
        <v>2021</v>
      </c>
      <c r="J942">
        <v>2021</v>
      </c>
      <c r="K942" t="s">
        <v>339</v>
      </c>
      <c r="L942">
        <v>316045.28999999998</v>
      </c>
      <c r="O942">
        <v>256707.78680249999</v>
      </c>
      <c r="P942">
        <v>0.2567077868025</v>
      </c>
      <c r="Q942" t="s">
        <v>812</v>
      </c>
      <c r="R942" s="141">
        <v>0.95</v>
      </c>
    </row>
    <row r="943" spans="1:18" x14ac:dyDescent="0.3">
      <c r="A943" t="s">
        <v>126</v>
      </c>
      <c r="B943" t="s">
        <v>125</v>
      </c>
      <c r="C943" t="s">
        <v>467</v>
      </c>
      <c r="D943" t="s">
        <v>467</v>
      </c>
      <c r="E943">
        <v>5910</v>
      </c>
      <c r="F943" t="s">
        <v>124</v>
      </c>
      <c r="G943">
        <v>1676</v>
      </c>
      <c r="H943" t="s">
        <v>86</v>
      </c>
      <c r="I943">
        <v>2021</v>
      </c>
      <c r="J943">
        <v>2021</v>
      </c>
      <c r="K943" t="s">
        <v>339</v>
      </c>
      <c r="L943">
        <v>205360.19999999998</v>
      </c>
      <c r="O943">
        <v>166803.82244999998</v>
      </c>
      <c r="P943">
        <v>0.16680382244999997</v>
      </c>
      <c r="Q943" t="s">
        <v>813</v>
      </c>
      <c r="R943" s="141">
        <v>0.95</v>
      </c>
    </row>
    <row r="944" spans="1:18" x14ac:dyDescent="0.3">
      <c r="A944" t="s">
        <v>126</v>
      </c>
      <c r="B944" t="s">
        <v>125</v>
      </c>
      <c r="C944" t="s">
        <v>467</v>
      </c>
      <c r="D944" t="s">
        <v>467</v>
      </c>
      <c r="E944">
        <v>5510</v>
      </c>
      <c r="F944" t="s">
        <v>128</v>
      </c>
      <c r="G944">
        <v>1681</v>
      </c>
      <c r="H944" t="s">
        <v>130</v>
      </c>
      <c r="I944">
        <v>2021</v>
      </c>
      <c r="J944">
        <v>2021</v>
      </c>
      <c r="L944">
        <v>0</v>
      </c>
    </row>
    <row r="945" spans="1:18" x14ac:dyDescent="0.3">
      <c r="A945" t="s">
        <v>126</v>
      </c>
      <c r="B945" t="s">
        <v>125</v>
      </c>
      <c r="C945" t="s">
        <v>467</v>
      </c>
      <c r="D945" t="s">
        <v>467</v>
      </c>
      <c r="E945">
        <v>5610</v>
      </c>
      <c r="F945" t="s">
        <v>127</v>
      </c>
      <c r="G945">
        <v>1681</v>
      </c>
      <c r="H945" t="s">
        <v>130</v>
      </c>
      <c r="I945">
        <v>2021</v>
      </c>
      <c r="J945">
        <v>2021</v>
      </c>
      <c r="L945">
        <v>0</v>
      </c>
    </row>
    <row r="946" spans="1:18" x14ac:dyDescent="0.3">
      <c r="A946" t="s">
        <v>126</v>
      </c>
      <c r="B946" t="s">
        <v>125</v>
      </c>
      <c r="C946" t="s">
        <v>467</v>
      </c>
      <c r="D946" t="s">
        <v>467</v>
      </c>
      <c r="E946">
        <v>5910</v>
      </c>
      <c r="F946" t="s">
        <v>124</v>
      </c>
      <c r="G946">
        <v>1681</v>
      </c>
      <c r="H946" t="s">
        <v>130</v>
      </c>
      <c r="I946">
        <v>2021</v>
      </c>
      <c r="J946">
        <v>2021</v>
      </c>
      <c r="L946">
        <v>0</v>
      </c>
    </row>
    <row r="947" spans="1:18" x14ac:dyDescent="0.3">
      <c r="A947" t="s">
        <v>126</v>
      </c>
      <c r="B947" t="s">
        <v>125</v>
      </c>
      <c r="C947" t="s">
        <v>467</v>
      </c>
      <c r="D947" t="s">
        <v>467</v>
      </c>
      <c r="E947">
        <v>5510</v>
      </c>
      <c r="F947" t="s">
        <v>128</v>
      </c>
      <c r="G947">
        <v>1617</v>
      </c>
      <c r="H947" t="s">
        <v>85</v>
      </c>
      <c r="I947">
        <v>2021</v>
      </c>
      <c r="J947">
        <v>2021</v>
      </c>
      <c r="K947" t="s">
        <v>339</v>
      </c>
      <c r="L947">
        <v>10793266</v>
      </c>
      <c r="O947">
        <v>10253602.699999999</v>
      </c>
      <c r="P947">
        <v>10.253602699999998</v>
      </c>
      <c r="Q947" t="s">
        <v>814</v>
      </c>
      <c r="R947" s="141">
        <v>0.95</v>
      </c>
    </row>
    <row r="948" spans="1:18" x14ac:dyDescent="0.3">
      <c r="A948" t="s">
        <v>126</v>
      </c>
      <c r="B948" t="s">
        <v>125</v>
      </c>
      <c r="C948" t="s">
        <v>467</v>
      </c>
      <c r="D948" t="s">
        <v>467</v>
      </c>
      <c r="E948">
        <v>5610</v>
      </c>
      <c r="F948" t="s">
        <v>127</v>
      </c>
      <c r="G948">
        <v>1617</v>
      </c>
      <c r="H948" t="s">
        <v>85</v>
      </c>
      <c r="I948">
        <v>2021</v>
      </c>
      <c r="J948">
        <v>2021</v>
      </c>
      <c r="K948" t="s">
        <v>339</v>
      </c>
      <c r="L948">
        <v>3788528.24</v>
      </c>
      <c r="O948">
        <v>3077232.0629400001</v>
      </c>
      <c r="P948">
        <v>3.0772320629399998</v>
      </c>
      <c r="Q948" t="s">
        <v>815</v>
      </c>
      <c r="R948" s="141">
        <v>0.95</v>
      </c>
    </row>
    <row r="949" spans="1:18" x14ac:dyDescent="0.3">
      <c r="A949" t="s">
        <v>126</v>
      </c>
      <c r="B949" t="s">
        <v>125</v>
      </c>
      <c r="C949" t="s">
        <v>467</v>
      </c>
      <c r="D949" t="s">
        <v>467</v>
      </c>
      <c r="E949">
        <v>5910</v>
      </c>
      <c r="F949" t="s">
        <v>124</v>
      </c>
      <c r="G949">
        <v>1617</v>
      </c>
      <c r="H949" t="s">
        <v>85</v>
      </c>
      <c r="I949">
        <v>2021</v>
      </c>
      <c r="J949">
        <v>2021</v>
      </c>
      <c r="K949" t="s">
        <v>339</v>
      </c>
      <c r="L949">
        <v>586317.53</v>
      </c>
      <c r="O949">
        <v>476236.41374250001</v>
      </c>
      <c r="P949">
        <v>0.47623641374249998</v>
      </c>
      <c r="Q949" t="s">
        <v>816</v>
      </c>
      <c r="R949" s="141">
        <v>0.95</v>
      </c>
    </row>
    <row r="950" spans="1:18" x14ac:dyDescent="0.3">
      <c r="A950" t="s">
        <v>126</v>
      </c>
      <c r="B950" t="s">
        <v>125</v>
      </c>
      <c r="C950" t="s">
        <v>467</v>
      </c>
      <c r="D950" t="s">
        <v>467</v>
      </c>
      <c r="E950">
        <v>5510</v>
      </c>
      <c r="F950" t="s">
        <v>128</v>
      </c>
      <c r="G950">
        <v>1618</v>
      </c>
      <c r="H950" t="s">
        <v>84</v>
      </c>
      <c r="I950">
        <v>2021</v>
      </c>
      <c r="J950">
        <v>2021</v>
      </c>
      <c r="K950" t="s">
        <v>339</v>
      </c>
      <c r="L950">
        <v>2402309</v>
      </c>
      <c r="O950">
        <v>2282193.5499999998</v>
      </c>
      <c r="P950">
        <v>2.2821935499999997</v>
      </c>
      <c r="Q950" t="s">
        <v>817</v>
      </c>
      <c r="R950" s="141">
        <v>0.95</v>
      </c>
    </row>
    <row r="951" spans="1:18" x14ac:dyDescent="0.3">
      <c r="A951" t="s">
        <v>126</v>
      </c>
      <c r="B951" t="s">
        <v>125</v>
      </c>
      <c r="C951" t="s">
        <v>467</v>
      </c>
      <c r="D951" t="s">
        <v>467</v>
      </c>
      <c r="E951">
        <v>5610</v>
      </c>
      <c r="F951" t="s">
        <v>127</v>
      </c>
      <c r="G951">
        <v>1618</v>
      </c>
      <c r="H951" t="s">
        <v>84</v>
      </c>
      <c r="I951">
        <v>2021</v>
      </c>
      <c r="J951">
        <v>2021</v>
      </c>
      <c r="K951" t="s">
        <v>339</v>
      </c>
      <c r="L951">
        <v>1392191.2</v>
      </c>
      <c r="O951">
        <v>1130807.3021999998</v>
      </c>
      <c r="P951">
        <v>1.1308073021999998</v>
      </c>
      <c r="Q951" t="s">
        <v>818</v>
      </c>
      <c r="R951" s="141">
        <v>0.95</v>
      </c>
    </row>
    <row r="952" spans="1:18" x14ac:dyDescent="0.3">
      <c r="A952" t="s">
        <v>126</v>
      </c>
      <c r="B952" t="s">
        <v>125</v>
      </c>
      <c r="C952" t="s">
        <v>467</v>
      </c>
      <c r="D952" t="s">
        <v>467</v>
      </c>
      <c r="E952">
        <v>5910</v>
      </c>
      <c r="F952" t="s">
        <v>124</v>
      </c>
      <c r="G952">
        <v>1618</v>
      </c>
      <c r="H952" t="s">
        <v>84</v>
      </c>
      <c r="I952">
        <v>2021</v>
      </c>
      <c r="J952">
        <v>2021</v>
      </c>
      <c r="K952" t="s">
        <v>339</v>
      </c>
      <c r="L952">
        <v>762726.22</v>
      </c>
      <c r="O952">
        <v>619524.37219499995</v>
      </c>
      <c r="P952">
        <v>0.61952437219499989</v>
      </c>
      <c r="Q952" t="s">
        <v>819</v>
      </c>
      <c r="R952" s="141">
        <v>0.95</v>
      </c>
    </row>
    <row r="953" spans="1:18" x14ac:dyDescent="0.3">
      <c r="A953" t="s">
        <v>126</v>
      </c>
      <c r="B953" t="s">
        <v>125</v>
      </c>
      <c r="C953" t="s">
        <v>467</v>
      </c>
      <c r="D953" t="s">
        <v>467</v>
      </c>
      <c r="E953">
        <v>5510</v>
      </c>
      <c r="F953" t="s">
        <v>128</v>
      </c>
      <c r="G953">
        <v>1621</v>
      </c>
      <c r="H953" t="s">
        <v>129</v>
      </c>
      <c r="I953">
        <v>2021</v>
      </c>
      <c r="J953">
        <v>2021</v>
      </c>
      <c r="K953" t="s">
        <v>339</v>
      </c>
      <c r="L953">
        <v>961688</v>
      </c>
      <c r="O953">
        <v>913603.6</v>
      </c>
      <c r="P953">
        <v>0.91360359999999996</v>
      </c>
      <c r="Q953" t="s">
        <v>820</v>
      </c>
      <c r="R953" s="141">
        <v>0.95</v>
      </c>
    </row>
    <row r="954" spans="1:18" x14ac:dyDescent="0.3">
      <c r="A954" t="s">
        <v>126</v>
      </c>
      <c r="B954" t="s">
        <v>125</v>
      </c>
      <c r="C954" t="s">
        <v>467</v>
      </c>
      <c r="D954" t="s">
        <v>467</v>
      </c>
      <c r="E954">
        <v>5610</v>
      </c>
      <c r="F954" t="s">
        <v>127</v>
      </c>
      <c r="G954">
        <v>1621</v>
      </c>
      <c r="H954" t="s">
        <v>129</v>
      </c>
      <c r="I954">
        <v>2021</v>
      </c>
      <c r="J954">
        <v>2021</v>
      </c>
      <c r="K954" t="s">
        <v>339</v>
      </c>
      <c r="L954">
        <v>1171092.8999999999</v>
      </c>
      <c r="O954">
        <v>951220.20802499994</v>
      </c>
      <c r="P954">
        <v>0.95122020802499985</v>
      </c>
      <c r="Q954" t="s">
        <v>821</v>
      </c>
      <c r="R954" s="141">
        <v>0.95</v>
      </c>
    </row>
    <row r="955" spans="1:18" x14ac:dyDescent="0.3">
      <c r="A955" t="s">
        <v>126</v>
      </c>
      <c r="B955" t="s">
        <v>125</v>
      </c>
      <c r="C955" t="s">
        <v>467</v>
      </c>
      <c r="D955" t="s">
        <v>467</v>
      </c>
      <c r="E955">
        <v>5910</v>
      </c>
      <c r="F955" t="s">
        <v>124</v>
      </c>
      <c r="G955">
        <v>1621</v>
      </c>
      <c r="H955" t="s">
        <v>129</v>
      </c>
      <c r="I955">
        <v>2021</v>
      </c>
      <c r="J955">
        <v>2021</v>
      </c>
      <c r="K955" t="s">
        <v>339</v>
      </c>
      <c r="L955">
        <v>340333.12000000005</v>
      </c>
      <c r="O955">
        <v>276435.57672000001</v>
      </c>
      <c r="P955">
        <v>0.27643557672000002</v>
      </c>
      <c r="Q955" t="s">
        <v>822</v>
      </c>
      <c r="R955" s="141">
        <v>0.95</v>
      </c>
    </row>
    <row r="956" spans="1:18" x14ac:dyDescent="0.3">
      <c r="A956" t="s">
        <v>126</v>
      </c>
      <c r="B956" t="s">
        <v>125</v>
      </c>
      <c r="C956" t="s">
        <v>467</v>
      </c>
      <c r="D956" t="s">
        <v>467</v>
      </c>
      <c r="E956">
        <v>5510</v>
      </c>
      <c r="F956" t="s">
        <v>128</v>
      </c>
      <c r="G956">
        <v>1622</v>
      </c>
      <c r="H956" t="s">
        <v>83</v>
      </c>
      <c r="I956">
        <v>2021</v>
      </c>
      <c r="J956">
        <v>2021</v>
      </c>
      <c r="K956" t="s">
        <v>339</v>
      </c>
      <c r="L956">
        <v>386230</v>
      </c>
      <c r="O956">
        <v>366918.5</v>
      </c>
      <c r="P956">
        <v>0.36691849999999998</v>
      </c>
      <c r="Q956" t="s">
        <v>823</v>
      </c>
      <c r="R956" s="141">
        <v>0.95</v>
      </c>
    </row>
    <row r="957" spans="1:18" x14ac:dyDescent="0.3">
      <c r="A957" t="s">
        <v>126</v>
      </c>
      <c r="B957" t="s">
        <v>125</v>
      </c>
      <c r="C957" t="s">
        <v>467</v>
      </c>
      <c r="D957" t="s">
        <v>467</v>
      </c>
      <c r="E957">
        <v>5610</v>
      </c>
      <c r="F957" t="s">
        <v>127</v>
      </c>
      <c r="G957">
        <v>1622</v>
      </c>
      <c r="H957" t="s">
        <v>83</v>
      </c>
      <c r="I957">
        <v>2021</v>
      </c>
      <c r="J957">
        <v>2021</v>
      </c>
      <c r="K957" t="s">
        <v>339</v>
      </c>
      <c r="L957">
        <v>191493.61000000002</v>
      </c>
      <c r="O957">
        <v>155540.68472250001</v>
      </c>
      <c r="P957">
        <v>0.15554068472249999</v>
      </c>
      <c r="Q957" t="s">
        <v>824</v>
      </c>
      <c r="R957" s="141">
        <v>0.95</v>
      </c>
    </row>
    <row r="958" spans="1:18" x14ac:dyDescent="0.3">
      <c r="A958" t="s">
        <v>126</v>
      </c>
      <c r="B958" t="s">
        <v>125</v>
      </c>
      <c r="C958" t="s">
        <v>467</v>
      </c>
      <c r="D958" t="s">
        <v>467</v>
      </c>
      <c r="E958">
        <v>5910</v>
      </c>
      <c r="F958" t="s">
        <v>124</v>
      </c>
      <c r="G958">
        <v>1622</v>
      </c>
      <c r="H958" t="s">
        <v>83</v>
      </c>
      <c r="I958">
        <v>2021</v>
      </c>
      <c r="J958">
        <v>2021</v>
      </c>
      <c r="K958" t="s">
        <v>339</v>
      </c>
      <c r="L958">
        <v>13023.78</v>
      </c>
      <c r="O958">
        <v>10578.565305</v>
      </c>
      <c r="P958">
        <v>1.0578565304999999E-2</v>
      </c>
      <c r="Q958" t="s">
        <v>825</v>
      </c>
      <c r="R958" s="141">
        <v>0.95</v>
      </c>
    </row>
    <row r="959" spans="1:18" x14ac:dyDescent="0.3">
      <c r="A959" t="s">
        <v>126</v>
      </c>
      <c r="B959" t="s">
        <v>125</v>
      </c>
      <c r="C959" t="s">
        <v>467</v>
      </c>
      <c r="D959" t="s">
        <v>467</v>
      </c>
      <c r="E959">
        <v>5510</v>
      </c>
      <c r="F959" t="s">
        <v>128</v>
      </c>
      <c r="G959">
        <v>1683</v>
      </c>
      <c r="H959" t="s">
        <v>123</v>
      </c>
      <c r="I959">
        <v>2021</v>
      </c>
      <c r="J959">
        <v>2021</v>
      </c>
      <c r="K959" t="s">
        <v>339</v>
      </c>
      <c r="L959">
        <v>810375</v>
      </c>
      <c r="O959">
        <v>769856.25</v>
      </c>
      <c r="P959">
        <v>0.76985625000000002</v>
      </c>
      <c r="Q959" t="s">
        <v>826</v>
      </c>
      <c r="R959" s="141">
        <v>0.95</v>
      </c>
    </row>
    <row r="960" spans="1:18" x14ac:dyDescent="0.3">
      <c r="A960" t="s">
        <v>126</v>
      </c>
      <c r="B960" t="s">
        <v>125</v>
      </c>
      <c r="C960" t="s">
        <v>467</v>
      </c>
      <c r="D960" t="s">
        <v>467</v>
      </c>
      <c r="E960">
        <v>5610</v>
      </c>
      <c r="F960" t="s">
        <v>127</v>
      </c>
      <c r="G960">
        <v>1683</v>
      </c>
      <c r="H960" t="s">
        <v>123</v>
      </c>
      <c r="I960">
        <v>2021</v>
      </c>
      <c r="J960">
        <v>2021</v>
      </c>
      <c r="K960" t="s">
        <v>339</v>
      </c>
      <c r="L960">
        <v>118185.52</v>
      </c>
      <c r="O960">
        <v>95996.188619999986</v>
      </c>
      <c r="P960">
        <v>9.5996188619999978E-2</v>
      </c>
      <c r="Q960" t="s">
        <v>827</v>
      </c>
      <c r="R960" s="141">
        <v>0.95</v>
      </c>
    </row>
    <row r="961" spans="1:18" x14ac:dyDescent="0.3">
      <c r="A961" t="s">
        <v>126</v>
      </c>
      <c r="B961" t="s">
        <v>125</v>
      </c>
      <c r="C961" t="s">
        <v>467</v>
      </c>
      <c r="D961" t="s">
        <v>467</v>
      </c>
      <c r="E961">
        <v>5910</v>
      </c>
      <c r="F961" t="s">
        <v>124</v>
      </c>
      <c r="G961">
        <v>1683</v>
      </c>
      <c r="H961" t="s">
        <v>123</v>
      </c>
      <c r="I961">
        <v>2021</v>
      </c>
      <c r="J961">
        <v>2021</v>
      </c>
      <c r="K961" t="s">
        <v>339</v>
      </c>
      <c r="L961">
        <v>52432.270000000004</v>
      </c>
      <c r="O961">
        <v>42588.111307500003</v>
      </c>
      <c r="P961">
        <v>4.2588111307500003E-2</v>
      </c>
      <c r="Q961" t="s">
        <v>828</v>
      </c>
      <c r="R961" s="141">
        <v>0.95</v>
      </c>
    </row>
    <row r="962" spans="1:18" x14ac:dyDescent="0.3">
      <c r="A962" t="s">
        <v>126</v>
      </c>
      <c r="B962" t="s">
        <v>125</v>
      </c>
      <c r="C962" t="s">
        <v>468</v>
      </c>
      <c r="D962" t="s">
        <v>468</v>
      </c>
      <c r="E962">
        <v>5516</v>
      </c>
      <c r="F962" t="s">
        <v>128</v>
      </c>
      <c r="G962">
        <v>1627</v>
      </c>
      <c r="H962" t="s">
        <v>121</v>
      </c>
      <c r="I962">
        <v>2021</v>
      </c>
      <c r="J962">
        <v>2021</v>
      </c>
      <c r="K962" t="s">
        <v>143</v>
      </c>
      <c r="L962">
        <v>7856976</v>
      </c>
      <c r="O962">
        <v>3356892.9960000003</v>
      </c>
      <c r="P962">
        <v>3.356892996</v>
      </c>
      <c r="Q962" t="s">
        <v>724</v>
      </c>
      <c r="R962" s="141">
        <v>0.42725000000000002</v>
      </c>
    </row>
    <row r="963" spans="1:18" x14ac:dyDescent="0.3">
      <c r="A963" t="s">
        <v>126</v>
      </c>
      <c r="B963" t="s">
        <v>125</v>
      </c>
      <c r="C963" t="s">
        <v>468</v>
      </c>
      <c r="D963" t="s">
        <v>468</v>
      </c>
      <c r="E963">
        <v>5616</v>
      </c>
      <c r="F963" t="s">
        <v>127</v>
      </c>
      <c r="G963">
        <v>1627</v>
      </c>
      <c r="H963" t="s">
        <v>121</v>
      </c>
      <c r="I963">
        <v>2021</v>
      </c>
      <c r="J963">
        <v>2021</v>
      </c>
      <c r="K963" t="s">
        <v>143</v>
      </c>
      <c r="L963">
        <v>25423.63</v>
      </c>
      <c r="O963">
        <v>9776.02132575</v>
      </c>
      <c r="P963">
        <v>9.7760213257499992E-3</v>
      </c>
      <c r="Q963" t="s">
        <v>725</v>
      </c>
      <c r="R963" s="141">
        <v>0.42725000000000002</v>
      </c>
    </row>
    <row r="964" spans="1:18" x14ac:dyDescent="0.3">
      <c r="A964" t="s">
        <v>126</v>
      </c>
      <c r="B964" t="s">
        <v>125</v>
      </c>
      <c r="C964" t="s">
        <v>468</v>
      </c>
      <c r="D964" t="s">
        <v>468</v>
      </c>
      <c r="E964">
        <v>5916</v>
      </c>
      <c r="F964" t="s">
        <v>124</v>
      </c>
      <c r="G964">
        <v>1627</v>
      </c>
      <c r="H964" t="s">
        <v>121</v>
      </c>
      <c r="I964">
        <v>2021</v>
      </c>
      <c r="J964">
        <v>2021</v>
      </c>
      <c r="K964" t="s">
        <v>143</v>
      </c>
      <c r="L964">
        <v>1213.21</v>
      </c>
      <c r="O964">
        <v>466.50957525000007</v>
      </c>
      <c r="P964">
        <v>4.6650957525000002E-4</v>
      </c>
      <c r="Q964" t="s">
        <v>726</v>
      </c>
      <c r="R964" s="141">
        <v>0.42725000000000002</v>
      </c>
    </row>
    <row r="965" spans="1:18" x14ac:dyDescent="0.3">
      <c r="A965" t="s">
        <v>126</v>
      </c>
      <c r="B965" t="s">
        <v>125</v>
      </c>
      <c r="C965" t="s">
        <v>468</v>
      </c>
      <c r="D965" t="s">
        <v>468</v>
      </c>
      <c r="E965">
        <v>5516</v>
      </c>
      <c r="F965" t="s">
        <v>128</v>
      </c>
      <c r="G965">
        <v>1628</v>
      </c>
      <c r="H965" t="s">
        <v>120</v>
      </c>
      <c r="I965">
        <v>2021</v>
      </c>
      <c r="J965">
        <v>2021</v>
      </c>
      <c r="K965" t="s">
        <v>143</v>
      </c>
      <c r="L965">
        <v>47383871</v>
      </c>
      <c r="O965">
        <v>37907096.800000004</v>
      </c>
      <c r="P965">
        <v>37.907096800000005</v>
      </c>
      <c r="Q965" t="s">
        <v>727</v>
      </c>
      <c r="R965" s="141">
        <v>0.8</v>
      </c>
    </row>
    <row r="966" spans="1:18" x14ac:dyDescent="0.3">
      <c r="A966" t="s">
        <v>126</v>
      </c>
      <c r="B966" t="s">
        <v>125</v>
      </c>
      <c r="C966" t="s">
        <v>468</v>
      </c>
      <c r="D966" t="s">
        <v>468</v>
      </c>
      <c r="E966">
        <v>5616</v>
      </c>
      <c r="F966" t="s">
        <v>127</v>
      </c>
      <c r="G966">
        <v>1628</v>
      </c>
      <c r="H966" t="s">
        <v>120</v>
      </c>
      <c r="I966">
        <v>2021</v>
      </c>
      <c r="J966">
        <v>2021</v>
      </c>
      <c r="K966" t="s">
        <v>143</v>
      </c>
      <c r="L966">
        <v>38209.18</v>
      </c>
      <c r="O966">
        <v>27510.6096</v>
      </c>
      <c r="P966">
        <v>2.7510609599999999E-2</v>
      </c>
      <c r="Q966" t="s">
        <v>728</v>
      </c>
      <c r="R966" s="141">
        <v>0.8</v>
      </c>
    </row>
    <row r="967" spans="1:18" x14ac:dyDescent="0.3">
      <c r="A967" t="s">
        <v>126</v>
      </c>
      <c r="B967" t="s">
        <v>125</v>
      </c>
      <c r="C967" t="s">
        <v>468</v>
      </c>
      <c r="D967" t="s">
        <v>468</v>
      </c>
      <c r="E967">
        <v>5916</v>
      </c>
      <c r="F967" t="s">
        <v>124</v>
      </c>
      <c r="G967">
        <v>1628</v>
      </c>
      <c r="H967" t="s">
        <v>120</v>
      </c>
      <c r="I967">
        <v>2021</v>
      </c>
      <c r="J967">
        <v>2021</v>
      </c>
      <c r="K967" t="s">
        <v>143</v>
      </c>
      <c r="L967">
        <v>3729.0399999999995</v>
      </c>
      <c r="O967">
        <v>2684.9088000000002</v>
      </c>
      <c r="P967">
        <v>2.6849088E-3</v>
      </c>
      <c r="Q967" t="s">
        <v>729</v>
      </c>
      <c r="R967" s="141">
        <v>0.8</v>
      </c>
    </row>
    <row r="968" spans="1:18" x14ac:dyDescent="0.3">
      <c r="A968" t="s">
        <v>126</v>
      </c>
      <c r="B968" t="s">
        <v>125</v>
      </c>
      <c r="C968" t="s">
        <v>468</v>
      </c>
      <c r="D968" t="s">
        <v>468</v>
      </c>
      <c r="E968">
        <v>5616</v>
      </c>
      <c r="F968" t="s">
        <v>127</v>
      </c>
      <c r="G968">
        <v>1629</v>
      </c>
      <c r="H968" t="s">
        <v>160</v>
      </c>
      <c r="I968">
        <v>2021</v>
      </c>
      <c r="J968">
        <v>2021</v>
      </c>
      <c r="L968">
        <v>0</v>
      </c>
    </row>
    <row r="969" spans="1:18" x14ac:dyDescent="0.3">
      <c r="A969" t="s">
        <v>126</v>
      </c>
      <c r="B969" t="s">
        <v>125</v>
      </c>
      <c r="C969" t="s">
        <v>468</v>
      </c>
      <c r="D969" t="s">
        <v>468</v>
      </c>
      <c r="E969">
        <v>5916</v>
      </c>
      <c r="F969" t="s">
        <v>124</v>
      </c>
      <c r="G969">
        <v>1629</v>
      </c>
      <c r="H969" t="s">
        <v>160</v>
      </c>
      <c r="I969">
        <v>2021</v>
      </c>
      <c r="J969">
        <v>2021</v>
      </c>
      <c r="L969">
        <v>0</v>
      </c>
    </row>
    <row r="970" spans="1:18" x14ac:dyDescent="0.3">
      <c r="A970" t="s">
        <v>126</v>
      </c>
      <c r="B970" t="s">
        <v>125</v>
      </c>
      <c r="C970" t="s">
        <v>468</v>
      </c>
      <c r="D970" t="s">
        <v>468</v>
      </c>
      <c r="E970">
        <v>5616</v>
      </c>
      <c r="F970" t="s">
        <v>127</v>
      </c>
      <c r="G970">
        <v>1651</v>
      </c>
      <c r="H970" t="s">
        <v>159</v>
      </c>
      <c r="I970">
        <v>2021</v>
      </c>
      <c r="J970">
        <v>2021</v>
      </c>
      <c r="K970" t="s">
        <v>143</v>
      </c>
      <c r="L970">
        <v>186561</v>
      </c>
      <c r="O970">
        <v>69680.533500000005</v>
      </c>
      <c r="P970">
        <v>6.9680533500000003E-2</v>
      </c>
      <c r="Q970" t="s">
        <v>730</v>
      </c>
      <c r="R970" s="141">
        <v>0.41499999999999998</v>
      </c>
    </row>
    <row r="971" spans="1:18" x14ac:dyDescent="0.3">
      <c r="A971" t="s">
        <v>126</v>
      </c>
      <c r="B971" t="s">
        <v>125</v>
      </c>
      <c r="C971" t="s">
        <v>468</v>
      </c>
      <c r="D971" t="s">
        <v>468</v>
      </c>
      <c r="E971">
        <v>5916</v>
      </c>
      <c r="F971" t="s">
        <v>124</v>
      </c>
      <c r="G971">
        <v>1651</v>
      </c>
      <c r="H971" t="s">
        <v>159</v>
      </c>
      <c r="I971">
        <v>2021</v>
      </c>
      <c r="J971">
        <v>2021</v>
      </c>
      <c r="K971" t="s">
        <v>143</v>
      </c>
      <c r="L971">
        <v>13891</v>
      </c>
      <c r="O971">
        <v>5188.2884999999997</v>
      </c>
      <c r="P971">
        <v>5.1882884999999998E-3</v>
      </c>
      <c r="Q971" t="s">
        <v>731</v>
      </c>
      <c r="R971" s="141">
        <v>0.41499999999999998</v>
      </c>
    </row>
    <row r="972" spans="1:18" x14ac:dyDescent="0.3">
      <c r="A972" t="s">
        <v>126</v>
      </c>
      <c r="B972" t="s">
        <v>125</v>
      </c>
      <c r="C972" t="s">
        <v>468</v>
      </c>
      <c r="D972" t="s">
        <v>468</v>
      </c>
      <c r="E972">
        <v>5616</v>
      </c>
      <c r="F972" t="s">
        <v>127</v>
      </c>
      <c r="G972">
        <v>1657</v>
      </c>
      <c r="H972" t="s">
        <v>158</v>
      </c>
      <c r="I972">
        <v>2021</v>
      </c>
      <c r="J972">
        <v>2021</v>
      </c>
      <c r="K972" t="s">
        <v>143</v>
      </c>
      <c r="L972">
        <v>8709</v>
      </c>
      <c r="O972">
        <v>4334.4693000000007</v>
      </c>
      <c r="P972">
        <v>4.3344693000000002E-3</v>
      </c>
      <c r="Q972" t="s">
        <v>732</v>
      </c>
      <c r="R972" s="141">
        <v>0.55300000000000005</v>
      </c>
    </row>
    <row r="973" spans="1:18" x14ac:dyDescent="0.3">
      <c r="A973" t="s">
        <v>126</v>
      </c>
      <c r="B973" t="s">
        <v>125</v>
      </c>
      <c r="C973" t="s">
        <v>468</v>
      </c>
      <c r="D973" t="s">
        <v>468</v>
      </c>
      <c r="E973">
        <v>5916</v>
      </c>
      <c r="F973" t="s">
        <v>124</v>
      </c>
      <c r="G973">
        <v>1657</v>
      </c>
      <c r="H973" t="s">
        <v>158</v>
      </c>
      <c r="I973">
        <v>2021</v>
      </c>
      <c r="J973">
        <v>2021</v>
      </c>
      <c r="K973" t="s">
        <v>143</v>
      </c>
      <c r="L973">
        <v>5799</v>
      </c>
      <c r="O973">
        <v>2886.1623000000004</v>
      </c>
      <c r="P973">
        <v>2.8861623000000004E-3</v>
      </c>
      <c r="Q973" t="s">
        <v>733</v>
      </c>
      <c r="R973" s="141">
        <v>0.55300000000000005</v>
      </c>
    </row>
    <row r="974" spans="1:18" x14ac:dyDescent="0.3">
      <c r="A974" t="s">
        <v>126</v>
      </c>
      <c r="B974" t="s">
        <v>125</v>
      </c>
      <c r="C974" t="s">
        <v>468</v>
      </c>
      <c r="D974" t="s">
        <v>468</v>
      </c>
      <c r="E974">
        <v>5616</v>
      </c>
      <c r="F974" t="s">
        <v>127</v>
      </c>
      <c r="G974">
        <v>1670</v>
      </c>
      <c r="H974" t="s">
        <v>157</v>
      </c>
      <c r="I974">
        <v>2021</v>
      </c>
      <c r="J974">
        <v>2021</v>
      </c>
      <c r="K974" t="s">
        <v>143</v>
      </c>
      <c r="L974">
        <v>66759</v>
      </c>
      <c r="O974">
        <v>33225.954300000005</v>
      </c>
      <c r="P974">
        <v>3.3225954300000006E-2</v>
      </c>
      <c r="Q974" t="s">
        <v>734</v>
      </c>
      <c r="R974" s="141">
        <v>0.55300000000000005</v>
      </c>
    </row>
    <row r="975" spans="1:18" x14ac:dyDescent="0.3">
      <c r="A975" t="s">
        <v>126</v>
      </c>
      <c r="B975" t="s">
        <v>125</v>
      </c>
      <c r="C975" t="s">
        <v>468</v>
      </c>
      <c r="D975" t="s">
        <v>468</v>
      </c>
      <c r="E975">
        <v>5916</v>
      </c>
      <c r="F975" t="s">
        <v>124</v>
      </c>
      <c r="G975">
        <v>1670</v>
      </c>
      <c r="H975" t="s">
        <v>157</v>
      </c>
      <c r="I975">
        <v>2021</v>
      </c>
      <c r="J975">
        <v>2021</v>
      </c>
      <c r="K975" t="s">
        <v>143</v>
      </c>
      <c r="L975">
        <v>2235</v>
      </c>
      <c r="O975">
        <v>1112.3595000000003</v>
      </c>
      <c r="P975">
        <v>1.1123595000000002E-3</v>
      </c>
      <c r="Q975" t="s">
        <v>735</v>
      </c>
      <c r="R975" s="141">
        <v>0.55300000000000005</v>
      </c>
    </row>
    <row r="976" spans="1:18" x14ac:dyDescent="0.3">
      <c r="A976" t="s">
        <v>126</v>
      </c>
      <c r="B976" t="s">
        <v>125</v>
      </c>
      <c r="C976" t="s">
        <v>468</v>
      </c>
      <c r="D976" t="s">
        <v>468</v>
      </c>
      <c r="E976">
        <v>5516</v>
      </c>
      <c r="F976" t="s">
        <v>128</v>
      </c>
      <c r="G976">
        <v>1601</v>
      </c>
      <c r="H976" t="s">
        <v>119</v>
      </c>
      <c r="I976">
        <v>2021</v>
      </c>
      <c r="J976">
        <v>2021</v>
      </c>
      <c r="K976" t="s">
        <v>143</v>
      </c>
      <c r="L976">
        <v>180150</v>
      </c>
      <c r="O976">
        <v>75663</v>
      </c>
      <c r="P976">
        <v>7.5662999999999994E-2</v>
      </c>
      <c r="Q976" t="s">
        <v>736</v>
      </c>
      <c r="R976" s="141">
        <v>0.42</v>
      </c>
    </row>
    <row r="977" spans="1:18" x14ac:dyDescent="0.3">
      <c r="A977" t="s">
        <v>126</v>
      </c>
      <c r="B977" t="s">
        <v>125</v>
      </c>
      <c r="C977" t="s">
        <v>468</v>
      </c>
      <c r="D977" t="s">
        <v>468</v>
      </c>
      <c r="E977">
        <v>5616</v>
      </c>
      <c r="F977" t="s">
        <v>127</v>
      </c>
      <c r="G977">
        <v>1601</v>
      </c>
      <c r="H977" t="s">
        <v>119</v>
      </c>
      <c r="I977">
        <v>2021</v>
      </c>
      <c r="J977">
        <v>2021</v>
      </c>
      <c r="L977">
        <v>0</v>
      </c>
    </row>
    <row r="978" spans="1:18" x14ac:dyDescent="0.3">
      <c r="A978" t="s">
        <v>126</v>
      </c>
      <c r="B978" t="s">
        <v>125</v>
      </c>
      <c r="C978" t="s">
        <v>468</v>
      </c>
      <c r="D978" t="s">
        <v>468</v>
      </c>
      <c r="E978">
        <v>5916</v>
      </c>
      <c r="F978" t="s">
        <v>124</v>
      </c>
      <c r="G978">
        <v>1601</v>
      </c>
      <c r="H978" t="s">
        <v>119</v>
      </c>
      <c r="I978">
        <v>2021</v>
      </c>
      <c r="J978">
        <v>2021</v>
      </c>
      <c r="L978">
        <v>0</v>
      </c>
    </row>
    <row r="979" spans="1:18" x14ac:dyDescent="0.3">
      <c r="A979" t="s">
        <v>126</v>
      </c>
      <c r="B979" t="s">
        <v>125</v>
      </c>
      <c r="C979" t="s">
        <v>468</v>
      </c>
      <c r="D979" t="s">
        <v>468</v>
      </c>
      <c r="E979">
        <v>5516</v>
      </c>
      <c r="F979" t="s">
        <v>128</v>
      </c>
      <c r="G979">
        <v>1604</v>
      </c>
      <c r="H979" t="s">
        <v>118</v>
      </c>
      <c r="I979">
        <v>2021</v>
      </c>
      <c r="J979">
        <v>2021</v>
      </c>
      <c r="K979" t="s">
        <v>143</v>
      </c>
      <c r="L979">
        <v>754504</v>
      </c>
      <c r="O979">
        <v>462510.95199999999</v>
      </c>
      <c r="P979">
        <v>0.46251095199999998</v>
      </c>
      <c r="Q979" t="s">
        <v>737</v>
      </c>
      <c r="R979" s="141">
        <v>0.61299999999999999</v>
      </c>
    </row>
    <row r="980" spans="1:18" x14ac:dyDescent="0.3">
      <c r="A980" t="s">
        <v>126</v>
      </c>
      <c r="B980" t="s">
        <v>125</v>
      </c>
      <c r="C980" t="s">
        <v>468</v>
      </c>
      <c r="D980" t="s">
        <v>468</v>
      </c>
      <c r="E980">
        <v>5616</v>
      </c>
      <c r="F980" t="s">
        <v>127</v>
      </c>
      <c r="G980">
        <v>1604</v>
      </c>
      <c r="H980" t="s">
        <v>118</v>
      </c>
      <c r="I980">
        <v>2021</v>
      </c>
      <c r="J980">
        <v>2021</v>
      </c>
      <c r="L980">
        <v>0</v>
      </c>
    </row>
    <row r="981" spans="1:18" x14ac:dyDescent="0.3">
      <c r="A981" t="s">
        <v>126</v>
      </c>
      <c r="B981" t="s">
        <v>125</v>
      </c>
      <c r="C981" t="s">
        <v>468</v>
      </c>
      <c r="D981" t="s">
        <v>468</v>
      </c>
      <c r="E981">
        <v>5916</v>
      </c>
      <c r="F981" t="s">
        <v>124</v>
      </c>
      <c r="G981">
        <v>1604</v>
      </c>
      <c r="H981" t="s">
        <v>118</v>
      </c>
      <c r="I981">
        <v>2021</v>
      </c>
      <c r="J981">
        <v>2021</v>
      </c>
      <c r="L981">
        <v>0</v>
      </c>
    </row>
    <row r="982" spans="1:18" x14ac:dyDescent="0.3">
      <c r="A982" t="s">
        <v>126</v>
      </c>
      <c r="B982" t="s">
        <v>125</v>
      </c>
      <c r="C982" t="s">
        <v>468</v>
      </c>
      <c r="D982" t="s">
        <v>468</v>
      </c>
      <c r="E982">
        <v>5516</v>
      </c>
      <c r="F982" t="s">
        <v>128</v>
      </c>
      <c r="G982">
        <v>1602</v>
      </c>
      <c r="H982" t="s">
        <v>156</v>
      </c>
      <c r="I982">
        <v>2021</v>
      </c>
      <c r="J982">
        <v>2021</v>
      </c>
      <c r="K982" t="s">
        <v>143</v>
      </c>
      <c r="L982">
        <v>179500</v>
      </c>
      <c r="O982">
        <v>73595</v>
      </c>
      <c r="P982">
        <v>7.3594999999999994E-2</v>
      </c>
      <c r="Q982" t="s">
        <v>738</v>
      </c>
      <c r="R982" s="141">
        <v>0.41</v>
      </c>
    </row>
    <row r="983" spans="1:18" x14ac:dyDescent="0.3">
      <c r="A983" t="s">
        <v>126</v>
      </c>
      <c r="B983" t="s">
        <v>125</v>
      </c>
      <c r="C983" t="s">
        <v>468</v>
      </c>
      <c r="D983" t="s">
        <v>468</v>
      </c>
      <c r="E983">
        <v>5516</v>
      </c>
      <c r="F983" t="s">
        <v>128</v>
      </c>
      <c r="G983">
        <v>1603</v>
      </c>
      <c r="H983" t="s">
        <v>155</v>
      </c>
      <c r="I983">
        <v>2021</v>
      </c>
      <c r="J983">
        <v>2021</v>
      </c>
      <c r="K983" t="s">
        <v>143</v>
      </c>
      <c r="L983">
        <v>601300</v>
      </c>
      <c r="O983">
        <v>296440.90000000002</v>
      </c>
      <c r="P983">
        <v>0.29644090000000001</v>
      </c>
      <c r="Q983" t="s">
        <v>739</v>
      </c>
      <c r="R983" s="141">
        <v>0.49299999999999999</v>
      </c>
    </row>
    <row r="984" spans="1:18" x14ac:dyDescent="0.3">
      <c r="A984" t="s">
        <v>126</v>
      </c>
      <c r="B984" t="s">
        <v>125</v>
      </c>
      <c r="C984" t="s">
        <v>468</v>
      </c>
      <c r="D984" t="s">
        <v>468</v>
      </c>
      <c r="E984">
        <v>5516</v>
      </c>
      <c r="F984" t="s">
        <v>128</v>
      </c>
      <c r="G984">
        <v>1614</v>
      </c>
      <c r="H984" t="s">
        <v>154</v>
      </c>
      <c r="I984">
        <v>2021</v>
      </c>
      <c r="J984">
        <v>2021</v>
      </c>
      <c r="L984">
        <v>0</v>
      </c>
    </row>
    <row r="985" spans="1:18" x14ac:dyDescent="0.3">
      <c r="A985" t="s">
        <v>126</v>
      </c>
      <c r="B985" t="s">
        <v>125</v>
      </c>
      <c r="C985" t="s">
        <v>468</v>
      </c>
      <c r="D985" t="s">
        <v>468</v>
      </c>
      <c r="E985">
        <v>5616</v>
      </c>
      <c r="F985" t="s">
        <v>127</v>
      </c>
      <c r="G985">
        <v>1614</v>
      </c>
      <c r="H985" t="s">
        <v>154</v>
      </c>
      <c r="I985">
        <v>2021</v>
      </c>
      <c r="J985">
        <v>2021</v>
      </c>
      <c r="L985">
        <v>0</v>
      </c>
    </row>
    <row r="986" spans="1:18" x14ac:dyDescent="0.3">
      <c r="A986" t="s">
        <v>126</v>
      </c>
      <c r="B986" t="s">
        <v>125</v>
      </c>
      <c r="C986" t="s">
        <v>468</v>
      </c>
      <c r="D986" t="s">
        <v>468</v>
      </c>
      <c r="E986">
        <v>5916</v>
      </c>
      <c r="F986" t="s">
        <v>124</v>
      </c>
      <c r="G986">
        <v>1614</v>
      </c>
      <c r="H986" t="s">
        <v>154</v>
      </c>
      <c r="I986">
        <v>2021</v>
      </c>
      <c r="J986">
        <v>2021</v>
      </c>
      <c r="L986">
        <v>0</v>
      </c>
    </row>
    <row r="987" spans="1:18" x14ac:dyDescent="0.3">
      <c r="A987" t="s">
        <v>126</v>
      </c>
      <c r="B987" t="s">
        <v>125</v>
      </c>
      <c r="C987" t="s">
        <v>468</v>
      </c>
      <c r="D987" t="s">
        <v>468</v>
      </c>
      <c r="E987">
        <v>5516</v>
      </c>
      <c r="F987" t="s">
        <v>128</v>
      </c>
      <c r="G987">
        <v>1608</v>
      </c>
      <c r="H987" t="s">
        <v>153</v>
      </c>
      <c r="I987">
        <v>2021</v>
      </c>
      <c r="J987">
        <v>2021</v>
      </c>
      <c r="L987">
        <v>0</v>
      </c>
    </row>
    <row r="988" spans="1:18" x14ac:dyDescent="0.3">
      <c r="A988" t="s">
        <v>126</v>
      </c>
      <c r="B988" t="s">
        <v>125</v>
      </c>
      <c r="C988" t="s">
        <v>468</v>
      </c>
      <c r="D988" t="s">
        <v>468</v>
      </c>
      <c r="E988">
        <v>5516</v>
      </c>
      <c r="F988" t="s">
        <v>128</v>
      </c>
      <c r="G988">
        <v>1611</v>
      </c>
      <c r="H988" t="s">
        <v>152</v>
      </c>
      <c r="I988">
        <v>2021</v>
      </c>
      <c r="J988">
        <v>2021</v>
      </c>
      <c r="L988">
        <v>0</v>
      </c>
    </row>
    <row r="989" spans="1:18" x14ac:dyDescent="0.3">
      <c r="A989" t="s">
        <v>126</v>
      </c>
      <c r="B989" t="s">
        <v>125</v>
      </c>
      <c r="C989" t="s">
        <v>468</v>
      </c>
      <c r="D989" t="s">
        <v>468</v>
      </c>
      <c r="E989">
        <v>5516</v>
      </c>
      <c r="F989" t="s">
        <v>128</v>
      </c>
      <c r="G989">
        <v>1623</v>
      </c>
      <c r="H989" t="s">
        <v>151</v>
      </c>
      <c r="I989">
        <v>2021</v>
      </c>
      <c r="J989">
        <v>2021</v>
      </c>
      <c r="K989" t="s">
        <v>143</v>
      </c>
      <c r="L989">
        <v>77500</v>
      </c>
      <c r="O989">
        <v>32162.5</v>
      </c>
      <c r="P989">
        <v>3.2162499999999997E-2</v>
      </c>
      <c r="Q989" t="s">
        <v>740</v>
      </c>
      <c r="R989" s="141">
        <v>0.41499999999999998</v>
      </c>
    </row>
    <row r="990" spans="1:18" x14ac:dyDescent="0.3">
      <c r="A990" t="s">
        <v>126</v>
      </c>
      <c r="B990" t="s">
        <v>125</v>
      </c>
      <c r="C990" t="s">
        <v>468</v>
      </c>
      <c r="D990" t="s">
        <v>468</v>
      </c>
      <c r="E990">
        <v>5516</v>
      </c>
      <c r="F990" t="s">
        <v>128</v>
      </c>
      <c r="G990">
        <v>1626</v>
      </c>
      <c r="H990" t="s">
        <v>150</v>
      </c>
      <c r="I990">
        <v>2021</v>
      </c>
      <c r="J990">
        <v>2021</v>
      </c>
      <c r="K990" t="s">
        <v>143</v>
      </c>
      <c r="L990">
        <v>983200</v>
      </c>
      <c r="O990">
        <v>543709.60000000009</v>
      </c>
      <c r="P990">
        <v>0.54370960000000002</v>
      </c>
      <c r="Q990" t="s">
        <v>741</v>
      </c>
      <c r="R990" s="141">
        <v>0.55300000000000005</v>
      </c>
    </row>
    <row r="991" spans="1:18" x14ac:dyDescent="0.3">
      <c r="A991" t="s">
        <v>126</v>
      </c>
      <c r="B991" t="s">
        <v>125</v>
      </c>
      <c r="C991" t="s">
        <v>468</v>
      </c>
      <c r="D991" t="s">
        <v>468</v>
      </c>
      <c r="E991">
        <v>5616</v>
      </c>
      <c r="F991" t="s">
        <v>127</v>
      </c>
      <c r="G991">
        <v>1625</v>
      </c>
      <c r="H991" t="s">
        <v>149</v>
      </c>
      <c r="I991">
        <v>2021</v>
      </c>
      <c r="J991">
        <v>2021</v>
      </c>
      <c r="L991">
        <v>0</v>
      </c>
    </row>
    <row r="992" spans="1:18" x14ac:dyDescent="0.3">
      <c r="A992" t="s">
        <v>126</v>
      </c>
      <c r="B992" t="s">
        <v>125</v>
      </c>
      <c r="C992" t="s">
        <v>468</v>
      </c>
      <c r="D992" t="s">
        <v>468</v>
      </c>
      <c r="E992">
        <v>5916</v>
      </c>
      <c r="F992" t="s">
        <v>124</v>
      </c>
      <c r="G992">
        <v>1625</v>
      </c>
      <c r="H992" t="s">
        <v>149</v>
      </c>
      <c r="I992">
        <v>2021</v>
      </c>
      <c r="J992">
        <v>2021</v>
      </c>
      <c r="L992">
        <v>0</v>
      </c>
    </row>
    <row r="993" spans="1:18" x14ac:dyDescent="0.3">
      <c r="A993" t="s">
        <v>126</v>
      </c>
      <c r="B993" t="s">
        <v>125</v>
      </c>
      <c r="C993" t="s">
        <v>468</v>
      </c>
      <c r="D993" t="s">
        <v>468</v>
      </c>
      <c r="E993">
        <v>5510</v>
      </c>
      <c r="F993" t="s">
        <v>128</v>
      </c>
      <c r="G993">
        <v>1630</v>
      </c>
      <c r="H993" t="s">
        <v>117</v>
      </c>
      <c r="I993">
        <v>2021</v>
      </c>
      <c r="J993">
        <v>2021</v>
      </c>
      <c r="K993" t="s">
        <v>339</v>
      </c>
      <c r="L993">
        <v>3469798</v>
      </c>
      <c r="O993">
        <v>3348355.07</v>
      </c>
      <c r="P993">
        <v>3.3483550699999998</v>
      </c>
      <c r="Q993" t="s">
        <v>742</v>
      </c>
      <c r="R993" s="141">
        <v>0.96499999999999997</v>
      </c>
    </row>
    <row r="994" spans="1:18" x14ac:dyDescent="0.3">
      <c r="A994" t="s">
        <v>126</v>
      </c>
      <c r="B994" t="s">
        <v>125</v>
      </c>
      <c r="C994" t="s">
        <v>468</v>
      </c>
      <c r="D994" t="s">
        <v>468</v>
      </c>
      <c r="E994">
        <v>5510</v>
      </c>
      <c r="F994" t="s">
        <v>128</v>
      </c>
      <c r="G994">
        <v>1694</v>
      </c>
      <c r="H994" t="s">
        <v>348</v>
      </c>
      <c r="I994">
        <v>2021</v>
      </c>
      <c r="J994">
        <v>2021</v>
      </c>
      <c r="K994" t="s">
        <v>339</v>
      </c>
      <c r="L994">
        <v>5000</v>
      </c>
      <c r="O994">
        <v>4625</v>
      </c>
      <c r="P994">
        <v>4.6249999999999998E-3</v>
      </c>
      <c r="Q994" t="s">
        <v>743</v>
      </c>
      <c r="R994" s="141">
        <v>0.92500000000000004</v>
      </c>
    </row>
    <row r="995" spans="1:18" x14ac:dyDescent="0.3">
      <c r="A995" t="s">
        <v>126</v>
      </c>
      <c r="B995" t="s">
        <v>125</v>
      </c>
      <c r="C995" t="s">
        <v>468</v>
      </c>
      <c r="D995" t="s">
        <v>468</v>
      </c>
      <c r="E995">
        <v>5610</v>
      </c>
      <c r="F995" t="s">
        <v>127</v>
      </c>
      <c r="G995">
        <v>1630</v>
      </c>
      <c r="H995" t="s">
        <v>117</v>
      </c>
      <c r="I995">
        <v>2021</v>
      </c>
      <c r="J995">
        <v>2021</v>
      </c>
      <c r="K995" t="s">
        <v>339</v>
      </c>
      <c r="L995">
        <v>407488.77999999997</v>
      </c>
      <c r="O995">
        <v>353904.00542999996</v>
      </c>
      <c r="P995">
        <v>0.35390400542999995</v>
      </c>
      <c r="Q995" t="s">
        <v>744</v>
      </c>
      <c r="R995" s="141">
        <v>0.96499999999999997</v>
      </c>
    </row>
    <row r="996" spans="1:18" x14ac:dyDescent="0.3">
      <c r="A996" t="s">
        <v>126</v>
      </c>
      <c r="B996" t="s">
        <v>125</v>
      </c>
      <c r="C996" t="s">
        <v>468</v>
      </c>
      <c r="D996" t="s">
        <v>468</v>
      </c>
      <c r="E996">
        <v>5610</v>
      </c>
      <c r="F996" t="s">
        <v>127</v>
      </c>
      <c r="G996">
        <v>1694</v>
      </c>
      <c r="H996" t="s">
        <v>348</v>
      </c>
      <c r="I996">
        <v>2021</v>
      </c>
      <c r="J996">
        <v>2021</v>
      </c>
      <c r="K996" t="s">
        <v>339</v>
      </c>
      <c r="L996">
        <v>35229.51</v>
      </c>
      <c r="O996">
        <v>29328.567075000006</v>
      </c>
      <c r="P996">
        <v>2.9328567075000006E-2</v>
      </c>
      <c r="Q996" t="s">
        <v>745</v>
      </c>
      <c r="R996" s="141">
        <v>0.92500000000000004</v>
      </c>
    </row>
    <row r="997" spans="1:18" x14ac:dyDescent="0.3">
      <c r="A997" t="s">
        <v>126</v>
      </c>
      <c r="B997" t="s">
        <v>125</v>
      </c>
      <c r="C997" t="s">
        <v>468</v>
      </c>
      <c r="D997" t="s">
        <v>468</v>
      </c>
      <c r="E997">
        <v>5910</v>
      </c>
      <c r="F997" t="s">
        <v>124</v>
      </c>
      <c r="G997">
        <v>1630</v>
      </c>
      <c r="H997" t="s">
        <v>117</v>
      </c>
      <c r="I997">
        <v>2021</v>
      </c>
      <c r="J997">
        <v>2021</v>
      </c>
      <c r="K997" t="s">
        <v>339</v>
      </c>
      <c r="L997">
        <v>65140.39</v>
      </c>
      <c r="O997">
        <v>56574.428715000002</v>
      </c>
      <c r="P997">
        <v>5.6574428715E-2</v>
      </c>
      <c r="Q997" t="s">
        <v>746</v>
      </c>
      <c r="R997" s="141">
        <v>0.96499999999999997</v>
      </c>
    </row>
    <row r="998" spans="1:18" x14ac:dyDescent="0.3">
      <c r="A998" t="s">
        <v>126</v>
      </c>
      <c r="B998" t="s">
        <v>125</v>
      </c>
      <c r="C998" t="s">
        <v>468</v>
      </c>
      <c r="D998" t="s">
        <v>468</v>
      </c>
      <c r="E998">
        <v>5910</v>
      </c>
      <c r="F998" t="s">
        <v>124</v>
      </c>
      <c r="G998">
        <v>1694</v>
      </c>
      <c r="H998" t="s">
        <v>348</v>
      </c>
      <c r="I998">
        <v>2021</v>
      </c>
      <c r="J998">
        <v>2021</v>
      </c>
      <c r="K998" t="s">
        <v>339</v>
      </c>
      <c r="L998">
        <v>946.11</v>
      </c>
      <c r="O998">
        <v>787.63657500000011</v>
      </c>
      <c r="P998">
        <v>7.8763657500000007E-4</v>
      </c>
      <c r="Q998" t="s">
        <v>747</v>
      </c>
      <c r="R998" s="141">
        <v>0.92500000000000004</v>
      </c>
    </row>
    <row r="999" spans="1:18" x14ac:dyDescent="0.3">
      <c r="A999" t="s">
        <v>126</v>
      </c>
      <c r="B999" t="s">
        <v>125</v>
      </c>
      <c r="C999" t="s">
        <v>468</v>
      </c>
      <c r="D999" t="s">
        <v>468</v>
      </c>
      <c r="E999">
        <v>5516</v>
      </c>
      <c r="F999" t="s">
        <v>128</v>
      </c>
      <c r="G999">
        <v>1619</v>
      </c>
      <c r="H999" t="s">
        <v>92</v>
      </c>
      <c r="I999">
        <v>2021</v>
      </c>
      <c r="J999">
        <v>2021</v>
      </c>
      <c r="K999" t="s">
        <v>143</v>
      </c>
      <c r="L999">
        <v>390100</v>
      </c>
      <c r="O999">
        <v>160534.9794238683</v>
      </c>
      <c r="P999">
        <v>0.1605349794238683</v>
      </c>
      <c r="Q999" t="s">
        <v>748</v>
      </c>
      <c r="R999" s="141">
        <v>0.41152263374485593</v>
      </c>
    </row>
    <row r="1000" spans="1:18" x14ac:dyDescent="0.3">
      <c r="A1000" t="s">
        <v>126</v>
      </c>
      <c r="B1000" t="s">
        <v>125</v>
      </c>
      <c r="C1000" t="s">
        <v>468</v>
      </c>
      <c r="D1000" t="s">
        <v>468</v>
      </c>
      <c r="E1000">
        <v>5616</v>
      </c>
      <c r="F1000" t="s">
        <v>127</v>
      </c>
      <c r="G1000">
        <v>1619</v>
      </c>
      <c r="H1000" t="s">
        <v>92</v>
      </c>
      <c r="I1000">
        <v>2021</v>
      </c>
      <c r="J1000">
        <v>2021</v>
      </c>
      <c r="K1000" t="s">
        <v>143</v>
      </c>
      <c r="L1000">
        <v>22469.65</v>
      </c>
      <c r="O1000">
        <v>8322.0925925925931</v>
      </c>
      <c r="P1000">
        <v>8.3220925925925927E-3</v>
      </c>
      <c r="Q1000" t="s">
        <v>749</v>
      </c>
      <c r="R1000" s="141">
        <v>0.41152263374485593</v>
      </c>
    </row>
    <row r="1001" spans="1:18" x14ac:dyDescent="0.3">
      <c r="A1001" t="s">
        <v>126</v>
      </c>
      <c r="B1001" t="s">
        <v>125</v>
      </c>
      <c r="C1001" t="s">
        <v>468</v>
      </c>
      <c r="D1001" t="s">
        <v>468</v>
      </c>
      <c r="E1001">
        <v>5916</v>
      </c>
      <c r="F1001" t="s">
        <v>124</v>
      </c>
      <c r="G1001">
        <v>1619</v>
      </c>
      <c r="H1001" t="s">
        <v>92</v>
      </c>
      <c r="I1001">
        <v>2021</v>
      </c>
      <c r="J1001">
        <v>2021</v>
      </c>
      <c r="K1001" t="s">
        <v>143</v>
      </c>
      <c r="L1001">
        <v>3208.27</v>
      </c>
      <c r="O1001">
        <v>1188.2481481481479</v>
      </c>
      <c r="P1001">
        <v>1.1882481481481479E-3</v>
      </c>
      <c r="Q1001" t="s">
        <v>750</v>
      </c>
      <c r="R1001" s="141">
        <v>0.41152263374485593</v>
      </c>
    </row>
    <row r="1002" spans="1:18" x14ac:dyDescent="0.3">
      <c r="A1002" t="s">
        <v>126</v>
      </c>
      <c r="B1002" t="s">
        <v>125</v>
      </c>
      <c r="C1002" t="s">
        <v>468</v>
      </c>
      <c r="D1002" t="s">
        <v>468</v>
      </c>
      <c r="E1002">
        <v>5516</v>
      </c>
      <c r="F1002" t="s">
        <v>128</v>
      </c>
      <c r="G1002">
        <v>1620</v>
      </c>
      <c r="H1002" t="s">
        <v>115</v>
      </c>
      <c r="I1002">
        <v>2021</v>
      </c>
      <c r="J1002">
        <v>2021</v>
      </c>
      <c r="K1002" t="s">
        <v>143</v>
      </c>
      <c r="L1002">
        <v>131000</v>
      </c>
      <c r="O1002">
        <v>53798.767967145788</v>
      </c>
      <c r="P1002">
        <v>5.3798767967145784E-2</v>
      </c>
      <c r="Q1002" t="s">
        <v>751</v>
      </c>
      <c r="R1002" s="141">
        <v>0.41067761806981518</v>
      </c>
    </row>
    <row r="1003" spans="1:18" x14ac:dyDescent="0.3">
      <c r="A1003" t="s">
        <v>126</v>
      </c>
      <c r="B1003" t="s">
        <v>125</v>
      </c>
      <c r="C1003" t="s">
        <v>468</v>
      </c>
      <c r="D1003" t="s">
        <v>468</v>
      </c>
      <c r="E1003">
        <v>5616</v>
      </c>
      <c r="F1003" t="s">
        <v>127</v>
      </c>
      <c r="G1003">
        <v>1620</v>
      </c>
      <c r="H1003" t="s">
        <v>115</v>
      </c>
      <c r="I1003">
        <v>2021</v>
      </c>
      <c r="J1003">
        <v>2021</v>
      </c>
      <c r="K1003" t="s">
        <v>143</v>
      </c>
      <c r="L1003">
        <v>42140.929999999993</v>
      </c>
      <c r="O1003">
        <v>15575.703080082134</v>
      </c>
      <c r="P1003">
        <v>1.5575703080082133E-2</v>
      </c>
      <c r="Q1003" t="s">
        <v>752</v>
      </c>
      <c r="R1003" s="141">
        <v>0.41067761806981518</v>
      </c>
    </row>
    <row r="1004" spans="1:18" x14ac:dyDescent="0.3">
      <c r="A1004" t="s">
        <v>126</v>
      </c>
      <c r="B1004" t="s">
        <v>125</v>
      </c>
      <c r="C1004" t="s">
        <v>468</v>
      </c>
      <c r="D1004" t="s">
        <v>468</v>
      </c>
      <c r="E1004">
        <v>5916</v>
      </c>
      <c r="F1004" t="s">
        <v>124</v>
      </c>
      <c r="G1004">
        <v>1620</v>
      </c>
      <c r="H1004" t="s">
        <v>115</v>
      </c>
      <c r="I1004">
        <v>2021</v>
      </c>
      <c r="J1004">
        <v>2021</v>
      </c>
      <c r="K1004" t="s">
        <v>143</v>
      </c>
      <c r="L1004">
        <v>1875</v>
      </c>
      <c r="O1004">
        <v>693.01848049281318</v>
      </c>
      <c r="P1004">
        <v>6.9301848049281318E-4</v>
      </c>
      <c r="Q1004" t="s">
        <v>753</v>
      </c>
      <c r="R1004" s="141">
        <v>0.41067761806981518</v>
      </c>
    </row>
    <row r="1005" spans="1:18" x14ac:dyDescent="0.3">
      <c r="A1005" t="s">
        <v>126</v>
      </c>
      <c r="B1005" t="s">
        <v>125</v>
      </c>
      <c r="C1005" t="s">
        <v>468</v>
      </c>
      <c r="D1005" t="s">
        <v>468</v>
      </c>
      <c r="E1005">
        <v>5510</v>
      </c>
      <c r="F1005" t="s">
        <v>128</v>
      </c>
      <c r="G1005">
        <v>1600</v>
      </c>
      <c r="H1005" t="s">
        <v>148</v>
      </c>
      <c r="I1005">
        <v>2021</v>
      </c>
      <c r="J1005">
        <v>2021</v>
      </c>
      <c r="L1005">
        <v>27000</v>
      </c>
      <c r="O1005">
        <v>20925</v>
      </c>
      <c r="P1005">
        <v>2.0924999999999999E-2</v>
      </c>
      <c r="Q1005" t="s">
        <v>754</v>
      </c>
      <c r="R1005" s="141">
        <v>0.77500000000000002</v>
      </c>
    </row>
    <row r="1006" spans="1:18" x14ac:dyDescent="0.3">
      <c r="A1006" t="s">
        <v>126</v>
      </c>
      <c r="B1006" t="s">
        <v>125</v>
      </c>
      <c r="C1006" t="s">
        <v>468</v>
      </c>
      <c r="D1006" t="s">
        <v>468</v>
      </c>
      <c r="E1006">
        <v>5610</v>
      </c>
      <c r="F1006" t="s">
        <v>127</v>
      </c>
      <c r="G1006">
        <v>1600</v>
      </c>
      <c r="H1006" t="s">
        <v>148</v>
      </c>
      <c r="I1006">
        <v>2021</v>
      </c>
      <c r="J1006">
        <v>2021</v>
      </c>
      <c r="K1006" t="s">
        <v>339</v>
      </c>
      <c r="L1006">
        <v>0</v>
      </c>
      <c r="O1006">
        <v>0</v>
      </c>
      <c r="P1006">
        <v>0</v>
      </c>
      <c r="Q1006" t="s">
        <v>755</v>
      </c>
      <c r="R1006" s="141">
        <v>0.77500000000000002</v>
      </c>
    </row>
    <row r="1007" spans="1:18" x14ac:dyDescent="0.3">
      <c r="A1007" t="s">
        <v>126</v>
      </c>
      <c r="B1007" t="s">
        <v>125</v>
      </c>
      <c r="C1007" t="s">
        <v>468</v>
      </c>
      <c r="D1007" t="s">
        <v>468</v>
      </c>
      <c r="E1007">
        <v>5910</v>
      </c>
      <c r="F1007" t="s">
        <v>124</v>
      </c>
      <c r="G1007">
        <v>1600</v>
      </c>
      <c r="H1007" t="s">
        <v>148</v>
      </c>
      <c r="I1007">
        <v>2021</v>
      </c>
      <c r="J1007">
        <v>2021</v>
      </c>
      <c r="L1007">
        <v>0</v>
      </c>
      <c r="O1007">
        <v>0</v>
      </c>
      <c r="P1007">
        <v>0</v>
      </c>
      <c r="Q1007" t="s">
        <v>756</v>
      </c>
      <c r="R1007" s="141">
        <v>0.77500000000000002</v>
      </c>
    </row>
    <row r="1008" spans="1:18" x14ac:dyDescent="0.3">
      <c r="A1008" t="s">
        <v>126</v>
      </c>
      <c r="B1008" t="s">
        <v>125</v>
      </c>
      <c r="C1008" t="s">
        <v>468</v>
      </c>
      <c r="D1008" t="s">
        <v>468</v>
      </c>
      <c r="E1008">
        <v>5510</v>
      </c>
      <c r="F1008" t="s">
        <v>128</v>
      </c>
      <c r="G1008">
        <v>1693</v>
      </c>
      <c r="H1008" t="s">
        <v>114</v>
      </c>
      <c r="I1008">
        <v>2021</v>
      </c>
      <c r="J1008">
        <v>2021</v>
      </c>
      <c r="K1008" t="s">
        <v>339</v>
      </c>
      <c r="L1008">
        <v>34000</v>
      </c>
      <c r="O1008">
        <v>31450</v>
      </c>
      <c r="P1008">
        <v>3.1449999999999999E-2</v>
      </c>
      <c r="Q1008" t="s">
        <v>757</v>
      </c>
      <c r="R1008" s="141">
        <v>0.92500000000000004</v>
      </c>
    </row>
    <row r="1009" spans="1:18" x14ac:dyDescent="0.3">
      <c r="A1009" t="s">
        <v>126</v>
      </c>
      <c r="B1009" t="s">
        <v>125</v>
      </c>
      <c r="C1009" t="s">
        <v>468</v>
      </c>
      <c r="D1009" t="s">
        <v>468</v>
      </c>
      <c r="E1009">
        <v>5610</v>
      </c>
      <c r="F1009" t="s">
        <v>127</v>
      </c>
      <c r="G1009">
        <v>1693</v>
      </c>
      <c r="H1009" t="s">
        <v>114</v>
      </c>
      <c r="I1009">
        <v>2021</v>
      </c>
      <c r="J1009">
        <v>2021</v>
      </c>
      <c r="K1009" t="s">
        <v>339</v>
      </c>
      <c r="L1009">
        <v>13034.85</v>
      </c>
      <c r="O1009">
        <v>10851.512625000001</v>
      </c>
      <c r="P1009">
        <v>1.0851512625E-2</v>
      </c>
      <c r="Q1009" t="s">
        <v>758</v>
      </c>
      <c r="R1009" s="141">
        <v>0.92500000000000004</v>
      </c>
    </row>
    <row r="1010" spans="1:18" x14ac:dyDescent="0.3">
      <c r="A1010" t="s">
        <v>126</v>
      </c>
      <c r="B1010" t="s">
        <v>125</v>
      </c>
      <c r="C1010" t="s">
        <v>468</v>
      </c>
      <c r="D1010" t="s">
        <v>468</v>
      </c>
      <c r="E1010">
        <v>5910</v>
      </c>
      <c r="F1010" t="s">
        <v>124</v>
      </c>
      <c r="G1010">
        <v>1693</v>
      </c>
      <c r="H1010" t="s">
        <v>114</v>
      </c>
      <c r="I1010">
        <v>2021</v>
      </c>
      <c r="J1010">
        <v>2021</v>
      </c>
      <c r="K1010" t="s">
        <v>339</v>
      </c>
      <c r="L1010">
        <v>7458.44</v>
      </c>
      <c r="O1010">
        <v>6209.1512999999995</v>
      </c>
      <c r="P1010">
        <v>6.2091512999999992E-3</v>
      </c>
      <c r="Q1010" t="s">
        <v>759</v>
      </c>
      <c r="R1010" s="141">
        <v>0.92500000000000004</v>
      </c>
    </row>
    <row r="1011" spans="1:18" x14ac:dyDescent="0.3">
      <c r="A1011" t="s">
        <v>126</v>
      </c>
      <c r="B1011" t="s">
        <v>125</v>
      </c>
      <c r="C1011" t="s">
        <v>468</v>
      </c>
      <c r="D1011" t="s">
        <v>468</v>
      </c>
      <c r="E1011">
        <v>5516</v>
      </c>
      <c r="F1011" t="s">
        <v>128</v>
      </c>
      <c r="G1011">
        <v>1632</v>
      </c>
      <c r="H1011" t="s">
        <v>110</v>
      </c>
      <c r="I1011">
        <v>2021</v>
      </c>
      <c r="J1011">
        <v>2021</v>
      </c>
      <c r="K1011" t="s">
        <v>143</v>
      </c>
      <c r="L1011">
        <v>104409</v>
      </c>
      <c r="O1011">
        <v>50794.978500000005</v>
      </c>
      <c r="P1011">
        <v>5.0794978500000004E-2</v>
      </c>
      <c r="Q1011" t="s">
        <v>760</v>
      </c>
      <c r="R1011" s="141">
        <v>0.48650000000000004</v>
      </c>
    </row>
    <row r="1012" spans="1:18" x14ac:dyDescent="0.3">
      <c r="A1012" t="s">
        <v>126</v>
      </c>
      <c r="B1012" t="s">
        <v>125</v>
      </c>
      <c r="C1012" t="s">
        <v>468</v>
      </c>
      <c r="D1012" t="s">
        <v>468</v>
      </c>
      <c r="E1012">
        <v>5616</v>
      </c>
      <c r="F1012" t="s">
        <v>127</v>
      </c>
      <c r="G1012">
        <v>1632</v>
      </c>
      <c r="H1012" t="s">
        <v>110</v>
      </c>
      <c r="I1012">
        <v>2021</v>
      </c>
      <c r="J1012">
        <v>2021</v>
      </c>
      <c r="K1012" t="s">
        <v>143</v>
      </c>
      <c r="L1012">
        <v>7187913</v>
      </c>
      <c r="O1012">
        <v>3147227.7070500003</v>
      </c>
      <c r="P1012">
        <v>3.1472277070500003</v>
      </c>
      <c r="Q1012" t="s">
        <v>761</v>
      </c>
      <c r="R1012" s="141">
        <v>0.48650000000000004</v>
      </c>
    </row>
    <row r="1013" spans="1:18" x14ac:dyDescent="0.3">
      <c r="A1013" t="s">
        <v>126</v>
      </c>
      <c r="B1013" t="s">
        <v>125</v>
      </c>
      <c r="C1013" t="s">
        <v>468</v>
      </c>
      <c r="D1013" t="s">
        <v>468</v>
      </c>
      <c r="E1013">
        <v>5916</v>
      </c>
      <c r="F1013" t="s">
        <v>124</v>
      </c>
      <c r="G1013">
        <v>1632</v>
      </c>
      <c r="H1013" t="s">
        <v>110</v>
      </c>
      <c r="I1013">
        <v>2021</v>
      </c>
      <c r="J1013">
        <v>2021</v>
      </c>
      <c r="K1013" t="s">
        <v>143</v>
      </c>
      <c r="L1013">
        <v>64788</v>
      </c>
      <c r="O1013">
        <v>28367.425800000005</v>
      </c>
      <c r="P1013">
        <v>2.8367425800000002E-2</v>
      </c>
      <c r="Q1013" t="s">
        <v>762</v>
      </c>
      <c r="R1013" s="141">
        <v>0.48650000000000004</v>
      </c>
    </row>
    <row r="1014" spans="1:18" x14ac:dyDescent="0.3">
      <c r="A1014" t="s">
        <v>126</v>
      </c>
      <c r="B1014" t="s">
        <v>125</v>
      </c>
      <c r="C1014" t="s">
        <v>468</v>
      </c>
      <c r="D1014" t="s">
        <v>468</v>
      </c>
      <c r="E1014">
        <v>5516</v>
      </c>
      <c r="F1014" t="s">
        <v>128</v>
      </c>
      <c r="G1014">
        <v>1633</v>
      </c>
      <c r="H1014" t="s">
        <v>109</v>
      </c>
      <c r="I1014">
        <v>2021</v>
      </c>
      <c r="J1014">
        <v>2021</v>
      </c>
      <c r="K1014" t="s">
        <v>143</v>
      </c>
      <c r="L1014">
        <v>94320</v>
      </c>
      <c r="O1014">
        <v>60246.899999999994</v>
      </c>
      <c r="P1014">
        <v>6.0246899999999992E-2</v>
      </c>
      <c r="Q1014" t="s">
        <v>763</v>
      </c>
      <c r="R1014" s="141">
        <v>0.63874999999999993</v>
      </c>
    </row>
    <row r="1015" spans="1:18" x14ac:dyDescent="0.3">
      <c r="A1015" t="s">
        <v>126</v>
      </c>
      <c r="B1015" t="s">
        <v>125</v>
      </c>
      <c r="C1015" t="s">
        <v>468</v>
      </c>
      <c r="D1015" t="s">
        <v>468</v>
      </c>
      <c r="E1015">
        <v>5616</v>
      </c>
      <c r="F1015" t="s">
        <v>127</v>
      </c>
      <c r="G1015">
        <v>1633</v>
      </c>
      <c r="H1015" t="s">
        <v>109</v>
      </c>
      <c r="I1015">
        <v>2021</v>
      </c>
      <c r="J1015">
        <v>2021</v>
      </c>
      <c r="K1015" t="s">
        <v>143</v>
      </c>
      <c r="L1015">
        <v>1484560</v>
      </c>
      <c r="O1015">
        <v>853436.42999999982</v>
      </c>
      <c r="P1015">
        <v>0.8534364299999998</v>
      </c>
      <c r="Q1015" t="s">
        <v>764</v>
      </c>
      <c r="R1015" s="141">
        <v>0.63874999999999993</v>
      </c>
    </row>
    <row r="1016" spans="1:18" x14ac:dyDescent="0.3">
      <c r="A1016" t="s">
        <v>126</v>
      </c>
      <c r="B1016" t="s">
        <v>125</v>
      </c>
      <c r="C1016" t="s">
        <v>468</v>
      </c>
      <c r="D1016" t="s">
        <v>468</v>
      </c>
      <c r="E1016">
        <v>5916</v>
      </c>
      <c r="F1016" t="s">
        <v>124</v>
      </c>
      <c r="G1016">
        <v>1633</v>
      </c>
      <c r="H1016" t="s">
        <v>109</v>
      </c>
      <c r="I1016">
        <v>2021</v>
      </c>
      <c r="J1016">
        <v>2021</v>
      </c>
      <c r="K1016" t="s">
        <v>143</v>
      </c>
      <c r="L1016">
        <v>39991</v>
      </c>
      <c r="O1016">
        <v>22989.826125</v>
      </c>
      <c r="P1016">
        <v>2.2989826124999998E-2</v>
      </c>
      <c r="Q1016" t="s">
        <v>765</v>
      </c>
      <c r="R1016" s="141">
        <v>0.63874999999999993</v>
      </c>
    </row>
    <row r="1017" spans="1:18" x14ac:dyDescent="0.3">
      <c r="A1017" t="s">
        <v>126</v>
      </c>
      <c r="B1017" t="s">
        <v>125</v>
      </c>
      <c r="C1017" t="s">
        <v>468</v>
      </c>
      <c r="D1017" t="s">
        <v>468</v>
      </c>
      <c r="E1017">
        <v>5516</v>
      </c>
      <c r="F1017" t="s">
        <v>128</v>
      </c>
      <c r="G1017">
        <v>1634</v>
      </c>
      <c r="H1017" t="s">
        <v>108</v>
      </c>
      <c r="I1017">
        <v>2021</v>
      </c>
      <c r="J1017">
        <v>2021</v>
      </c>
      <c r="K1017" t="s">
        <v>143</v>
      </c>
      <c r="L1017">
        <v>38899</v>
      </c>
      <c r="O1017">
        <v>19755.635129999999</v>
      </c>
      <c r="P1017">
        <v>1.9755635129999997E-2</v>
      </c>
      <c r="Q1017" t="s">
        <v>766</v>
      </c>
      <c r="R1017" s="141">
        <v>0.50786999999999993</v>
      </c>
    </row>
    <row r="1018" spans="1:18" x14ac:dyDescent="0.3">
      <c r="A1018" t="s">
        <v>126</v>
      </c>
      <c r="B1018" t="s">
        <v>125</v>
      </c>
      <c r="C1018" t="s">
        <v>468</v>
      </c>
      <c r="D1018" t="s">
        <v>468</v>
      </c>
      <c r="E1018">
        <v>5616</v>
      </c>
      <c r="F1018" t="s">
        <v>127</v>
      </c>
      <c r="G1018">
        <v>1634</v>
      </c>
      <c r="H1018" t="s">
        <v>108</v>
      </c>
      <c r="I1018">
        <v>2021</v>
      </c>
      <c r="J1018">
        <v>2021</v>
      </c>
      <c r="K1018" t="s">
        <v>143</v>
      </c>
      <c r="L1018">
        <v>68315</v>
      </c>
      <c r="O1018">
        <v>31225.625144999998</v>
      </c>
      <c r="P1018">
        <v>3.1225625144999998E-2</v>
      </c>
      <c r="Q1018" t="s">
        <v>767</v>
      </c>
      <c r="R1018" s="141">
        <v>0.50786999999999993</v>
      </c>
    </row>
    <row r="1019" spans="1:18" x14ac:dyDescent="0.3">
      <c r="A1019" t="s">
        <v>126</v>
      </c>
      <c r="B1019" t="s">
        <v>125</v>
      </c>
      <c r="C1019" t="s">
        <v>468</v>
      </c>
      <c r="D1019" t="s">
        <v>468</v>
      </c>
      <c r="E1019">
        <v>5916</v>
      </c>
      <c r="F1019" t="s">
        <v>124</v>
      </c>
      <c r="G1019">
        <v>1634</v>
      </c>
      <c r="H1019" t="s">
        <v>108</v>
      </c>
      <c r="I1019">
        <v>2021</v>
      </c>
      <c r="J1019">
        <v>2021</v>
      </c>
      <c r="K1019" t="s">
        <v>143</v>
      </c>
      <c r="L1019">
        <v>3894</v>
      </c>
      <c r="O1019">
        <v>1779.8812019999998</v>
      </c>
      <c r="P1019">
        <v>1.7798812019999997E-3</v>
      </c>
      <c r="Q1019" t="s">
        <v>768</v>
      </c>
      <c r="R1019" s="141">
        <v>0.50786999999999993</v>
      </c>
    </row>
    <row r="1020" spans="1:18" x14ac:dyDescent="0.3">
      <c r="A1020" t="s">
        <v>126</v>
      </c>
      <c r="B1020" t="s">
        <v>125</v>
      </c>
      <c r="C1020" t="s">
        <v>468</v>
      </c>
      <c r="D1020" t="s">
        <v>468</v>
      </c>
      <c r="E1020">
        <v>5516</v>
      </c>
      <c r="F1020" t="s">
        <v>128</v>
      </c>
      <c r="G1020">
        <v>1640</v>
      </c>
      <c r="H1020" t="s">
        <v>104</v>
      </c>
      <c r="I1020">
        <v>2021</v>
      </c>
      <c r="J1020">
        <v>2021</v>
      </c>
      <c r="K1020" t="s">
        <v>143</v>
      </c>
      <c r="L1020">
        <v>337000</v>
      </c>
      <c r="O1020">
        <v>192595.5</v>
      </c>
      <c r="P1020">
        <v>0.1925955</v>
      </c>
      <c r="Q1020" t="s">
        <v>769</v>
      </c>
      <c r="R1020" s="141">
        <v>0.57150000000000001</v>
      </c>
    </row>
    <row r="1021" spans="1:18" x14ac:dyDescent="0.3">
      <c r="A1021" t="s">
        <v>126</v>
      </c>
      <c r="B1021" t="s">
        <v>125</v>
      </c>
      <c r="C1021" t="s">
        <v>468</v>
      </c>
      <c r="D1021" t="s">
        <v>468</v>
      </c>
      <c r="E1021">
        <v>5616</v>
      </c>
      <c r="F1021" t="s">
        <v>127</v>
      </c>
      <c r="G1021">
        <v>1640</v>
      </c>
      <c r="H1021" t="s">
        <v>104</v>
      </c>
      <c r="I1021">
        <v>2021</v>
      </c>
      <c r="J1021">
        <v>2021</v>
      </c>
      <c r="K1021" t="s">
        <v>143</v>
      </c>
      <c r="L1021">
        <v>2688570</v>
      </c>
      <c r="O1021">
        <v>1382865.9795000001</v>
      </c>
      <c r="P1021">
        <v>1.3828659795</v>
      </c>
      <c r="Q1021" t="s">
        <v>770</v>
      </c>
      <c r="R1021" s="141">
        <v>0.57150000000000001</v>
      </c>
    </row>
    <row r="1022" spans="1:18" x14ac:dyDescent="0.3">
      <c r="A1022" t="s">
        <v>126</v>
      </c>
      <c r="B1022" t="s">
        <v>125</v>
      </c>
      <c r="C1022" t="s">
        <v>468</v>
      </c>
      <c r="D1022" t="s">
        <v>468</v>
      </c>
      <c r="E1022">
        <v>5916</v>
      </c>
      <c r="F1022" t="s">
        <v>124</v>
      </c>
      <c r="G1022">
        <v>1640</v>
      </c>
      <c r="H1022" t="s">
        <v>104</v>
      </c>
      <c r="I1022">
        <v>2021</v>
      </c>
      <c r="J1022">
        <v>2021</v>
      </c>
      <c r="K1022" t="s">
        <v>143</v>
      </c>
      <c r="L1022">
        <v>136230</v>
      </c>
      <c r="O1022">
        <v>70069.900500000003</v>
      </c>
      <c r="P1022">
        <v>7.0069900500000004E-2</v>
      </c>
      <c r="Q1022" t="s">
        <v>771</v>
      </c>
      <c r="R1022" s="141">
        <v>0.57150000000000001</v>
      </c>
    </row>
    <row r="1023" spans="1:18" x14ac:dyDescent="0.3">
      <c r="A1023" t="s">
        <v>126</v>
      </c>
      <c r="B1023" t="s">
        <v>125</v>
      </c>
      <c r="C1023" t="s">
        <v>468</v>
      </c>
      <c r="D1023" t="s">
        <v>468</v>
      </c>
      <c r="E1023">
        <v>5516</v>
      </c>
      <c r="F1023" t="s">
        <v>128</v>
      </c>
      <c r="G1023">
        <v>1646</v>
      </c>
      <c r="H1023" t="s">
        <v>147</v>
      </c>
      <c r="I1023">
        <v>2021</v>
      </c>
      <c r="J1023">
        <v>2021</v>
      </c>
      <c r="L1023">
        <v>0</v>
      </c>
    </row>
    <row r="1024" spans="1:18" x14ac:dyDescent="0.3">
      <c r="A1024" t="s">
        <v>126</v>
      </c>
      <c r="B1024" t="s">
        <v>125</v>
      </c>
      <c r="C1024" t="s">
        <v>468</v>
      </c>
      <c r="D1024" t="s">
        <v>468</v>
      </c>
      <c r="E1024">
        <v>5616</v>
      </c>
      <c r="F1024" t="s">
        <v>127</v>
      </c>
      <c r="G1024">
        <v>1646</v>
      </c>
      <c r="H1024" t="s">
        <v>147</v>
      </c>
      <c r="I1024">
        <v>2021</v>
      </c>
      <c r="J1024">
        <v>2021</v>
      </c>
      <c r="L1024">
        <v>0</v>
      </c>
    </row>
    <row r="1025" spans="1:18" x14ac:dyDescent="0.3">
      <c r="A1025" t="s">
        <v>126</v>
      </c>
      <c r="B1025" t="s">
        <v>125</v>
      </c>
      <c r="C1025" t="s">
        <v>468</v>
      </c>
      <c r="D1025" t="s">
        <v>468</v>
      </c>
      <c r="E1025">
        <v>5916</v>
      </c>
      <c r="F1025" t="s">
        <v>124</v>
      </c>
      <c r="G1025">
        <v>1646</v>
      </c>
      <c r="H1025" t="s">
        <v>147</v>
      </c>
      <c r="I1025">
        <v>2021</v>
      </c>
      <c r="J1025">
        <v>2021</v>
      </c>
      <c r="L1025">
        <v>0</v>
      </c>
    </row>
    <row r="1026" spans="1:18" x14ac:dyDescent="0.3">
      <c r="A1026" t="s">
        <v>126</v>
      </c>
      <c r="B1026" t="s">
        <v>125</v>
      </c>
      <c r="C1026" t="s">
        <v>468</v>
      </c>
      <c r="D1026" t="s">
        <v>468</v>
      </c>
      <c r="E1026">
        <v>5516</v>
      </c>
      <c r="F1026" t="s">
        <v>128</v>
      </c>
      <c r="G1026">
        <v>1697</v>
      </c>
      <c r="H1026" t="s">
        <v>103</v>
      </c>
      <c r="I1026">
        <v>2021</v>
      </c>
      <c r="J1026">
        <v>2021</v>
      </c>
      <c r="K1026" t="s">
        <v>143</v>
      </c>
      <c r="L1026">
        <v>966300</v>
      </c>
      <c r="O1026">
        <v>548148.85971428582</v>
      </c>
      <c r="P1026">
        <v>0.54814885971428584</v>
      </c>
      <c r="Q1026" t="s">
        <v>772</v>
      </c>
      <c r="R1026" s="141">
        <v>0.56726571428571437</v>
      </c>
    </row>
    <row r="1027" spans="1:18" x14ac:dyDescent="0.3">
      <c r="A1027" t="s">
        <v>126</v>
      </c>
      <c r="B1027" t="s">
        <v>125</v>
      </c>
      <c r="C1027" t="s">
        <v>468</v>
      </c>
      <c r="D1027" t="s">
        <v>468</v>
      </c>
      <c r="E1027">
        <v>5616</v>
      </c>
      <c r="F1027" t="s">
        <v>127</v>
      </c>
      <c r="G1027">
        <v>1697</v>
      </c>
      <c r="H1027" t="s">
        <v>103</v>
      </c>
      <c r="I1027">
        <v>2021</v>
      </c>
      <c r="J1027">
        <v>2021</v>
      </c>
      <c r="K1027" t="s">
        <v>143</v>
      </c>
      <c r="L1027">
        <v>792769.62</v>
      </c>
      <c r="O1027">
        <v>404739.92227798293</v>
      </c>
      <c r="P1027">
        <v>0.40473992227798289</v>
      </c>
      <c r="Q1027" t="s">
        <v>773</v>
      </c>
      <c r="R1027" s="141">
        <v>0.56726571428571437</v>
      </c>
    </row>
    <row r="1028" spans="1:18" x14ac:dyDescent="0.3">
      <c r="A1028" t="s">
        <v>126</v>
      </c>
      <c r="B1028" t="s">
        <v>125</v>
      </c>
      <c r="C1028" t="s">
        <v>468</v>
      </c>
      <c r="D1028" t="s">
        <v>468</v>
      </c>
      <c r="E1028">
        <v>5916</v>
      </c>
      <c r="F1028" t="s">
        <v>124</v>
      </c>
      <c r="G1028">
        <v>1697</v>
      </c>
      <c r="H1028" t="s">
        <v>103</v>
      </c>
      <c r="I1028">
        <v>2021</v>
      </c>
      <c r="J1028">
        <v>2021</v>
      </c>
      <c r="K1028" t="s">
        <v>143</v>
      </c>
      <c r="L1028">
        <v>48813.120000000003</v>
      </c>
      <c r="O1028">
        <v>24921.008444982865</v>
      </c>
      <c r="P1028">
        <v>2.4921008444982864E-2</v>
      </c>
      <c r="Q1028" t="s">
        <v>774</v>
      </c>
      <c r="R1028" s="141">
        <v>0.56726571428571437</v>
      </c>
    </row>
    <row r="1029" spans="1:18" x14ac:dyDescent="0.3">
      <c r="A1029" t="s">
        <v>126</v>
      </c>
      <c r="B1029" t="s">
        <v>125</v>
      </c>
      <c r="C1029" t="s">
        <v>468</v>
      </c>
      <c r="D1029" t="s">
        <v>468</v>
      </c>
      <c r="E1029">
        <v>5516</v>
      </c>
      <c r="F1029" t="s">
        <v>128</v>
      </c>
      <c r="G1029">
        <v>1606</v>
      </c>
      <c r="H1029" t="s">
        <v>102</v>
      </c>
      <c r="I1029">
        <v>2021</v>
      </c>
      <c r="J1029">
        <v>2021</v>
      </c>
      <c r="K1029" t="s">
        <v>143</v>
      </c>
      <c r="L1029">
        <v>0</v>
      </c>
      <c r="O1029">
        <v>0</v>
      </c>
      <c r="P1029">
        <v>0</v>
      </c>
      <c r="Q1029" t="s">
        <v>775</v>
      </c>
      <c r="R1029" s="141">
        <v>0.57827142857142866</v>
      </c>
    </row>
    <row r="1030" spans="1:18" x14ac:dyDescent="0.3">
      <c r="A1030" t="s">
        <v>126</v>
      </c>
      <c r="B1030" t="s">
        <v>125</v>
      </c>
      <c r="C1030" t="s">
        <v>468</v>
      </c>
      <c r="D1030" t="s">
        <v>468</v>
      </c>
      <c r="E1030">
        <v>5616</v>
      </c>
      <c r="F1030" t="s">
        <v>127</v>
      </c>
      <c r="G1030">
        <v>1606</v>
      </c>
      <c r="H1030" t="s">
        <v>102</v>
      </c>
      <c r="I1030">
        <v>2021</v>
      </c>
      <c r="J1030">
        <v>2021</v>
      </c>
      <c r="K1030" t="s">
        <v>143</v>
      </c>
      <c r="L1030">
        <v>29376.659999999996</v>
      </c>
      <c r="O1030">
        <v>15288.914830371428</v>
      </c>
      <c r="P1030">
        <v>1.5288914830371427E-2</v>
      </c>
      <c r="Q1030" t="s">
        <v>776</v>
      </c>
      <c r="R1030" s="141">
        <v>0.57827142857142866</v>
      </c>
    </row>
    <row r="1031" spans="1:18" x14ac:dyDescent="0.3">
      <c r="A1031" t="s">
        <v>126</v>
      </c>
      <c r="B1031" t="s">
        <v>125</v>
      </c>
      <c r="C1031" t="s">
        <v>468</v>
      </c>
      <c r="D1031" t="s">
        <v>468</v>
      </c>
      <c r="E1031">
        <v>5916</v>
      </c>
      <c r="F1031" t="s">
        <v>124</v>
      </c>
      <c r="G1031">
        <v>1606</v>
      </c>
      <c r="H1031" t="s">
        <v>102</v>
      </c>
      <c r="I1031">
        <v>2021</v>
      </c>
      <c r="J1031">
        <v>2021</v>
      </c>
      <c r="K1031" t="s">
        <v>143</v>
      </c>
      <c r="L1031">
        <v>619.02</v>
      </c>
      <c r="O1031">
        <v>322.16542174285718</v>
      </c>
      <c r="P1031">
        <v>3.2216542174285718E-4</v>
      </c>
      <c r="Q1031" t="s">
        <v>777</v>
      </c>
      <c r="R1031" s="141">
        <v>0.57827142857142866</v>
      </c>
    </row>
    <row r="1032" spans="1:18" x14ac:dyDescent="0.3">
      <c r="A1032" t="s">
        <v>126</v>
      </c>
      <c r="B1032" t="s">
        <v>125</v>
      </c>
      <c r="C1032" t="s">
        <v>468</v>
      </c>
      <c r="D1032" t="s">
        <v>468</v>
      </c>
      <c r="E1032">
        <v>5516</v>
      </c>
      <c r="F1032" t="s">
        <v>128</v>
      </c>
      <c r="G1032">
        <v>1647</v>
      </c>
      <c r="H1032" t="s">
        <v>146</v>
      </c>
      <c r="I1032">
        <v>2021</v>
      </c>
      <c r="J1032">
        <v>2021</v>
      </c>
      <c r="K1032" t="s">
        <v>143</v>
      </c>
      <c r="L1032">
        <v>3000</v>
      </c>
      <c r="O1032">
        <v>2322</v>
      </c>
      <c r="P1032">
        <v>2.3219999999999998E-3</v>
      </c>
      <c r="Q1032" t="s">
        <v>778</v>
      </c>
      <c r="R1032" s="141">
        <v>0.77400000000000002</v>
      </c>
    </row>
    <row r="1033" spans="1:18" x14ac:dyDescent="0.3">
      <c r="A1033" t="s">
        <v>126</v>
      </c>
      <c r="B1033" t="s">
        <v>125</v>
      </c>
      <c r="C1033" t="s">
        <v>468</v>
      </c>
      <c r="D1033" t="s">
        <v>468</v>
      </c>
      <c r="E1033">
        <v>5616</v>
      </c>
      <c r="F1033" t="s">
        <v>127</v>
      </c>
      <c r="G1033">
        <v>1647</v>
      </c>
      <c r="H1033" t="s">
        <v>146</v>
      </c>
      <c r="I1033">
        <v>2021</v>
      </c>
      <c r="J1033">
        <v>2021</v>
      </c>
      <c r="K1033" t="s">
        <v>143</v>
      </c>
      <c r="L1033">
        <v>162840.60999999999</v>
      </c>
      <c r="O1033">
        <v>113434.76892599999</v>
      </c>
      <c r="P1033">
        <v>0.11343476892599999</v>
      </c>
      <c r="Q1033" t="s">
        <v>779</v>
      </c>
      <c r="R1033" s="141">
        <v>0.77400000000000002</v>
      </c>
    </row>
    <row r="1034" spans="1:18" x14ac:dyDescent="0.3">
      <c r="A1034" t="s">
        <v>126</v>
      </c>
      <c r="B1034" t="s">
        <v>125</v>
      </c>
      <c r="C1034" t="s">
        <v>468</v>
      </c>
      <c r="D1034" t="s">
        <v>468</v>
      </c>
      <c r="E1034">
        <v>5916</v>
      </c>
      <c r="F1034" t="s">
        <v>124</v>
      </c>
      <c r="G1034">
        <v>1647</v>
      </c>
      <c r="H1034" t="s">
        <v>146</v>
      </c>
      <c r="I1034">
        <v>2021</v>
      </c>
      <c r="J1034">
        <v>2021</v>
      </c>
      <c r="K1034" t="s">
        <v>143</v>
      </c>
      <c r="L1034">
        <v>7822.91</v>
      </c>
      <c r="O1034">
        <v>5449.4391060000007</v>
      </c>
      <c r="P1034">
        <v>5.4494391060000008E-3</v>
      </c>
      <c r="Q1034" t="s">
        <v>780</v>
      </c>
      <c r="R1034" s="141">
        <v>0.77400000000000002</v>
      </c>
    </row>
    <row r="1035" spans="1:18" x14ac:dyDescent="0.3">
      <c r="A1035" t="s">
        <v>126</v>
      </c>
      <c r="B1035" t="s">
        <v>125</v>
      </c>
      <c r="C1035" t="s">
        <v>468</v>
      </c>
      <c r="D1035" t="s">
        <v>468</v>
      </c>
      <c r="E1035">
        <v>5516</v>
      </c>
      <c r="F1035" t="s">
        <v>128</v>
      </c>
      <c r="G1035">
        <v>1648</v>
      </c>
      <c r="H1035" t="s">
        <v>145</v>
      </c>
      <c r="I1035">
        <v>2021</v>
      </c>
      <c r="J1035">
        <v>2021</v>
      </c>
      <c r="K1035" t="s">
        <v>143</v>
      </c>
      <c r="L1035">
        <v>2107000</v>
      </c>
      <c r="O1035">
        <v>1276616.25</v>
      </c>
      <c r="P1035">
        <v>1.27661625</v>
      </c>
      <c r="Q1035" t="s">
        <v>781</v>
      </c>
      <c r="R1035" s="141">
        <v>0.60589285714285712</v>
      </c>
    </row>
    <row r="1036" spans="1:18" x14ac:dyDescent="0.3">
      <c r="A1036" t="s">
        <v>126</v>
      </c>
      <c r="B1036" t="s">
        <v>125</v>
      </c>
      <c r="C1036" t="s">
        <v>468</v>
      </c>
      <c r="D1036" t="s">
        <v>468</v>
      </c>
      <c r="E1036">
        <v>5616</v>
      </c>
      <c r="F1036" t="s">
        <v>127</v>
      </c>
      <c r="G1036">
        <v>1648</v>
      </c>
      <c r="H1036" t="s">
        <v>145</v>
      </c>
      <c r="I1036">
        <v>2021</v>
      </c>
      <c r="J1036">
        <v>2021</v>
      </c>
      <c r="K1036" t="s">
        <v>143</v>
      </c>
      <c r="L1036">
        <v>4153621.6500000004</v>
      </c>
      <c r="O1036">
        <v>2264984.720108036</v>
      </c>
      <c r="P1036">
        <v>2.264984720108036</v>
      </c>
      <c r="Q1036" t="s">
        <v>782</v>
      </c>
      <c r="R1036" s="141">
        <v>0.60589285714285712</v>
      </c>
    </row>
    <row r="1037" spans="1:18" x14ac:dyDescent="0.3">
      <c r="A1037" t="s">
        <v>126</v>
      </c>
      <c r="B1037" t="s">
        <v>125</v>
      </c>
      <c r="C1037" t="s">
        <v>468</v>
      </c>
      <c r="D1037" t="s">
        <v>468</v>
      </c>
      <c r="E1037">
        <v>5916</v>
      </c>
      <c r="F1037" t="s">
        <v>124</v>
      </c>
      <c r="G1037">
        <v>1648</v>
      </c>
      <c r="H1037" t="s">
        <v>145</v>
      </c>
      <c r="I1037">
        <v>2021</v>
      </c>
      <c r="J1037">
        <v>2021</v>
      </c>
      <c r="K1037" t="s">
        <v>143</v>
      </c>
      <c r="L1037">
        <v>163482.29999999999</v>
      </c>
      <c r="O1037">
        <v>89147.482055357148</v>
      </c>
      <c r="P1037">
        <v>8.914748205535715E-2</v>
      </c>
      <c r="Q1037" t="s">
        <v>783</v>
      </c>
      <c r="R1037" s="141">
        <v>0.60589285714285712</v>
      </c>
    </row>
    <row r="1038" spans="1:18" x14ac:dyDescent="0.3">
      <c r="A1038" t="s">
        <v>126</v>
      </c>
      <c r="B1038" t="s">
        <v>125</v>
      </c>
      <c r="C1038" t="s">
        <v>468</v>
      </c>
      <c r="D1038" t="s">
        <v>468</v>
      </c>
      <c r="E1038">
        <v>5516</v>
      </c>
      <c r="F1038" t="s">
        <v>128</v>
      </c>
      <c r="G1038">
        <v>1650</v>
      </c>
      <c r="H1038" t="s">
        <v>144</v>
      </c>
      <c r="I1038">
        <v>2021</v>
      </c>
      <c r="J1038">
        <v>2021</v>
      </c>
      <c r="K1038" t="s">
        <v>143</v>
      </c>
      <c r="L1038">
        <v>0</v>
      </c>
      <c r="O1038">
        <v>0</v>
      </c>
      <c r="P1038">
        <v>0</v>
      </c>
      <c r="Q1038" t="s">
        <v>784</v>
      </c>
      <c r="R1038" s="141">
        <v>0.24401250000000002</v>
      </c>
    </row>
    <row r="1039" spans="1:18" x14ac:dyDescent="0.3">
      <c r="A1039" t="s">
        <v>126</v>
      </c>
      <c r="B1039" t="s">
        <v>125</v>
      </c>
      <c r="C1039" t="s">
        <v>468</v>
      </c>
      <c r="D1039" t="s">
        <v>468</v>
      </c>
      <c r="E1039">
        <v>5616</v>
      </c>
      <c r="F1039" t="s">
        <v>127</v>
      </c>
      <c r="G1039">
        <v>1650</v>
      </c>
      <c r="H1039" t="s">
        <v>144</v>
      </c>
      <c r="I1039">
        <v>2021</v>
      </c>
      <c r="J1039">
        <v>2021</v>
      </c>
      <c r="K1039" t="s">
        <v>143</v>
      </c>
      <c r="L1039">
        <v>331951.61</v>
      </c>
      <c r="O1039">
        <v>72900.308011612506</v>
      </c>
      <c r="P1039">
        <v>7.29003080116125E-2</v>
      </c>
      <c r="Q1039" t="s">
        <v>785</v>
      </c>
      <c r="R1039" s="141">
        <v>0.24401250000000002</v>
      </c>
    </row>
    <row r="1040" spans="1:18" x14ac:dyDescent="0.3">
      <c r="A1040" t="s">
        <v>126</v>
      </c>
      <c r="B1040" t="s">
        <v>125</v>
      </c>
      <c r="C1040" t="s">
        <v>468</v>
      </c>
      <c r="D1040" t="s">
        <v>468</v>
      </c>
      <c r="E1040">
        <v>5916</v>
      </c>
      <c r="F1040" t="s">
        <v>124</v>
      </c>
      <c r="G1040">
        <v>1650</v>
      </c>
      <c r="H1040" t="s">
        <v>144</v>
      </c>
      <c r="I1040">
        <v>2021</v>
      </c>
      <c r="J1040">
        <v>2021</v>
      </c>
      <c r="K1040" t="s">
        <v>143</v>
      </c>
      <c r="L1040">
        <v>7625.9599999999991</v>
      </c>
      <c r="O1040">
        <v>1674.7466080500001</v>
      </c>
      <c r="P1040">
        <v>1.6747466080500001E-3</v>
      </c>
      <c r="Q1040" t="s">
        <v>786</v>
      </c>
      <c r="R1040" s="141">
        <v>0.24401250000000002</v>
      </c>
    </row>
    <row r="1041" spans="1:18" x14ac:dyDescent="0.3">
      <c r="A1041" t="s">
        <v>126</v>
      </c>
      <c r="B1041" t="s">
        <v>125</v>
      </c>
      <c r="C1041" t="s">
        <v>468</v>
      </c>
      <c r="D1041" t="s">
        <v>468</v>
      </c>
      <c r="E1041">
        <v>5516</v>
      </c>
      <c r="F1041" t="s">
        <v>128</v>
      </c>
      <c r="G1041">
        <v>1649</v>
      </c>
      <c r="H1041" t="s">
        <v>142</v>
      </c>
      <c r="I1041">
        <v>2021</v>
      </c>
      <c r="J1041">
        <v>2021</v>
      </c>
      <c r="L1041">
        <v>0</v>
      </c>
    </row>
    <row r="1042" spans="1:18" x14ac:dyDescent="0.3">
      <c r="A1042" t="s">
        <v>126</v>
      </c>
      <c r="B1042" t="s">
        <v>125</v>
      </c>
      <c r="C1042" t="s">
        <v>468</v>
      </c>
      <c r="D1042" t="s">
        <v>468</v>
      </c>
      <c r="E1042">
        <v>5616</v>
      </c>
      <c r="F1042" t="s">
        <v>127</v>
      </c>
      <c r="G1042">
        <v>1649</v>
      </c>
      <c r="H1042" t="s">
        <v>142</v>
      </c>
      <c r="I1042">
        <v>2021</v>
      </c>
      <c r="J1042">
        <v>2021</v>
      </c>
      <c r="L1042">
        <v>0</v>
      </c>
    </row>
    <row r="1043" spans="1:18" x14ac:dyDescent="0.3">
      <c r="A1043" t="s">
        <v>126</v>
      </c>
      <c r="B1043" t="s">
        <v>125</v>
      </c>
      <c r="C1043" t="s">
        <v>468</v>
      </c>
      <c r="D1043" t="s">
        <v>468</v>
      </c>
      <c r="E1043">
        <v>5916</v>
      </c>
      <c r="F1043" t="s">
        <v>124</v>
      </c>
      <c r="G1043">
        <v>1649</v>
      </c>
      <c r="H1043" t="s">
        <v>142</v>
      </c>
      <c r="I1043">
        <v>2021</v>
      </c>
      <c r="J1043">
        <v>2021</v>
      </c>
      <c r="L1043">
        <v>0</v>
      </c>
    </row>
    <row r="1044" spans="1:18" x14ac:dyDescent="0.3">
      <c r="A1044" t="s">
        <v>126</v>
      </c>
      <c r="B1044" t="s">
        <v>125</v>
      </c>
      <c r="C1044" t="s">
        <v>468</v>
      </c>
      <c r="D1044" t="s">
        <v>468</v>
      </c>
      <c r="E1044">
        <v>5510</v>
      </c>
      <c r="F1044" t="s">
        <v>128</v>
      </c>
      <c r="G1044">
        <v>1685</v>
      </c>
      <c r="H1044" t="s">
        <v>98</v>
      </c>
      <c r="I1044">
        <v>2021</v>
      </c>
      <c r="J1044">
        <v>2021</v>
      </c>
      <c r="K1044" t="s">
        <v>339</v>
      </c>
      <c r="L1044">
        <v>134000</v>
      </c>
      <c r="O1044">
        <v>120600</v>
      </c>
      <c r="P1044">
        <v>0.1206</v>
      </c>
      <c r="Q1044" t="s">
        <v>787</v>
      </c>
      <c r="R1044" s="141">
        <v>0.9</v>
      </c>
    </row>
    <row r="1045" spans="1:18" x14ac:dyDescent="0.3">
      <c r="A1045" t="s">
        <v>126</v>
      </c>
      <c r="B1045" t="s">
        <v>125</v>
      </c>
      <c r="C1045" t="s">
        <v>468</v>
      </c>
      <c r="D1045" t="s">
        <v>468</v>
      </c>
      <c r="E1045">
        <v>5610</v>
      </c>
      <c r="F1045" t="s">
        <v>127</v>
      </c>
      <c r="G1045">
        <v>1685</v>
      </c>
      <c r="H1045" t="s">
        <v>98</v>
      </c>
      <c r="I1045">
        <v>2021</v>
      </c>
      <c r="J1045">
        <v>2021</v>
      </c>
      <c r="K1045" t="s">
        <v>339</v>
      </c>
      <c r="L1045">
        <v>20481.57</v>
      </c>
      <c r="O1045">
        <v>16590.0717</v>
      </c>
      <c r="P1045">
        <v>1.65900717E-2</v>
      </c>
      <c r="Q1045" t="s">
        <v>788</v>
      </c>
      <c r="R1045" s="141">
        <v>0.9</v>
      </c>
    </row>
    <row r="1046" spans="1:18" x14ac:dyDescent="0.3">
      <c r="A1046" t="s">
        <v>126</v>
      </c>
      <c r="B1046" t="s">
        <v>125</v>
      </c>
      <c r="C1046" t="s">
        <v>468</v>
      </c>
      <c r="D1046" t="s">
        <v>468</v>
      </c>
      <c r="E1046">
        <v>5910</v>
      </c>
      <c r="F1046" t="s">
        <v>124</v>
      </c>
      <c r="G1046">
        <v>1685</v>
      </c>
      <c r="H1046" t="s">
        <v>98</v>
      </c>
      <c r="I1046">
        <v>2021</v>
      </c>
      <c r="J1046">
        <v>2021</v>
      </c>
      <c r="K1046" t="s">
        <v>339</v>
      </c>
      <c r="L1046">
        <v>2614.5100000000002</v>
      </c>
      <c r="O1046">
        <v>2117.7531000000004</v>
      </c>
      <c r="P1046">
        <v>2.1177531000000005E-3</v>
      </c>
      <c r="Q1046" t="s">
        <v>789</v>
      </c>
      <c r="R1046" s="141">
        <v>0.9</v>
      </c>
    </row>
    <row r="1047" spans="1:18" x14ac:dyDescent="0.3">
      <c r="A1047" t="s">
        <v>126</v>
      </c>
      <c r="B1047" t="s">
        <v>125</v>
      </c>
      <c r="C1047" t="s">
        <v>468</v>
      </c>
      <c r="D1047" t="s">
        <v>468</v>
      </c>
      <c r="E1047">
        <v>5510</v>
      </c>
      <c r="F1047" t="s">
        <v>128</v>
      </c>
      <c r="G1047">
        <v>1654</v>
      </c>
      <c r="H1047" t="s">
        <v>141</v>
      </c>
      <c r="I1047">
        <v>2021</v>
      </c>
      <c r="J1047">
        <v>2021</v>
      </c>
      <c r="L1047">
        <v>0</v>
      </c>
    </row>
    <row r="1048" spans="1:18" x14ac:dyDescent="0.3">
      <c r="A1048" t="s">
        <v>126</v>
      </c>
      <c r="B1048" t="s">
        <v>125</v>
      </c>
      <c r="C1048" t="s">
        <v>468</v>
      </c>
      <c r="D1048" t="s">
        <v>468</v>
      </c>
      <c r="E1048">
        <v>5610</v>
      </c>
      <c r="F1048" t="s">
        <v>127</v>
      </c>
      <c r="G1048">
        <v>1654</v>
      </c>
      <c r="H1048" t="s">
        <v>141</v>
      </c>
      <c r="I1048">
        <v>2021</v>
      </c>
      <c r="J1048">
        <v>2021</v>
      </c>
      <c r="L1048">
        <v>0</v>
      </c>
    </row>
    <row r="1049" spans="1:18" x14ac:dyDescent="0.3">
      <c r="A1049" t="s">
        <v>126</v>
      </c>
      <c r="B1049" t="s">
        <v>125</v>
      </c>
      <c r="C1049" t="s">
        <v>468</v>
      </c>
      <c r="D1049" t="s">
        <v>468</v>
      </c>
      <c r="E1049">
        <v>5910</v>
      </c>
      <c r="F1049" t="s">
        <v>124</v>
      </c>
      <c r="G1049">
        <v>1654</v>
      </c>
      <c r="H1049" t="s">
        <v>141</v>
      </c>
      <c r="I1049">
        <v>2021</v>
      </c>
      <c r="J1049">
        <v>2021</v>
      </c>
      <c r="L1049">
        <v>0</v>
      </c>
    </row>
    <row r="1050" spans="1:18" x14ac:dyDescent="0.3">
      <c r="A1050" t="s">
        <v>126</v>
      </c>
      <c r="B1050" t="s">
        <v>125</v>
      </c>
      <c r="C1050" t="s">
        <v>468</v>
      </c>
      <c r="D1050" t="s">
        <v>468</v>
      </c>
      <c r="E1050">
        <v>5510</v>
      </c>
      <c r="F1050" t="s">
        <v>128</v>
      </c>
      <c r="G1050">
        <v>1655</v>
      </c>
      <c r="H1050" t="s">
        <v>140</v>
      </c>
      <c r="I1050">
        <v>2021</v>
      </c>
      <c r="J1050">
        <v>2021</v>
      </c>
      <c r="L1050">
        <v>0</v>
      </c>
    </row>
    <row r="1051" spans="1:18" x14ac:dyDescent="0.3">
      <c r="A1051" t="s">
        <v>126</v>
      </c>
      <c r="B1051" t="s">
        <v>125</v>
      </c>
      <c r="C1051" t="s">
        <v>468</v>
      </c>
      <c r="D1051" t="s">
        <v>468</v>
      </c>
      <c r="E1051">
        <v>5610</v>
      </c>
      <c r="F1051" t="s">
        <v>127</v>
      </c>
      <c r="G1051">
        <v>1655</v>
      </c>
      <c r="H1051" t="s">
        <v>140</v>
      </c>
      <c r="I1051">
        <v>2021</v>
      </c>
      <c r="J1051">
        <v>2021</v>
      </c>
      <c r="L1051">
        <v>0</v>
      </c>
    </row>
    <row r="1052" spans="1:18" x14ac:dyDescent="0.3">
      <c r="A1052" t="s">
        <v>126</v>
      </c>
      <c r="B1052" t="s">
        <v>125</v>
      </c>
      <c r="C1052" t="s">
        <v>468</v>
      </c>
      <c r="D1052" t="s">
        <v>468</v>
      </c>
      <c r="E1052">
        <v>5910</v>
      </c>
      <c r="F1052" t="s">
        <v>124</v>
      </c>
      <c r="G1052">
        <v>1655</v>
      </c>
      <c r="H1052" t="s">
        <v>140</v>
      </c>
      <c r="I1052">
        <v>2021</v>
      </c>
      <c r="J1052">
        <v>2021</v>
      </c>
      <c r="L1052">
        <v>0</v>
      </c>
    </row>
    <row r="1053" spans="1:18" x14ac:dyDescent="0.3">
      <c r="A1053" t="s">
        <v>126</v>
      </c>
      <c r="B1053" t="s">
        <v>125</v>
      </c>
      <c r="C1053" t="s">
        <v>468</v>
      </c>
      <c r="D1053" t="s">
        <v>468</v>
      </c>
      <c r="E1053">
        <v>5510</v>
      </c>
      <c r="F1053" t="s">
        <v>128</v>
      </c>
      <c r="G1053">
        <v>1656</v>
      </c>
      <c r="H1053" t="s">
        <v>97</v>
      </c>
      <c r="I1053">
        <v>2021</v>
      </c>
      <c r="J1053">
        <v>2021</v>
      </c>
      <c r="K1053" t="s">
        <v>339</v>
      </c>
      <c r="L1053">
        <v>116000</v>
      </c>
      <c r="O1053">
        <v>104400</v>
      </c>
      <c r="P1053">
        <v>0.10439999999999999</v>
      </c>
      <c r="Q1053" t="s">
        <v>790</v>
      </c>
      <c r="R1053" s="141">
        <v>0.9</v>
      </c>
    </row>
    <row r="1054" spans="1:18" x14ac:dyDescent="0.3">
      <c r="A1054" t="s">
        <v>126</v>
      </c>
      <c r="B1054" t="s">
        <v>125</v>
      </c>
      <c r="C1054" t="s">
        <v>468</v>
      </c>
      <c r="D1054" t="s">
        <v>468</v>
      </c>
      <c r="E1054">
        <v>5610</v>
      </c>
      <c r="F1054" t="s">
        <v>127</v>
      </c>
      <c r="G1054">
        <v>1656</v>
      </c>
      <c r="H1054" t="s">
        <v>97</v>
      </c>
      <c r="I1054">
        <v>2021</v>
      </c>
      <c r="J1054">
        <v>2021</v>
      </c>
      <c r="K1054" t="s">
        <v>339</v>
      </c>
      <c r="L1054">
        <v>1434892.28</v>
      </c>
      <c r="O1054">
        <v>1162262.7468000001</v>
      </c>
      <c r="P1054">
        <v>1.1622627468</v>
      </c>
      <c r="Q1054" t="s">
        <v>791</v>
      </c>
      <c r="R1054" s="141">
        <v>0.9</v>
      </c>
    </row>
    <row r="1055" spans="1:18" x14ac:dyDescent="0.3">
      <c r="A1055" t="s">
        <v>126</v>
      </c>
      <c r="B1055" t="s">
        <v>125</v>
      </c>
      <c r="C1055" t="s">
        <v>468</v>
      </c>
      <c r="D1055" t="s">
        <v>468</v>
      </c>
      <c r="E1055">
        <v>5910</v>
      </c>
      <c r="F1055" t="s">
        <v>124</v>
      </c>
      <c r="G1055">
        <v>1656</v>
      </c>
      <c r="H1055" t="s">
        <v>97</v>
      </c>
      <c r="I1055">
        <v>2021</v>
      </c>
      <c r="J1055">
        <v>2021</v>
      </c>
      <c r="K1055" t="s">
        <v>339</v>
      </c>
      <c r="L1055">
        <v>76456.12</v>
      </c>
      <c r="O1055">
        <v>61929.457200000004</v>
      </c>
      <c r="P1055">
        <v>6.1929457200000003E-2</v>
      </c>
      <c r="Q1055" t="s">
        <v>792</v>
      </c>
      <c r="R1055" s="141">
        <v>0.9</v>
      </c>
    </row>
    <row r="1056" spans="1:18" x14ac:dyDescent="0.3">
      <c r="A1056" t="s">
        <v>126</v>
      </c>
      <c r="B1056" t="s">
        <v>125</v>
      </c>
      <c r="C1056" t="s">
        <v>468</v>
      </c>
      <c r="D1056" t="s">
        <v>468</v>
      </c>
      <c r="E1056">
        <v>5510</v>
      </c>
      <c r="F1056" t="s">
        <v>128</v>
      </c>
      <c r="G1056">
        <v>1662</v>
      </c>
      <c r="H1056" t="s">
        <v>139</v>
      </c>
      <c r="I1056">
        <v>2021</v>
      </c>
      <c r="J1056">
        <v>2021</v>
      </c>
      <c r="K1056" t="s">
        <v>339</v>
      </c>
      <c r="L1056">
        <v>0</v>
      </c>
    </row>
    <row r="1057" spans="1:18" x14ac:dyDescent="0.3">
      <c r="A1057" t="s">
        <v>126</v>
      </c>
      <c r="B1057" t="s">
        <v>125</v>
      </c>
      <c r="C1057" t="s">
        <v>468</v>
      </c>
      <c r="D1057" t="s">
        <v>468</v>
      </c>
      <c r="E1057">
        <v>5610</v>
      </c>
      <c r="F1057" t="s">
        <v>127</v>
      </c>
      <c r="G1057">
        <v>1662</v>
      </c>
      <c r="H1057" t="s">
        <v>139</v>
      </c>
      <c r="I1057">
        <v>2021</v>
      </c>
      <c r="J1057">
        <v>2021</v>
      </c>
      <c r="K1057" t="s">
        <v>339</v>
      </c>
      <c r="L1057">
        <v>16915.18</v>
      </c>
    </row>
    <row r="1058" spans="1:18" x14ac:dyDescent="0.3">
      <c r="A1058" t="s">
        <v>126</v>
      </c>
      <c r="B1058" t="s">
        <v>125</v>
      </c>
      <c r="C1058" t="s">
        <v>468</v>
      </c>
      <c r="D1058" t="s">
        <v>468</v>
      </c>
      <c r="E1058">
        <v>5910</v>
      </c>
      <c r="F1058" t="s">
        <v>124</v>
      </c>
      <c r="G1058">
        <v>1662</v>
      </c>
      <c r="H1058" t="s">
        <v>139</v>
      </c>
      <c r="I1058">
        <v>2021</v>
      </c>
      <c r="J1058">
        <v>2021</v>
      </c>
      <c r="K1058" t="s">
        <v>339</v>
      </c>
      <c r="L1058">
        <v>868.98</v>
      </c>
    </row>
    <row r="1059" spans="1:18" x14ac:dyDescent="0.3">
      <c r="A1059" t="s">
        <v>126</v>
      </c>
      <c r="B1059" t="s">
        <v>125</v>
      </c>
      <c r="C1059" t="s">
        <v>468</v>
      </c>
      <c r="D1059" t="s">
        <v>468</v>
      </c>
      <c r="E1059">
        <v>5510</v>
      </c>
      <c r="F1059" t="s">
        <v>128</v>
      </c>
      <c r="G1059">
        <v>1663</v>
      </c>
      <c r="H1059" t="s">
        <v>138</v>
      </c>
      <c r="I1059">
        <v>2021</v>
      </c>
      <c r="J1059">
        <v>2021</v>
      </c>
      <c r="K1059" t="s">
        <v>339</v>
      </c>
      <c r="L1059">
        <v>116000</v>
      </c>
    </row>
    <row r="1060" spans="1:18" x14ac:dyDescent="0.3">
      <c r="A1060" t="s">
        <v>126</v>
      </c>
      <c r="B1060" t="s">
        <v>125</v>
      </c>
      <c r="C1060" t="s">
        <v>468</v>
      </c>
      <c r="D1060" t="s">
        <v>468</v>
      </c>
      <c r="E1060">
        <v>5610</v>
      </c>
      <c r="F1060" t="s">
        <v>127</v>
      </c>
      <c r="G1060">
        <v>1663</v>
      </c>
      <c r="H1060" t="s">
        <v>138</v>
      </c>
      <c r="I1060">
        <v>2021</v>
      </c>
      <c r="J1060">
        <v>2021</v>
      </c>
      <c r="K1060" t="s">
        <v>339</v>
      </c>
      <c r="L1060">
        <v>1406571.94</v>
      </c>
    </row>
    <row r="1061" spans="1:18" x14ac:dyDescent="0.3">
      <c r="A1061" t="s">
        <v>126</v>
      </c>
      <c r="B1061" t="s">
        <v>125</v>
      </c>
      <c r="C1061" t="s">
        <v>468</v>
      </c>
      <c r="D1061" t="s">
        <v>468</v>
      </c>
      <c r="E1061">
        <v>5910</v>
      </c>
      <c r="F1061" t="s">
        <v>124</v>
      </c>
      <c r="G1061">
        <v>1663</v>
      </c>
      <c r="H1061" t="s">
        <v>138</v>
      </c>
      <c r="I1061">
        <v>2021</v>
      </c>
      <c r="J1061">
        <v>2021</v>
      </c>
      <c r="K1061" t="s">
        <v>339</v>
      </c>
      <c r="L1061">
        <v>74823.14</v>
      </c>
    </row>
    <row r="1062" spans="1:18" x14ac:dyDescent="0.3">
      <c r="A1062" t="s">
        <v>126</v>
      </c>
      <c r="B1062" t="s">
        <v>125</v>
      </c>
      <c r="C1062" t="s">
        <v>468</v>
      </c>
      <c r="D1062" t="s">
        <v>468</v>
      </c>
      <c r="E1062">
        <v>5510</v>
      </c>
      <c r="F1062" t="s">
        <v>128</v>
      </c>
      <c r="G1062">
        <v>1686</v>
      </c>
      <c r="H1062" t="s">
        <v>137</v>
      </c>
      <c r="I1062">
        <v>2021</v>
      </c>
      <c r="J1062">
        <v>2021</v>
      </c>
      <c r="K1062" t="s">
        <v>339</v>
      </c>
      <c r="L1062">
        <v>0</v>
      </c>
    </row>
    <row r="1063" spans="1:18" x14ac:dyDescent="0.3">
      <c r="A1063" t="s">
        <v>126</v>
      </c>
      <c r="B1063" t="s">
        <v>125</v>
      </c>
      <c r="C1063" t="s">
        <v>468</v>
      </c>
      <c r="D1063" t="s">
        <v>468</v>
      </c>
      <c r="E1063">
        <v>5610</v>
      </c>
      <c r="F1063" t="s">
        <v>127</v>
      </c>
      <c r="G1063">
        <v>1686</v>
      </c>
      <c r="H1063" t="s">
        <v>137</v>
      </c>
      <c r="I1063">
        <v>2021</v>
      </c>
      <c r="J1063">
        <v>2021</v>
      </c>
      <c r="K1063" t="s">
        <v>339</v>
      </c>
      <c r="L1063">
        <v>11405.17</v>
      </c>
    </row>
    <row r="1064" spans="1:18" x14ac:dyDescent="0.3">
      <c r="A1064" t="s">
        <v>126</v>
      </c>
      <c r="B1064" t="s">
        <v>125</v>
      </c>
      <c r="C1064" t="s">
        <v>468</v>
      </c>
      <c r="D1064" t="s">
        <v>468</v>
      </c>
      <c r="E1064">
        <v>5910</v>
      </c>
      <c r="F1064" t="s">
        <v>124</v>
      </c>
      <c r="G1064">
        <v>1686</v>
      </c>
      <c r="H1064" t="s">
        <v>137</v>
      </c>
      <c r="I1064">
        <v>2021</v>
      </c>
      <c r="J1064">
        <v>2021</v>
      </c>
      <c r="K1064" t="s">
        <v>339</v>
      </c>
      <c r="L1064">
        <v>764</v>
      </c>
    </row>
    <row r="1065" spans="1:18" x14ac:dyDescent="0.3">
      <c r="A1065" t="s">
        <v>126</v>
      </c>
      <c r="B1065" t="s">
        <v>125</v>
      </c>
      <c r="C1065" t="s">
        <v>468</v>
      </c>
      <c r="D1065" t="s">
        <v>468</v>
      </c>
      <c r="E1065">
        <v>5510</v>
      </c>
      <c r="F1065" t="s">
        <v>128</v>
      </c>
      <c r="G1065">
        <v>1660</v>
      </c>
      <c r="H1065" t="s">
        <v>136</v>
      </c>
      <c r="I1065">
        <v>2021</v>
      </c>
      <c r="J1065">
        <v>2021</v>
      </c>
      <c r="L1065">
        <v>0</v>
      </c>
    </row>
    <row r="1066" spans="1:18" x14ac:dyDescent="0.3">
      <c r="A1066" t="s">
        <v>126</v>
      </c>
      <c r="B1066" t="s">
        <v>125</v>
      </c>
      <c r="C1066" t="s">
        <v>468</v>
      </c>
      <c r="D1066" t="s">
        <v>468</v>
      </c>
      <c r="E1066">
        <v>5610</v>
      </c>
      <c r="F1066" t="s">
        <v>127</v>
      </c>
      <c r="G1066">
        <v>1660</v>
      </c>
      <c r="H1066" t="s">
        <v>136</v>
      </c>
      <c r="I1066">
        <v>2021</v>
      </c>
      <c r="J1066">
        <v>2021</v>
      </c>
      <c r="L1066">
        <v>0</v>
      </c>
    </row>
    <row r="1067" spans="1:18" x14ac:dyDescent="0.3">
      <c r="A1067" t="s">
        <v>126</v>
      </c>
      <c r="B1067" t="s">
        <v>125</v>
      </c>
      <c r="C1067" t="s">
        <v>468</v>
      </c>
      <c r="D1067" t="s">
        <v>468</v>
      </c>
      <c r="E1067">
        <v>5910</v>
      </c>
      <c r="F1067" t="s">
        <v>124</v>
      </c>
      <c r="G1067">
        <v>1660</v>
      </c>
      <c r="H1067" t="s">
        <v>136</v>
      </c>
      <c r="I1067">
        <v>2021</v>
      </c>
      <c r="J1067">
        <v>2021</v>
      </c>
      <c r="L1067">
        <v>0</v>
      </c>
    </row>
    <row r="1068" spans="1:18" x14ac:dyDescent="0.3">
      <c r="A1068" t="s">
        <v>126</v>
      </c>
      <c r="B1068" t="s">
        <v>125</v>
      </c>
      <c r="C1068" t="s">
        <v>468</v>
      </c>
      <c r="D1068" t="s">
        <v>468</v>
      </c>
      <c r="E1068">
        <v>5510</v>
      </c>
      <c r="F1068" t="s">
        <v>128</v>
      </c>
      <c r="G1068">
        <v>1661</v>
      </c>
      <c r="H1068" t="s">
        <v>135</v>
      </c>
      <c r="I1068">
        <v>2021</v>
      </c>
      <c r="J1068">
        <v>2021</v>
      </c>
      <c r="L1068">
        <v>0</v>
      </c>
    </row>
    <row r="1069" spans="1:18" x14ac:dyDescent="0.3">
      <c r="A1069" t="s">
        <v>126</v>
      </c>
      <c r="B1069" t="s">
        <v>125</v>
      </c>
      <c r="C1069" t="s">
        <v>468</v>
      </c>
      <c r="D1069" t="s">
        <v>468</v>
      </c>
      <c r="E1069">
        <v>5610</v>
      </c>
      <c r="F1069" t="s">
        <v>127</v>
      </c>
      <c r="G1069">
        <v>1661</v>
      </c>
      <c r="H1069" t="s">
        <v>135</v>
      </c>
      <c r="I1069">
        <v>2021</v>
      </c>
      <c r="J1069">
        <v>2021</v>
      </c>
      <c r="L1069">
        <v>0</v>
      </c>
    </row>
    <row r="1070" spans="1:18" x14ac:dyDescent="0.3">
      <c r="A1070" t="s">
        <v>126</v>
      </c>
      <c r="B1070" t="s">
        <v>125</v>
      </c>
      <c r="C1070" t="s">
        <v>468</v>
      </c>
      <c r="D1070" t="s">
        <v>468</v>
      </c>
      <c r="E1070">
        <v>5910</v>
      </c>
      <c r="F1070" t="s">
        <v>124</v>
      </c>
      <c r="G1070">
        <v>1661</v>
      </c>
      <c r="H1070" t="s">
        <v>135</v>
      </c>
      <c r="I1070">
        <v>2021</v>
      </c>
      <c r="J1070">
        <v>2021</v>
      </c>
      <c r="L1070">
        <v>0</v>
      </c>
    </row>
    <row r="1071" spans="1:18" x14ac:dyDescent="0.3">
      <c r="A1071" t="s">
        <v>126</v>
      </c>
      <c r="B1071" t="s">
        <v>125</v>
      </c>
      <c r="C1071" t="s">
        <v>468</v>
      </c>
      <c r="D1071" t="s">
        <v>468</v>
      </c>
      <c r="E1071">
        <v>5510</v>
      </c>
      <c r="F1071" t="s">
        <v>128</v>
      </c>
      <c r="G1071">
        <v>1667</v>
      </c>
      <c r="H1071" t="s">
        <v>96</v>
      </c>
      <c r="I1071">
        <v>2021</v>
      </c>
      <c r="J1071">
        <v>2021</v>
      </c>
      <c r="K1071" t="s">
        <v>339</v>
      </c>
      <c r="L1071">
        <v>72500</v>
      </c>
      <c r="O1071">
        <v>65250</v>
      </c>
      <c r="P1071">
        <v>6.5250000000000002E-2</v>
      </c>
      <c r="Q1071" t="s">
        <v>793</v>
      </c>
      <c r="R1071" s="141">
        <v>0.9</v>
      </c>
    </row>
    <row r="1072" spans="1:18" x14ac:dyDescent="0.3">
      <c r="A1072" t="s">
        <v>126</v>
      </c>
      <c r="B1072" t="s">
        <v>125</v>
      </c>
      <c r="C1072" t="s">
        <v>468</v>
      </c>
      <c r="D1072" t="s">
        <v>468</v>
      </c>
      <c r="E1072">
        <v>5610</v>
      </c>
      <c r="F1072" t="s">
        <v>127</v>
      </c>
      <c r="G1072">
        <v>1667</v>
      </c>
      <c r="H1072" t="s">
        <v>96</v>
      </c>
      <c r="I1072">
        <v>2021</v>
      </c>
      <c r="J1072">
        <v>2021</v>
      </c>
      <c r="K1072" t="s">
        <v>339</v>
      </c>
      <c r="L1072">
        <v>15121.9</v>
      </c>
      <c r="O1072">
        <v>12248.739</v>
      </c>
      <c r="P1072">
        <v>1.2248739E-2</v>
      </c>
      <c r="Q1072" t="s">
        <v>794</v>
      </c>
      <c r="R1072" s="141">
        <v>0.9</v>
      </c>
    </row>
    <row r="1073" spans="1:18" x14ac:dyDescent="0.3">
      <c r="A1073" t="s">
        <v>126</v>
      </c>
      <c r="B1073" t="s">
        <v>125</v>
      </c>
      <c r="C1073" t="s">
        <v>468</v>
      </c>
      <c r="D1073" t="s">
        <v>468</v>
      </c>
      <c r="E1073">
        <v>5910</v>
      </c>
      <c r="F1073" t="s">
        <v>124</v>
      </c>
      <c r="G1073">
        <v>1667</v>
      </c>
      <c r="H1073" t="s">
        <v>96</v>
      </c>
      <c r="I1073">
        <v>2021</v>
      </c>
      <c r="J1073">
        <v>2021</v>
      </c>
      <c r="K1073" t="s">
        <v>339</v>
      </c>
      <c r="L1073">
        <v>179</v>
      </c>
      <c r="O1073">
        <v>144.99</v>
      </c>
      <c r="P1073">
        <v>1.4499000000000001E-4</v>
      </c>
      <c r="Q1073" t="s">
        <v>795</v>
      </c>
      <c r="R1073" s="141">
        <v>0.9</v>
      </c>
    </row>
    <row r="1074" spans="1:18" x14ac:dyDescent="0.3">
      <c r="A1074" t="s">
        <v>126</v>
      </c>
      <c r="B1074" t="s">
        <v>125</v>
      </c>
      <c r="C1074" t="s">
        <v>468</v>
      </c>
      <c r="D1074" t="s">
        <v>468</v>
      </c>
      <c r="E1074">
        <v>5510</v>
      </c>
      <c r="F1074" t="s">
        <v>128</v>
      </c>
      <c r="G1074">
        <v>1668</v>
      </c>
      <c r="H1074" t="s">
        <v>95</v>
      </c>
      <c r="I1074">
        <v>2021</v>
      </c>
      <c r="J1074">
        <v>2021</v>
      </c>
      <c r="K1074" t="s">
        <v>339</v>
      </c>
      <c r="L1074">
        <v>205000</v>
      </c>
      <c r="O1074">
        <v>184500</v>
      </c>
      <c r="P1074">
        <v>0.1845</v>
      </c>
      <c r="Q1074" t="s">
        <v>796</v>
      </c>
      <c r="R1074" s="141">
        <v>0.9</v>
      </c>
    </row>
    <row r="1075" spans="1:18" x14ac:dyDescent="0.3">
      <c r="A1075" t="s">
        <v>126</v>
      </c>
      <c r="B1075" t="s">
        <v>125</v>
      </c>
      <c r="C1075" t="s">
        <v>468</v>
      </c>
      <c r="D1075" t="s">
        <v>468</v>
      </c>
      <c r="E1075">
        <v>5610</v>
      </c>
      <c r="F1075" t="s">
        <v>127</v>
      </c>
      <c r="G1075">
        <v>1668</v>
      </c>
      <c r="H1075" t="s">
        <v>95</v>
      </c>
      <c r="I1075">
        <v>2021</v>
      </c>
      <c r="J1075">
        <v>2021</v>
      </c>
      <c r="K1075" t="s">
        <v>339</v>
      </c>
      <c r="L1075">
        <v>89217.75</v>
      </c>
      <c r="O1075">
        <v>72266.377500000002</v>
      </c>
      <c r="P1075">
        <v>7.2266377499999992E-2</v>
      </c>
      <c r="Q1075" t="s">
        <v>797</v>
      </c>
      <c r="R1075" s="141">
        <v>0.9</v>
      </c>
    </row>
    <row r="1076" spans="1:18" x14ac:dyDescent="0.3">
      <c r="A1076" t="s">
        <v>126</v>
      </c>
      <c r="B1076" t="s">
        <v>125</v>
      </c>
      <c r="C1076" t="s">
        <v>468</v>
      </c>
      <c r="D1076" t="s">
        <v>468</v>
      </c>
      <c r="E1076">
        <v>5910</v>
      </c>
      <c r="F1076" t="s">
        <v>124</v>
      </c>
      <c r="G1076">
        <v>1668</v>
      </c>
      <c r="H1076" t="s">
        <v>95</v>
      </c>
      <c r="I1076">
        <v>2021</v>
      </c>
      <c r="J1076">
        <v>2021</v>
      </c>
      <c r="K1076" t="s">
        <v>339</v>
      </c>
      <c r="L1076">
        <v>4150.6399999999994</v>
      </c>
      <c r="O1076">
        <v>3362.0183999999995</v>
      </c>
      <c r="P1076">
        <v>3.3620183999999993E-3</v>
      </c>
      <c r="Q1076" t="s">
        <v>798</v>
      </c>
      <c r="R1076" s="141">
        <v>0.9</v>
      </c>
    </row>
    <row r="1077" spans="1:18" x14ac:dyDescent="0.3">
      <c r="A1077" t="s">
        <v>126</v>
      </c>
      <c r="B1077" t="s">
        <v>125</v>
      </c>
      <c r="C1077" t="s">
        <v>468</v>
      </c>
      <c r="D1077" t="s">
        <v>468</v>
      </c>
      <c r="E1077">
        <v>5510</v>
      </c>
      <c r="F1077" t="s">
        <v>128</v>
      </c>
      <c r="G1077">
        <v>1609</v>
      </c>
      <c r="H1077" t="s">
        <v>94</v>
      </c>
      <c r="I1077">
        <v>2021</v>
      </c>
      <c r="J1077">
        <v>2021</v>
      </c>
      <c r="L1077">
        <v>0</v>
      </c>
      <c r="O1077">
        <v>0</v>
      </c>
      <c r="P1077">
        <v>0</v>
      </c>
      <c r="Q1077" t="s">
        <v>799</v>
      </c>
      <c r="R1077" s="141">
        <v>0.9</v>
      </c>
    </row>
    <row r="1078" spans="1:18" x14ac:dyDescent="0.3">
      <c r="A1078" t="s">
        <v>126</v>
      </c>
      <c r="B1078" t="s">
        <v>125</v>
      </c>
      <c r="C1078" t="s">
        <v>468</v>
      </c>
      <c r="D1078" t="s">
        <v>468</v>
      </c>
      <c r="E1078">
        <v>5610</v>
      </c>
      <c r="F1078" t="s">
        <v>127</v>
      </c>
      <c r="G1078">
        <v>1609</v>
      </c>
      <c r="H1078" t="s">
        <v>94</v>
      </c>
      <c r="I1078">
        <v>2021</v>
      </c>
      <c r="J1078">
        <v>2021</v>
      </c>
      <c r="K1078" t="s">
        <v>339</v>
      </c>
      <c r="L1078">
        <v>10517.17</v>
      </c>
      <c r="O1078">
        <v>8518.9076999999997</v>
      </c>
      <c r="P1078">
        <v>8.5189076999999998E-3</v>
      </c>
      <c r="Q1078" t="s">
        <v>800</v>
      </c>
      <c r="R1078" s="141">
        <v>0.9</v>
      </c>
    </row>
    <row r="1079" spans="1:18" x14ac:dyDescent="0.3">
      <c r="A1079" t="s">
        <v>126</v>
      </c>
      <c r="B1079" t="s">
        <v>125</v>
      </c>
      <c r="C1079" t="s">
        <v>468</v>
      </c>
      <c r="D1079" t="s">
        <v>468</v>
      </c>
      <c r="E1079">
        <v>5910</v>
      </c>
      <c r="F1079" t="s">
        <v>124</v>
      </c>
      <c r="G1079">
        <v>1609</v>
      </c>
      <c r="H1079" t="s">
        <v>94</v>
      </c>
      <c r="I1079">
        <v>2021</v>
      </c>
      <c r="J1079">
        <v>2021</v>
      </c>
      <c r="K1079" t="s">
        <v>339</v>
      </c>
      <c r="L1079">
        <v>96690.61</v>
      </c>
      <c r="O1079">
        <v>78319.394100000005</v>
      </c>
      <c r="P1079">
        <v>7.8319394099999995E-2</v>
      </c>
      <c r="Q1079" t="s">
        <v>801</v>
      </c>
      <c r="R1079" s="141">
        <v>0.9</v>
      </c>
    </row>
    <row r="1080" spans="1:18" x14ac:dyDescent="0.3">
      <c r="A1080" t="s">
        <v>126</v>
      </c>
      <c r="B1080" t="s">
        <v>125</v>
      </c>
      <c r="C1080" t="s">
        <v>468</v>
      </c>
      <c r="D1080" t="s">
        <v>468</v>
      </c>
      <c r="E1080">
        <v>5510</v>
      </c>
      <c r="F1080" t="s">
        <v>128</v>
      </c>
      <c r="G1080">
        <v>1669</v>
      </c>
      <c r="H1080" t="s">
        <v>134</v>
      </c>
      <c r="I1080">
        <v>2021</v>
      </c>
      <c r="J1080">
        <v>2021</v>
      </c>
      <c r="K1080" t="s">
        <v>339</v>
      </c>
      <c r="L1080">
        <v>3242200</v>
      </c>
      <c r="O1080">
        <v>2836925</v>
      </c>
      <c r="P1080">
        <v>2.8369249999999999</v>
      </c>
      <c r="Q1080" t="s">
        <v>802</v>
      </c>
      <c r="R1080" s="141">
        <v>0.875</v>
      </c>
    </row>
    <row r="1081" spans="1:18" x14ac:dyDescent="0.3">
      <c r="A1081" t="s">
        <v>126</v>
      </c>
      <c r="B1081" t="s">
        <v>125</v>
      </c>
      <c r="C1081" t="s">
        <v>468</v>
      </c>
      <c r="D1081" t="s">
        <v>468</v>
      </c>
      <c r="E1081">
        <v>5610</v>
      </c>
      <c r="F1081" t="s">
        <v>127</v>
      </c>
      <c r="G1081">
        <v>1669</v>
      </c>
      <c r="H1081" t="s">
        <v>134</v>
      </c>
      <c r="I1081">
        <v>2021</v>
      </c>
      <c r="J1081">
        <v>2021</v>
      </c>
      <c r="K1081" t="s">
        <v>339</v>
      </c>
      <c r="L1081">
        <v>318072.84000000003</v>
      </c>
      <c r="O1081">
        <v>250482.36150000006</v>
      </c>
      <c r="P1081">
        <v>0.25048236150000003</v>
      </c>
      <c r="Q1081" t="s">
        <v>803</v>
      </c>
      <c r="R1081" s="141">
        <v>0.875</v>
      </c>
    </row>
    <row r="1082" spans="1:18" x14ac:dyDescent="0.3">
      <c r="A1082" t="s">
        <v>126</v>
      </c>
      <c r="B1082" t="s">
        <v>125</v>
      </c>
      <c r="C1082" t="s">
        <v>468</v>
      </c>
      <c r="D1082" t="s">
        <v>468</v>
      </c>
      <c r="E1082">
        <v>5910</v>
      </c>
      <c r="F1082" t="s">
        <v>124</v>
      </c>
      <c r="G1082">
        <v>1669</v>
      </c>
      <c r="H1082" t="s">
        <v>134</v>
      </c>
      <c r="I1082">
        <v>2021</v>
      </c>
      <c r="J1082">
        <v>2021</v>
      </c>
      <c r="K1082" t="s">
        <v>339</v>
      </c>
      <c r="L1082">
        <v>825155.51</v>
      </c>
      <c r="O1082">
        <v>649809.96412500006</v>
      </c>
      <c r="P1082">
        <v>0.64980996412500003</v>
      </c>
      <c r="Q1082" t="s">
        <v>804</v>
      </c>
      <c r="R1082" s="141">
        <v>0.875</v>
      </c>
    </row>
    <row r="1083" spans="1:18" x14ac:dyDescent="0.3">
      <c r="A1083" t="s">
        <v>126</v>
      </c>
      <c r="B1083" t="s">
        <v>125</v>
      </c>
      <c r="C1083" t="s">
        <v>468</v>
      </c>
      <c r="D1083" t="s">
        <v>468</v>
      </c>
      <c r="E1083">
        <v>5510</v>
      </c>
      <c r="F1083" t="s">
        <v>128</v>
      </c>
      <c r="G1083">
        <v>1671</v>
      </c>
      <c r="H1083" t="s">
        <v>89</v>
      </c>
      <c r="I1083">
        <v>2021</v>
      </c>
      <c r="J1083">
        <v>2021</v>
      </c>
      <c r="K1083" t="s">
        <v>339</v>
      </c>
      <c r="L1083">
        <v>82000</v>
      </c>
      <c r="O1083">
        <v>77900</v>
      </c>
      <c r="P1083">
        <v>7.7899999999999997E-2</v>
      </c>
      <c r="Q1083" t="s">
        <v>805</v>
      </c>
      <c r="R1083" s="141">
        <v>0.95</v>
      </c>
    </row>
    <row r="1084" spans="1:18" x14ac:dyDescent="0.3">
      <c r="A1084" t="s">
        <v>126</v>
      </c>
      <c r="B1084" t="s">
        <v>125</v>
      </c>
      <c r="C1084" t="s">
        <v>468</v>
      </c>
      <c r="D1084" t="s">
        <v>468</v>
      </c>
      <c r="E1084">
        <v>5610</v>
      </c>
      <c r="F1084" t="s">
        <v>127</v>
      </c>
      <c r="G1084">
        <v>1671</v>
      </c>
      <c r="H1084" t="s">
        <v>89</v>
      </c>
      <c r="I1084">
        <v>2021</v>
      </c>
      <c r="J1084">
        <v>2021</v>
      </c>
      <c r="K1084" t="s">
        <v>339</v>
      </c>
      <c r="L1084">
        <v>155292.01</v>
      </c>
      <c r="O1084">
        <v>132774.66855</v>
      </c>
      <c r="P1084">
        <v>0.13277466855</v>
      </c>
      <c r="Q1084" t="s">
        <v>806</v>
      </c>
      <c r="R1084" s="141">
        <v>0.95</v>
      </c>
    </row>
    <row r="1085" spans="1:18" x14ac:dyDescent="0.3">
      <c r="A1085" t="s">
        <v>126</v>
      </c>
      <c r="B1085" t="s">
        <v>125</v>
      </c>
      <c r="C1085" t="s">
        <v>468</v>
      </c>
      <c r="D1085" t="s">
        <v>468</v>
      </c>
      <c r="E1085">
        <v>5910</v>
      </c>
      <c r="F1085" t="s">
        <v>124</v>
      </c>
      <c r="G1085">
        <v>1671</v>
      </c>
      <c r="H1085" t="s">
        <v>89</v>
      </c>
      <c r="I1085">
        <v>2021</v>
      </c>
      <c r="J1085">
        <v>2021</v>
      </c>
      <c r="K1085" t="s">
        <v>339</v>
      </c>
      <c r="L1085">
        <v>2869.01</v>
      </c>
      <c r="O1085">
        <v>2453.0035500000004</v>
      </c>
      <c r="P1085">
        <v>2.4530035500000004E-3</v>
      </c>
      <c r="Q1085" t="s">
        <v>807</v>
      </c>
      <c r="R1085" s="141">
        <v>0.95</v>
      </c>
    </row>
    <row r="1086" spans="1:18" x14ac:dyDescent="0.3">
      <c r="A1086" t="s">
        <v>126</v>
      </c>
      <c r="B1086" t="s">
        <v>125</v>
      </c>
      <c r="C1086" t="s">
        <v>468</v>
      </c>
      <c r="D1086" t="s">
        <v>468</v>
      </c>
      <c r="E1086">
        <v>5510</v>
      </c>
      <c r="F1086" t="s">
        <v>128</v>
      </c>
      <c r="G1086">
        <v>1674</v>
      </c>
      <c r="H1086" t="s">
        <v>88</v>
      </c>
      <c r="I1086">
        <v>2021</v>
      </c>
      <c r="J1086">
        <v>2021</v>
      </c>
      <c r="K1086" t="s">
        <v>339</v>
      </c>
      <c r="L1086">
        <v>415200</v>
      </c>
      <c r="O1086">
        <v>394440</v>
      </c>
      <c r="P1086">
        <v>0.39443999999999996</v>
      </c>
      <c r="Q1086" t="s">
        <v>808</v>
      </c>
      <c r="R1086" s="141">
        <v>0.95</v>
      </c>
    </row>
    <row r="1087" spans="1:18" x14ac:dyDescent="0.3">
      <c r="A1087" t="s">
        <v>126</v>
      </c>
      <c r="B1087" t="s">
        <v>125</v>
      </c>
      <c r="C1087" t="s">
        <v>468</v>
      </c>
      <c r="D1087" t="s">
        <v>468</v>
      </c>
      <c r="E1087">
        <v>5610</v>
      </c>
      <c r="F1087" t="s">
        <v>127</v>
      </c>
      <c r="G1087">
        <v>1674</v>
      </c>
      <c r="H1087" t="s">
        <v>88</v>
      </c>
      <c r="I1087">
        <v>2021</v>
      </c>
      <c r="J1087">
        <v>2021</v>
      </c>
      <c r="K1087" t="s">
        <v>339</v>
      </c>
      <c r="L1087">
        <v>2043176.5699999998</v>
      </c>
      <c r="O1087">
        <v>1746915.9673499998</v>
      </c>
      <c r="P1087">
        <v>1.7469159673499997</v>
      </c>
      <c r="Q1087" t="s">
        <v>809</v>
      </c>
      <c r="R1087" s="141">
        <v>0.95</v>
      </c>
    </row>
    <row r="1088" spans="1:18" x14ac:dyDescent="0.3">
      <c r="A1088" t="s">
        <v>126</v>
      </c>
      <c r="B1088" t="s">
        <v>125</v>
      </c>
      <c r="C1088" t="s">
        <v>468</v>
      </c>
      <c r="D1088" t="s">
        <v>468</v>
      </c>
      <c r="E1088">
        <v>5910</v>
      </c>
      <c r="F1088" t="s">
        <v>124</v>
      </c>
      <c r="G1088">
        <v>1674</v>
      </c>
      <c r="H1088" t="s">
        <v>88</v>
      </c>
      <c r="I1088">
        <v>2021</v>
      </c>
      <c r="J1088">
        <v>2021</v>
      </c>
      <c r="K1088" t="s">
        <v>339</v>
      </c>
      <c r="L1088">
        <v>287532.83</v>
      </c>
      <c r="O1088">
        <v>245840.56964999999</v>
      </c>
      <c r="P1088">
        <v>0.24584056964999998</v>
      </c>
      <c r="Q1088" t="s">
        <v>810</v>
      </c>
      <c r="R1088" s="141">
        <v>0.95</v>
      </c>
    </row>
    <row r="1089" spans="1:18" x14ac:dyDescent="0.3">
      <c r="A1089" t="s">
        <v>126</v>
      </c>
      <c r="B1089" t="s">
        <v>125</v>
      </c>
      <c r="C1089" t="s">
        <v>468</v>
      </c>
      <c r="D1089" t="s">
        <v>468</v>
      </c>
      <c r="E1089">
        <v>5510</v>
      </c>
      <c r="F1089" t="s">
        <v>128</v>
      </c>
      <c r="G1089">
        <v>1612</v>
      </c>
      <c r="H1089" t="s">
        <v>133</v>
      </c>
      <c r="I1089">
        <v>2021</v>
      </c>
      <c r="J1089">
        <v>2021</v>
      </c>
      <c r="K1089" t="s">
        <v>339</v>
      </c>
      <c r="L1089">
        <v>47000</v>
      </c>
    </row>
    <row r="1090" spans="1:18" x14ac:dyDescent="0.3">
      <c r="A1090" t="s">
        <v>126</v>
      </c>
      <c r="B1090" t="s">
        <v>125</v>
      </c>
      <c r="C1090" t="s">
        <v>468</v>
      </c>
      <c r="D1090" t="s">
        <v>468</v>
      </c>
      <c r="E1090">
        <v>5610</v>
      </c>
      <c r="F1090" t="s">
        <v>127</v>
      </c>
      <c r="G1090">
        <v>1612</v>
      </c>
      <c r="H1090" t="s">
        <v>133</v>
      </c>
      <c r="I1090">
        <v>2021</v>
      </c>
      <c r="J1090">
        <v>2021</v>
      </c>
      <c r="K1090" t="s">
        <v>339</v>
      </c>
      <c r="L1090">
        <v>170737.96</v>
      </c>
    </row>
    <row r="1091" spans="1:18" x14ac:dyDescent="0.3">
      <c r="A1091" t="s">
        <v>126</v>
      </c>
      <c r="B1091" t="s">
        <v>125</v>
      </c>
      <c r="C1091" t="s">
        <v>468</v>
      </c>
      <c r="D1091" t="s">
        <v>468</v>
      </c>
      <c r="E1091">
        <v>5910</v>
      </c>
      <c r="F1091" t="s">
        <v>124</v>
      </c>
      <c r="G1091">
        <v>1612</v>
      </c>
      <c r="H1091" t="s">
        <v>133</v>
      </c>
      <c r="I1091">
        <v>2021</v>
      </c>
      <c r="J1091">
        <v>2021</v>
      </c>
      <c r="K1091" t="s">
        <v>339</v>
      </c>
      <c r="L1091">
        <v>67165.98</v>
      </c>
    </row>
    <row r="1092" spans="1:18" x14ac:dyDescent="0.3">
      <c r="A1092" t="s">
        <v>126</v>
      </c>
      <c r="B1092" t="s">
        <v>125</v>
      </c>
      <c r="C1092" t="s">
        <v>468</v>
      </c>
      <c r="D1092" t="s">
        <v>468</v>
      </c>
      <c r="E1092">
        <v>5510</v>
      </c>
      <c r="F1092" t="s">
        <v>128</v>
      </c>
      <c r="G1092">
        <v>1615</v>
      </c>
      <c r="H1092" t="s">
        <v>132</v>
      </c>
      <c r="I1092">
        <v>2021</v>
      </c>
      <c r="J1092">
        <v>2021</v>
      </c>
      <c r="K1092" t="s">
        <v>339</v>
      </c>
      <c r="L1092">
        <v>346900</v>
      </c>
    </row>
    <row r="1093" spans="1:18" x14ac:dyDescent="0.3">
      <c r="A1093" t="s">
        <v>126</v>
      </c>
      <c r="B1093" t="s">
        <v>125</v>
      </c>
      <c r="C1093" t="s">
        <v>468</v>
      </c>
      <c r="D1093" t="s">
        <v>468</v>
      </c>
      <c r="E1093">
        <v>5610</v>
      </c>
      <c r="F1093" t="s">
        <v>127</v>
      </c>
      <c r="G1093">
        <v>1615</v>
      </c>
      <c r="H1093" t="s">
        <v>132</v>
      </c>
      <c r="I1093">
        <v>2021</v>
      </c>
      <c r="J1093">
        <v>2021</v>
      </c>
      <c r="K1093" t="s">
        <v>339</v>
      </c>
      <c r="L1093">
        <v>1108819.27</v>
      </c>
    </row>
    <row r="1094" spans="1:18" x14ac:dyDescent="0.3">
      <c r="A1094" t="s">
        <v>126</v>
      </c>
      <c r="B1094" t="s">
        <v>125</v>
      </c>
      <c r="C1094" t="s">
        <v>468</v>
      </c>
      <c r="D1094" t="s">
        <v>468</v>
      </c>
      <c r="E1094">
        <v>5910</v>
      </c>
      <c r="F1094" t="s">
        <v>124</v>
      </c>
      <c r="G1094">
        <v>1615</v>
      </c>
      <c r="H1094" t="s">
        <v>132</v>
      </c>
      <c r="I1094">
        <v>2021</v>
      </c>
      <c r="J1094">
        <v>2021</v>
      </c>
      <c r="K1094" t="s">
        <v>339</v>
      </c>
      <c r="L1094">
        <v>167266.59000000003</v>
      </c>
    </row>
    <row r="1095" spans="1:18" x14ac:dyDescent="0.3">
      <c r="A1095" t="s">
        <v>126</v>
      </c>
      <c r="B1095" t="s">
        <v>125</v>
      </c>
      <c r="C1095" t="s">
        <v>468</v>
      </c>
      <c r="D1095" t="s">
        <v>468</v>
      </c>
      <c r="E1095">
        <v>5510</v>
      </c>
      <c r="F1095" t="s">
        <v>128</v>
      </c>
      <c r="G1095">
        <v>1616</v>
      </c>
      <c r="H1095" t="s">
        <v>131</v>
      </c>
      <c r="I1095">
        <v>2021</v>
      </c>
      <c r="J1095">
        <v>2021</v>
      </c>
      <c r="K1095" t="s">
        <v>339</v>
      </c>
      <c r="L1095">
        <v>21300</v>
      </c>
    </row>
    <row r="1096" spans="1:18" x14ac:dyDescent="0.3">
      <c r="A1096" t="s">
        <v>126</v>
      </c>
      <c r="B1096" t="s">
        <v>125</v>
      </c>
      <c r="C1096" t="s">
        <v>468</v>
      </c>
      <c r="D1096" t="s">
        <v>468</v>
      </c>
      <c r="E1096">
        <v>5610</v>
      </c>
      <c r="F1096" t="s">
        <v>127</v>
      </c>
      <c r="G1096">
        <v>1616</v>
      </c>
      <c r="H1096" t="s">
        <v>131</v>
      </c>
      <c r="I1096">
        <v>2021</v>
      </c>
      <c r="J1096">
        <v>2021</v>
      </c>
      <c r="K1096" t="s">
        <v>339</v>
      </c>
      <c r="L1096">
        <v>763619.34000000008</v>
      </c>
    </row>
    <row r="1097" spans="1:18" x14ac:dyDescent="0.3">
      <c r="A1097" t="s">
        <v>126</v>
      </c>
      <c r="B1097" t="s">
        <v>125</v>
      </c>
      <c r="C1097" t="s">
        <v>468</v>
      </c>
      <c r="D1097" t="s">
        <v>468</v>
      </c>
      <c r="E1097">
        <v>5910</v>
      </c>
      <c r="F1097" t="s">
        <v>124</v>
      </c>
      <c r="G1097">
        <v>1616</v>
      </c>
      <c r="H1097" t="s">
        <v>131</v>
      </c>
      <c r="I1097">
        <v>2021</v>
      </c>
      <c r="J1097">
        <v>2021</v>
      </c>
      <c r="K1097" t="s">
        <v>339</v>
      </c>
      <c r="L1097">
        <v>53100.26</v>
      </c>
    </row>
    <row r="1098" spans="1:18" x14ac:dyDescent="0.3">
      <c r="A1098" t="s">
        <v>126</v>
      </c>
      <c r="B1098" t="s">
        <v>125</v>
      </c>
      <c r="C1098" t="s">
        <v>468</v>
      </c>
      <c r="D1098" t="s">
        <v>468</v>
      </c>
      <c r="E1098">
        <v>5510</v>
      </c>
      <c r="F1098" t="s">
        <v>128</v>
      </c>
      <c r="G1098">
        <v>1675</v>
      </c>
      <c r="H1098" t="s">
        <v>87</v>
      </c>
      <c r="I1098">
        <v>2021</v>
      </c>
      <c r="J1098">
        <v>2021</v>
      </c>
      <c r="K1098" t="s">
        <v>339</v>
      </c>
      <c r="L1098">
        <v>3435300</v>
      </c>
    </row>
    <row r="1099" spans="1:18" x14ac:dyDescent="0.3">
      <c r="A1099" t="s">
        <v>126</v>
      </c>
      <c r="B1099" t="s">
        <v>125</v>
      </c>
      <c r="C1099" t="s">
        <v>468</v>
      </c>
      <c r="D1099" t="s">
        <v>468</v>
      </c>
      <c r="E1099">
        <v>5610</v>
      </c>
      <c r="F1099" t="s">
        <v>127</v>
      </c>
      <c r="G1099">
        <v>1675</v>
      </c>
      <c r="H1099" t="s">
        <v>87</v>
      </c>
      <c r="I1099">
        <v>2021</v>
      </c>
      <c r="J1099">
        <v>2021</v>
      </c>
      <c r="K1099" t="s">
        <v>339</v>
      </c>
      <c r="L1099">
        <v>4526026.7</v>
      </c>
    </row>
    <row r="1100" spans="1:18" x14ac:dyDescent="0.3">
      <c r="A1100" t="s">
        <v>126</v>
      </c>
      <c r="B1100" t="s">
        <v>125</v>
      </c>
      <c r="C1100" t="s">
        <v>468</v>
      </c>
      <c r="D1100" t="s">
        <v>468</v>
      </c>
      <c r="E1100">
        <v>5910</v>
      </c>
      <c r="F1100" t="s">
        <v>124</v>
      </c>
      <c r="G1100">
        <v>1675</v>
      </c>
      <c r="H1100" t="s">
        <v>87</v>
      </c>
      <c r="I1100">
        <v>2021</v>
      </c>
      <c r="J1100">
        <v>2021</v>
      </c>
      <c r="K1100" t="s">
        <v>339</v>
      </c>
      <c r="L1100">
        <v>1159455.8799999999</v>
      </c>
    </row>
    <row r="1101" spans="1:18" x14ac:dyDescent="0.3">
      <c r="A1101" t="s">
        <v>126</v>
      </c>
      <c r="B1101" t="s">
        <v>125</v>
      </c>
      <c r="C1101" t="s">
        <v>468</v>
      </c>
      <c r="D1101" t="s">
        <v>468</v>
      </c>
      <c r="E1101">
        <v>5510</v>
      </c>
      <c r="F1101" t="s">
        <v>128</v>
      </c>
      <c r="G1101">
        <v>1676</v>
      </c>
      <c r="H1101" t="s">
        <v>86</v>
      </c>
      <c r="I1101">
        <v>2021</v>
      </c>
      <c r="J1101">
        <v>2021</v>
      </c>
      <c r="K1101" t="s">
        <v>339</v>
      </c>
      <c r="L1101">
        <v>650000</v>
      </c>
      <c r="O1101">
        <v>617500</v>
      </c>
      <c r="P1101">
        <v>0.61749999999999994</v>
      </c>
      <c r="Q1101" t="s">
        <v>811</v>
      </c>
      <c r="R1101" s="141">
        <v>0.95</v>
      </c>
    </row>
    <row r="1102" spans="1:18" x14ac:dyDescent="0.3">
      <c r="A1102" t="s">
        <v>126</v>
      </c>
      <c r="B1102" t="s">
        <v>125</v>
      </c>
      <c r="C1102" t="s">
        <v>468</v>
      </c>
      <c r="D1102" t="s">
        <v>468</v>
      </c>
      <c r="E1102">
        <v>5610</v>
      </c>
      <c r="F1102" t="s">
        <v>127</v>
      </c>
      <c r="G1102">
        <v>1676</v>
      </c>
      <c r="H1102" t="s">
        <v>86</v>
      </c>
      <c r="I1102">
        <v>2021</v>
      </c>
      <c r="J1102">
        <v>2021</v>
      </c>
      <c r="K1102" t="s">
        <v>339</v>
      </c>
      <c r="L1102">
        <v>238121.59999999998</v>
      </c>
      <c r="O1102">
        <v>203593.96799999996</v>
      </c>
      <c r="P1102">
        <v>0.20359396799999996</v>
      </c>
      <c r="Q1102" t="s">
        <v>812</v>
      </c>
      <c r="R1102" s="141">
        <v>0.95</v>
      </c>
    </row>
    <row r="1103" spans="1:18" x14ac:dyDescent="0.3">
      <c r="A1103" t="s">
        <v>126</v>
      </c>
      <c r="B1103" t="s">
        <v>125</v>
      </c>
      <c r="C1103" t="s">
        <v>468</v>
      </c>
      <c r="D1103" t="s">
        <v>468</v>
      </c>
      <c r="E1103">
        <v>5910</v>
      </c>
      <c r="F1103" t="s">
        <v>124</v>
      </c>
      <c r="G1103">
        <v>1676</v>
      </c>
      <c r="H1103" t="s">
        <v>86</v>
      </c>
      <c r="I1103">
        <v>2021</v>
      </c>
      <c r="J1103">
        <v>2021</v>
      </c>
      <c r="K1103" t="s">
        <v>339</v>
      </c>
      <c r="L1103">
        <v>267984.58</v>
      </c>
      <c r="O1103">
        <v>229126.81589999999</v>
      </c>
      <c r="P1103">
        <v>0.22912681589999997</v>
      </c>
      <c r="Q1103" t="s">
        <v>813</v>
      </c>
      <c r="R1103" s="141">
        <v>0.95</v>
      </c>
    </row>
    <row r="1104" spans="1:18" x14ac:dyDescent="0.3">
      <c r="A1104" t="s">
        <v>126</v>
      </c>
      <c r="B1104" t="s">
        <v>125</v>
      </c>
      <c r="C1104" t="s">
        <v>468</v>
      </c>
      <c r="D1104" t="s">
        <v>468</v>
      </c>
      <c r="E1104">
        <v>5510</v>
      </c>
      <c r="F1104" t="s">
        <v>128</v>
      </c>
      <c r="G1104">
        <v>1681</v>
      </c>
      <c r="H1104" t="s">
        <v>130</v>
      </c>
      <c r="I1104">
        <v>2021</v>
      </c>
      <c r="J1104">
        <v>2021</v>
      </c>
      <c r="L1104">
        <v>0</v>
      </c>
    </row>
    <row r="1105" spans="1:18" x14ac:dyDescent="0.3">
      <c r="A1105" t="s">
        <v>126</v>
      </c>
      <c r="B1105" t="s">
        <v>125</v>
      </c>
      <c r="C1105" t="s">
        <v>468</v>
      </c>
      <c r="D1105" t="s">
        <v>468</v>
      </c>
      <c r="E1105">
        <v>5610</v>
      </c>
      <c r="F1105" t="s">
        <v>127</v>
      </c>
      <c r="G1105">
        <v>1681</v>
      </c>
      <c r="H1105" t="s">
        <v>130</v>
      </c>
      <c r="I1105">
        <v>2021</v>
      </c>
      <c r="J1105">
        <v>2021</v>
      </c>
      <c r="L1105">
        <v>0</v>
      </c>
    </row>
    <row r="1106" spans="1:18" x14ac:dyDescent="0.3">
      <c r="A1106" t="s">
        <v>126</v>
      </c>
      <c r="B1106" t="s">
        <v>125</v>
      </c>
      <c r="C1106" t="s">
        <v>468</v>
      </c>
      <c r="D1106" t="s">
        <v>468</v>
      </c>
      <c r="E1106">
        <v>5910</v>
      </c>
      <c r="F1106" t="s">
        <v>124</v>
      </c>
      <c r="G1106">
        <v>1681</v>
      </c>
      <c r="H1106" t="s">
        <v>130</v>
      </c>
      <c r="I1106">
        <v>2021</v>
      </c>
      <c r="J1106">
        <v>2021</v>
      </c>
      <c r="L1106">
        <v>0</v>
      </c>
    </row>
    <row r="1107" spans="1:18" x14ac:dyDescent="0.3">
      <c r="A1107" t="s">
        <v>126</v>
      </c>
      <c r="B1107" t="s">
        <v>125</v>
      </c>
      <c r="C1107" t="s">
        <v>468</v>
      </c>
      <c r="D1107" t="s">
        <v>468</v>
      </c>
      <c r="E1107">
        <v>5510</v>
      </c>
      <c r="F1107" t="s">
        <v>128</v>
      </c>
      <c r="G1107">
        <v>1617</v>
      </c>
      <c r="H1107" t="s">
        <v>85</v>
      </c>
      <c r="I1107">
        <v>2021</v>
      </c>
      <c r="J1107">
        <v>2021</v>
      </c>
      <c r="K1107" t="s">
        <v>339</v>
      </c>
      <c r="L1107">
        <v>1684300</v>
      </c>
      <c r="O1107">
        <v>1600085</v>
      </c>
      <c r="P1107">
        <v>1.600085</v>
      </c>
      <c r="Q1107" t="s">
        <v>814</v>
      </c>
      <c r="R1107" s="141">
        <v>0.95</v>
      </c>
    </row>
    <row r="1108" spans="1:18" x14ac:dyDescent="0.3">
      <c r="A1108" t="s">
        <v>126</v>
      </c>
      <c r="B1108" t="s">
        <v>125</v>
      </c>
      <c r="C1108" t="s">
        <v>468</v>
      </c>
      <c r="D1108" t="s">
        <v>468</v>
      </c>
      <c r="E1108">
        <v>5610</v>
      </c>
      <c r="F1108" t="s">
        <v>127</v>
      </c>
      <c r="G1108">
        <v>1617</v>
      </c>
      <c r="H1108" t="s">
        <v>85</v>
      </c>
      <c r="I1108">
        <v>2021</v>
      </c>
      <c r="J1108">
        <v>2021</v>
      </c>
      <c r="K1108" t="s">
        <v>339</v>
      </c>
      <c r="L1108">
        <v>2079094.36</v>
      </c>
      <c r="O1108">
        <v>1777625.6777999999</v>
      </c>
      <c r="P1108">
        <v>1.7776256777999999</v>
      </c>
      <c r="Q1108" t="s">
        <v>815</v>
      </c>
      <c r="R1108" s="141">
        <v>0.95</v>
      </c>
    </row>
    <row r="1109" spans="1:18" x14ac:dyDescent="0.3">
      <c r="A1109" t="s">
        <v>126</v>
      </c>
      <c r="B1109" t="s">
        <v>125</v>
      </c>
      <c r="C1109" t="s">
        <v>468</v>
      </c>
      <c r="D1109" t="s">
        <v>468</v>
      </c>
      <c r="E1109">
        <v>5910</v>
      </c>
      <c r="F1109" t="s">
        <v>124</v>
      </c>
      <c r="G1109">
        <v>1617</v>
      </c>
      <c r="H1109" t="s">
        <v>85</v>
      </c>
      <c r="I1109">
        <v>2021</v>
      </c>
      <c r="J1109">
        <v>2021</v>
      </c>
      <c r="K1109" t="s">
        <v>339</v>
      </c>
      <c r="L1109">
        <v>649298.21</v>
      </c>
      <c r="O1109">
        <v>555149.96955000004</v>
      </c>
      <c r="P1109">
        <v>0.55514996955000007</v>
      </c>
      <c r="Q1109" t="s">
        <v>816</v>
      </c>
      <c r="R1109" s="141">
        <v>0.95</v>
      </c>
    </row>
    <row r="1110" spans="1:18" x14ac:dyDescent="0.3">
      <c r="A1110" t="s">
        <v>126</v>
      </c>
      <c r="B1110" t="s">
        <v>125</v>
      </c>
      <c r="C1110" t="s">
        <v>468</v>
      </c>
      <c r="D1110" t="s">
        <v>468</v>
      </c>
      <c r="E1110">
        <v>5510</v>
      </c>
      <c r="F1110" t="s">
        <v>128</v>
      </c>
      <c r="G1110">
        <v>1618</v>
      </c>
      <c r="H1110" t="s">
        <v>84</v>
      </c>
      <c r="I1110">
        <v>2021</v>
      </c>
      <c r="J1110">
        <v>2021</v>
      </c>
      <c r="K1110" t="s">
        <v>339</v>
      </c>
      <c r="L1110">
        <v>426300</v>
      </c>
      <c r="O1110">
        <v>404985</v>
      </c>
      <c r="P1110">
        <v>0.40498499999999998</v>
      </c>
      <c r="Q1110" t="s">
        <v>817</v>
      </c>
      <c r="R1110" s="141">
        <v>0.95</v>
      </c>
    </row>
    <row r="1111" spans="1:18" x14ac:dyDescent="0.3">
      <c r="A1111" t="s">
        <v>126</v>
      </c>
      <c r="B1111" t="s">
        <v>125</v>
      </c>
      <c r="C1111" t="s">
        <v>468</v>
      </c>
      <c r="D1111" t="s">
        <v>468</v>
      </c>
      <c r="E1111">
        <v>5610</v>
      </c>
      <c r="F1111" t="s">
        <v>127</v>
      </c>
      <c r="G1111">
        <v>1618</v>
      </c>
      <c r="H1111" t="s">
        <v>84</v>
      </c>
      <c r="I1111">
        <v>2021</v>
      </c>
      <c r="J1111">
        <v>2021</v>
      </c>
      <c r="K1111" t="s">
        <v>339</v>
      </c>
      <c r="L1111">
        <v>1277419.0900000001</v>
      </c>
      <c r="O1111">
        <v>1092193.32195</v>
      </c>
      <c r="P1111">
        <v>1.09219332195</v>
      </c>
      <c r="Q1111" t="s">
        <v>818</v>
      </c>
      <c r="R1111" s="141">
        <v>0.95</v>
      </c>
    </row>
    <row r="1112" spans="1:18" x14ac:dyDescent="0.3">
      <c r="A1112" t="s">
        <v>126</v>
      </c>
      <c r="B1112" t="s">
        <v>125</v>
      </c>
      <c r="C1112" t="s">
        <v>468</v>
      </c>
      <c r="D1112" t="s">
        <v>468</v>
      </c>
      <c r="E1112">
        <v>5910</v>
      </c>
      <c r="F1112" t="s">
        <v>124</v>
      </c>
      <c r="G1112">
        <v>1618</v>
      </c>
      <c r="H1112" t="s">
        <v>84</v>
      </c>
      <c r="I1112">
        <v>2021</v>
      </c>
      <c r="J1112">
        <v>2021</v>
      </c>
      <c r="K1112" t="s">
        <v>339</v>
      </c>
      <c r="L1112">
        <v>75453.509999999995</v>
      </c>
      <c r="O1112">
        <v>64512.751049999999</v>
      </c>
      <c r="P1112">
        <v>6.4512751049999997E-2</v>
      </c>
      <c r="Q1112" t="s">
        <v>819</v>
      </c>
      <c r="R1112" s="141">
        <v>0.95</v>
      </c>
    </row>
    <row r="1113" spans="1:18" x14ac:dyDescent="0.3">
      <c r="A1113" t="s">
        <v>126</v>
      </c>
      <c r="B1113" t="s">
        <v>125</v>
      </c>
      <c r="C1113" t="s">
        <v>468</v>
      </c>
      <c r="D1113" t="s">
        <v>468</v>
      </c>
      <c r="E1113">
        <v>5510</v>
      </c>
      <c r="F1113" t="s">
        <v>128</v>
      </c>
      <c r="G1113">
        <v>1621</v>
      </c>
      <c r="H1113" t="s">
        <v>129</v>
      </c>
      <c r="I1113">
        <v>2021</v>
      </c>
      <c r="J1113">
        <v>2021</v>
      </c>
      <c r="K1113" t="s">
        <v>339</v>
      </c>
      <c r="L1113">
        <v>282600</v>
      </c>
      <c r="O1113">
        <v>268470</v>
      </c>
      <c r="P1113">
        <v>0.26846999999999999</v>
      </c>
      <c r="Q1113" t="s">
        <v>820</v>
      </c>
      <c r="R1113" s="141">
        <v>0.95</v>
      </c>
    </row>
    <row r="1114" spans="1:18" x14ac:dyDescent="0.3">
      <c r="A1114" t="s">
        <v>126</v>
      </c>
      <c r="B1114" t="s">
        <v>125</v>
      </c>
      <c r="C1114" t="s">
        <v>468</v>
      </c>
      <c r="D1114" t="s">
        <v>468</v>
      </c>
      <c r="E1114">
        <v>5610</v>
      </c>
      <c r="F1114" t="s">
        <v>127</v>
      </c>
      <c r="G1114">
        <v>1621</v>
      </c>
      <c r="H1114" t="s">
        <v>129</v>
      </c>
      <c r="I1114">
        <v>2021</v>
      </c>
      <c r="J1114">
        <v>2021</v>
      </c>
      <c r="K1114" t="s">
        <v>339</v>
      </c>
      <c r="L1114">
        <v>745325.11</v>
      </c>
      <c r="O1114">
        <v>637252.96904999996</v>
      </c>
      <c r="P1114">
        <v>0.63725296904999995</v>
      </c>
      <c r="Q1114" t="s">
        <v>821</v>
      </c>
      <c r="R1114" s="141">
        <v>0.95</v>
      </c>
    </row>
    <row r="1115" spans="1:18" x14ac:dyDescent="0.3">
      <c r="A1115" t="s">
        <v>126</v>
      </c>
      <c r="B1115" t="s">
        <v>125</v>
      </c>
      <c r="C1115" t="s">
        <v>468</v>
      </c>
      <c r="D1115" t="s">
        <v>468</v>
      </c>
      <c r="E1115">
        <v>5910</v>
      </c>
      <c r="F1115" t="s">
        <v>124</v>
      </c>
      <c r="G1115">
        <v>1621</v>
      </c>
      <c r="H1115" t="s">
        <v>129</v>
      </c>
      <c r="I1115">
        <v>2021</v>
      </c>
      <c r="J1115">
        <v>2021</v>
      </c>
      <c r="K1115" t="s">
        <v>339</v>
      </c>
      <c r="L1115">
        <v>115614.01999999999</v>
      </c>
      <c r="O1115">
        <v>98849.987099999998</v>
      </c>
      <c r="P1115">
        <v>9.8849987099999995E-2</v>
      </c>
      <c r="Q1115" t="s">
        <v>822</v>
      </c>
      <c r="R1115" s="141">
        <v>0.95</v>
      </c>
    </row>
    <row r="1116" spans="1:18" x14ac:dyDescent="0.3">
      <c r="A1116" t="s">
        <v>126</v>
      </c>
      <c r="B1116" t="s">
        <v>125</v>
      </c>
      <c r="C1116" t="s">
        <v>468</v>
      </c>
      <c r="D1116" t="s">
        <v>468</v>
      </c>
      <c r="E1116">
        <v>5510</v>
      </c>
      <c r="F1116" t="s">
        <v>128</v>
      </c>
      <c r="G1116">
        <v>1622</v>
      </c>
      <c r="H1116" t="s">
        <v>83</v>
      </c>
      <c r="I1116">
        <v>2021</v>
      </c>
      <c r="J1116">
        <v>2021</v>
      </c>
      <c r="K1116" t="s">
        <v>339</v>
      </c>
      <c r="L1116">
        <v>15000</v>
      </c>
      <c r="O1116">
        <v>14250</v>
      </c>
      <c r="P1116">
        <v>1.4249999999999999E-2</v>
      </c>
      <c r="Q1116" t="s">
        <v>823</v>
      </c>
      <c r="R1116" s="141">
        <v>0.95</v>
      </c>
    </row>
    <row r="1117" spans="1:18" x14ac:dyDescent="0.3">
      <c r="A1117" t="s">
        <v>126</v>
      </c>
      <c r="B1117" t="s">
        <v>125</v>
      </c>
      <c r="C1117" t="s">
        <v>468</v>
      </c>
      <c r="D1117" t="s">
        <v>468</v>
      </c>
      <c r="E1117">
        <v>5610</v>
      </c>
      <c r="F1117" t="s">
        <v>127</v>
      </c>
      <c r="G1117">
        <v>1622</v>
      </c>
      <c r="H1117" t="s">
        <v>83</v>
      </c>
      <c r="I1117">
        <v>2021</v>
      </c>
      <c r="J1117">
        <v>2021</v>
      </c>
      <c r="K1117" t="s">
        <v>339</v>
      </c>
      <c r="L1117">
        <v>91454.95</v>
      </c>
      <c r="O1117">
        <v>78193.982250000001</v>
      </c>
      <c r="P1117">
        <v>7.8193982250000002E-2</v>
      </c>
      <c r="Q1117" t="s">
        <v>824</v>
      </c>
      <c r="R1117" s="141">
        <v>0.95</v>
      </c>
    </row>
    <row r="1118" spans="1:18" x14ac:dyDescent="0.3">
      <c r="A1118" t="s">
        <v>126</v>
      </c>
      <c r="B1118" t="s">
        <v>125</v>
      </c>
      <c r="C1118" t="s">
        <v>468</v>
      </c>
      <c r="D1118" t="s">
        <v>468</v>
      </c>
      <c r="E1118">
        <v>5910</v>
      </c>
      <c r="F1118" t="s">
        <v>124</v>
      </c>
      <c r="G1118">
        <v>1622</v>
      </c>
      <c r="H1118" t="s">
        <v>83</v>
      </c>
      <c r="I1118">
        <v>2021</v>
      </c>
      <c r="J1118">
        <v>2021</v>
      </c>
      <c r="K1118" t="s">
        <v>339</v>
      </c>
      <c r="L1118">
        <v>11444.35</v>
      </c>
      <c r="O1118">
        <v>9784.9192500000008</v>
      </c>
      <c r="P1118">
        <v>9.7849192500000012E-3</v>
      </c>
      <c r="Q1118" t="s">
        <v>825</v>
      </c>
      <c r="R1118" s="141">
        <v>0.95</v>
      </c>
    </row>
    <row r="1119" spans="1:18" x14ac:dyDescent="0.3">
      <c r="A1119" t="s">
        <v>126</v>
      </c>
      <c r="B1119" t="s">
        <v>125</v>
      </c>
      <c r="C1119" t="s">
        <v>468</v>
      </c>
      <c r="D1119" t="s">
        <v>468</v>
      </c>
      <c r="E1119">
        <v>5510</v>
      </c>
      <c r="F1119" t="s">
        <v>128</v>
      </c>
      <c r="G1119">
        <v>1683</v>
      </c>
      <c r="H1119" t="s">
        <v>123</v>
      </c>
      <c r="I1119">
        <v>2021</v>
      </c>
      <c r="J1119">
        <v>2021</v>
      </c>
      <c r="K1119" t="s">
        <v>339</v>
      </c>
      <c r="L1119">
        <v>371100</v>
      </c>
      <c r="O1119">
        <v>352545</v>
      </c>
      <c r="P1119">
        <v>0.352545</v>
      </c>
      <c r="Q1119" t="s">
        <v>826</v>
      </c>
      <c r="R1119" s="141">
        <v>0.95</v>
      </c>
    </row>
    <row r="1120" spans="1:18" x14ac:dyDescent="0.3">
      <c r="A1120" t="s">
        <v>126</v>
      </c>
      <c r="B1120" t="s">
        <v>125</v>
      </c>
      <c r="C1120" t="s">
        <v>468</v>
      </c>
      <c r="D1120" t="s">
        <v>468</v>
      </c>
      <c r="E1120">
        <v>5610</v>
      </c>
      <c r="F1120" t="s">
        <v>127</v>
      </c>
      <c r="G1120">
        <v>1683</v>
      </c>
      <c r="H1120" t="s">
        <v>123</v>
      </c>
      <c r="I1120">
        <v>2021</v>
      </c>
      <c r="J1120">
        <v>2021</v>
      </c>
      <c r="K1120" t="s">
        <v>339</v>
      </c>
      <c r="L1120">
        <v>94611.58</v>
      </c>
      <c r="O1120">
        <v>80892.900900000008</v>
      </c>
      <c r="P1120">
        <v>8.0892900900000009E-2</v>
      </c>
      <c r="Q1120" t="s">
        <v>827</v>
      </c>
      <c r="R1120" s="141">
        <v>0.95</v>
      </c>
    </row>
    <row r="1121" spans="1:18" x14ac:dyDescent="0.3">
      <c r="A1121" t="s">
        <v>126</v>
      </c>
      <c r="B1121" t="s">
        <v>125</v>
      </c>
      <c r="C1121" t="s">
        <v>468</v>
      </c>
      <c r="D1121" t="s">
        <v>468</v>
      </c>
      <c r="E1121">
        <v>5910</v>
      </c>
      <c r="F1121" t="s">
        <v>124</v>
      </c>
      <c r="G1121">
        <v>1683</v>
      </c>
      <c r="H1121" t="s">
        <v>123</v>
      </c>
      <c r="I1121">
        <v>2021</v>
      </c>
      <c r="J1121">
        <v>2021</v>
      </c>
      <c r="K1121" t="s">
        <v>339</v>
      </c>
      <c r="L1121">
        <v>39661.18</v>
      </c>
      <c r="O1121">
        <v>33910.308900000004</v>
      </c>
      <c r="P1121">
        <v>3.3910308900000005E-2</v>
      </c>
      <c r="Q1121" t="s">
        <v>828</v>
      </c>
      <c r="R1121" s="141">
        <v>0.95</v>
      </c>
    </row>
    <row r="1122" spans="1:18" x14ac:dyDescent="0.3">
      <c r="A1122" t="s">
        <v>126</v>
      </c>
      <c r="B1122" t="s">
        <v>125</v>
      </c>
      <c r="C1122" t="s">
        <v>469</v>
      </c>
      <c r="D1122" t="s">
        <v>469</v>
      </c>
      <c r="E1122">
        <v>5516</v>
      </c>
      <c r="F1122" t="s">
        <v>128</v>
      </c>
      <c r="G1122">
        <v>1627</v>
      </c>
      <c r="H1122" t="s">
        <v>121</v>
      </c>
      <c r="I1122">
        <v>2021</v>
      </c>
      <c r="J1122">
        <v>2021</v>
      </c>
      <c r="K1122" t="s">
        <v>143</v>
      </c>
      <c r="L1122">
        <v>4359500</v>
      </c>
      <c r="O1122">
        <v>1787395</v>
      </c>
      <c r="P1122">
        <v>1.7873949999999998</v>
      </c>
      <c r="Q1122" t="s">
        <v>724</v>
      </c>
      <c r="R1122" s="141">
        <v>0.41</v>
      </c>
    </row>
    <row r="1123" spans="1:18" x14ac:dyDescent="0.3">
      <c r="A1123" t="s">
        <v>126</v>
      </c>
      <c r="B1123" t="s">
        <v>125</v>
      </c>
      <c r="C1123" t="s">
        <v>469</v>
      </c>
      <c r="D1123" t="s">
        <v>469</v>
      </c>
      <c r="E1123">
        <v>5616</v>
      </c>
      <c r="F1123" t="s">
        <v>127</v>
      </c>
      <c r="G1123">
        <v>1627</v>
      </c>
      <c r="H1123" t="s">
        <v>121</v>
      </c>
      <c r="I1123">
        <v>2021</v>
      </c>
      <c r="J1123">
        <v>2021</v>
      </c>
      <c r="K1123" t="s">
        <v>143</v>
      </c>
      <c r="L1123">
        <v>18260</v>
      </c>
      <c r="O1123">
        <v>7112.2699999999995</v>
      </c>
      <c r="P1123">
        <v>7.1122699999999995E-3</v>
      </c>
      <c r="Q1123" t="s">
        <v>725</v>
      </c>
      <c r="R1123" s="141">
        <v>0.41</v>
      </c>
    </row>
    <row r="1124" spans="1:18" x14ac:dyDescent="0.3">
      <c r="A1124" t="s">
        <v>126</v>
      </c>
      <c r="B1124" t="s">
        <v>125</v>
      </c>
      <c r="C1124" t="s">
        <v>469</v>
      </c>
      <c r="D1124" t="s">
        <v>469</v>
      </c>
      <c r="E1124">
        <v>5916</v>
      </c>
      <c r="F1124" t="s">
        <v>124</v>
      </c>
      <c r="G1124">
        <v>1627</v>
      </c>
      <c r="H1124" t="s">
        <v>121</v>
      </c>
      <c r="I1124">
        <v>2021</v>
      </c>
      <c r="J1124">
        <v>2021</v>
      </c>
      <c r="K1124" t="s">
        <v>143</v>
      </c>
      <c r="L1124">
        <v>113540</v>
      </c>
      <c r="O1124">
        <v>44223.829999999994</v>
      </c>
      <c r="P1124">
        <v>4.4223829999999992E-2</v>
      </c>
      <c r="Q1124" t="s">
        <v>726</v>
      </c>
      <c r="R1124" s="141">
        <v>0.41</v>
      </c>
    </row>
    <row r="1125" spans="1:18" x14ac:dyDescent="0.3">
      <c r="A1125" t="s">
        <v>126</v>
      </c>
      <c r="B1125" t="s">
        <v>125</v>
      </c>
      <c r="C1125" t="s">
        <v>469</v>
      </c>
      <c r="D1125" t="s">
        <v>469</v>
      </c>
      <c r="E1125">
        <v>5516</v>
      </c>
      <c r="F1125" t="s">
        <v>128</v>
      </c>
      <c r="G1125">
        <v>1628</v>
      </c>
      <c r="H1125" t="s">
        <v>120</v>
      </c>
      <c r="I1125">
        <v>2021</v>
      </c>
      <c r="J1125">
        <v>2021</v>
      </c>
      <c r="K1125" t="s">
        <v>143</v>
      </c>
      <c r="L1125">
        <v>14388313</v>
      </c>
      <c r="O1125">
        <v>8014290.3410000009</v>
      </c>
      <c r="P1125">
        <v>8.0142903410000006</v>
      </c>
      <c r="Q1125" t="s">
        <v>727</v>
      </c>
      <c r="R1125" s="141">
        <v>0.55700000000000005</v>
      </c>
    </row>
    <row r="1126" spans="1:18" x14ac:dyDescent="0.3">
      <c r="A1126" t="s">
        <v>126</v>
      </c>
      <c r="B1126" t="s">
        <v>125</v>
      </c>
      <c r="C1126" t="s">
        <v>469</v>
      </c>
      <c r="D1126" t="s">
        <v>469</v>
      </c>
      <c r="E1126">
        <v>5616</v>
      </c>
      <c r="F1126" t="s">
        <v>127</v>
      </c>
      <c r="G1126">
        <v>1628</v>
      </c>
      <c r="H1126" t="s">
        <v>120</v>
      </c>
      <c r="I1126">
        <v>2021</v>
      </c>
      <c r="J1126">
        <v>2021</v>
      </c>
      <c r="K1126" t="s">
        <v>143</v>
      </c>
      <c r="L1126">
        <v>231012</v>
      </c>
      <c r="O1126">
        <v>122239.99980000001</v>
      </c>
      <c r="P1126">
        <v>0.1222399998</v>
      </c>
      <c r="Q1126" t="s">
        <v>728</v>
      </c>
      <c r="R1126" s="141">
        <v>0.55700000000000005</v>
      </c>
    </row>
    <row r="1127" spans="1:18" x14ac:dyDescent="0.3">
      <c r="A1127" t="s">
        <v>126</v>
      </c>
      <c r="B1127" t="s">
        <v>125</v>
      </c>
      <c r="C1127" t="s">
        <v>469</v>
      </c>
      <c r="D1127" t="s">
        <v>469</v>
      </c>
      <c r="E1127">
        <v>5916</v>
      </c>
      <c r="F1127" t="s">
        <v>124</v>
      </c>
      <c r="G1127">
        <v>1628</v>
      </c>
      <c r="H1127" t="s">
        <v>120</v>
      </c>
      <c r="I1127">
        <v>2021</v>
      </c>
      <c r="J1127">
        <v>2021</v>
      </c>
      <c r="K1127" t="s">
        <v>143</v>
      </c>
      <c r="L1127">
        <v>723039</v>
      </c>
      <c r="O1127">
        <v>382596.08685000002</v>
      </c>
      <c r="P1127">
        <v>0.38259608685000002</v>
      </c>
      <c r="Q1127" t="s">
        <v>729</v>
      </c>
      <c r="R1127" s="141">
        <v>0.55700000000000005</v>
      </c>
    </row>
    <row r="1128" spans="1:18" x14ac:dyDescent="0.3">
      <c r="A1128" t="s">
        <v>126</v>
      </c>
      <c r="B1128" t="s">
        <v>125</v>
      </c>
      <c r="C1128" t="s">
        <v>469</v>
      </c>
      <c r="D1128" t="s">
        <v>469</v>
      </c>
      <c r="E1128">
        <v>5616</v>
      </c>
      <c r="F1128" t="s">
        <v>127</v>
      </c>
      <c r="G1128">
        <v>1629</v>
      </c>
      <c r="H1128" t="s">
        <v>160</v>
      </c>
      <c r="I1128">
        <v>2021</v>
      </c>
      <c r="J1128">
        <v>2021</v>
      </c>
      <c r="L1128">
        <v>0</v>
      </c>
    </row>
    <row r="1129" spans="1:18" x14ac:dyDescent="0.3">
      <c r="A1129" t="s">
        <v>126</v>
      </c>
      <c r="B1129" t="s">
        <v>125</v>
      </c>
      <c r="C1129" t="s">
        <v>469</v>
      </c>
      <c r="D1129" t="s">
        <v>469</v>
      </c>
      <c r="E1129">
        <v>5916</v>
      </c>
      <c r="F1129" t="s">
        <v>124</v>
      </c>
      <c r="G1129">
        <v>1629</v>
      </c>
      <c r="H1129" t="s">
        <v>160</v>
      </c>
      <c r="I1129">
        <v>2021</v>
      </c>
      <c r="J1129">
        <v>2021</v>
      </c>
      <c r="L1129">
        <v>0</v>
      </c>
    </row>
    <row r="1130" spans="1:18" x14ac:dyDescent="0.3">
      <c r="A1130" t="s">
        <v>126</v>
      </c>
      <c r="B1130" t="s">
        <v>125</v>
      </c>
      <c r="C1130" t="s">
        <v>469</v>
      </c>
      <c r="D1130" t="s">
        <v>469</v>
      </c>
      <c r="E1130">
        <v>5616</v>
      </c>
      <c r="F1130" t="s">
        <v>127</v>
      </c>
      <c r="G1130">
        <v>1651</v>
      </c>
      <c r="H1130" t="s">
        <v>159</v>
      </c>
      <c r="I1130">
        <v>2021</v>
      </c>
      <c r="J1130">
        <v>2021</v>
      </c>
      <c r="K1130" t="s">
        <v>143</v>
      </c>
      <c r="L1130">
        <v>566953</v>
      </c>
      <c r="O1130">
        <v>225137.03629999998</v>
      </c>
      <c r="P1130">
        <v>0.22513703629999995</v>
      </c>
      <c r="Q1130" t="s">
        <v>730</v>
      </c>
      <c r="R1130" s="141">
        <v>0.41799999999999998</v>
      </c>
    </row>
    <row r="1131" spans="1:18" x14ac:dyDescent="0.3">
      <c r="A1131" t="s">
        <v>126</v>
      </c>
      <c r="B1131" t="s">
        <v>125</v>
      </c>
      <c r="C1131" t="s">
        <v>469</v>
      </c>
      <c r="D1131" t="s">
        <v>469</v>
      </c>
      <c r="E1131">
        <v>5916</v>
      </c>
      <c r="F1131" t="s">
        <v>124</v>
      </c>
      <c r="G1131">
        <v>1651</v>
      </c>
      <c r="H1131" t="s">
        <v>159</v>
      </c>
      <c r="I1131">
        <v>2021</v>
      </c>
      <c r="J1131">
        <v>2021</v>
      </c>
      <c r="K1131" t="s">
        <v>143</v>
      </c>
      <c r="L1131">
        <v>4071082</v>
      </c>
      <c r="O1131">
        <v>1616626.6621999997</v>
      </c>
      <c r="P1131">
        <v>1.6166266621999996</v>
      </c>
      <c r="Q1131" t="s">
        <v>731</v>
      </c>
      <c r="R1131" s="141">
        <v>0.41799999999999998</v>
      </c>
    </row>
    <row r="1132" spans="1:18" x14ac:dyDescent="0.3">
      <c r="A1132" t="s">
        <v>126</v>
      </c>
      <c r="B1132" t="s">
        <v>125</v>
      </c>
      <c r="C1132" t="s">
        <v>469</v>
      </c>
      <c r="D1132" t="s">
        <v>469</v>
      </c>
      <c r="E1132">
        <v>5616</v>
      </c>
      <c r="F1132" t="s">
        <v>127</v>
      </c>
      <c r="G1132">
        <v>1657</v>
      </c>
      <c r="H1132" t="s">
        <v>158</v>
      </c>
      <c r="I1132">
        <v>2021</v>
      </c>
      <c r="J1132">
        <v>2021</v>
      </c>
      <c r="K1132" t="s">
        <v>143</v>
      </c>
      <c r="L1132">
        <v>17095</v>
      </c>
      <c r="O1132">
        <v>9029.5790000000015</v>
      </c>
      <c r="P1132">
        <v>9.0295790000000011E-3</v>
      </c>
      <c r="Q1132" t="s">
        <v>732</v>
      </c>
      <c r="R1132" s="141">
        <v>0.55600000000000005</v>
      </c>
    </row>
    <row r="1133" spans="1:18" x14ac:dyDescent="0.3">
      <c r="A1133" t="s">
        <v>126</v>
      </c>
      <c r="B1133" t="s">
        <v>125</v>
      </c>
      <c r="C1133" t="s">
        <v>469</v>
      </c>
      <c r="D1133" t="s">
        <v>469</v>
      </c>
      <c r="E1133">
        <v>5916</v>
      </c>
      <c r="F1133" t="s">
        <v>124</v>
      </c>
      <c r="G1133">
        <v>1657</v>
      </c>
      <c r="H1133" t="s">
        <v>158</v>
      </c>
      <c r="I1133">
        <v>2021</v>
      </c>
      <c r="J1133">
        <v>2021</v>
      </c>
      <c r="K1133" t="s">
        <v>143</v>
      </c>
      <c r="L1133">
        <v>499</v>
      </c>
      <c r="O1133">
        <v>263.5718</v>
      </c>
      <c r="P1133">
        <v>2.6357179999999999E-4</v>
      </c>
      <c r="Q1133" t="s">
        <v>733</v>
      </c>
      <c r="R1133" s="141">
        <v>0.55600000000000005</v>
      </c>
    </row>
    <row r="1134" spans="1:18" x14ac:dyDescent="0.3">
      <c r="A1134" t="s">
        <v>126</v>
      </c>
      <c r="B1134" t="s">
        <v>125</v>
      </c>
      <c r="C1134" t="s">
        <v>469</v>
      </c>
      <c r="D1134" t="s">
        <v>469</v>
      </c>
      <c r="E1134">
        <v>5616</v>
      </c>
      <c r="F1134" t="s">
        <v>127</v>
      </c>
      <c r="G1134">
        <v>1670</v>
      </c>
      <c r="H1134" t="s">
        <v>157</v>
      </c>
      <c r="I1134">
        <v>2021</v>
      </c>
      <c r="J1134">
        <v>2021</v>
      </c>
      <c r="K1134" t="s">
        <v>143</v>
      </c>
      <c r="L1134">
        <v>173109</v>
      </c>
      <c r="O1134">
        <v>91436.173800000004</v>
      </c>
      <c r="P1134">
        <v>9.1436173800000006E-2</v>
      </c>
      <c r="Q1134" t="s">
        <v>734</v>
      </c>
      <c r="R1134" s="141">
        <v>0.55600000000000005</v>
      </c>
    </row>
    <row r="1135" spans="1:18" x14ac:dyDescent="0.3">
      <c r="A1135" t="s">
        <v>126</v>
      </c>
      <c r="B1135" t="s">
        <v>125</v>
      </c>
      <c r="C1135" t="s">
        <v>469</v>
      </c>
      <c r="D1135" t="s">
        <v>469</v>
      </c>
      <c r="E1135">
        <v>5916</v>
      </c>
      <c r="F1135" t="s">
        <v>124</v>
      </c>
      <c r="G1135">
        <v>1670</v>
      </c>
      <c r="H1135" t="s">
        <v>157</v>
      </c>
      <c r="I1135">
        <v>2021</v>
      </c>
      <c r="J1135">
        <v>2021</v>
      </c>
      <c r="K1135" t="s">
        <v>143</v>
      </c>
      <c r="L1135">
        <v>515110</v>
      </c>
      <c r="O1135">
        <v>272081.10200000001</v>
      </c>
      <c r="P1135">
        <v>0.27208110200000002</v>
      </c>
      <c r="Q1135" t="s">
        <v>735</v>
      </c>
      <c r="R1135" s="141">
        <v>0.55600000000000005</v>
      </c>
    </row>
    <row r="1136" spans="1:18" x14ac:dyDescent="0.3">
      <c r="A1136" t="s">
        <v>126</v>
      </c>
      <c r="B1136" t="s">
        <v>125</v>
      </c>
      <c r="C1136" t="s">
        <v>469</v>
      </c>
      <c r="D1136" t="s">
        <v>469</v>
      </c>
      <c r="E1136">
        <v>5516</v>
      </c>
      <c r="F1136" t="s">
        <v>128</v>
      </c>
      <c r="G1136">
        <v>1601</v>
      </c>
      <c r="H1136" t="s">
        <v>119</v>
      </c>
      <c r="I1136">
        <v>2021</v>
      </c>
      <c r="J1136">
        <v>2021</v>
      </c>
      <c r="K1136" t="s">
        <v>143</v>
      </c>
      <c r="L1136">
        <v>18725835</v>
      </c>
      <c r="O1136">
        <v>7864850.6999999993</v>
      </c>
      <c r="P1136">
        <v>7.864850699999999</v>
      </c>
      <c r="Q1136" t="s">
        <v>736</v>
      </c>
      <c r="R1136" s="141">
        <v>0.42</v>
      </c>
    </row>
    <row r="1137" spans="1:18" x14ac:dyDescent="0.3">
      <c r="A1137" t="s">
        <v>126</v>
      </c>
      <c r="B1137" t="s">
        <v>125</v>
      </c>
      <c r="C1137" t="s">
        <v>469</v>
      </c>
      <c r="D1137" t="s">
        <v>469</v>
      </c>
      <c r="E1137">
        <v>5616</v>
      </c>
      <c r="F1137" t="s">
        <v>127</v>
      </c>
      <c r="G1137">
        <v>1601</v>
      </c>
      <c r="H1137" t="s">
        <v>119</v>
      </c>
      <c r="I1137">
        <v>2021</v>
      </c>
      <c r="J1137">
        <v>2021</v>
      </c>
      <c r="L1137">
        <v>0</v>
      </c>
    </row>
    <row r="1138" spans="1:18" x14ac:dyDescent="0.3">
      <c r="A1138" t="s">
        <v>126</v>
      </c>
      <c r="B1138" t="s">
        <v>125</v>
      </c>
      <c r="C1138" t="s">
        <v>469</v>
      </c>
      <c r="D1138" t="s">
        <v>469</v>
      </c>
      <c r="E1138">
        <v>5916</v>
      </c>
      <c r="F1138" t="s">
        <v>124</v>
      </c>
      <c r="G1138">
        <v>1601</v>
      </c>
      <c r="H1138" t="s">
        <v>119</v>
      </c>
      <c r="I1138">
        <v>2021</v>
      </c>
      <c r="J1138">
        <v>2021</v>
      </c>
      <c r="L1138">
        <v>0</v>
      </c>
    </row>
    <row r="1139" spans="1:18" x14ac:dyDescent="0.3">
      <c r="A1139" t="s">
        <v>126</v>
      </c>
      <c r="B1139" t="s">
        <v>125</v>
      </c>
      <c r="C1139" t="s">
        <v>469</v>
      </c>
      <c r="D1139" t="s">
        <v>469</v>
      </c>
      <c r="E1139">
        <v>5516</v>
      </c>
      <c r="F1139" t="s">
        <v>128</v>
      </c>
      <c r="G1139">
        <v>1604</v>
      </c>
      <c r="H1139" t="s">
        <v>118</v>
      </c>
      <c r="I1139">
        <v>2021</v>
      </c>
      <c r="J1139">
        <v>2021</v>
      </c>
      <c r="K1139" t="s">
        <v>143</v>
      </c>
      <c r="L1139">
        <v>5556815</v>
      </c>
      <c r="O1139">
        <v>3117373.2150000003</v>
      </c>
      <c r="P1139">
        <v>3.1173732150000002</v>
      </c>
      <c r="Q1139" t="s">
        <v>737</v>
      </c>
      <c r="R1139" s="141">
        <v>0.56100000000000005</v>
      </c>
    </row>
    <row r="1140" spans="1:18" x14ac:dyDescent="0.3">
      <c r="A1140" t="s">
        <v>126</v>
      </c>
      <c r="B1140" t="s">
        <v>125</v>
      </c>
      <c r="C1140" t="s">
        <v>469</v>
      </c>
      <c r="D1140" t="s">
        <v>469</v>
      </c>
      <c r="E1140">
        <v>5616</v>
      </c>
      <c r="F1140" t="s">
        <v>127</v>
      </c>
      <c r="G1140">
        <v>1604</v>
      </c>
      <c r="H1140" t="s">
        <v>118</v>
      </c>
      <c r="I1140">
        <v>2021</v>
      </c>
      <c r="J1140">
        <v>2021</v>
      </c>
      <c r="L1140">
        <v>0</v>
      </c>
    </row>
    <row r="1141" spans="1:18" x14ac:dyDescent="0.3">
      <c r="A1141" t="s">
        <v>126</v>
      </c>
      <c r="B1141" t="s">
        <v>125</v>
      </c>
      <c r="C1141" t="s">
        <v>469</v>
      </c>
      <c r="D1141" t="s">
        <v>469</v>
      </c>
      <c r="E1141">
        <v>5916</v>
      </c>
      <c r="F1141" t="s">
        <v>124</v>
      </c>
      <c r="G1141">
        <v>1604</v>
      </c>
      <c r="H1141" t="s">
        <v>118</v>
      </c>
      <c r="I1141">
        <v>2021</v>
      </c>
      <c r="J1141">
        <v>2021</v>
      </c>
      <c r="L1141">
        <v>0</v>
      </c>
    </row>
    <row r="1142" spans="1:18" x14ac:dyDescent="0.3">
      <c r="A1142" t="s">
        <v>126</v>
      </c>
      <c r="B1142" t="s">
        <v>125</v>
      </c>
      <c r="C1142" t="s">
        <v>469</v>
      </c>
      <c r="D1142" t="s">
        <v>469</v>
      </c>
      <c r="E1142">
        <v>5516</v>
      </c>
      <c r="F1142" t="s">
        <v>128</v>
      </c>
      <c r="G1142">
        <v>1602</v>
      </c>
      <c r="H1142" t="s">
        <v>156</v>
      </c>
      <c r="I1142">
        <v>2021</v>
      </c>
      <c r="J1142">
        <v>2021</v>
      </c>
      <c r="K1142" t="s">
        <v>143</v>
      </c>
      <c r="L1142">
        <v>12669217</v>
      </c>
      <c r="O1142">
        <v>5270394.2719999999</v>
      </c>
      <c r="P1142">
        <v>5.2703942719999999</v>
      </c>
      <c r="Q1142" t="s">
        <v>738</v>
      </c>
      <c r="R1142" s="141">
        <v>0.41599999999999998</v>
      </c>
    </row>
    <row r="1143" spans="1:18" x14ac:dyDescent="0.3">
      <c r="A1143" t="s">
        <v>126</v>
      </c>
      <c r="B1143" t="s">
        <v>125</v>
      </c>
      <c r="C1143" t="s">
        <v>469</v>
      </c>
      <c r="D1143" t="s">
        <v>469</v>
      </c>
      <c r="E1143">
        <v>5516</v>
      </c>
      <c r="F1143" t="s">
        <v>128</v>
      </c>
      <c r="G1143">
        <v>1603</v>
      </c>
      <c r="H1143" t="s">
        <v>155</v>
      </c>
      <c r="I1143">
        <v>2021</v>
      </c>
      <c r="J1143">
        <v>2021</v>
      </c>
      <c r="K1143" t="s">
        <v>143</v>
      </c>
      <c r="L1143">
        <v>6100672</v>
      </c>
      <c r="O1143">
        <v>3361470.2720000003</v>
      </c>
      <c r="P1143">
        <v>3.361470272</v>
      </c>
      <c r="Q1143" t="s">
        <v>739</v>
      </c>
      <c r="R1143" s="141">
        <v>0.55100000000000005</v>
      </c>
    </row>
    <row r="1144" spans="1:18" x14ac:dyDescent="0.3">
      <c r="A1144" t="s">
        <v>126</v>
      </c>
      <c r="B1144" t="s">
        <v>125</v>
      </c>
      <c r="C1144" t="s">
        <v>469</v>
      </c>
      <c r="D1144" t="s">
        <v>469</v>
      </c>
      <c r="E1144">
        <v>5516</v>
      </c>
      <c r="F1144" t="s">
        <v>128</v>
      </c>
      <c r="G1144">
        <v>1614</v>
      </c>
      <c r="H1144" t="s">
        <v>154</v>
      </c>
      <c r="I1144">
        <v>2021</v>
      </c>
      <c r="J1144">
        <v>2021</v>
      </c>
      <c r="L1144">
        <v>0</v>
      </c>
    </row>
    <row r="1145" spans="1:18" x14ac:dyDescent="0.3">
      <c r="A1145" t="s">
        <v>126</v>
      </c>
      <c r="B1145" t="s">
        <v>125</v>
      </c>
      <c r="C1145" t="s">
        <v>469</v>
      </c>
      <c r="D1145" t="s">
        <v>469</v>
      </c>
      <c r="E1145">
        <v>5616</v>
      </c>
      <c r="F1145" t="s">
        <v>127</v>
      </c>
      <c r="G1145">
        <v>1614</v>
      </c>
      <c r="H1145" t="s">
        <v>154</v>
      </c>
      <c r="I1145">
        <v>2021</v>
      </c>
      <c r="J1145">
        <v>2021</v>
      </c>
      <c r="L1145">
        <v>0</v>
      </c>
    </row>
    <row r="1146" spans="1:18" x14ac:dyDescent="0.3">
      <c r="A1146" t="s">
        <v>126</v>
      </c>
      <c r="B1146" t="s">
        <v>125</v>
      </c>
      <c r="C1146" t="s">
        <v>469</v>
      </c>
      <c r="D1146" t="s">
        <v>469</v>
      </c>
      <c r="E1146">
        <v>5916</v>
      </c>
      <c r="F1146" t="s">
        <v>124</v>
      </c>
      <c r="G1146">
        <v>1614</v>
      </c>
      <c r="H1146" t="s">
        <v>154</v>
      </c>
      <c r="I1146">
        <v>2021</v>
      </c>
      <c r="J1146">
        <v>2021</v>
      </c>
      <c r="L1146">
        <v>0</v>
      </c>
    </row>
    <row r="1147" spans="1:18" x14ac:dyDescent="0.3">
      <c r="A1147" t="s">
        <v>126</v>
      </c>
      <c r="B1147" t="s">
        <v>125</v>
      </c>
      <c r="C1147" t="s">
        <v>469</v>
      </c>
      <c r="D1147" t="s">
        <v>469</v>
      </c>
      <c r="E1147">
        <v>5516</v>
      </c>
      <c r="F1147" t="s">
        <v>128</v>
      </c>
      <c r="G1147">
        <v>1608</v>
      </c>
      <c r="H1147" t="s">
        <v>153</v>
      </c>
      <c r="I1147">
        <v>2021</v>
      </c>
      <c r="J1147">
        <v>2021</v>
      </c>
      <c r="L1147">
        <v>0</v>
      </c>
    </row>
    <row r="1148" spans="1:18" x14ac:dyDescent="0.3">
      <c r="A1148" t="s">
        <v>126</v>
      </c>
      <c r="B1148" t="s">
        <v>125</v>
      </c>
      <c r="C1148" t="s">
        <v>469</v>
      </c>
      <c r="D1148" t="s">
        <v>469</v>
      </c>
      <c r="E1148">
        <v>5516</v>
      </c>
      <c r="F1148" t="s">
        <v>128</v>
      </c>
      <c r="G1148">
        <v>1611</v>
      </c>
      <c r="H1148" t="s">
        <v>152</v>
      </c>
      <c r="I1148">
        <v>2021</v>
      </c>
      <c r="J1148">
        <v>2021</v>
      </c>
      <c r="L1148">
        <v>0</v>
      </c>
    </row>
    <row r="1149" spans="1:18" x14ac:dyDescent="0.3">
      <c r="A1149" t="s">
        <v>126</v>
      </c>
      <c r="B1149" t="s">
        <v>125</v>
      </c>
      <c r="C1149" t="s">
        <v>469</v>
      </c>
      <c r="D1149" t="s">
        <v>469</v>
      </c>
      <c r="E1149">
        <v>5516</v>
      </c>
      <c r="F1149" t="s">
        <v>128</v>
      </c>
      <c r="G1149">
        <v>1623</v>
      </c>
      <c r="H1149" t="s">
        <v>151</v>
      </c>
      <c r="I1149">
        <v>2021</v>
      </c>
      <c r="J1149">
        <v>2021</v>
      </c>
      <c r="K1149" t="s">
        <v>143</v>
      </c>
      <c r="L1149">
        <v>1362825</v>
      </c>
      <c r="O1149">
        <v>569660.85</v>
      </c>
      <c r="P1149">
        <v>0.56966085</v>
      </c>
      <c r="Q1149" t="s">
        <v>740</v>
      </c>
      <c r="R1149" s="141">
        <v>0.41799999999999998</v>
      </c>
    </row>
    <row r="1150" spans="1:18" x14ac:dyDescent="0.3">
      <c r="A1150" t="s">
        <v>126</v>
      </c>
      <c r="B1150" t="s">
        <v>125</v>
      </c>
      <c r="C1150" t="s">
        <v>469</v>
      </c>
      <c r="D1150" t="s">
        <v>469</v>
      </c>
      <c r="E1150">
        <v>5516</v>
      </c>
      <c r="F1150" t="s">
        <v>128</v>
      </c>
      <c r="G1150">
        <v>1626</v>
      </c>
      <c r="H1150" t="s">
        <v>150</v>
      </c>
      <c r="I1150">
        <v>2021</v>
      </c>
      <c r="J1150">
        <v>2021</v>
      </c>
      <c r="K1150" t="s">
        <v>143</v>
      </c>
      <c r="L1150">
        <v>214709</v>
      </c>
      <c r="O1150">
        <v>119378.20400000001</v>
      </c>
      <c r="P1150">
        <v>0.119378204</v>
      </c>
      <c r="Q1150" t="s">
        <v>741</v>
      </c>
      <c r="R1150" s="141">
        <v>0.55600000000000005</v>
      </c>
    </row>
    <row r="1151" spans="1:18" x14ac:dyDescent="0.3">
      <c r="A1151" t="s">
        <v>126</v>
      </c>
      <c r="B1151" t="s">
        <v>125</v>
      </c>
      <c r="C1151" t="s">
        <v>469</v>
      </c>
      <c r="D1151" t="s">
        <v>469</v>
      </c>
      <c r="E1151">
        <v>5616</v>
      </c>
      <c r="F1151" t="s">
        <v>127</v>
      </c>
      <c r="G1151">
        <v>1625</v>
      </c>
      <c r="H1151" t="s">
        <v>149</v>
      </c>
      <c r="I1151">
        <v>2021</v>
      </c>
      <c r="J1151">
        <v>2021</v>
      </c>
      <c r="L1151">
        <v>0</v>
      </c>
    </row>
    <row r="1152" spans="1:18" x14ac:dyDescent="0.3">
      <c r="A1152" t="s">
        <v>126</v>
      </c>
      <c r="B1152" t="s">
        <v>125</v>
      </c>
      <c r="C1152" t="s">
        <v>469</v>
      </c>
      <c r="D1152" t="s">
        <v>469</v>
      </c>
      <c r="E1152">
        <v>5916</v>
      </c>
      <c r="F1152" t="s">
        <v>124</v>
      </c>
      <c r="G1152">
        <v>1625</v>
      </c>
      <c r="H1152" t="s">
        <v>149</v>
      </c>
      <c r="I1152">
        <v>2021</v>
      </c>
      <c r="J1152">
        <v>2021</v>
      </c>
      <c r="L1152">
        <v>0</v>
      </c>
    </row>
    <row r="1153" spans="1:18" x14ac:dyDescent="0.3">
      <c r="A1153" t="s">
        <v>126</v>
      </c>
      <c r="B1153" t="s">
        <v>125</v>
      </c>
      <c r="C1153" t="s">
        <v>469</v>
      </c>
      <c r="D1153" t="s">
        <v>469</v>
      </c>
      <c r="E1153">
        <v>5510</v>
      </c>
      <c r="F1153" t="s">
        <v>128</v>
      </c>
      <c r="G1153">
        <v>1630</v>
      </c>
      <c r="H1153" t="s">
        <v>117</v>
      </c>
      <c r="I1153">
        <v>2021</v>
      </c>
      <c r="J1153">
        <v>2021</v>
      </c>
      <c r="K1153" t="s">
        <v>339</v>
      </c>
      <c r="L1153">
        <v>56972</v>
      </c>
      <c r="O1153">
        <v>54977.979999999996</v>
      </c>
      <c r="P1153">
        <v>5.4977979999999996E-2</v>
      </c>
      <c r="Q1153" t="s">
        <v>742</v>
      </c>
      <c r="R1153" s="141">
        <v>0.96499999999999997</v>
      </c>
    </row>
    <row r="1154" spans="1:18" x14ac:dyDescent="0.3">
      <c r="A1154" t="s">
        <v>126</v>
      </c>
      <c r="B1154" t="s">
        <v>125</v>
      </c>
      <c r="C1154" t="s">
        <v>469</v>
      </c>
      <c r="D1154" t="s">
        <v>469</v>
      </c>
      <c r="E1154">
        <v>5510</v>
      </c>
      <c r="F1154" t="s">
        <v>128</v>
      </c>
      <c r="G1154">
        <v>1694</v>
      </c>
      <c r="H1154" t="s">
        <v>348</v>
      </c>
      <c r="I1154">
        <v>2021</v>
      </c>
      <c r="J1154">
        <v>2021</v>
      </c>
      <c r="K1154" t="s">
        <v>339</v>
      </c>
      <c r="L1154">
        <v>141400</v>
      </c>
      <c r="O1154">
        <v>130795</v>
      </c>
      <c r="P1154">
        <v>0.13079499999999999</v>
      </c>
      <c r="Q1154" t="s">
        <v>743</v>
      </c>
      <c r="R1154" s="141">
        <v>0.92500000000000004</v>
      </c>
    </row>
    <row r="1155" spans="1:18" x14ac:dyDescent="0.3">
      <c r="A1155" t="s">
        <v>126</v>
      </c>
      <c r="B1155" t="s">
        <v>125</v>
      </c>
      <c r="C1155" t="s">
        <v>469</v>
      </c>
      <c r="D1155" t="s">
        <v>469</v>
      </c>
      <c r="E1155">
        <v>5610</v>
      </c>
      <c r="F1155" t="s">
        <v>127</v>
      </c>
      <c r="G1155">
        <v>1630</v>
      </c>
      <c r="H1155" t="s">
        <v>117</v>
      </c>
      <c r="I1155">
        <v>2021</v>
      </c>
      <c r="J1155">
        <v>2021</v>
      </c>
      <c r="K1155" t="s">
        <v>339</v>
      </c>
      <c r="L1155">
        <v>248547</v>
      </c>
      <c r="O1155">
        <v>227855.46224999998</v>
      </c>
      <c r="P1155">
        <v>0.22785546224999997</v>
      </c>
      <c r="Q1155" t="s">
        <v>744</v>
      </c>
      <c r="R1155" s="141">
        <v>0.96499999999999997</v>
      </c>
    </row>
    <row r="1156" spans="1:18" x14ac:dyDescent="0.3">
      <c r="A1156" t="s">
        <v>126</v>
      </c>
      <c r="B1156" t="s">
        <v>125</v>
      </c>
      <c r="C1156" t="s">
        <v>469</v>
      </c>
      <c r="D1156" t="s">
        <v>469</v>
      </c>
      <c r="E1156">
        <v>5610</v>
      </c>
      <c r="F1156" t="s">
        <v>127</v>
      </c>
      <c r="G1156">
        <v>1694</v>
      </c>
      <c r="H1156" t="s">
        <v>348</v>
      </c>
      <c r="I1156">
        <v>2021</v>
      </c>
      <c r="J1156">
        <v>2021</v>
      </c>
      <c r="K1156" t="s">
        <v>339</v>
      </c>
      <c r="L1156">
        <v>55620</v>
      </c>
      <c r="O1156">
        <v>48876.074999999997</v>
      </c>
      <c r="P1156">
        <v>4.8876074999999998E-2</v>
      </c>
      <c r="Q1156" t="s">
        <v>745</v>
      </c>
      <c r="R1156" s="141">
        <v>0.92500000000000004</v>
      </c>
    </row>
    <row r="1157" spans="1:18" x14ac:dyDescent="0.3">
      <c r="A1157" t="s">
        <v>126</v>
      </c>
      <c r="B1157" t="s">
        <v>125</v>
      </c>
      <c r="C1157" t="s">
        <v>469</v>
      </c>
      <c r="D1157" t="s">
        <v>469</v>
      </c>
      <c r="E1157">
        <v>5910</v>
      </c>
      <c r="F1157" t="s">
        <v>124</v>
      </c>
      <c r="G1157">
        <v>1630</v>
      </c>
      <c r="H1157" t="s">
        <v>117</v>
      </c>
      <c r="I1157">
        <v>2021</v>
      </c>
      <c r="J1157">
        <v>2021</v>
      </c>
      <c r="K1157" t="s">
        <v>339</v>
      </c>
      <c r="L1157">
        <v>48517</v>
      </c>
      <c r="O1157">
        <v>44477.959749999995</v>
      </c>
      <c r="P1157">
        <v>4.447795974999999E-2</v>
      </c>
      <c r="Q1157" t="s">
        <v>746</v>
      </c>
      <c r="R1157" s="141">
        <v>0.96499999999999997</v>
      </c>
    </row>
    <row r="1158" spans="1:18" x14ac:dyDescent="0.3">
      <c r="A1158" t="s">
        <v>126</v>
      </c>
      <c r="B1158" t="s">
        <v>125</v>
      </c>
      <c r="C1158" t="s">
        <v>469</v>
      </c>
      <c r="D1158" t="s">
        <v>469</v>
      </c>
      <c r="E1158">
        <v>5910</v>
      </c>
      <c r="F1158" t="s">
        <v>124</v>
      </c>
      <c r="G1158">
        <v>1694</v>
      </c>
      <c r="H1158" t="s">
        <v>348</v>
      </c>
      <c r="I1158">
        <v>2021</v>
      </c>
      <c r="J1158">
        <v>2021</v>
      </c>
      <c r="K1158" t="s">
        <v>339</v>
      </c>
      <c r="L1158">
        <v>80925</v>
      </c>
      <c r="O1158">
        <v>71112.84375</v>
      </c>
      <c r="P1158">
        <v>7.1112843750000002E-2</v>
      </c>
      <c r="Q1158" t="s">
        <v>747</v>
      </c>
      <c r="R1158" s="141">
        <v>0.92500000000000004</v>
      </c>
    </row>
    <row r="1159" spans="1:18" x14ac:dyDescent="0.3">
      <c r="A1159" t="s">
        <v>126</v>
      </c>
      <c r="B1159" t="s">
        <v>125</v>
      </c>
      <c r="C1159" t="s">
        <v>469</v>
      </c>
      <c r="D1159" t="s">
        <v>469</v>
      </c>
      <c r="E1159">
        <v>5516</v>
      </c>
      <c r="F1159" t="s">
        <v>128</v>
      </c>
      <c r="G1159">
        <v>1619</v>
      </c>
      <c r="H1159" t="s">
        <v>92</v>
      </c>
      <c r="I1159">
        <v>2021</v>
      </c>
      <c r="J1159">
        <v>2021</v>
      </c>
      <c r="K1159" t="s">
        <v>143</v>
      </c>
      <c r="L1159">
        <v>3347782</v>
      </c>
      <c r="O1159">
        <v>1377688.0658436213</v>
      </c>
      <c r="P1159">
        <v>1.3776880658436212</v>
      </c>
      <c r="Q1159" t="s">
        <v>748</v>
      </c>
      <c r="R1159" s="141">
        <v>0.41152263374485593</v>
      </c>
    </row>
    <row r="1160" spans="1:18" x14ac:dyDescent="0.3">
      <c r="A1160" t="s">
        <v>126</v>
      </c>
      <c r="B1160" t="s">
        <v>125</v>
      </c>
      <c r="C1160" t="s">
        <v>469</v>
      </c>
      <c r="D1160" t="s">
        <v>469</v>
      </c>
      <c r="E1160">
        <v>5616</v>
      </c>
      <c r="F1160" t="s">
        <v>127</v>
      </c>
      <c r="G1160">
        <v>1619</v>
      </c>
      <c r="H1160" t="s">
        <v>92</v>
      </c>
      <c r="I1160">
        <v>2021</v>
      </c>
      <c r="J1160">
        <v>2021</v>
      </c>
      <c r="K1160" t="s">
        <v>143</v>
      </c>
      <c r="L1160">
        <v>1047599</v>
      </c>
      <c r="O1160">
        <v>409555.16460905346</v>
      </c>
      <c r="P1160">
        <v>0.40955516460905345</v>
      </c>
      <c r="Q1160" t="s">
        <v>749</v>
      </c>
      <c r="R1160" s="141">
        <v>0.41152263374485593</v>
      </c>
    </row>
    <row r="1161" spans="1:18" x14ac:dyDescent="0.3">
      <c r="A1161" t="s">
        <v>126</v>
      </c>
      <c r="B1161" t="s">
        <v>125</v>
      </c>
      <c r="C1161" t="s">
        <v>469</v>
      </c>
      <c r="D1161" t="s">
        <v>469</v>
      </c>
      <c r="E1161">
        <v>5916</v>
      </c>
      <c r="F1161" t="s">
        <v>124</v>
      </c>
      <c r="G1161">
        <v>1619</v>
      </c>
      <c r="H1161" t="s">
        <v>92</v>
      </c>
      <c r="I1161">
        <v>2021</v>
      </c>
      <c r="J1161">
        <v>2021</v>
      </c>
      <c r="K1161" t="s">
        <v>143</v>
      </c>
      <c r="L1161">
        <v>449691</v>
      </c>
      <c r="O1161">
        <v>175805.12345679008</v>
      </c>
      <c r="P1161">
        <v>0.17580512345679009</v>
      </c>
      <c r="Q1161" t="s">
        <v>750</v>
      </c>
      <c r="R1161" s="141">
        <v>0.41152263374485593</v>
      </c>
    </row>
    <row r="1162" spans="1:18" x14ac:dyDescent="0.3">
      <c r="A1162" t="s">
        <v>126</v>
      </c>
      <c r="B1162" t="s">
        <v>125</v>
      </c>
      <c r="C1162" t="s">
        <v>469</v>
      </c>
      <c r="D1162" t="s">
        <v>469</v>
      </c>
      <c r="E1162">
        <v>5516</v>
      </c>
      <c r="F1162" t="s">
        <v>128</v>
      </c>
      <c r="G1162">
        <v>1620</v>
      </c>
      <c r="H1162" t="s">
        <v>115</v>
      </c>
      <c r="I1162">
        <v>2021</v>
      </c>
      <c r="J1162">
        <v>2021</v>
      </c>
      <c r="K1162" t="s">
        <v>143</v>
      </c>
      <c r="L1162">
        <v>2053105</v>
      </c>
      <c r="O1162">
        <v>848390.49586776865</v>
      </c>
      <c r="P1162">
        <v>0.8483904958677686</v>
      </c>
      <c r="Q1162" t="s">
        <v>751</v>
      </c>
      <c r="R1162" s="141">
        <v>0.41322314049586778</v>
      </c>
    </row>
    <row r="1163" spans="1:18" x14ac:dyDescent="0.3">
      <c r="A1163" t="s">
        <v>126</v>
      </c>
      <c r="B1163" t="s">
        <v>125</v>
      </c>
      <c r="C1163" t="s">
        <v>469</v>
      </c>
      <c r="D1163" t="s">
        <v>469</v>
      </c>
      <c r="E1163">
        <v>5616</v>
      </c>
      <c r="F1163" t="s">
        <v>127</v>
      </c>
      <c r="G1163">
        <v>1620</v>
      </c>
      <c r="H1163" t="s">
        <v>115</v>
      </c>
      <c r="I1163">
        <v>2021</v>
      </c>
      <c r="J1163">
        <v>2021</v>
      </c>
      <c r="K1163" t="s">
        <v>143</v>
      </c>
      <c r="L1163">
        <v>548967</v>
      </c>
      <c r="O1163">
        <v>215503.57438016529</v>
      </c>
      <c r="P1163">
        <v>0.21550357438016526</v>
      </c>
      <c r="Q1163" t="s">
        <v>752</v>
      </c>
      <c r="R1163" s="141">
        <v>0.41322314049586778</v>
      </c>
    </row>
    <row r="1164" spans="1:18" x14ac:dyDescent="0.3">
      <c r="A1164" t="s">
        <v>126</v>
      </c>
      <c r="B1164" t="s">
        <v>125</v>
      </c>
      <c r="C1164" t="s">
        <v>469</v>
      </c>
      <c r="D1164" t="s">
        <v>469</v>
      </c>
      <c r="E1164">
        <v>5916</v>
      </c>
      <c r="F1164" t="s">
        <v>124</v>
      </c>
      <c r="G1164">
        <v>1620</v>
      </c>
      <c r="H1164" t="s">
        <v>115</v>
      </c>
      <c r="I1164">
        <v>2021</v>
      </c>
      <c r="J1164">
        <v>2021</v>
      </c>
      <c r="K1164" t="s">
        <v>143</v>
      </c>
      <c r="L1164">
        <v>475019</v>
      </c>
      <c r="O1164">
        <v>186474.40082644628</v>
      </c>
      <c r="P1164">
        <v>0.18647440082644626</v>
      </c>
      <c r="Q1164" t="s">
        <v>753</v>
      </c>
      <c r="R1164" s="141">
        <v>0.41322314049586778</v>
      </c>
    </row>
    <row r="1165" spans="1:18" x14ac:dyDescent="0.3">
      <c r="A1165" t="s">
        <v>126</v>
      </c>
      <c r="B1165" t="s">
        <v>125</v>
      </c>
      <c r="C1165" t="s">
        <v>469</v>
      </c>
      <c r="D1165" t="s">
        <v>469</v>
      </c>
      <c r="E1165">
        <v>5510</v>
      </c>
      <c r="F1165" t="s">
        <v>128</v>
      </c>
      <c r="G1165">
        <v>1600</v>
      </c>
      <c r="H1165" t="s">
        <v>148</v>
      </c>
      <c r="I1165">
        <v>2021</v>
      </c>
      <c r="J1165">
        <v>2021</v>
      </c>
      <c r="L1165">
        <v>1331400</v>
      </c>
      <c r="O1165">
        <v>1031835</v>
      </c>
      <c r="P1165">
        <v>1.0318350000000001</v>
      </c>
      <c r="Q1165" t="s">
        <v>754</v>
      </c>
      <c r="R1165" s="141">
        <v>0.77500000000000002</v>
      </c>
    </row>
    <row r="1166" spans="1:18" x14ac:dyDescent="0.3">
      <c r="A1166" t="s">
        <v>126</v>
      </c>
      <c r="B1166" t="s">
        <v>125</v>
      </c>
      <c r="C1166" t="s">
        <v>469</v>
      </c>
      <c r="D1166" t="s">
        <v>469</v>
      </c>
      <c r="E1166">
        <v>5610</v>
      </c>
      <c r="F1166" t="s">
        <v>127</v>
      </c>
      <c r="G1166">
        <v>1600</v>
      </c>
      <c r="H1166" t="s">
        <v>148</v>
      </c>
      <c r="I1166">
        <v>2021</v>
      </c>
      <c r="J1166">
        <v>2021</v>
      </c>
      <c r="K1166" t="s">
        <v>339</v>
      </c>
      <c r="L1166">
        <v>5582</v>
      </c>
      <c r="O1166">
        <v>4109.7475000000004</v>
      </c>
      <c r="P1166">
        <v>4.1097475000000001E-3</v>
      </c>
      <c r="Q1166" t="s">
        <v>755</v>
      </c>
      <c r="R1166" s="141">
        <v>0.77500000000000002</v>
      </c>
    </row>
    <row r="1167" spans="1:18" x14ac:dyDescent="0.3">
      <c r="A1167" t="s">
        <v>126</v>
      </c>
      <c r="B1167" t="s">
        <v>125</v>
      </c>
      <c r="C1167" t="s">
        <v>469</v>
      </c>
      <c r="D1167" t="s">
        <v>469</v>
      </c>
      <c r="E1167">
        <v>5910</v>
      </c>
      <c r="F1167" t="s">
        <v>124</v>
      </c>
      <c r="G1167">
        <v>1600</v>
      </c>
      <c r="H1167" t="s">
        <v>148</v>
      </c>
      <c r="I1167">
        <v>2021</v>
      </c>
      <c r="J1167">
        <v>2021</v>
      </c>
      <c r="L1167">
        <v>823914</v>
      </c>
      <c r="O1167">
        <v>606606.6825</v>
      </c>
      <c r="P1167">
        <v>0.60660668249999994</v>
      </c>
      <c r="Q1167" t="s">
        <v>756</v>
      </c>
      <c r="R1167" s="141">
        <v>0.77500000000000002</v>
      </c>
    </row>
    <row r="1168" spans="1:18" x14ac:dyDescent="0.3">
      <c r="A1168" t="s">
        <v>126</v>
      </c>
      <c r="B1168" t="s">
        <v>125</v>
      </c>
      <c r="C1168" t="s">
        <v>469</v>
      </c>
      <c r="D1168" t="s">
        <v>469</v>
      </c>
      <c r="E1168">
        <v>5510</v>
      </c>
      <c r="F1168" t="s">
        <v>128</v>
      </c>
      <c r="G1168">
        <v>1693</v>
      </c>
      <c r="H1168" t="s">
        <v>114</v>
      </c>
      <c r="I1168">
        <v>2021</v>
      </c>
      <c r="J1168">
        <v>2021</v>
      </c>
      <c r="K1168" t="s">
        <v>339</v>
      </c>
      <c r="L1168">
        <v>1146101</v>
      </c>
      <c r="O1168">
        <v>1060143.425</v>
      </c>
      <c r="P1168">
        <v>1.0601434249999999</v>
      </c>
      <c r="Q1168" t="s">
        <v>757</v>
      </c>
      <c r="R1168" s="141">
        <v>0.92500000000000004</v>
      </c>
    </row>
    <row r="1169" spans="1:18" x14ac:dyDescent="0.3">
      <c r="A1169" t="s">
        <v>126</v>
      </c>
      <c r="B1169" t="s">
        <v>125</v>
      </c>
      <c r="C1169" t="s">
        <v>469</v>
      </c>
      <c r="D1169" t="s">
        <v>469</v>
      </c>
      <c r="E1169">
        <v>5610</v>
      </c>
      <c r="F1169" t="s">
        <v>127</v>
      </c>
      <c r="G1169">
        <v>1693</v>
      </c>
      <c r="H1169" t="s">
        <v>114</v>
      </c>
      <c r="I1169">
        <v>2021</v>
      </c>
      <c r="J1169">
        <v>2021</v>
      </c>
      <c r="K1169" t="s">
        <v>339</v>
      </c>
      <c r="L1169">
        <v>325016</v>
      </c>
      <c r="O1169">
        <v>285607.81</v>
      </c>
      <c r="P1169">
        <v>0.28560780999999996</v>
      </c>
      <c r="Q1169" t="s">
        <v>758</v>
      </c>
      <c r="R1169" s="141">
        <v>0.92500000000000004</v>
      </c>
    </row>
    <row r="1170" spans="1:18" x14ac:dyDescent="0.3">
      <c r="A1170" t="s">
        <v>126</v>
      </c>
      <c r="B1170" t="s">
        <v>125</v>
      </c>
      <c r="C1170" t="s">
        <v>469</v>
      </c>
      <c r="D1170" t="s">
        <v>469</v>
      </c>
      <c r="E1170">
        <v>5910</v>
      </c>
      <c r="F1170" t="s">
        <v>124</v>
      </c>
      <c r="G1170">
        <v>1693</v>
      </c>
      <c r="H1170" t="s">
        <v>114</v>
      </c>
      <c r="I1170">
        <v>2021</v>
      </c>
      <c r="J1170">
        <v>2021</v>
      </c>
      <c r="K1170" t="s">
        <v>339</v>
      </c>
      <c r="L1170">
        <v>259266</v>
      </c>
      <c r="O1170">
        <v>227829.9975</v>
      </c>
      <c r="P1170">
        <v>0.22782999749999999</v>
      </c>
      <c r="Q1170" t="s">
        <v>759</v>
      </c>
      <c r="R1170" s="141">
        <v>0.92500000000000004</v>
      </c>
    </row>
    <row r="1171" spans="1:18" x14ac:dyDescent="0.3">
      <c r="A1171" t="s">
        <v>126</v>
      </c>
      <c r="B1171" t="s">
        <v>125</v>
      </c>
      <c r="C1171" t="s">
        <v>469</v>
      </c>
      <c r="D1171" t="s">
        <v>469</v>
      </c>
      <c r="E1171">
        <v>5516</v>
      </c>
      <c r="F1171" t="s">
        <v>128</v>
      </c>
      <c r="G1171">
        <v>1632</v>
      </c>
      <c r="H1171" t="s">
        <v>110</v>
      </c>
      <c r="I1171">
        <v>2021</v>
      </c>
      <c r="J1171">
        <v>2021</v>
      </c>
      <c r="K1171" t="s">
        <v>143</v>
      </c>
      <c r="L1171">
        <v>11172100</v>
      </c>
      <c r="O1171">
        <v>5073529.9124999996</v>
      </c>
      <c r="P1171">
        <v>5.0735299124999997</v>
      </c>
      <c r="Q1171" t="s">
        <v>760</v>
      </c>
      <c r="R1171" s="141">
        <v>0.454125</v>
      </c>
    </row>
    <row r="1172" spans="1:18" x14ac:dyDescent="0.3">
      <c r="A1172" t="s">
        <v>126</v>
      </c>
      <c r="B1172" t="s">
        <v>125</v>
      </c>
      <c r="C1172" t="s">
        <v>469</v>
      </c>
      <c r="D1172" t="s">
        <v>469</v>
      </c>
      <c r="E1172">
        <v>5616</v>
      </c>
      <c r="F1172" t="s">
        <v>127</v>
      </c>
      <c r="G1172">
        <v>1632</v>
      </c>
      <c r="H1172" t="s">
        <v>110</v>
      </c>
      <c r="I1172">
        <v>2021</v>
      </c>
      <c r="J1172">
        <v>2021</v>
      </c>
      <c r="K1172" t="s">
        <v>143</v>
      </c>
      <c r="L1172">
        <v>2052053</v>
      </c>
      <c r="O1172">
        <v>885294.14019374992</v>
      </c>
      <c r="P1172">
        <v>0.88529414019374986</v>
      </c>
      <c r="Q1172" t="s">
        <v>761</v>
      </c>
      <c r="R1172" s="141">
        <v>0.454125</v>
      </c>
    </row>
    <row r="1173" spans="1:18" x14ac:dyDescent="0.3">
      <c r="A1173" t="s">
        <v>126</v>
      </c>
      <c r="B1173" t="s">
        <v>125</v>
      </c>
      <c r="C1173" t="s">
        <v>469</v>
      </c>
      <c r="D1173" t="s">
        <v>469</v>
      </c>
      <c r="E1173">
        <v>5916</v>
      </c>
      <c r="F1173" t="s">
        <v>124</v>
      </c>
      <c r="G1173">
        <v>1632</v>
      </c>
      <c r="H1173" t="s">
        <v>110</v>
      </c>
      <c r="I1173">
        <v>2021</v>
      </c>
      <c r="J1173">
        <v>2021</v>
      </c>
      <c r="K1173" t="s">
        <v>143</v>
      </c>
      <c r="L1173">
        <v>1980030</v>
      </c>
      <c r="O1173">
        <v>854222.06756250001</v>
      </c>
      <c r="P1173">
        <v>0.85422206756249996</v>
      </c>
      <c r="Q1173" t="s">
        <v>762</v>
      </c>
      <c r="R1173" s="141">
        <v>0.454125</v>
      </c>
    </row>
    <row r="1174" spans="1:18" x14ac:dyDescent="0.3">
      <c r="A1174" t="s">
        <v>126</v>
      </c>
      <c r="B1174" t="s">
        <v>125</v>
      </c>
      <c r="C1174" t="s">
        <v>469</v>
      </c>
      <c r="D1174" t="s">
        <v>469</v>
      </c>
      <c r="E1174">
        <v>5516</v>
      </c>
      <c r="F1174" t="s">
        <v>128</v>
      </c>
      <c r="G1174">
        <v>1633</v>
      </c>
      <c r="H1174" t="s">
        <v>109</v>
      </c>
      <c r="I1174">
        <v>2021</v>
      </c>
      <c r="J1174">
        <v>2021</v>
      </c>
      <c r="K1174" t="s">
        <v>143</v>
      </c>
      <c r="L1174">
        <v>4157532</v>
      </c>
      <c r="O1174">
        <v>2382785.5274999999</v>
      </c>
      <c r="P1174">
        <v>2.3827855274999998</v>
      </c>
      <c r="Q1174" t="s">
        <v>763</v>
      </c>
      <c r="R1174" s="141">
        <v>0.573125</v>
      </c>
    </row>
    <row r="1175" spans="1:18" x14ac:dyDescent="0.3">
      <c r="A1175" t="s">
        <v>126</v>
      </c>
      <c r="B1175" t="s">
        <v>125</v>
      </c>
      <c r="C1175" t="s">
        <v>469</v>
      </c>
      <c r="D1175" t="s">
        <v>469</v>
      </c>
      <c r="E1175">
        <v>5616</v>
      </c>
      <c r="F1175" t="s">
        <v>127</v>
      </c>
      <c r="G1175">
        <v>1633</v>
      </c>
      <c r="H1175" t="s">
        <v>109</v>
      </c>
      <c r="I1175">
        <v>2021</v>
      </c>
      <c r="J1175">
        <v>2021</v>
      </c>
      <c r="K1175" t="s">
        <v>143</v>
      </c>
      <c r="L1175">
        <v>427068</v>
      </c>
      <c r="O1175">
        <v>232525.18012499998</v>
      </c>
      <c r="P1175">
        <v>0.23252518012499998</v>
      </c>
      <c r="Q1175" t="s">
        <v>764</v>
      </c>
      <c r="R1175" s="141">
        <v>0.573125</v>
      </c>
    </row>
    <row r="1176" spans="1:18" x14ac:dyDescent="0.3">
      <c r="A1176" t="s">
        <v>126</v>
      </c>
      <c r="B1176" t="s">
        <v>125</v>
      </c>
      <c r="C1176" t="s">
        <v>469</v>
      </c>
      <c r="D1176" t="s">
        <v>469</v>
      </c>
      <c r="E1176">
        <v>5916</v>
      </c>
      <c r="F1176" t="s">
        <v>124</v>
      </c>
      <c r="G1176">
        <v>1633</v>
      </c>
      <c r="H1176" t="s">
        <v>109</v>
      </c>
      <c r="I1176">
        <v>2021</v>
      </c>
      <c r="J1176">
        <v>2021</v>
      </c>
      <c r="K1176" t="s">
        <v>143</v>
      </c>
      <c r="L1176">
        <v>646528</v>
      </c>
      <c r="O1176">
        <v>352014.29199999996</v>
      </c>
      <c r="P1176">
        <v>0.35201429199999995</v>
      </c>
      <c r="Q1176" t="s">
        <v>765</v>
      </c>
      <c r="R1176" s="141">
        <v>0.573125</v>
      </c>
    </row>
    <row r="1177" spans="1:18" x14ac:dyDescent="0.3">
      <c r="A1177" t="s">
        <v>126</v>
      </c>
      <c r="B1177" t="s">
        <v>125</v>
      </c>
      <c r="C1177" t="s">
        <v>469</v>
      </c>
      <c r="D1177" t="s">
        <v>469</v>
      </c>
      <c r="E1177">
        <v>5516</v>
      </c>
      <c r="F1177" t="s">
        <v>128</v>
      </c>
      <c r="G1177">
        <v>1634</v>
      </c>
      <c r="H1177" t="s">
        <v>108</v>
      </c>
      <c r="I1177">
        <v>2021</v>
      </c>
      <c r="J1177">
        <v>2021</v>
      </c>
      <c r="K1177" t="s">
        <v>143</v>
      </c>
      <c r="L1177">
        <v>122240</v>
      </c>
      <c r="O1177">
        <v>62082.028799999993</v>
      </c>
      <c r="P1177">
        <v>6.2082028799999987E-2</v>
      </c>
      <c r="Q1177" t="s">
        <v>766</v>
      </c>
      <c r="R1177" s="141">
        <v>0.50786999999999993</v>
      </c>
    </row>
    <row r="1178" spans="1:18" x14ac:dyDescent="0.3">
      <c r="A1178" t="s">
        <v>126</v>
      </c>
      <c r="B1178" t="s">
        <v>125</v>
      </c>
      <c r="C1178" t="s">
        <v>469</v>
      </c>
      <c r="D1178" t="s">
        <v>469</v>
      </c>
      <c r="E1178">
        <v>5616</v>
      </c>
      <c r="F1178" t="s">
        <v>127</v>
      </c>
      <c r="G1178">
        <v>1634</v>
      </c>
      <c r="H1178" t="s">
        <v>108</v>
      </c>
      <c r="I1178">
        <v>2021</v>
      </c>
      <c r="J1178">
        <v>2021</v>
      </c>
      <c r="K1178" t="s">
        <v>143</v>
      </c>
      <c r="L1178">
        <v>145127</v>
      </c>
      <c r="O1178">
        <v>70020.3670155</v>
      </c>
      <c r="P1178">
        <v>7.002036701549999E-2</v>
      </c>
      <c r="Q1178" t="s">
        <v>767</v>
      </c>
      <c r="R1178" s="141">
        <v>0.50786999999999993</v>
      </c>
    </row>
    <row r="1179" spans="1:18" x14ac:dyDescent="0.3">
      <c r="A1179" t="s">
        <v>126</v>
      </c>
      <c r="B1179" t="s">
        <v>125</v>
      </c>
      <c r="C1179" t="s">
        <v>469</v>
      </c>
      <c r="D1179" t="s">
        <v>469</v>
      </c>
      <c r="E1179">
        <v>5916</v>
      </c>
      <c r="F1179" t="s">
        <v>124</v>
      </c>
      <c r="G1179">
        <v>1634</v>
      </c>
      <c r="H1179" t="s">
        <v>108</v>
      </c>
      <c r="I1179">
        <v>2021</v>
      </c>
      <c r="J1179">
        <v>2021</v>
      </c>
      <c r="K1179" t="s">
        <v>143</v>
      </c>
      <c r="L1179">
        <v>96809</v>
      </c>
      <c r="O1179">
        <v>46708.067488499997</v>
      </c>
      <c r="P1179">
        <v>4.6708067488499996E-2</v>
      </c>
      <c r="Q1179" t="s">
        <v>768</v>
      </c>
      <c r="R1179" s="141">
        <v>0.50786999999999993</v>
      </c>
    </row>
    <row r="1180" spans="1:18" x14ac:dyDescent="0.3">
      <c r="A1180" t="s">
        <v>126</v>
      </c>
      <c r="B1180" t="s">
        <v>125</v>
      </c>
      <c r="C1180" t="s">
        <v>469</v>
      </c>
      <c r="D1180" t="s">
        <v>469</v>
      </c>
      <c r="E1180">
        <v>5516</v>
      </c>
      <c r="F1180" t="s">
        <v>128</v>
      </c>
      <c r="G1180">
        <v>1640</v>
      </c>
      <c r="H1180" t="s">
        <v>104</v>
      </c>
      <c r="I1180">
        <v>2021</v>
      </c>
      <c r="J1180">
        <v>2021</v>
      </c>
      <c r="K1180" t="s">
        <v>143</v>
      </c>
      <c r="L1180">
        <v>149068</v>
      </c>
      <c r="O1180">
        <v>75707.16515999999</v>
      </c>
      <c r="P1180">
        <v>7.5707165159999992E-2</v>
      </c>
      <c r="Q1180" t="s">
        <v>769</v>
      </c>
      <c r="R1180" s="141">
        <v>0.50786999999999993</v>
      </c>
    </row>
    <row r="1181" spans="1:18" x14ac:dyDescent="0.3">
      <c r="A1181" t="s">
        <v>126</v>
      </c>
      <c r="B1181" t="s">
        <v>125</v>
      </c>
      <c r="C1181" t="s">
        <v>469</v>
      </c>
      <c r="D1181" t="s">
        <v>469</v>
      </c>
      <c r="E1181">
        <v>5616</v>
      </c>
      <c r="F1181" t="s">
        <v>127</v>
      </c>
      <c r="G1181">
        <v>1640</v>
      </c>
      <c r="H1181" t="s">
        <v>104</v>
      </c>
      <c r="I1181">
        <v>2021</v>
      </c>
      <c r="J1181">
        <v>2021</v>
      </c>
      <c r="K1181" t="s">
        <v>143</v>
      </c>
      <c r="L1181">
        <v>518455</v>
      </c>
      <c r="O1181">
        <v>250142.35380749992</v>
      </c>
      <c r="P1181">
        <v>0.25014235380749988</v>
      </c>
      <c r="Q1181" t="s">
        <v>770</v>
      </c>
      <c r="R1181" s="141">
        <v>0.50786999999999993</v>
      </c>
    </row>
    <row r="1182" spans="1:18" x14ac:dyDescent="0.3">
      <c r="A1182" t="s">
        <v>126</v>
      </c>
      <c r="B1182" t="s">
        <v>125</v>
      </c>
      <c r="C1182" t="s">
        <v>469</v>
      </c>
      <c r="D1182" t="s">
        <v>469</v>
      </c>
      <c r="E1182">
        <v>5916</v>
      </c>
      <c r="F1182" t="s">
        <v>124</v>
      </c>
      <c r="G1182">
        <v>1640</v>
      </c>
      <c r="H1182" t="s">
        <v>104</v>
      </c>
      <c r="I1182">
        <v>2021</v>
      </c>
      <c r="J1182">
        <v>2021</v>
      </c>
      <c r="K1182" t="s">
        <v>143</v>
      </c>
      <c r="L1182">
        <v>167997</v>
      </c>
      <c r="O1182">
        <v>81054.604570499985</v>
      </c>
      <c r="P1182">
        <v>8.1054604570499983E-2</v>
      </c>
      <c r="Q1182" t="s">
        <v>771</v>
      </c>
      <c r="R1182" s="141">
        <v>0.50786999999999993</v>
      </c>
    </row>
    <row r="1183" spans="1:18" x14ac:dyDescent="0.3">
      <c r="A1183" t="s">
        <v>126</v>
      </c>
      <c r="B1183" t="s">
        <v>125</v>
      </c>
      <c r="C1183" t="s">
        <v>469</v>
      </c>
      <c r="D1183" t="s">
        <v>469</v>
      </c>
      <c r="E1183">
        <v>5516</v>
      </c>
      <c r="F1183" t="s">
        <v>128</v>
      </c>
      <c r="G1183">
        <v>1646</v>
      </c>
      <c r="H1183" t="s">
        <v>147</v>
      </c>
      <c r="I1183">
        <v>2021</v>
      </c>
      <c r="J1183">
        <v>2021</v>
      </c>
      <c r="L1183">
        <v>0</v>
      </c>
    </row>
    <row r="1184" spans="1:18" x14ac:dyDescent="0.3">
      <c r="A1184" t="s">
        <v>126</v>
      </c>
      <c r="B1184" t="s">
        <v>125</v>
      </c>
      <c r="C1184" t="s">
        <v>469</v>
      </c>
      <c r="D1184" t="s">
        <v>469</v>
      </c>
      <c r="E1184">
        <v>5616</v>
      </c>
      <c r="F1184" t="s">
        <v>127</v>
      </c>
      <c r="G1184">
        <v>1646</v>
      </c>
      <c r="H1184" t="s">
        <v>147</v>
      </c>
      <c r="I1184">
        <v>2021</v>
      </c>
      <c r="J1184">
        <v>2021</v>
      </c>
      <c r="L1184">
        <v>0</v>
      </c>
    </row>
    <row r="1185" spans="1:18" x14ac:dyDescent="0.3">
      <c r="A1185" t="s">
        <v>126</v>
      </c>
      <c r="B1185" t="s">
        <v>125</v>
      </c>
      <c r="C1185" t="s">
        <v>469</v>
      </c>
      <c r="D1185" t="s">
        <v>469</v>
      </c>
      <c r="E1185">
        <v>5916</v>
      </c>
      <c r="F1185" t="s">
        <v>124</v>
      </c>
      <c r="G1185">
        <v>1646</v>
      </c>
      <c r="H1185" t="s">
        <v>147</v>
      </c>
      <c r="I1185">
        <v>2021</v>
      </c>
      <c r="J1185">
        <v>2021</v>
      </c>
      <c r="L1185">
        <v>0</v>
      </c>
    </row>
    <row r="1186" spans="1:18" x14ac:dyDescent="0.3">
      <c r="A1186" t="s">
        <v>126</v>
      </c>
      <c r="B1186" t="s">
        <v>125</v>
      </c>
      <c r="C1186" t="s">
        <v>469</v>
      </c>
      <c r="D1186" t="s">
        <v>469</v>
      </c>
      <c r="E1186">
        <v>5516</v>
      </c>
      <c r="F1186" t="s">
        <v>128</v>
      </c>
      <c r="G1186">
        <v>1697</v>
      </c>
      <c r="H1186" t="s">
        <v>103</v>
      </c>
      <c r="I1186">
        <v>2021</v>
      </c>
      <c r="J1186">
        <v>2021</v>
      </c>
      <c r="K1186" t="s">
        <v>143</v>
      </c>
      <c r="L1186">
        <v>5040845</v>
      </c>
      <c r="O1186">
        <v>2730467.3099428574</v>
      </c>
      <c r="P1186">
        <v>2.7304673099428571</v>
      </c>
      <c r="Q1186" t="s">
        <v>772</v>
      </c>
      <c r="R1186" s="141">
        <v>0.5416685714285715</v>
      </c>
    </row>
    <row r="1187" spans="1:18" x14ac:dyDescent="0.3">
      <c r="A1187" t="s">
        <v>126</v>
      </c>
      <c r="B1187" t="s">
        <v>125</v>
      </c>
      <c r="C1187" t="s">
        <v>469</v>
      </c>
      <c r="D1187" t="s">
        <v>469</v>
      </c>
      <c r="E1187">
        <v>5616</v>
      </c>
      <c r="F1187" t="s">
        <v>127</v>
      </c>
      <c r="G1187">
        <v>1697</v>
      </c>
      <c r="H1187" t="s">
        <v>103</v>
      </c>
      <c r="I1187">
        <v>2021</v>
      </c>
      <c r="J1187">
        <v>2021</v>
      </c>
      <c r="K1187" t="s">
        <v>143</v>
      </c>
      <c r="L1187">
        <v>731368</v>
      </c>
      <c r="O1187">
        <v>376351.1067611429</v>
      </c>
      <c r="P1187">
        <v>0.37635110676114286</v>
      </c>
      <c r="Q1187" t="s">
        <v>773</v>
      </c>
      <c r="R1187" s="141">
        <v>0.5416685714285715</v>
      </c>
    </row>
    <row r="1188" spans="1:18" x14ac:dyDescent="0.3">
      <c r="A1188" t="s">
        <v>126</v>
      </c>
      <c r="B1188" t="s">
        <v>125</v>
      </c>
      <c r="C1188" t="s">
        <v>469</v>
      </c>
      <c r="D1188" t="s">
        <v>469</v>
      </c>
      <c r="E1188">
        <v>5916</v>
      </c>
      <c r="F1188" t="s">
        <v>124</v>
      </c>
      <c r="G1188">
        <v>1697</v>
      </c>
      <c r="H1188" t="s">
        <v>103</v>
      </c>
      <c r="I1188">
        <v>2021</v>
      </c>
      <c r="J1188">
        <v>2021</v>
      </c>
      <c r="K1188" t="s">
        <v>143</v>
      </c>
      <c r="L1188">
        <v>1060743</v>
      </c>
      <c r="O1188">
        <v>545842.58818971436</v>
      </c>
      <c r="P1188">
        <v>0.54584258818971432</v>
      </c>
      <c r="Q1188" t="s">
        <v>774</v>
      </c>
      <c r="R1188" s="141">
        <v>0.5416685714285715</v>
      </c>
    </row>
    <row r="1189" spans="1:18" x14ac:dyDescent="0.3">
      <c r="A1189" t="s">
        <v>126</v>
      </c>
      <c r="B1189" t="s">
        <v>125</v>
      </c>
      <c r="C1189" t="s">
        <v>469</v>
      </c>
      <c r="D1189" t="s">
        <v>469</v>
      </c>
      <c r="E1189">
        <v>5516</v>
      </c>
      <c r="F1189" t="s">
        <v>128</v>
      </c>
      <c r="G1189">
        <v>1606</v>
      </c>
      <c r="H1189" t="s">
        <v>102</v>
      </c>
      <c r="I1189">
        <v>2021</v>
      </c>
      <c r="J1189">
        <v>2021</v>
      </c>
      <c r="K1189" t="s">
        <v>143</v>
      </c>
      <c r="L1189">
        <v>78000</v>
      </c>
      <c r="O1189">
        <v>42350.657142857148</v>
      </c>
      <c r="P1189">
        <v>4.2350657142857143E-2</v>
      </c>
      <c r="Q1189" t="s">
        <v>775</v>
      </c>
      <c r="R1189" s="141">
        <v>0.54295714285714292</v>
      </c>
    </row>
    <row r="1190" spans="1:18" x14ac:dyDescent="0.3">
      <c r="A1190" t="s">
        <v>126</v>
      </c>
      <c r="B1190" t="s">
        <v>125</v>
      </c>
      <c r="C1190" t="s">
        <v>469</v>
      </c>
      <c r="D1190" t="s">
        <v>469</v>
      </c>
      <c r="E1190">
        <v>5616</v>
      </c>
      <c r="F1190" t="s">
        <v>127</v>
      </c>
      <c r="G1190">
        <v>1606</v>
      </c>
      <c r="H1190" t="s">
        <v>102</v>
      </c>
      <c r="I1190">
        <v>2021</v>
      </c>
      <c r="J1190">
        <v>2021</v>
      </c>
      <c r="K1190" t="s">
        <v>143</v>
      </c>
      <c r="L1190">
        <v>271684</v>
      </c>
      <c r="O1190">
        <v>140137.12998000003</v>
      </c>
      <c r="P1190">
        <v>0.14013712998000002</v>
      </c>
      <c r="Q1190" t="s">
        <v>776</v>
      </c>
      <c r="R1190" s="141">
        <v>0.54295714285714292</v>
      </c>
    </row>
    <row r="1191" spans="1:18" x14ac:dyDescent="0.3">
      <c r="A1191" t="s">
        <v>126</v>
      </c>
      <c r="B1191" t="s">
        <v>125</v>
      </c>
      <c r="C1191" t="s">
        <v>469</v>
      </c>
      <c r="D1191" t="s">
        <v>469</v>
      </c>
      <c r="E1191">
        <v>5916</v>
      </c>
      <c r="F1191" t="s">
        <v>124</v>
      </c>
      <c r="G1191">
        <v>1606</v>
      </c>
      <c r="H1191" t="s">
        <v>102</v>
      </c>
      <c r="I1191">
        <v>2021</v>
      </c>
      <c r="J1191">
        <v>2021</v>
      </c>
      <c r="K1191" t="s">
        <v>143</v>
      </c>
      <c r="L1191">
        <v>6874</v>
      </c>
      <c r="O1191">
        <v>3545.6730300000004</v>
      </c>
      <c r="P1191">
        <v>3.5456730300000004E-3</v>
      </c>
      <c r="Q1191" t="s">
        <v>777</v>
      </c>
      <c r="R1191" s="141">
        <v>0.54295714285714292</v>
      </c>
    </row>
    <row r="1192" spans="1:18" x14ac:dyDescent="0.3">
      <c r="A1192" t="s">
        <v>126</v>
      </c>
      <c r="B1192" t="s">
        <v>125</v>
      </c>
      <c r="C1192" t="s">
        <v>469</v>
      </c>
      <c r="D1192" t="s">
        <v>469</v>
      </c>
      <c r="E1192">
        <v>5516</v>
      </c>
      <c r="F1192" t="s">
        <v>128</v>
      </c>
      <c r="G1192">
        <v>1647</v>
      </c>
      <c r="H1192" t="s">
        <v>146</v>
      </c>
      <c r="I1192">
        <v>2021</v>
      </c>
      <c r="J1192">
        <v>2021</v>
      </c>
      <c r="K1192" t="s">
        <v>143</v>
      </c>
      <c r="L1192">
        <v>79000</v>
      </c>
      <c r="O1192">
        <v>61893.340000000004</v>
      </c>
      <c r="P1192">
        <v>6.1893339999999998E-2</v>
      </c>
      <c r="Q1192" t="s">
        <v>778</v>
      </c>
      <c r="R1192" s="141">
        <v>0.78346000000000005</v>
      </c>
    </row>
    <row r="1193" spans="1:18" x14ac:dyDescent="0.3">
      <c r="A1193" t="s">
        <v>126</v>
      </c>
      <c r="B1193" t="s">
        <v>125</v>
      </c>
      <c r="C1193" t="s">
        <v>469</v>
      </c>
      <c r="D1193" t="s">
        <v>469</v>
      </c>
      <c r="E1193">
        <v>5616</v>
      </c>
      <c r="F1193" t="s">
        <v>127</v>
      </c>
      <c r="G1193">
        <v>1647</v>
      </c>
      <c r="H1193" t="s">
        <v>146</v>
      </c>
      <c r="I1193">
        <v>2021</v>
      </c>
      <c r="J1193">
        <v>2021</v>
      </c>
      <c r="K1193" t="s">
        <v>143</v>
      </c>
      <c r="L1193">
        <v>135063</v>
      </c>
      <c r="O1193">
        <v>100525.635081</v>
      </c>
      <c r="P1193">
        <v>0.100525635081</v>
      </c>
      <c r="Q1193" t="s">
        <v>779</v>
      </c>
      <c r="R1193" s="141">
        <v>0.78346000000000005</v>
      </c>
    </row>
    <row r="1194" spans="1:18" x14ac:dyDescent="0.3">
      <c r="A1194" t="s">
        <v>126</v>
      </c>
      <c r="B1194" t="s">
        <v>125</v>
      </c>
      <c r="C1194" t="s">
        <v>469</v>
      </c>
      <c r="D1194" t="s">
        <v>469</v>
      </c>
      <c r="E1194">
        <v>5916</v>
      </c>
      <c r="F1194" t="s">
        <v>124</v>
      </c>
      <c r="G1194">
        <v>1647</v>
      </c>
      <c r="H1194" t="s">
        <v>146</v>
      </c>
      <c r="I1194">
        <v>2021</v>
      </c>
      <c r="J1194">
        <v>2021</v>
      </c>
      <c r="K1194" t="s">
        <v>143</v>
      </c>
      <c r="L1194">
        <v>35857</v>
      </c>
      <c r="O1194">
        <v>26687.898959000002</v>
      </c>
      <c r="P1194">
        <v>2.6687898958999999E-2</v>
      </c>
      <c r="Q1194" t="s">
        <v>780</v>
      </c>
      <c r="R1194" s="141">
        <v>0.78346000000000005</v>
      </c>
    </row>
    <row r="1195" spans="1:18" x14ac:dyDescent="0.3">
      <c r="A1195" t="s">
        <v>126</v>
      </c>
      <c r="B1195" t="s">
        <v>125</v>
      </c>
      <c r="C1195" t="s">
        <v>469</v>
      </c>
      <c r="D1195" t="s">
        <v>469</v>
      </c>
      <c r="E1195">
        <v>5516</v>
      </c>
      <c r="F1195" t="s">
        <v>128</v>
      </c>
      <c r="G1195">
        <v>1648</v>
      </c>
      <c r="H1195" t="s">
        <v>145</v>
      </c>
      <c r="I1195">
        <v>2021</v>
      </c>
      <c r="J1195">
        <v>2021</v>
      </c>
      <c r="K1195" t="s">
        <v>143</v>
      </c>
      <c r="L1195">
        <v>5046000</v>
      </c>
      <c r="O1195">
        <v>3112156.5428571431</v>
      </c>
      <c r="P1195">
        <v>3.1121565428571429</v>
      </c>
      <c r="Q1195" t="s">
        <v>781</v>
      </c>
      <c r="R1195" s="141">
        <v>0.61675714285714289</v>
      </c>
    </row>
    <row r="1196" spans="1:18" x14ac:dyDescent="0.3">
      <c r="A1196" t="s">
        <v>126</v>
      </c>
      <c r="B1196" t="s">
        <v>125</v>
      </c>
      <c r="C1196" t="s">
        <v>469</v>
      </c>
      <c r="D1196" t="s">
        <v>469</v>
      </c>
      <c r="E1196">
        <v>5616</v>
      </c>
      <c r="F1196" t="s">
        <v>127</v>
      </c>
      <c r="G1196">
        <v>1648</v>
      </c>
      <c r="H1196" t="s">
        <v>145</v>
      </c>
      <c r="I1196">
        <v>2021</v>
      </c>
      <c r="J1196">
        <v>2021</v>
      </c>
      <c r="K1196" t="s">
        <v>143</v>
      </c>
      <c r="L1196">
        <v>612596</v>
      </c>
      <c r="O1196">
        <v>358931.81075142854</v>
      </c>
      <c r="P1196">
        <v>0.35893181075142849</v>
      </c>
      <c r="Q1196" t="s">
        <v>782</v>
      </c>
      <c r="R1196" s="141">
        <v>0.61675714285714289</v>
      </c>
    </row>
    <row r="1197" spans="1:18" x14ac:dyDescent="0.3">
      <c r="A1197" t="s">
        <v>126</v>
      </c>
      <c r="B1197" t="s">
        <v>125</v>
      </c>
      <c r="C1197" t="s">
        <v>469</v>
      </c>
      <c r="D1197" t="s">
        <v>469</v>
      </c>
      <c r="E1197">
        <v>5916</v>
      </c>
      <c r="F1197" t="s">
        <v>124</v>
      </c>
      <c r="G1197">
        <v>1648</v>
      </c>
      <c r="H1197" t="s">
        <v>145</v>
      </c>
      <c r="I1197">
        <v>2021</v>
      </c>
      <c r="J1197">
        <v>2021</v>
      </c>
      <c r="K1197" t="s">
        <v>143</v>
      </c>
      <c r="L1197">
        <v>1397373</v>
      </c>
      <c r="O1197">
        <v>818747.7900364286</v>
      </c>
      <c r="P1197">
        <v>0.81874779003642861</v>
      </c>
      <c r="Q1197" t="s">
        <v>783</v>
      </c>
      <c r="R1197" s="141">
        <v>0.61675714285714289</v>
      </c>
    </row>
    <row r="1198" spans="1:18" x14ac:dyDescent="0.3">
      <c r="A1198" t="s">
        <v>126</v>
      </c>
      <c r="B1198" t="s">
        <v>125</v>
      </c>
      <c r="C1198" t="s">
        <v>469</v>
      </c>
      <c r="D1198" t="s">
        <v>469</v>
      </c>
      <c r="E1198">
        <v>5516</v>
      </c>
      <c r="F1198" t="s">
        <v>128</v>
      </c>
      <c r="G1198">
        <v>1650</v>
      </c>
      <c r="H1198" t="s">
        <v>144</v>
      </c>
      <c r="I1198">
        <v>2021</v>
      </c>
      <c r="J1198">
        <v>2021</v>
      </c>
      <c r="K1198" t="s">
        <v>143</v>
      </c>
      <c r="L1198">
        <v>124000</v>
      </c>
      <c r="O1198">
        <v>29797.200000000001</v>
      </c>
      <c r="P1198">
        <v>2.9797199999999999E-2</v>
      </c>
      <c r="Q1198" t="s">
        <v>784</v>
      </c>
      <c r="R1198" s="141">
        <v>0.24030000000000001</v>
      </c>
    </row>
    <row r="1199" spans="1:18" x14ac:dyDescent="0.3">
      <c r="A1199" t="s">
        <v>126</v>
      </c>
      <c r="B1199" t="s">
        <v>125</v>
      </c>
      <c r="C1199" t="s">
        <v>469</v>
      </c>
      <c r="D1199" t="s">
        <v>469</v>
      </c>
      <c r="E1199">
        <v>5616</v>
      </c>
      <c r="F1199" t="s">
        <v>127</v>
      </c>
      <c r="G1199">
        <v>1650</v>
      </c>
      <c r="H1199" t="s">
        <v>144</v>
      </c>
      <c r="I1199">
        <v>2021</v>
      </c>
      <c r="J1199">
        <v>2021</v>
      </c>
      <c r="K1199" t="s">
        <v>143</v>
      </c>
      <c r="L1199">
        <v>265036</v>
      </c>
      <c r="O1199">
        <v>60503.743260000003</v>
      </c>
      <c r="P1199">
        <v>6.0503743259999999E-2</v>
      </c>
      <c r="Q1199" t="s">
        <v>785</v>
      </c>
      <c r="R1199" s="141">
        <v>0.24030000000000001</v>
      </c>
    </row>
    <row r="1200" spans="1:18" x14ac:dyDescent="0.3">
      <c r="A1200" t="s">
        <v>126</v>
      </c>
      <c r="B1200" t="s">
        <v>125</v>
      </c>
      <c r="C1200" t="s">
        <v>469</v>
      </c>
      <c r="D1200" t="s">
        <v>469</v>
      </c>
      <c r="E1200">
        <v>5916</v>
      </c>
      <c r="F1200" t="s">
        <v>124</v>
      </c>
      <c r="G1200">
        <v>1650</v>
      </c>
      <c r="H1200" t="s">
        <v>144</v>
      </c>
      <c r="I1200">
        <v>2021</v>
      </c>
      <c r="J1200">
        <v>2021</v>
      </c>
      <c r="K1200" t="s">
        <v>143</v>
      </c>
      <c r="L1200">
        <v>30810</v>
      </c>
      <c r="O1200">
        <v>7033.4608499999995</v>
      </c>
      <c r="P1200">
        <v>7.0334608499999993E-3</v>
      </c>
      <c r="Q1200" t="s">
        <v>786</v>
      </c>
      <c r="R1200" s="141">
        <v>0.24030000000000001</v>
      </c>
    </row>
    <row r="1201" spans="1:18" x14ac:dyDescent="0.3">
      <c r="A1201" t="s">
        <v>126</v>
      </c>
      <c r="B1201" t="s">
        <v>125</v>
      </c>
      <c r="C1201" t="s">
        <v>469</v>
      </c>
      <c r="D1201" t="s">
        <v>469</v>
      </c>
      <c r="E1201">
        <v>5516</v>
      </c>
      <c r="F1201" t="s">
        <v>128</v>
      </c>
      <c r="G1201">
        <v>1649</v>
      </c>
      <c r="H1201" t="s">
        <v>142</v>
      </c>
      <c r="I1201">
        <v>2021</v>
      </c>
      <c r="J1201">
        <v>2021</v>
      </c>
      <c r="L1201">
        <v>0</v>
      </c>
    </row>
    <row r="1202" spans="1:18" x14ac:dyDescent="0.3">
      <c r="A1202" t="s">
        <v>126</v>
      </c>
      <c r="B1202" t="s">
        <v>125</v>
      </c>
      <c r="C1202" t="s">
        <v>469</v>
      </c>
      <c r="D1202" t="s">
        <v>469</v>
      </c>
      <c r="E1202">
        <v>5616</v>
      </c>
      <c r="F1202" t="s">
        <v>127</v>
      </c>
      <c r="G1202">
        <v>1649</v>
      </c>
      <c r="H1202" t="s">
        <v>142</v>
      </c>
      <c r="I1202">
        <v>2021</v>
      </c>
      <c r="J1202">
        <v>2021</v>
      </c>
      <c r="L1202">
        <v>0</v>
      </c>
    </row>
    <row r="1203" spans="1:18" x14ac:dyDescent="0.3">
      <c r="A1203" t="s">
        <v>126</v>
      </c>
      <c r="B1203" t="s">
        <v>125</v>
      </c>
      <c r="C1203" t="s">
        <v>469</v>
      </c>
      <c r="D1203" t="s">
        <v>469</v>
      </c>
      <c r="E1203">
        <v>5916</v>
      </c>
      <c r="F1203" t="s">
        <v>124</v>
      </c>
      <c r="G1203">
        <v>1649</v>
      </c>
      <c r="H1203" t="s">
        <v>142</v>
      </c>
      <c r="I1203">
        <v>2021</v>
      </c>
      <c r="J1203">
        <v>2021</v>
      </c>
      <c r="L1203">
        <v>0</v>
      </c>
    </row>
    <row r="1204" spans="1:18" x14ac:dyDescent="0.3">
      <c r="A1204" t="s">
        <v>126</v>
      </c>
      <c r="B1204" t="s">
        <v>125</v>
      </c>
      <c r="C1204" t="s">
        <v>469</v>
      </c>
      <c r="D1204" t="s">
        <v>469</v>
      </c>
      <c r="E1204">
        <v>5510</v>
      </c>
      <c r="F1204" t="s">
        <v>128</v>
      </c>
      <c r="G1204">
        <v>1685</v>
      </c>
      <c r="H1204" t="s">
        <v>98</v>
      </c>
      <c r="I1204">
        <v>2021</v>
      </c>
      <c r="J1204">
        <v>2021</v>
      </c>
      <c r="K1204" t="s">
        <v>339</v>
      </c>
      <c r="L1204">
        <v>1044139</v>
      </c>
      <c r="O1204">
        <v>939725.1</v>
      </c>
      <c r="P1204">
        <v>0.93972509999999998</v>
      </c>
      <c r="Q1204" t="s">
        <v>787</v>
      </c>
      <c r="R1204" s="141">
        <v>0.9</v>
      </c>
    </row>
    <row r="1205" spans="1:18" x14ac:dyDescent="0.3">
      <c r="A1205" t="s">
        <v>126</v>
      </c>
      <c r="B1205" t="s">
        <v>125</v>
      </c>
      <c r="C1205" t="s">
        <v>469</v>
      </c>
      <c r="D1205" t="s">
        <v>469</v>
      </c>
      <c r="E1205">
        <v>5610</v>
      </c>
      <c r="F1205" t="s">
        <v>127</v>
      </c>
      <c r="G1205">
        <v>1685</v>
      </c>
      <c r="H1205" t="s">
        <v>98</v>
      </c>
      <c r="I1205">
        <v>2021</v>
      </c>
      <c r="J1205">
        <v>2021</v>
      </c>
      <c r="K1205" t="s">
        <v>339</v>
      </c>
      <c r="L1205">
        <v>42242</v>
      </c>
      <c r="O1205">
        <v>36116.910000000003</v>
      </c>
      <c r="P1205">
        <v>3.6116910000000002E-2</v>
      </c>
      <c r="Q1205" t="s">
        <v>788</v>
      </c>
      <c r="R1205" s="141">
        <v>0.9</v>
      </c>
    </row>
    <row r="1206" spans="1:18" x14ac:dyDescent="0.3">
      <c r="A1206" t="s">
        <v>126</v>
      </c>
      <c r="B1206" t="s">
        <v>125</v>
      </c>
      <c r="C1206" t="s">
        <v>469</v>
      </c>
      <c r="D1206" t="s">
        <v>469</v>
      </c>
      <c r="E1206">
        <v>5910</v>
      </c>
      <c r="F1206" t="s">
        <v>124</v>
      </c>
      <c r="G1206">
        <v>1685</v>
      </c>
      <c r="H1206" t="s">
        <v>98</v>
      </c>
      <c r="I1206">
        <v>2021</v>
      </c>
      <c r="J1206">
        <v>2021</v>
      </c>
      <c r="K1206" t="s">
        <v>339</v>
      </c>
      <c r="L1206">
        <v>215537</v>
      </c>
      <c r="O1206">
        <v>184284.13500000001</v>
      </c>
      <c r="P1206">
        <v>0.18428413499999999</v>
      </c>
      <c r="Q1206" t="s">
        <v>789</v>
      </c>
      <c r="R1206" s="141">
        <v>0.9</v>
      </c>
    </row>
    <row r="1207" spans="1:18" x14ac:dyDescent="0.3">
      <c r="A1207" t="s">
        <v>126</v>
      </c>
      <c r="B1207" t="s">
        <v>125</v>
      </c>
      <c r="C1207" t="s">
        <v>469</v>
      </c>
      <c r="D1207" t="s">
        <v>469</v>
      </c>
      <c r="E1207">
        <v>5510</v>
      </c>
      <c r="F1207" t="s">
        <v>128</v>
      </c>
      <c r="G1207">
        <v>1654</v>
      </c>
      <c r="H1207" t="s">
        <v>141</v>
      </c>
      <c r="I1207">
        <v>2021</v>
      </c>
      <c r="J1207">
        <v>2021</v>
      </c>
      <c r="L1207">
        <v>0</v>
      </c>
    </row>
    <row r="1208" spans="1:18" x14ac:dyDescent="0.3">
      <c r="A1208" t="s">
        <v>126</v>
      </c>
      <c r="B1208" t="s">
        <v>125</v>
      </c>
      <c r="C1208" t="s">
        <v>469</v>
      </c>
      <c r="D1208" t="s">
        <v>469</v>
      </c>
      <c r="E1208">
        <v>5610</v>
      </c>
      <c r="F1208" t="s">
        <v>127</v>
      </c>
      <c r="G1208">
        <v>1654</v>
      </c>
      <c r="H1208" t="s">
        <v>141</v>
      </c>
      <c r="I1208">
        <v>2021</v>
      </c>
      <c r="J1208">
        <v>2021</v>
      </c>
      <c r="L1208">
        <v>0</v>
      </c>
    </row>
    <row r="1209" spans="1:18" x14ac:dyDescent="0.3">
      <c r="A1209" t="s">
        <v>126</v>
      </c>
      <c r="B1209" t="s">
        <v>125</v>
      </c>
      <c r="C1209" t="s">
        <v>469</v>
      </c>
      <c r="D1209" t="s">
        <v>469</v>
      </c>
      <c r="E1209">
        <v>5910</v>
      </c>
      <c r="F1209" t="s">
        <v>124</v>
      </c>
      <c r="G1209">
        <v>1654</v>
      </c>
      <c r="H1209" t="s">
        <v>141</v>
      </c>
      <c r="I1209">
        <v>2021</v>
      </c>
      <c r="J1209">
        <v>2021</v>
      </c>
      <c r="L1209">
        <v>0</v>
      </c>
    </row>
    <row r="1210" spans="1:18" x14ac:dyDescent="0.3">
      <c r="A1210" t="s">
        <v>126</v>
      </c>
      <c r="B1210" t="s">
        <v>125</v>
      </c>
      <c r="C1210" t="s">
        <v>469</v>
      </c>
      <c r="D1210" t="s">
        <v>469</v>
      </c>
      <c r="E1210">
        <v>5510</v>
      </c>
      <c r="F1210" t="s">
        <v>128</v>
      </c>
      <c r="G1210">
        <v>1655</v>
      </c>
      <c r="H1210" t="s">
        <v>140</v>
      </c>
      <c r="I1210">
        <v>2021</v>
      </c>
      <c r="J1210">
        <v>2021</v>
      </c>
      <c r="L1210">
        <v>0</v>
      </c>
    </row>
    <row r="1211" spans="1:18" x14ac:dyDescent="0.3">
      <c r="A1211" t="s">
        <v>126</v>
      </c>
      <c r="B1211" t="s">
        <v>125</v>
      </c>
      <c r="C1211" t="s">
        <v>469</v>
      </c>
      <c r="D1211" t="s">
        <v>469</v>
      </c>
      <c r="E1211">
        <v>5610</v>
      </c>
      <c r="F1211" t="s">
        <v>127</v>
      </c>
      <c r="G1211">
        <v>1655</v>
      </c>
      <c r="H1211" t="s">
        <v>140</v>
      </c>
      <c r="I1211">
        <v>2021</v>
      </c>
      <c r="J1211">
        <v>2021</v>
      </c>
      <c r="L1211">
        <v>0</v>
      </c>
    </row>
    <row r="1212" spans="1:18" x14ac:dyDescent="0.3">
      <c r="A1212" t="s">
        <v>126</v>
      </c>
      <c r="B1212" t="s">
        <v>125</v>
      </c>
      <c r="C1212" t="s">
        <v>469</v>
      </c>
      <c r="D1212" t="s">
        <v>469</v>
      </c>
      <c r="E1212">
        <v>5910</v>
      </c>
      <c r="F1212" t="s">
        <v>124</v>
      </c>
      <c r="G1212">
        <v>1655</v>
      </c>
      <c r="H1212" t="s">
        <v>140</v>
      </c>
      <c r="I1212">
        <v>2021</v>
      </c>
      <c r="J1212">
        <v>2021</v>
      </c>
      <c r="L1212">
        <v>0</v>
      </c>
    </row>
    <row r="1213" spans="1:18" x14ac:dyDescent="0.3">
      <c r="A1213" t="s">
        <v>126</v>
      </c>
      <c r="B1213" t="s">
        <v>125</v>
      </c>
      <c r="C1213" t="s">
        <v>469</v>
      </c>
      <c r="D1213" t="s">
        <v>469</v>
      </c>
      <c r="E1213">
        <v>5510</v>
      </c>
      <c r="F1213" t="s">
        <v>128</v>
      </c>
      <c r="G1213">
        <v>1656</v>
      </c>
      <c r="H1213" t="s">
        <v>97</v>
      </c>
      <c r="I1213">
        <v>2021</v>
      </c>
      <c r="J1213">
        <v>2021</v>
      </c>
      <c r="K1213" t="s">
        <v>339</v>
      </c>
      <c r="L1213">
        <v>232000</v>
      </c>
      <c r="O1213">
        <v>208800</v>
      </c>
      <c r="P1213">
        <v>0.20879999999999999</v>
      </c>
      <c r="Q1213" t="s">
        <v>790</v>
      </c>
      <c r="R1213" s="141">
        <v>0.9</v>
      </c>
    </row>
    <row r="1214" spans="1:18" x14ac:dyDescent="0.3">
      <c r="A1214" t="s">
        <v>126</v>
      </c>
      <c r="B1214" t="s">
        <v>125</v>
      </c>
      <c r="C1214" t="s">
        <v>469</v>
      </c>
      <c r="D1214" t="s">
        <v>469</v>
      </c>
      <c r="E1214">
        <v>5610</v>
      </c>
      <c r="F1214" t="s">
        <v>127</v>
      </c>
      <c r="G1214">
        <v>1656</v>
      </c>
      <c r="H1214" t="s">
        <v>97</v>
      </c>
      <c r="I1214">
        <v>2021</v>
      </c>
      <c r="J1214">
        <v>2021</v>
      </c>
      <c r="K1214" t="s">
        <v>339</v>
      </c>
      <c r="L1214">
        <v>1543881</v>
      </c>
      <c r="O1214">
        <v>1320018.2550000001</v>
      </c>
      <c r="P1214">
        <v>1.3200182550000001</v>
      </c>
      <c r="Q1214" t="s">
        <v>791</v>
      </c>
      <c r="R1214" s="141">
        <v>0.9</v>
      </c>
    </row>
    <row r="1215" spans="1:18" x14ac:dyDescent="0.3">
      <c r="A1215" t="s">
        <v>126</v>
      </c>
      <c r="B1215" t="s">
        <v>125</v>
      </c>
      <c r="C1215" t="s">
        <v>469</v>
      </c>
      <c r="D1215" t="s">
        <v>469</v>
      </c>
      <c r="E1215">
        <v>5910</v>
      </c>
      <c r="F1215" t="s">
        <v>124</v>
      </c>
      <c r="G1215">
        <v>1656</v>
      </c>
      <c r="H1215" t="s">
        <v>97</v>
      </c>
      <c r="I1215">
        <v>2021</v>
      </c>
      <c r="J1215">
        <v>2021</v>
      </c>
      <c r="K1215" t="s">
        <v>339</v>
      </c>
      <c r="L1215">
        <v>68701</v>
      </c>
      <c r="O1215">
        <v>58739.354999999996</v>
      </c>
      <c r="P1215">
        <v>5.8739354999999993E-2</v>
      </c>
      <c r="Q1215" t="s">
        <v>792</v>
      </c>
      <c r="R1215" s="141">
        <v>0.9</v>
      </c>
    </row>
    <row r="1216" spans="1:18" x14ac:dyDescent="0.3">
      <c r="A1216" t="s">
        <v>126</v>
      </c>
      <c r="B1216" t="s">
        <v>125</v>
      </c>
      <c r="C1216" t="s">
        <v>469</v>
      </c>
      <c r="D1216" t="s">
        <v>469</v>
      </c>
      <c r="E1216">
        <v>5510</v>
      </c>
      <c r="F1216" t="s">
        <v>128</v>
      </c>
      <c r="G1216">
        <v>1662</v>
      </c>
      <c r="H1216" t="s">
        <v>139</v>
      </c>
      <c r="I1216">
        <v>2021</v>
      </c>
      <c r="J1216">
        <v>2021</v>
      </c>
      <c r="K1216" t="s">
        <v>339</v>
      </c>
      <c r="L1216">
        <v>80000</v>
      </c>
    </row>
    <row r="1217" spans="1:18" x14ac:dyDescent="0.3">
      <c r="A1217" t="s">
        <v>126</v>
      </c>
      <c r="B1217" t="s">
        <v>125</v>
      </c>
      <c r="C1217" t="s">
        <v>469</v>
      </c>
      <c r="D1217" t="s">
        <v>469</v>
      </c>
      <c r="E1217">
        <v>5610</v>
      </c>
      <c r="F1217" t="s">
        <v>127</v>
      </c>
      <c r="G1217">
        <v>1662</v>
      </c>
      <c r="H1217" t="s">
        <v>139</v>
      </c>
      <c r="I1217">
        <v>2021</v>
      </c>
      <c r="J1217">
        <v>2021</v>
      </c>
      <c r="K1217" t="s">
        <v>339</v>
      </c>
      <c r="L1217">
        <v>38967</v>
      </c>
    </row>
    <row r="1218" spans="1:18" x14ac:dyDescent="0.3">
      <c r="A1218" t="s">
        <v>126</v>
      </c>
      <c r="B1218" t="s">
        <v>125</v>
      </c>
      <c r="C1218" t="s">
        <v>469</v>
      </c>
      <c r="D1218" t="s">
        <v>469</v>
      </c>
      <c r="E1218">
        <v>5910</v>
      </c>
      <c r="F1218" t="s">
        <v>124</v>
      </c>
      <c r="G1218">
        <v>1662</v>
      </c>
      <c r="H1218" t="s">
        <v>139</v>
      </c>
      <c r="I1218">
        <v>2021</v>
      </c>
      <c r="J1218">
        <v>2021</v>
      </c>
      <c r="K1218" t="s">
        <v>339</v>
      </c>
      <c r="L1218">
        <v>2054</v>
      </c>
    </row>
    <row r="1219" spans="1:18" x14ac:dyDescent="0.3">
      <c r="A1219" t="s">
        <v>126</v>
      </c>
      <c r="B1219" t="s">
        <v>125</v>
      </c>
      <c r="C1219" t="s">
        <v>469</v>
      </c>
      <c r="D1219" t="s">
        <v>469</v>
      </c>
      <c r="E1219">
        <v>5510</v>
      </c>
      <c r="F1219" t="s">
        <v>128</v>
      </c>
      <c r="G1219">
        <v>1663</v>
      </c>
      <c r="H1219" t="s">
        <v>138</v>
      </c>
      <c r="I1219">
        <v>2021</v>
      </c>
      <c r="J1219">
        <v>2021</v>
      </c>
      <c r="K1219" t="s">
        <v>339</v>
      </c>
      <c r="L1219">
        <v>0</v>
      </c>
    </row>
    <row r="1220" spans="1:18" x14ac:dyDescent="0.3">
      <c r="A1220" t="s">
        <v>126</v>
      </c>
      <c r="B1220" t="s">
        <v>125</v>
      </c>
      <c r="C1220" t="s">
        <v>469</v>
      </c>
      <c r="D1220" t="s">
        <v>469</v>
      </c>
      <c r="E1220">
        <v>5610</v>
      </c>
      <c r="F1220" t="s">
        <v>127</v>
      </c>
      <c r="G1220">
        <v>1663</v>
      </c>
      <c r="H1220" t="s">
        <v>138</v>
      </c>
      <c r="I1220">
        <v>2021</v>
      </c>
      <c r="J1220">
        <v>2021</v>
      </c>
      <c r="K1220" t="s">
        <v>339</v>
      </c>
      <c r="L1220">
        <v>1463970</v>
      </c>
    </row>
    <row r="1221" spans="1:18" x14ac:dyDescent="0.3">
      <c r="A1221" t="s">
        <v>126</v>
      </c>
      <c r="B1221" t="s">
        <v>125</v>
      </c>
      <c r="C1221" t="s">
        <v>469</v>
      </c>
      <c r="D1221" t="s">
        <v>469</v>
      </c>
      <c r="E1221">
        <v>5910</v>
      </c>
      <c r="F1221" t="s">
        <v>124</v>
      </c>
      <c r="G1221">
        <v>1663</v>
      </c>
      <c r="H1221" t="s">
        <v>138</v>
      </c>
      <c r="I1221">
        <v>2021</v>
      </c>
      <c r="J1221">
        <v>2021</v>
      </c>
      <c r="K1221" t="s">
        <v>339</v>
      </c>
      <c r="L1221">
        <v>66512</v>
      </c>
    </row>
    <row r="1222" spans="1:18" x14ac:dyDescent="0.3">
      <c r="A1222" t="s">
        <v>126</v>
      </c>
      <c r="B1222" t="s">
        <v>125</v>
      </c>
      <c r="C1222" t="s">
        <v>469</v>
      </c>
      <c r="D1222" t="s">
        <v>469</v>
      </c>
      <c r="E1222">
        <v>5510</v>
      </c>
      <c r="F1222" t="s">
        <v>128</v>
      </c>
      <c r="G1222">
        <v>1686</v>
      </c>
      <c r="H1222" t="s">
        <v>137</v>
      </c>
      <c r="I1222">
        <v>2021</v>
      </c>
      <c r="J1222">
        <v>2021</v>
      </c>
      <c r="K1222" t="s">
        <v>339</v>
      </c>
      <c r="L1222">
        <v>152000</v>
      </c>
    </row>
    <row r="1223" spans="1:18" x14ac:dyDescent="0.3">
      <c r="A1223" t="s">
        <v>126</v>
      </c>
      <c r="B1223" t="s">
        <v>125</v>
      </c>
      <c r="C1223" t="s">
        <v>469</v>
      </c>
      <c r="D1223" t="s">
        <v>469</v>
      </c>
      <c r="E1223">
        <v>5610</v>
      </c>
      <c r="F1223" t="s">
        <v>127</v>
      </c>
      <c r="G1223">
        <v>1686</v>
      </c>
      <c r="H1223" t="s">
        <v>137</v>
      </c>
      <c r="I1223">
        <v>2021</v>
      </c>
      <c r="J1223">
        <v>2021</v>
      </c>
      <c r="K1223" t="s">
        <v>339</v>
      </c>
      <c r="L1223">
        <v>40944</v>
      </c>
    </row>
    <row r="1224" spans="1:18" x14ac:dyDescent="0.3">
      <c r="A1224" t="s">
        <v>126</v>
      </c>
      <c r="B1224" t="s">
        <v>125</v>
      </c>
      <c r="C1224" t="s">
        <v>469</v>
      </c>
      <c r="D1224" t="s">
        <v>469</v>
      </c>
      <c r="E1224">
        <v>5910</v>
      </c>
      <c r="F1224" t="s">
        <v>124</v>
      </c>
      <c r="G1224">
        <v>1686</v>
      </c>
      <c r="H1224" t="s">
        <v>137</v>
      </c>
      <c r="I1224">
        <v>2021</v>
      </c>
      <c r="J1224">
        <v>2021</v>
      </c>
      <c r="K1224" t="s">
        <v>339</v>
      </c>
      <c r="L1224">
        <v>135</v>
      </c>
    </row>
    <row r="1225" spans="1:18" x14ac:dyDescent="0.3">
      <c r="A1225" t="s">
        <v>126</v>
      </c>
      <c r="B1225" t="s">
        <v>125</v>
      </c>
      <c r="C1225" t="s">
        <v>469</v>
      </c>
      <c r="D1225" t="s">
        <v>469</v>
      </c>
      <c r="E1225">
        <v>5510</v>
      </c>
      <c r="F1225" t="s">
        <v>128</v>
      </c>
      <c r="G1225">
        <v>1660</v>
      </c>
      <c r="H1225" t="s">
        <v>136</v>
      </c>
      <c r="I1225">
        <v>2021</v>
      </c>
      <c r="J1225">
        <v>2021</v>
      </c>
      <c r="L1225">
        <v>0</v>
      </c>
    </row>
    <row r="1226" spans="1:18" x14ac:dyDescent="0.3">
      <c r="A1226" t="s">
        <v>126</v>
      </c>
      <c r="B1226" t="s">
        <v>125</v>
      </c>
      <c r="C1226" t="s">
        <v>469</v>
      </c>
      <c r="D1226" t="s">
        <v>469</v>
      </c>
      <c r="E1226">
        <v>5610</v>
      </c>
      <c r="F1226" t="s">
        <v>127</v>
      </c>
      <c r="G1226">
        <v>1660</v>
      </c>
      <c r="H1226" t="s">
        <v>136</v>
      </c>
      <c r="I1226">
        <v>2021</v>
      </c>
      <c r="J1226">
        <v>2021</v>
      </c>
      <c r="L1226">
        <v>0</v>
      </c>
    </row>
    <row r="1227" spans="1:18" x14ac:dyDescent="0.3">
      <c r="A1227" t="s">
        <v>126</v>
      </c>
      <c r="B1227" t="s">
        <v>125</v>
      </c>
      <c r="C1227" t="s">
        <v>469</v>
      </c>
      <c r="D1227" t="s">
        <v>469</v>
      </c>
      <c r="E1227">
        <v>5910</v>
      </c>
      <c r="F1227" t="s">
        <v>124</v>
      </c>
      <c r="G1227">
        <v>1660</v>
      </c>
      <c r="H1227" t="s">
        <v>136</v>
      </c>
      <c r="I1227">
        <v>2021</v>
      </c>
      <c r="J1227">
        <v>2021</v>
      </c>
      <c r="L1227">
        <v>0</v>
      </c>
    </row>
    <row r="1228" spans="1:18" x14ac:dyDescent="0.3">
      <c r="A1228" t="s">
        <v>126</v>
      </c>
      <c r="B1228" t="s">
        <v>125</v>
      </c>
      <c r="C1228" t="s">
        <v>469</v>
      </c>
      <c r="D1228" t="s">
        <v>469</v>
      </c>
      <c r="E1228">
        <v>5510</v>
      </c>
      <c r="F1228" t="s">
        <v>128</v>
      </c>
      <c r="G1228">
        <v>1661</v>
      </c>
      <c r="H1228" t="s">
        <v>135</v>
      </c>
      <c r="I1228">
        <v>2021</v>
      </c>
      <c r="J1228">
        <v>2021</v>
      </c>
      <c r="L1228">
        <v>0</v>
      </c>
    </row>
    <row r="1229" spans="1:18" x14ac:dyDescent="0.3">
      <c r="A1229" t="s">
        <v>126</v>
      </c>
      <c r="B1229" t="s">
        <v>125</v>
      </c>
      <c r="C1229" t="s">
        <v>469</v>
      </c>
      <c r="D1229" t="s">
        <v>469</v>
      </c>
      <c r="E1229">
        <v>5610</v>
      </c>
      <c r="F1229" t="s">
        <v>127</v>
      </c>
      <c r="G1229">
        <v>1661</v>
      </c>
      <c r="H1229" t="s">
        <v>135</v>
      </c>
      <c r="I1229">
        <v>2021</v>
      </c>
      <c r="J1229">
        <v>2021</v>
      </c>
      <c r="L1229">
        <v>0</v>
      </c>
    </row>
    <row r="1230" spans="1:18" x14ac:dyDescent="0.3">
      <c r="A1230" t="s">
        <v>126</v>
      </c>
      <c r="B1230" t="s">
        <v>125</v>
      </c>
      <c r="C1230" t="s">
        <v>469</v>
      </c>
      <c r="D1230" t="s">
        <v>469</v>
      </c>
      <c r="E1230">
        <v>5910</v>
      </c>
      <c r="F1230" t="s">
        <v>124</v>
      </c>
      <c r="G1230">
        <v>1661</v>
      </c>
      <c r="H1230" t="s">
        <v>135</v>
      </c>
      <c r="I1230">
        <v>2021</v>
      </c>
      <c r="J1230">
        <v>2021</v>
      </c>
      <c r="L1230">
        <v>0</v>
      </c>
    </row>
    <row r="1231" spans="1:18" x14ac:dyDescent="0.3">
      <c r="A1231" t="s">
        <v>126</v>
      </c>
      <c r="B1231" t="s">
        <v>125</v>
      </c>
      <c r="C1231" t="s">
        <v>469</v>
      </c>
      <c r="D1231" t="s">
        <v>469</v>
      </c>
      <c r="E1231">
        <v>5510</v>
      </c>
      <c r="F1231" t="s">
        <v>128</v>
      </c>
      <c r="G1231">
        <v>1667</v>
      </c>
      <c r="H1231" t="s">
        <v>96</v>
      </c>
      <c r="I1231">
        <v>2021</v>
      </c>
      <c r="J1231">
        <v>2021</v>
      </c>
      <c r="K1231" t="s">
        <v>339</v>
      </c>
      <c r="L1231">
        <v>0</v>
      </c>
      <c r="O1231">
        <v>0</v>
      </c>
      <c r="P1231">
        <v>0</v>
      </c>
      <c r="Q1231" t="s">
        <v>793</v>
      </c>
      <c r="R1231" s="141">
        <v>0.9</v>
      </c>
    </row>
    <row r="1232" spans="1:18" x14ac:dyDescent="0.3">
      <c r="A1232" t="s">
        <v>126</v>
      </c>
      <c r="B1232" t="s">
        <v>125</v>
      </c>
      <c r="C1232" t="s">
        <v>469</v>
      </c>
      <c r="D1232" t="s">
        <v>469</v>
      </c>
      <c r="E1232">
        <v>5610</v>
      </c>
      <c r="F1232" t="s">
        <v>127</v>
      </c>
      <c r="G1232">
        <v>1667</v>
      </c>
      <c r="H1232" t="s">
        <v>96</v>
      </c>
      <c r="I1232">
        <v>2021</v>
      </c>
      <c r="J1232">
        <v>2021</v>
      </c>
      <c r="K1232" t="s">
        <v>339</v>
      </c>
      <c r="L1232">
        <v>7502</v>
      </c>
      <c r="O1232">
        <v>6414.21</v>
      </c>
      <c r="P1232">
        <v>6.4142100000000001E-3</v>
      </c>
      <c r="Q1232" t="s">
        <v>794</v>
      </c>
      <c r="R1232" s="141">
        <v>0.9</v>
      </c>
    </row>
    <row r="1233" spans="1:18" x14ac:dyDescent="0.3">
      <c r="A1233" t="s">
        <v>126</v>
      </c>
      <c r="B1233" t="s">
        <v>125</v>
      </c>
      <c r="C1233" t="s">
        <v>469</v>
      </c>
      <c r="D1233" t="s">
        <v>469</v>
      </c>
      <c r="E1233">
        <v>5910</v>
      </c>
      <c r="F1233" t="s">
        <v>124</v>
      </c>
      <c r="G1233">
        <v>1667</v>
      </c>
      <c r="H1233" t="s">
        <v>96</v>
      </c>
      <c r="I1233">
        <v>2021</v>
      </c>
      <c r="J1233">
        <v>2021</v>
      </c>
      <c r="K1233" t="s">
        <v>339</v>
      </c>
      <c r="L1233">
        <v>165066</v>
      </c>
      <c r="O1233">
        <v>141131.43</v>
      </c>
      <c r="P1233">
        <v>0.14113142999999997</v>
      </c>
      <c r="Q1233" t="s">
        <v>795</v>
      </c>
      <c r="R1233" s="141">
        <v>0.9</v>
      </c>
    </row>
    <row r="1234" spans="1:18" x14ac:dyDescent="0.3">
      <c r="A1234" t="s">
        <v>126</v>
      </c>
      <c r="B1234" t="s">
        <v>125</v>
      </c>
      <c r="C1234" t="s">
        <v>469</v>
      </c>
      <c r="D1234" t="s">
        <v>469</v>
      </c>
      <c r="E1234">
        <v>5510</v>
      </c>
      <c r="F1234" t="s">
        <v>128</v>
      </c>
      <c r="G1234">
        <v>1668</v>
      </c>
      <c r="H1234" t="s">
        <v>95</v>
      </c>
      <c r="I1234">
        <v>2021</v>
      </c>
      <c r="J1234">
        <v>2021</v>
      </c>
      <c r="K1234" t="s">
        <v>339</v>
      </c>
      <c r="L1234">
        <v>53000</v>
      </c>
      <c r="O1234">
        <v>47700</v>
      </c>
      <c r="P1234">
        <v>4.7699999999999999E-2</v>
      </c>
      <c r="Q1234" t="s">
        <v>796</v>
      </c>
      <c r="R1234" s="141">
        <v>0.9</v>
      </c>
    </row>
    <row r="1235" spans="1:18" x14ac:dyDescent="0.3">
      <c r="A1235" t="s">
        <v>126</v>
      </c>
      <c r="B1235" t="s">
        <v>125</v>
      </c>
      <c r="C1235" t="s">
        <v>469</v>
      </c>
      <c r="D1235" t="s">
        <v>469</v>
      </c>
      <c r="E1235">
        <v>5610</v>
      </c>
      <c r="F1235" t="s">
        <v>127</v>
      </c>
      <c r="G1235">
        <v>1668</v>
      </c>
      <c r="H1235" t="s">
        <v>95</v>
      </c>
      <c r="I1235">
        <v>2021</v>
      </c>
      <c r="J1235">
        <v>2021</v>
      </c>
      <c r="K1235" t="s">
        <v>339</v>
      </c>
      <c r="L1235">
        <v>9900</v>
      </c>
      <c r="O1235">
        <v>8464.5</v>
      </c>
      <c r="P1235">
        <v>8.4644999999999998E-3</v>
      </c>
      <c r="Q1235" t="s">
        <v>797</v>
      </c>
      <c r="R1235" s="141">
        <v>0.9</v>
      </c>
    </row>
    <row r="1236" spans="1:18" x14ac:dyDescent="0.3">
      <c r="A1236" t="s">
        <v>126</v>
      </c>
      <c r="B1236" t="s">
        <v>125</v>
      </c>
      <c r="C1236" t="s">
        <v>469</v>
      </c>
      <c r="D1236" t="s">
        <v>469</v>
      </c>
      <c r="E1236">
        <v>5910</v>
      </c>
      <c r="F1236" t="s">
        <v>124</v>
      </c>
      <c r="G1236">
        <v>1668</v>
      </c>
      <c r="H1236" t="s">
        <v>95</v>
      </c>
      <c r="I1236">
        <v>2021</v>
      </c>
      <c r="J1236">
        <v>2021</v>
      </c>
      <c r="K1236" t="s">
        <v>339</v>
      </c>
      <c r="L1236">
        <v>4167</v>
      </c>
      <c r="O1236">
        <v>3562.7849999999999</v>
      </c>
      <c r="P1236">
        <v>3.5627849999999997E-3</v>
      </c>
      <c r="Q1236" t="s">
        <v>798</v>
      </c>
      <c r="R1236" s="141">
        <v>0.9</v>
      </c>
    </row>
    <row r="1237" spans="1:18" x14ac:dyDescent="0.3">
      <c r="A1237" t="s">
        <v>126</v>
      </c>
      <c r="B1237" t="s">
        <v>125</v>
      </c>
      <c r="C1237" t="s">
        <v>469</v>
      </c>
      <c r="D1237" t="s">
        <v>469</v>
      </c>
      <c r="E1237">
        <v>5510</v>
      </c>
      <c r="F1237" t="s">
        <v>128</v>
      </c>
      <c r="G1237">
        <v>1609</v>
      </c>
      <c r="H1237" t="s">
        <v>94</v>
      </c>
      <c r="I1237">
        <v>2021</v>
      </c>
      <c r="J1237">
        <v>2021</v>
      </c>
      <c r="L1237">
        <v>0</v>
      </c>
      <c r="O1237">
        <v>0</v>
      </c>
      <c r="P1237">
        <v>0</v>
      </c>
      <c r="Q1237" t="s">
        <v>799</v>
      </c>
      <c r="R1237" s="141">
        <v>0.9</v>
      </c>
    </row>
    <row r="1238" spans="1:18" x14ac:dyDescent="0.3">
      <c r="A1238" t="s">
        <v>126</v>
      </c>
      <c r="B1238" t="s">
        <v>125</v>
      </c>
      <c r="C1238" t="s">
        <v>469</v>
      </c>
      <c r="D1238" t="s">
        <v>469</v>
      </c>
      <c r="E1238">
        <v>5610</v>
      </c>
      <c r="F1238" t="s">
        <v>127</v>
      </c>
      <c r="G1238">
        <v>1609</v>
      </c>
      <c r="H1238" t="s">
        <v>94</v>
      </c>
      <c r="I1238">
        <v>2021</v>
      </c>
      <c r="J1238">
        <v>2021</v>
      </c>
      <c r="K1238" t="s">
        <v>339</v>
      </c>
      <c r="L1238">
        <v>7652</v>
      </c>
      <c r="O1238">
        <v>6542.46</v>
      </c>
      <c r="P1238">
        <v>6.5424599999999999E-3</v>
      </c>
      <c r="Q1238" t="s">
        <v>800</v>
      </c>
      <c r="R1238" s="141">
        <v>0.9</v>
      </c>
    </row>
    <row r="1239" spans="1:18" x14ac:dyDescent="0.3">
      <c r="A1239" t="s">
        <v>126</v>
      </c>
      <c r="B1239" t="s">
        <v>125</v>
      </c>
      <c r="C1239" t="s">
        <v>469</v>
      </c>
      <c r="D1239" t="s">
        <v>469</v>
      </c>
      <c r="E1239">
        <v>5910</v>
      </c>
      <c r="F1239" t="s">
        <v>124</v>
      </c>
      <c r="G1239">
        <v>1609</v>
      </c>
      <c r="H1239" t="s">
        <v>94</v>
      </c>
      <c r="I1239">
        <v>2021</v>
      </c>
      <c r="J1239">
        <v>2021</v>
      </c>
      <c r="K1239" t="s">
        <v>339</v>
      </c>
      <c r="L1239">
        <v>6985</v>
      </c>
      <c r="O1239">
        <v>5972.1749999999993</v>
      </c>
      <c r="P1239">
        <v>5.9721749999999988E-3</v>
      </c>
      <c r="Q1239" t="s">
        <v>801</v>
      </c>
      <c r="R1239" s="141">
        <v>0.9</v>
      </c>
    </row>
    <row r="1240" spans="1:18" x14ac:dyDescent="0.3">
      <c r="A1240" t="s">
        <v>126</v>
      </c>
      <c r="B1240" t="s">
        <v>125</v>
      </c>
      <c r="C1240" t="s">
        <v>469</v>
      </c>
      <c r="D1240" t="s">
        <v>469</v>
      </c>
      <c r="E1240">
        <v>5510</v>
      </c>
      <c r="F1240" t="s">
        <v>128</v>
      </c>
      <c r="G1240">
        <v>1669</v>
      </c>
      <c r="H1240" t="s">
        <v>134</v>
      </c>
      <c r="I1240">
        <v>2021</v>
      </c>
      <c r="J1240">
        <v>2021</v>
      </c>
      <c r="K1240" t="s">
        <v>339</v>
      </c>
      <c r="L1240">
        <v>3563453</v>
      </c>
      <c r="O1240">
        <v>3118021.375</v>
      </c>
      <c r="P1240">
        <v>3.1180213749999997</v>
      </c>
      <c r="Q1240" t="s">
        <v>802</v>
      </c>
      <c r="R1240" s="141">
        <v>0.875</v>
      </c>
    </row>
    <row r="1241" spans="1:18" x14ac:dyDescent="0.3">
      <c r="A1241" t="s">
        <v>126</v>
      </c>
      <c r="B1241" t="s">
        <v>125</v>
      </c>
      <c r="C1241" t="s">
        <v>469</v>
      </c>
      <c r="D1241" t="s">
        <v>469</v>
      </c>
      <c r="E1241">
        <v>5610</v>
      </c>
      <c r="F1241" t="s">
        <v>127</v>
      </c>
      <c r="G1241">
        <v>1669</v>
      </c>
      <c r="H1241" t="s">
        <v>134</v>
      </c>
      <c r="I1241">
        <v>2021</v>
      </c>
      <c r="J1241">
        <v>2021</v>
      </c>
      <c r="K1241" t="s">
        <v>339</v>
      </c>
      <c r="L1241">
        <v>2612692</v>
      </c>
      <c r="O1241">
        <v>2171800.2250000001</v>
      </c>
      <c r="P1241">
        <v>2.1718002250000001</v>
      </c>
      <c r="Q1241" t="s">
        <v>803</v>
      </c>
      <c r="R1241" s="141">
        <v>0.875</v>
      </c>
    </row>
    <row r="1242" spans="1:18" x14ac:dyDescent="0.3">
      <c r="A1242" t="s">
        <v>126</v>
      </c>
      <c r="B1242" t="s">
        <v>125</v>
      </c>
      <c r="C1242" t="s">
        <v>469</v>
      </c>
      <c r="D1242" t="s">
        <v>469</v>
      </c>
      <c r="E1242">
        <v>5910</v>
      </c>
      <c r="F1242" t="s">
        <v>124</v>
      </c>
      <c r="G1242">
        <v>1669</v>
      </c>
      <c r="H1242" t="s">
        <v>134</v>
      </c>
      <c r="I1242">
        <v>2021</v>
      </c>
      <c r="J1242">
        <v>2021</v>
      </c>
      <c r="K1242" t="s">
        <v>339</v>
      </c>
      <c r="L1242">
        <v>1138193</v>
      </c>
      <c r="O1242">
        <v>946122.93124999991</v>
      </c>
      <c r="P1242">
        <v>0.94612293124999991</v>
      </c>
      <c r="Q1242" t="s">
        <v>804</v>
      </c>
      <c r="R1242" s="141">
        <v>0.875</v>
      </c>
    </row>
    <row r="1243" spans="1:18" x14ac:dyDescent="0.3">
      <c r="A1243" t="s">
        <v>126</v>
      </c>
      <c r="B1243" t="s">
        <v>125</v>
      </c>
      <c r="C1243" t="s">
        <v>469</v>
      </c>
      <c r="D1243" t="s">
        <v>469</v>
      </c>
      <c r="E1243">
        <v>5510</v>
      </c>
      <c r="F1243" t="s">
        <v>128</v>
      </c>
      <c r="G1243">
        <v>1671</v>
      </c>
      <c r="H1243" t="s">
        <v>89</v>
      </c>
      <c r="I1243">
        <v>2021</v>
      </c>
      <c r="J1243">
        <v>2021</v>
      </c>
      <c r="K1243" t="s">
        <v>339</v>
      </c>
      <c r="L1243">
        <v>1017245</v>
      </c>
      <c r="O1243">
        <v>966382.75</v>
      </c>
      <c r="P1243">
        <v>0.96638274999999996</v>
      </c>
      <c r="Q1243" t="s">
        <v>805</v>
      </c>
      <c r="R1243" s="141">
        <v>0.95</v>
      </c>
    </row>
    <row r="1244" spans="1:18" x14ac:dyDescent="0.3">
      <c r="A1244" t="s">
        <v>126</v>
      </c>
      <c r="B1244" t="s">
        <v>125</v>
      </c>
      <c r="C1244" t="s">
        <v>469</v>
      </c>
      <c r="D1244" t="s">
        <v>469</v>
      </c>
      <c r="E1244">
        <v>5610</v>
      </c>
      <c r="F1244" t="s">
        <v>127</v>
      </c>
      <c r="G1244">
        <v>1671</v>
      </c>
      <c r="H1244" t="s">
        <v>89</v>
      </c>
      <c r="I1244">
        <v>2021</v>
      </c>
      <c r="J1244">
        <v>2021</v>
      </c>
      <c r="K1244" t="s">
        <v>339</v>
      </c>
      <c r="L1244">
        <v>262930</v>
      </c>
      <c r="O1244">
        <v>237294.32499999998</v>
      </c>
      <c r="P1244">
        <v>0.23729432499999997</v>
      </c>
      <c r="Q1244" t="s">
        <v>806</v>
      </c>
      <c r="R1244" s="141">
        <v>0.95</v>
      </c>
    </row>
    <row r="1245" spans="1:18" x14ac:dyDescent="0.3">
      <c r="A1245" t="s">
        <v>126</v>
      </c>
      <c r="B1245" t="s">
        <v>125</v>
      </c>
      <c r="C1245" t="s">
        <v>469</v>
      </c>
      <c r="D1245" t="s">
        <v>469</v>
      </c>
      <c r="E1245">
        <v>5910</v>
      </c>
      <c r="F1245" t="s">
        <v>124</v>
      </c>
      <c r="G1245">
        <v>1671</v>
      </c>
      <c r="H1245" t="s">
        <v>89</v>
      </c>
      <c r="I1245">
        <v>2021</v>
      </c>
      <c r="J1245">
        <v>2021</v>
      </c>
      <c r="K1245" t="s">
        <v>339</v>
      </c>
      <c r="L1245">
        <v>651579</v>
      </c>
      <c r="O1245">
        <v>588050.04749999987</v>
      </c>
      <c r="P1245">
        <v>0.58805004749999989</v>
      </c>
      <c r="Q1245" t="s">
        <v>807</v>
      </c>
      <c r="R1245" s="141">
        <v>0.95</v>
      </c>
    </row>
    <row r="1246" spans="1:18" x14ac:dyDescent="0.3">
      <c r="A1246" t="s">
        <v>126</v>
      </c>
      <c r="B1246" t="s">
        <v>125</v>
      </c>
      <c r="C1246" t="s">
        <v>469</v>
      </c>
      <c r="D1246" t="s">
        <v>469</v>
      </c>
      <c r="E1246">
        <v>5510</v>
      </c>
      <c r="F1246" t="s">
        <v>128</v>
      </c>
      <c r="G1246">
        <v>1674</v>
      </c>
      <c r="H1246" t="s">
        <v>88</v>
      </c>
      <c r="I1246">
        <v>2021</v>
      </c>
      <c r="J1246">
        <v>2021</v>
      </c>
      <c r="K1246" t="s">
        <v>339</v>
      </c>
      <c r="L1246">
        <v>988340</v>
      </c>
      <c r="O1246">
        <v>938923</v>
      </c>
      <c r="P1246">
        <v>0.93892299999999995</v>
      </c>
      <c r="Q1246" t="s">
        <v>808</v>
      </c>
      <c r="R1246" s="141">
        <v>0.95</v>
      </c>
    </row>
    <row r="1247" spans="1:18" x14ac:dyDescent="0.3">
      <c r="A1247" t="s">
        <v>126</v>
      </c>
      <c r="B1247" t="s">
        <v>125</v>
      </c>
      <c r="C1247" t="s">
        <v>469</v>
      </c>
      <c r="D1247" t="s">
        <v>469</v>
      </c>
      <c r="E1247">
        <v>5610</v>
      </c>
      <c r="F1247" t="s">
        <v>127</v>
      </c>
      <c r="G1247">
        <v>1674</v>
      </c>
      <c r="H1247" t="s">
        <v>88</v>
      </c>
      <c r="I1247">
        <v>2021</v>
      </c>
      <c r="J1247">
        <v>2021</v>
      </c>
      <c r="K1247" t="s">
        <v>339</v>
      </c>
      <c r="L1247">
        <v>1142411</v>
      </c>
      <c r="O1247">
        <v>1031025.9274999999</v>
      </c>
      <c r="P1247">
        <v>1.0310259274999998</v>
      </c>
      <c r="Q1247" t="s">
        <v>809</v>
      </c>
      <c r="R1247" s="141">
        <v>0.95</v>
      </c>
    </row>
    <row r="1248" spans="1:18" x14ac:dyDescent="0.3">
      <c r="A1248" t="s">
        <v>126</v>
      </c>
      <c r="B1248" t="s">
        <v>125</v>
      </c>
      <c r="C1248" t="s">
        <v>469</v>
      </c>
      <c r="D1248" t="s">
        <v>469</v>
      </c>
      <c r="E1248">
        <v>5910</v>
      </c>
      <c r="F1248" t="s">
        <v>124</v>
      </c>
      <c r="G1248">
        <v>1674</v>
      </c>
      <c r="H1248" t="s">
        <v>88</v>
      </c>
      <c r="I1248">
        <v>2021</v>
      </c>
      <c r="J1248">
        <v>2021</v>
      </c>
      <c r="K1248" t="s">
        <v>339</v>
      </c>
      <c r="L1248">
        <v>556596</v>
      </c>
      <c r="O1248">
        <v>502327.88999999996</v>
      </c>
      <c r="P1248">
        <v>0.50232788999999989</v>
      </c>
      <c r="Q1248" t="s">
        <v>810</v>
      </c>
      <c r="R1248" s="141">
        <v>0.95</v>
      </c>
    </row>
    <row r="1249" spans="1:18" x14ac:dyDescent="0.3">
      <c r="A1249" t="s">
        <v>126</v>
      </c>
      <c r="B1249" t="s">
        <v>125</v>
      </c>
      <c r="C1249" t="s">
        <v>469</v>
      </c>
      <c r="D1249" t="s">
        <v>469</v>
      </c>
      <c r="E1249">
        <v>5510</v>
      </c>
      <c r="F1249" t="s">
        <v>128</v>
      </c>
      <c r="G1249">
        <v>1612</v>
      </c>
      <c r="H1249" t="s">
        <v>133</v>
      </c>
      <c r="I1249">
        <v>2021</v>
      </c>
      <c r="J1249">
        <v>2021</v>
      </c>
      <c r="K1249" t="s">
        <v>339</v>
      </c>
      <c r="L1249">
        <v>504035</v>
      </c>
    </row>
    <row r="1250" spans="1:18" x14ac:dyDescent="0.3">
      <c r="A1250" t="s">
        <v>126</v>
      </c>
      <c r="B1250" t="s">
        <v>125</v>
      </c>
      <c r="C1250" t="s">
        <v>469</v>
      </c>
      <c r="D1250" t="s">
        <v>469</v>
      </c>
      <c r="E1250">
        <v>5610</v>
      </c>
      <c r="F1250" t="s">
        <v>127</v>
      </c>
      <c r="G1250">
        <v>1612</v>
      </c>
      <c r="H1250" t="s">
        <v>133</v>
      </c>
      <c r="I1250">
        <v>2021</v>
      </c>
      <c r="J1250">
        <v>2021</v>
      </c>
      <c r="K1250" t="s">
        <v>339</v>
      </c>
      <c r="L1250">
        <v>82092</v>
      </c>
    </row>
    <row r="1251" spans="1:18" x14ac:dyDescent="0.3">
      <c r="A1251" t="s">
        <v>126</v>
      </c>
      <c r="B1251" t="s">
        <v>125</v>
      </c>
      <c r="C1251" t="s">
        <v>469</v>
      </c>
      <c r="D1251" t="s">
        <v>469</v>
      </c>
      <c r="E1251">
        <v>5910</v>
      </c>
      <c r="F1251" t="s">
        <v>124</v>
      </c>
      <c r="G1251">
        <v>1612</v>
      </c>
      <c r="H1251" t="s">
        <v>133</v>
      </c>
      <c r="I1251">
        <v>2021</v>
      </c>
      <c r="J1251">
        <v>2021</v>
      </c>
      <c r="K1251" t="s">
        <v>339</v>
      </c>
      <c r="L1251">
        <v>376443</v>
      </c>
    </row>
    <row r="1252" spans="1:18" x14ac:dyDescent="0.3">
      <c r="A1252" t="s">
        <v>126</v>
      </c>
      <c r="B1252" t="s">
        <v>125</v>
      </c>
      <c r="C1252" t="s">
        <v>469</v>
      </c>
      <c r="D1252" t="s">
        <v>469</v>
      </c>
      <c r="E1252">
        <v>5510</v>
      </c>
      <c r="F1252" t="s">
        <v>128</v>
      </c>
      <c r="G1252">
        <v>1615</v>
      </c>
      <c r="H1252" t="s">
        <v>132</v>
      </c>
      <c r="I1252">
        <v>2021</v>
      </c>
      <c r="J1252">
        <v>2021</v>
      </c>
      <c r="K1252" t="s">
        <v>339</v>
      </c>
      <c r="L1252">
        <v>316380</v>
      </c>
    </row>
    <row r="1253" spans="1:18" x14ac:dyDescent="0.3">
      <c r="A1253" t="s">
        <v>126</v>
      </c>
      <c r="B1253" t="s">
        <v>125</v>
      </c>
      <c r="C1253" t="s">
        <v>469</v>
      </c>
      <c r="D1253" t="s">
        <v>469</v>
      </c>
      <c r="E1253">
        <v>5610</v>
      </c>
      <c r="F1253" t="s">
        <v>127</v>
      </c>
      <c r="G1253">
        <v>1615</v>
      </c>
      <c r="H1253" t="s">
        <v>132</v>
      </c>
      <c r="I1253">
        <v>2021</v>
      </c>
      <c r="J1253">
        <v>2021</v>
      </c>
      <c r="K1253" t="s">
        <v>339</v>
      </c>
      <c r="L1253">
        <v>676650</v>
      </c>
    </row>
    <row r="1254" spans="1:18" x14ac:dyDescent="0.3">
      <c r="A1254" t="s">
        <v>126</v>
      </c>
      <c r="B1254" t="s">
        <v>125</v>
      </c>
      <c r="C1254" t="s">
        <v>469</v>
      </c>
      <c r="D1254" t="s">
        <v>469</v>
      </c>
      <c r="E1254">
        <v>5910</v>
      </c>
      <c r="F1254" t="s">
        <v>124</v>
      </c>
      <c r="G1254">
        <v>1615</v>
      </c>
      <c r="H1254" t="s">
        <v>132</v>
      </c>
      <c r="I1254">
        <v>2021</v>
      </c>
      <c r="J1254">
        <v>2021</v>
      </c>
      <c r="K1254" t="s">
        <v>339</v>
      </c>
      <c r="L1254">
        <v>38394</v>
      </c>
    </row>
    <row r="1255" spans="1:18" x14ac:dyDescent="0.3">
      <c r="A1255" t="s">
        <v>126</v>
      </c>
      <c r="B1255" t="s">
        <v>125</v>
      </c>
      <c r="C1255" t="s">
        <v>469</v>
      </c>
      <c r="D1255" t="s">
        <v>469</v>
      </c>
      <c r="E1255">
        <v>5510</v>
      </c>
      <c r="F1255" t="s">
        <v>128</v>
      </c>
      <c r="G1255">
        <v>1616</v>
      </c>
      <c r="H1255" t="s">
        <v>131</v>
      </c>
      <c r="I1255">
        <v>2021</v>
      </c>
      <c r="J1255">
        <v>2021</v>
      </c>
      <c r="K1255" t="s">
        <v>339</v>
      </c>
      <c r="L1255">
        <v>167925</v>
      </c>
    </row>
    <row r="1256" spans="1:18" x14ac:dyDescent="0.3">
      <c r="A1256" t="s">
        <v>126</v>
      </c>
      <c r="B1256" t="s">
        <v>125</v>
      </c>
      <c r="C1256" t="s">
        <v>469</v>
      </c>
      <c r="D1256" t="s">
        <v>469</v>
      </c>
      <c r="E1256">
        <v>5610</v>
      </c>
      <c r="F1256" t="s">
        <v>127</v>
      </c>
      <c r="G1256">
        <v>1616</v>
      </c>
      <c r="H1256" t="s">
        <v>131</v>
      </c>
      <c r="I1256">
        <v>2021</v>
      </c>
      <c r="J1256">
        <v>2021</v>
      </c>
      <c r="K1256" t="s">
        <v>339</v>
      </c>
      <c r="L1256">
        <v>383669</v>
      </c>
    </row>
    <row r="1257" spans="1:18" x14ac:dyDescent="0.3">
      <c r="A1257" t="s">
        <v>126</v>
      </c>
      <c r="B1257" t="s">
        <v>125</v>
      </c>
      <c r="C1257" t="s">
        <v>469</v>
      </c>
      <c r="D1257" t="s">
        <v>469</v>
      </c>
      <c r="E1257">
        <v>5910</v>
      </c>
      <c r="F1257" t="s">
        <v>124</v>
      </c>
      <c r="G1257">
        <v>1616</v>
      </c>
      <c r="H1257" t="s">
        <v>131</v>
      </c>
      <c r="I1257">
        <v>2021</v>
      </c>
      <c r="J1257">
        <v>2021</v>
      </c>
      <c r="K1257" t="s">
        <v>339</v>
      </c>
      <c r="L1257">
        <v>141759</v>
      </c>
    </row>
    <row r="1258" spans="1:18" x14ac:dyDescent="0.3">
      <c r="A1258" t="s">
        <v>126</v>
      </c>
      <c r="B1258" t="s">
        <v>125</v>
      </c>
      <c r="C1258" t="s">
        <v>469</v>
      </c>
      <c r="D1258" t="s">
        <v>469</v>
      </c>
      <c r="E1258">
        <v>5510</v>
      </c>
      <c r="F1258" t="s">
        <v>128</v>
      </c>
      <c r="G1258">
        <v>1675</v>
      </c>
      <c r="H1258" t="s">
        <v>87</v>
      </c>
      <c r="I1258">
        <v>2021</v>
      </c>
      <c r="J1258">
        <v>2021</v>
      </c>
      <c r="K1258" t="s">
        <v>339</v>
      </c>
      <c r="L1258">
        <v>3682133</v>
      </c>
    </row>
    <row r="1259" spans="1:18" x14ac:dyDescent="0.3">
      <c r="A1259" t="s">
        <v>126</v>
      </c>
      <c r="B1259" t="s">
        <v>125</v>
      </c>
      <c r="C1259" t="s">
        <v>469</v>
      </c>
      <c r="D1259" t="s">
        <v>469</v>
      </c>
      <c r="E1259">
        <v>5610</v>
      </c>
      <c r="F1259" t="s">
        <v>127</v>
      </c>
      <c r="G1259">
        <v>1675</v>
      </c>
      <c r="H1259" t="s">
        <v>87</v>
      </c>
      <c r="I1259">
        <v>2021</v>
      </c>
      <c r="J1259">
        <v>2021</v>
      </c>
      <c r="K1259" t="s">
        <v>339</v>
      </c>
      <c r="L1259">
        <v>2588866</v>
      </c>
    </row>
    <row r="1260" spans="1:18" x14ac:dyDescent="0.3">
      <c r="A1260" t="s">
        <v>126</v>
      </c>
      <c r="B1260" t="s">
        <v>125</v>
      </c>
      <c r="C1260" t="s">
        <v>469</v>
      </c>
      <c r="D1260" t="s">
        <v>469</v>
      </c>
      <c r="E1260">
        <v>5910</v>
      </c>
      <c r="F1260" t="s">
        <v>124</v>
      </c>
      <c r="G1260">
        <v>1675</v>
      </c>
      <c r="H1260" t="s">
        <v>87</v>
      </c>
      <c r="I1260">
        <v>2021</v>
      </c>
      <c r="J1260">
        <v>2021</v>
      </c>
      <c r="K1260" t="s">
        <v>339</v>
      </c>
      <c r="L1260">
        <v>1577602</v>
      </c>
    </row>
    <row r="1261" spans="1:18" x14ac:dyDescent="0.3">
      <c r="A1261" t="s">
        <v>126</v>
      </c>
      <c r="B1261" t="s">
        <v>125</v>
      </c>
      <c r="C1261" t="s">
        <v>469</v>
      </c>
      <c r="D1261" t="s">
        <v>469</v>
      </c>
      <c r="E1261">
        <v>5510</v>
      </c>
      <c r="F1261" t="s">
        <v>128</v>
      </c>
      <c r="G1261">
        <v>1676</v>
      </c>
      <c r="H1261" t="s">
        <v>86</v>
      </c>
      <c r="I1261">
        <v>2021</v>
      </c>
      <c r="J1261">
        <v>2021</v>
      </c>
      <c r="K1261" t="s">
        <v>339</v>
      </c>
      <c r="L1261">
        <v>595572</v>
      </c>
      <c r="O1261">
        <v>565793.4</v>
      </c>
      <c r="P1261">
        <v>0.5657934</v>
      </c>
      <c r="Q1261" t="s">
        <v>811</v>
      </c>
      <c r="R1261" s="141">
        <v>0.95</v>
      </c>
    </row>
    <row r="1262" spans="1:18" x14ac:dyDescent="0.3">
      <c r="A1262" t="s">
        <v>126</v>
      </c>
      <c r="B1262" t="s">
        <v>125</v>
      </c>
      <c r="C1262" t="s">
        <v>469</v>
      </c>
      <c r="D1262" t="s">
        <v>469</v>
      </c>
      <c r="E1262">
        <v>5610</v>
      </c>
      <c r="F1262" t="s">
        <v>127</v>
      </c>
      <c r="G1262">
        <v>1676</v>
      </c>
      <c r="H1262" t="s">
        <v>86</v>
      </c>
      <c r="I1262">
        <v>2021</v>
      </c>
      <c r="J1262">
        <v>2021</v>
      </c>
      <c r="K1262" t="s">
        <v>339</v>
      </c>
      <c r="L1262">
        <v>85493</v>
      </c>
      <c r="O1262">
        <v>77157.432499999995</v>
      </c>
      <c r="P1262">
        <v>7.7157432499999998E-2</v>
      </c>
      <c r="Q1262" t="s">
        <v>812</v>
      </c>
      <c r="R1262" s="141">
        <v>0.95</v>
      </c>
    </row>
    <row r="1263" spans="1:18" x14ac:dyDescent="0.3">
      <c r="A1263" t="s">
        <v>126</v>
      </c>
      <c r="B1263" t="s">
        <v>125</v>
      </c>
      <c r="C1263" t="s">
        <v>469</v>
      </c>
      <c r="D1263" t="s">
        <v>469</v>
      </c>
      <c r="E1263">
        <v>5910</v>
      </c>
      <c r="F1263" t="s">
        <v>124</v>
      </c>
      <c r="G1263">
        <v>1676</v>
      </c>
      <c r="H1263" t="s">
        <v>86</v>
      </c>
      <c r="I1263">
        <v>2021</v>
      </c>
      <c r="J1263">
        <v>2021</v>
      </c>
      <c r="K1263" t="s">
        <v>339</v>
      </c>
      <c r="L1263">
        <v>360765</v>
      </c>
      <c r="O1263">
        <v>325590.41249999998</v>
      </c>
      <c r="P1263">
        <v>0.32559041249999998</v>
      </c>
      <c r="Q1263" t="s">
        <v>813</v>
      </c>
      <c r="R1263" s="141">
        <v>0.95</v>
      </c>
    </row>
    <row r="1264" spans="1:18" x14ac:dyDescent="0.3">
      <c r="A1264" t="s">
        <v>126</v>
      </c>
      <c r="B1264" t="s">
        <v>125</v>
      </c>
      <c r="C1264" t="s">
        <v>469</v>
      </c>
      <c r="D1264" t="s">
        <v>469</v>
      </c>
      <c r="E1264">
        <v>5510</v>
      </c>
      <c r="F1264" t="s">
        <v>128</v>
      </c>
      <c r="G1264">
        <v>1681</v>
      </c>
      <c r="H1264" t="s">
        <v>130</v>
      </c>
      <c r="I1264">
        <v>2021</v>
      </c>
      <c r="J1264">
        <v>2021</v>
      </c>
      <c r="L1264">
        <v>0</v>
      </c>
    </row>
    <row r="1265" spans="1:18" x14ac:dyDescent="0.3">
      <c r="A1265" t="s">
        <v>126</v>
      </c>
      <c r="B1265" t="s">
        <v>125</v>
      </c>
      <c r="C1265" t="s">
        <v>469</v>
      </c>
      <c r="D1265" t="s">
        <v>469</v>
      </c>
      <c r="E1265">
        <v>5610</v>
      </c>
      <c r="F1265" t="s">
        <v>127</v>
      </c>
      <c r="G1265">
        <v>1681</v>
      </c>
      <c r="H1265" t="s">
        <v>130</v>
      </c>
      <c r="I1265">
        <v>2021</v>
      </c>
      <c r="J1265">
        <v>2021</v>
      </c>
      <c r="L1265">
        <v>0</v>
      </c>
    </row>
    <row r="1266" spans="1:18" x14ac:dyDescent="0.3">
      <c r="A1266" t="s">
        <v>126</v>
      </c>
      <c r="B1266" t="s">
        <v>125</v>
      </c>
      <c r="C1266" t="s">
        <v>469</v>
      </c>
      <c r="D1266" t="s">
        <v>469</v>
      </c>
      <c r="E1266">
        <v>5910</v>
      </c>
      <c r="F1266" t="s">
        <v>124</v>
      </c>
      <c r="G1266">
        <v>1681</v>
      </c>
      <c r="H1266" t="s">
        <v>130</v>
      </c>
      <c r="I1266">
        <v>2021</v>
      </c>
      <c r="J1266">
        <v>2021</v>
      </c>
      <c r="L1266">
        <v>0</v>
      </c>
    </row>
    <row r="1267" spans="1:18" x14ac:dyDescent="0.3">
      <c r="A1267" t="s">
        <v>126</v>
      </c>
      <c r="B1267" t="s">
        <v>125</v>
      </c>
      <c r="C1267" t="s">
        <v>469</v>
      </c>
      <c r="D1267" t="s">
        <v>469</v>
      </c>
      <c r="E1267">
        <v>5510</v>
      </c>
      <c r="F1267" t="s">
        <v>128</v>
      </c>
      <c r="G1267">
        <v>1617</v>
      </c>
      <c r="H1267" t="s">
        <v>85</v>
      </c>
      <c r="I1267">
        <v>2021</v>
      </c>
      <c r="J1267">
        <v>2021</v>
      </c>
      <c r="K1267" t="s">
        <v>339</v>
      </c>
      <c r="L1267">
        <v>1444942</v>
      </c>
      <c r="O1267">
        <v>1372694.9</v>
      </c>
      <c r="P1267">
        <v>1.3726948999999999</v>
      </c>
      <c r="Q1267" t="s">
        <v>814</v>
      </c>
      <c r="R1267" s="141">
        <v>0.95</v>
      </c>
    </row>
    <row r="1268" spans="1:18" x14ac:dyDescent="0.3">
      <c r="A1268" t="s">
        <v>126</v>
      </c>
      <c r="B1268" t="s">
        <v>125</v>
      </c>
      <c r="C1268" t="s">
        <v>469</v>
      </c>
      <c r="D1268" t="s">
        <v>469</v>
      </c>
      <c r="E1268">
        <v>5610</v>
      </c>
      <c r="F1268" t="s">
        <v>127</v>
      </c>
      <c r="G1268">
        <v>1617</v>
      </c>
      <c r="H1268" t="s">
        <v>85</v>
      </c>
      <c r="I1268">
        <v>2021</v>
      </c>
      <c r="J1268">
        <v>2021</v>
      </c>
      <c r="K1268" t="s">
        <v>339</v>
      </c>
      <c r="L1268">
        <v>973878</v>
      </c>
      <c r="O1268">
        <v>878924.8949999999</v>
      </c>
      <c r="P1268">
        <v>0.87892489499999982</v>
      </c>
      <c r="Q1268" t="s">
        <v>815</v>
      </c>
      <c r="R1268" s="141">
        <v>0.95</v>
      </c>
    </row>
    <row r="1269" spans="1:18" x14ac:dyDescent="0.3">
      <c r="A1269" t="s">
        <v>126</v>
      </c>
      <c r="B1269" t="s">
        <v>125</v>
      </c>
      <c r="C1269" t="s">
        <v>469</v>
      </c>
      <c r="D1269" t="s">
        <v>469</v>
      </c>
      <c r="E1269">
        <v>5910</v>
      </c>
      <c r="F1269" t="s">
        <v>124</v>
      </c>
      <c r="G1269">
        <v>1617</v>
      </c>
      <c r="H1269" t="s">
        <v>85</v>
      </c>
      <c r="I1269">
        <v>2021</v>
      </c>
      <c r="J1269">
        <v>2021</v>
      </c>
      <c r="K1269" t="s">
        <v>339</v>
      </c>
      <c r="L1269">
        <v>624975</v>
      </c>
      <c r="O1269">
        <v>564039.9375</v>
      </c>
      <c r="P1269">
        <v>0.56403993749999992</v>
      </c>
      <c r="Q1269" t="s">
        <v>816</v>
      </c>
      <c r="R1269" s="141">
        <v>0.95</v>
      </c>
    </row>
    <row r="1270" spans="1:18" x14ac:dyDescent="0.3">
      <c r="A1270" t="s">
        <v>126</v>
      </c>
      <c r="B1270" t="s">
        <v>125</v>
      </c>
      <c r="C1270" t="s">
        <v>469</v>
      </c>
      <c r="D1270" t="s">
        <v>469</v>
      </c>
      <c r="E1270">
        <v>5510</v>
      </c>
      <c r="F1270" t="s">
        <v>128</v>
      </c>
      <c r="G1270">
        <v>1618</v>
      </c>
      <c r="H1270" t="s">
        <v>84</v>
      </c>
      <c r="I1270">
        <v>2021</v>
      </c>
      <c r="J1270">
        <v>2021</v>
      </c>
      <c r="K1270" t="s">
        <v>339</v>
      </c>
      <c r="L1270">
        <v>435815</v>
      </c>
      <c r="O1270">
        <v>414024.25</v>
      </c>
      <c r="P1270">
        <v>0.41402424999999998</v>
      </c>
      <c r="Q1270" t="s">
        <v>817</v>
      </c>
      <c r="R1270" s="141">
        <v>0.95</v>
      </c>
    </row>
    <row r="1271" spans="1:18" x14ac:dyDescent="0.3">
      <c r="A1271" t="s">
        <v>126</v>
      </c>
      <c r="B1271" t="s">
        <v>125</v>
      </c>
      <c r="C1271" t="s">
        <v>469</v>
      </c>
      <c r="D1271" t="s">
        <v>469</v>
      </c>
      <c r="E1271">
        <v>5610</v>
      </c>
      <c r="F1271" t="s">
        <v>127</v>
      </c>
      <c r="G1271">
        <v>1618</v>
      </c>
      <c r="H1271" t="s">
        <v>84</v>
      </c>
      <c r="I1271">
        <v>2021</v>
      </c>
      <c r="J1271">
        <v>2021</v>
      </c>
      <c r="K1271" t="s">
        <v>339</v>
      </c>
      <c r="L1271">
        <v>982275</v>
      </c>
      <c r="O1271">
        <v>886503.1875</v>
      </c>
      <c r="P1271">
        <v>0.88650318750000001</v>
      </c>
      <c r="Q1271" t="s">
        <v>818</v>
      </c>
      <c r="R1271" s="141">
        <v>0.95</v>
      </c>
    </row>
    <row r="1272" spans="1:18" x14ac:dyDescent="0.3">
      <c r="A1272" t="s">
        <v>126</v>
      </c>
      <c r="B1272" t="s">
        <v>125</v>
      </c>
      <c r="C1272" t="s">
        <v>469</v>
      </c>
      <c r="D1272" t="s">
        <v>469</v>
      </c>
      <c r="E1272">
        <v>5910</v>
      </c>
      <c r="F1272" t="s">
        <v>124</v>
      </c>
      <c r="G1272">
        <v>1618</v>
      </c>
      <c r="H1272" t="s">
        <v>84</v>
      </c>
      <c r="I1272">
        <v>2021</v>
      </c>
      <c r="J1272">
        <v>2021</v>
      </c>
      <c r="K1272" t="s">
        <v>339</v>
      </c>
      <c r="L1272">
        <v>364183</v>
      </c>
      <c r="O1272">
        <v>328675.15749999997</v>
      </c>
      <c r="P1272">
        <v>0.32867515749999998</v>
      </c>
      <c r="Q1272" t="s">
        <v>819</v>
      </c>
      <c r="R1272" s="141">
        <v>0.95</v>
      </c>
    </row>
    <row r="1273" spans="1:18" x14ac:dyDescent="0.3">
      <c r="A1273" t="s">
        <v>126</v>
      </c>
      <c r="B1273" t="s">
        <v>125</v>
      </c>
      <c r="C1273" t="s">
        <v>469</v>
      </c>
      <c r="D1273" t="s">
        <v>469</v>
      </c>
      <c r="E1273">
        <v>5510</v>
      </c>
      <c r="F1273" t="s">
        <v>128</v>
      </c>
      <c r="G1273">
        <v>1621</v>
      </c>
      <c r="H1273" t="s">
        <v>129</v>
      </c>
      <c r="I1273">
        <v>2021</v>
      </c>
      <c r="J1273">
        <v>2021</v>
      </c>
      <c r="K1273" t="s">
        <v>339</v>
      </c>
      <c r="L1273">
        <v>765080</v>
      </c>
      <c r="O1273">
        <v>726826</v>
      </c>
      <c r="P1273">
        <v>0.72682599999999997</v>
      </c>
      <c r="Q1273" t="s">
        <v>820</v>
      </c>
      <c r="R1273" s="141">
        <v>0.95</v>
      </c>
    </row>
    <row r="1274" spans="1:18" x14ac:dyDescent="0.3">
      <c r="A1274" t="s">
        <v>126</v>
      </c>
      <c r="B1274" t="s">
        <v>125</v>
      </c>
      <c r="C1274" t="s">
        <v>469</v>
      </c>
      <c r="D1274" t="s">
        <v>469</v>
      </c>
      <c r="E1274">
        <v>5610</v>
      </c>
      <c r="F1274" t="s">
        <v>127</v>
      </c>
      <c r="G1274">
        <v>1621</v>
      </c>
      <c r="H1274" t="s">
        <v>129</v>
      </c>
      <c r="I1274">
        <v>2021</v>
      </c>
      <c r="J1274">
        <v>2021</v>
      </c>
      <c r="K1274" t="s">
        <v>339</v>
      </c>
      <c r="L1274">
        <v>445565</v>
      </c>
      <c r="O1274">
        <v>402122.41249999998</v>
      </c>
      <c r="P1274">
        <v>0.40212241249999997</v>
      </c>
      <c r="Q1274" t="s">
        <v>821</v>
      </c>
      <c r="R1274" s="141">
        <v>0.95</v>
      </c>
    </row>
    <row r="1275" spans="1:18" x14ac:dyDescent="0.3">
      <c r="A1275" t="s">
        <v>126</v>
      </c>
      <c r="B1275" t="s">
        <v>125</v>
      </c>
      <c r="C1275" t="s">
        <v>469</v>
      </c>
      <c r="D1275" t="s">
        <v>469</v>
      </c>
      <c r="E1275">
        <v>5910</v>
      </c>
      <c r="F1275" t="s">
        <v>124</v>
      </c>
      <c r="G1275">
        <v>1621</v>
      </c>
      <c r="H1275" t="s">
        <v>129</v>
      </c>
      <c r="I1275">
        <v>2021</v>
      </c>
      <c r="J1275">
        <v>2021</v>
      </c>
      <c r="K1275" t="s">
        <v>339</v>
      </c>
      <c r="L1275">
        <v>173642</v>
      </c>
      <c r="O1275">
        <v>156711.905</v>
      </c>
      <c r="P1275">
        <v>0.15671190499999998</v>
      </c>
      <c r="Q1275" t="s">
        <v>822</v>
      </c>
      <c r="R1275" s="141">
        <v>0.95</v>
      </c>
    </row>
    <row r="1276" spans="1:18" x14ac:dyDescent="0.3">
      <c r="A1276" t="s">
        <v>126</v>
      </c>
      <c r="B1276" t="s">
        <v>125</v>
      </c>
      <c r="C1276" t="s">
        <v>469</v>
      </c>
      <c r="D1276" t="s">
        <v>469</v>
      </c>
      <c r="E1276">
        <v>5510</v>
      </c>
      <c r="F1276" t="s">
        <v>128</v>
      </c>
      <c r="G1276">
        <v>1622</v>
      </c>
      <c r="H1276" t="s">
        <v>83</v>
      </c>
      <c r="I1276">
        <v>2021</v>
      </c>
      <c r="J1276">
        <v>2021</v>
      </c>
      <c r="K1276" t="s">
        <v>339</v>
      </c>
      <c r="L1276">
        <v>366240</v>
      </c>
      <c r="O1276">
        <v>347928</v>
      </c>
      <c r="P1276">
        <v>0.34792799999999996</v>
      </c>
      <c r="Q1276" t="s">
        <v>823</v>
      </c>
      <c r="R1276" s="141">
        <v>0.95</v>
      </c>
    </row>
    <row r="1277" spans="1:18" x14ac:dyDescent="0.3">
      <c r="A1277" t="s">
        <v>126</v>
      </c>
      <c r="B1277" t="s">
        <v>125</v>
      </c>
      <c r="C1277" t="s">
        <v>469</v>
      </c>
      <c r="D1277" t="s">
        <v>469</v>
      </c>
      <c r="E1277">
        <v>5610</v>
      </c>
      <c r="F1277" t="s">
        <v>127</v>
      </c>
      <c r="G1277">
        <v>1622</v>
      </c>
      <c r="H1277" t="s">
        <v>83</v>
      </c>
      <c r="I1277">
        <v>2021</v>
      </c>
      <c r="J1277">
        <v>2021</v>
      </c>
      <c r="K1277" t="s">
        <v>339</v>
      </c>
      <c r="L1277">
        <v>64286</v>
      </c>
      <c r="O1277">
        <v>58018.114999999998</v>
      </c>
      <c r="P1277">
        <v>5.8018114999999995E-2</v>
      </c>
      <c r="Q1277" t="s">
        <v>824</v>
      </c>
      <c r="R1277" s="141">
        <v>0.95</v>
      </c>
    </row>
    <row r="1278" spans="1:18" x14ac:dyDescent="0.3">
      <c r="A1278" t="s">
        <v>126</v>
      </c>
      <c r="B1278" t="s">
        <v>125</v>
      </c>
      <c r="C1278" t="s">
        <v>469</v>
      </c>
      <c r="D1278" t="s">
        <v>469</v>
      </c>
      <c r="E1278">
        <v>5910</v>
      </c>
      <c r="F1278" t="s">
        <v>124</v>
      </c>
      <c r="G1278">
        <v>1622</v>
      </c>
      <c r="H1278" t="s">
        <v>83</v>
      </c>
      <c r="I1278">
        <v>2021</v>
      </c>
      <c r="J1278">
        <v>2021</v>
      </c>
      <c r="K1278" t="s">
        <v>339</v>
      </c>
      <c r="L1278">
        <v>36658</v>
      </c>
      <c r="O1278">
        <v>33083.844999999994</v>
      </c>
      <c r="P1278">
        <v>3.3083844999999994E-2</v>
      </c>
      <c r="Q1278" t="s">
        <v>825</v>
      </c>
      <c r="R1278" s="141">
        <v>0.95</v>
      </c>
    </row>
    <row r="1279" spans="1:18" x14ac:dyDescent="0.3">
      <c r="A1279" t="s">
        <v>126</v>
      </c>
      <c r="B1279" t="s">
        <v>125</v>
      </c>
      <c r="C1279" t="s">
        <v>469</v>
      </c>
      <c r="D1279" t="s">
        <v>469</v>
      </c>
      <c r="E1279">
        <v>5510</v>
      </c>
      <c r="F1279" t="s">
        <v>128</v>
      </c>
      <c r="G1279">
        <v>1683</v>
      </c>
      <c r="H1279" t="s">
        <v>123</v>
      </c>
      <c r="I1279">
        <v>2021</v>
      </c>
      <c r="J1279">
        <v>2021</v>
      </c>
      <c r="K1279" t="s">
        <v>339</v>
      </c>
      <c r="L1279">
        <v>74484</v>
      </c>
      <c r="O1279">
        <v>70759.8</v>
      </c>
      <c r="P1279">
        <v>7.0759799999999998E-2</v>
      </c>
      <c r="Q1279" t="s">
        <v>826</v>
      </c>
      <c r="R1279" s="141">
        <v>0.95</v>
      </c>
    </row>
    <row r="1280" spans="1:18" x14ac:dyDescent="0.3">
      <c r="A1280" t="s">
        <v>126</v>
      </c>
      <c r="B1280" t="s">
        <v>125</v>
      </c>
      <c r="C1280" t="s">
        <v>469</v>
      </c>
      <c r="D1280" t="s">
        <v>469</v>
      </c>
      <c r="E1280">
        <v>5610</v>
      </c>
      <c r="F1280" t="s">
        <v>127</v>
      </c>
      <c r="G1280">
        <v>1683</v>
      </c>
      <c r="H1280" t="s">
        <v>123</v>
      </c>
      <c r="I1280">
        <v>2021</v>
      </c>
      <c r="J1280">
        <v>2021</v>
      </c>
      <c r="K1280" t="s">
        <v>339</v>
      </c>
      <c r="L1280">
        <v>37369</v>
      </c>
      <c r="O1280">
        <v>33725.522499999992</v>
      </c>
      <c r="P1280">
        <v>3.3725522499999994E-2</v>
      </c>
      <c r="Q1280" t="s">
        <v>827</v>
      </c>
      <c r="R1280" s="141">
        <v>0.95</v>
      </c>
    </row>
    <row r="1281" spans="1:18" x14ac:dyDescent="0.3">
      <c r="A1281" t="s">
        <v>126</v>
      </c>
      <c r="B1281" t="s">
        <v>125</v>
      </c>
      <c r="C1281" t="s">
        <v>469</v>
      </c>
      <c r="D1281" t="s">
        <v>469</v>
      </c>
      <c r="E1281">
        <v>5910</v>
      </c>
      <c r="F1281" t="s">
        <v>124</v>
      </c>
      <c r="G1281">
        <v>1683</v>
      </c>
      <c r="H1281" t="s">
        <v>123</v>
      </c>
      <c r="I1281">
        <v>2021</v>
      </c>
      <c r="J1281">
        <v>2021</v>
      </c>
      <c r="K1281" t="s">
        <v>339</v>
      </c>
      <c r="L1281">
        <v>17379</v>
      </c>
      <c r="O1281">
        <v>15684.547499999999</v>
      </c>
      <c r="P1281">
        <v>1.5684547499999996E-2</v>
      </c>
      <c r="Q1281" t="s">
        <v>828</v>
      </c>
      <c r="R1281" s="141">
        <v>0.95</v>
      </c>
    </row>
    <row r="1282" spans="1:18" x14ac:dyDescent="0.3">
      <c r="A1282" t="s">
        <v>126</v>
      </c>
      <c r="B1282" t="s">
        <v>125</v>
      </c>
      <c r="C1282" t="s">
        <v>470</v>
      </c>
      <c r="D1282" t="s">
        <v>470</v>
      </c>
      <c r="E1282">
        <v>5516</v>
      </c>
      <c r="F1282" t="s">
        <v>128</v>
      </c>
      <c r="G1282">
        <v>1627</v>
      </c>
      <c r="H1282" t="s">
        <v>121</v>
      </c>
      <c r="I1282">
        <v>2021</v>
      </c>
      <c r="J1282">
        <v>2021</v>
      </c>
      <c r="K1282" t="s">
        <v>143</v>
      </c>
      <c r="L1282">
        <v>7365045</v>
      </c>
      <c r="O1282">
        <v>3146715.4762500003</v>
      </c>
      <c r="P1282">
        <v>3.1467154762500003</v>
      </c>
      <c r="Q1282" t="s">
        <v>724</v>
      </c>
      <c r="R1282" s="141">
        <v>0.42725000000000002</v>
      </c>
    </row>
    <row r="1283" spans="1:18" x14ac:dyDescent="0.3">
      <c r="A1283" t="s">
        <v>126</v>
      </c>
      <c r="B1283" t="s">
        <v>125</v>
      </c>
      <c r="C1283" t="s">
        <v>470</v>
      </c>
      <c r="D1283" t="s">
        <v>470</v>
      </c>
      <c r="E1283">
        <v>5616</v>
      </c>
      <c r="F1283" t="s">
        <v>127</v>
      </c>
      <c r="G1283">
        <v>1627</v>
      </c>
      <c r="H1283" t="s">
        <v>121</v>
      </c>
      <c r="I1283">
        <v>2021</v>
      </c>
      <c r="J1283">
        <v>2021</v>
      </c>
      <c r="K1283" t="s">
        <v>143</v>
      </c>
      <c r="L1283">
        <v>644.38</v>
      </c>
      <c r="O1283">
        <v>137.6556775</v>
      </c>
      <c r="P1283">
        <v>1.3765567749999999E-4</v>
      </c>
      <c r="Q1283" t="s">
        <v>725</v>
      </c>
      <c r="R1283" s="141">
        <v>0.42725000000000002</v>
      </c>
    </row>
    <row r="1284" spans="1:18" x14ac:dyDescent="0.3">
      <c r="A1284" t="s">
        <v>126</v>
      </c>
      <c r="B1284" t="s">
        <v>125</v>
      </c>
      <c r="C1284" t="s">
        <v>470</v>
      </c>
      <c r="D1284" t="s">
        <v>470</v>
      </c>
      <c r="E1284">
        <v>5916</v>
      </c>
      <c r="F1284" t="s">
        <v>124</v>
      </c>
      <c r="G1284">
        <v>1627</v>
      </c>
      <c r="H1284" t="s">
        <v>121</v>
      </c>
      <c r="I1284">
        <v>2021</v>
      </c>
      <c r="J1284">
        <v>2021</v>
      </c>
      <c r="K1284" t="s">
        <v>143</v>
      </c>
      <c r="L1284">
        <v>2991.7599999999998</v>
      </c>
      <c r="O1284">
        <v>639.11473000000001</v>
      </c>
      <c r="P1284">
        <v>6.3911472999999999E-4</v>
      </c>
      <c r="Q1284" t="s">
        <v>726</v>
      </c>
      <c r="R1284" s="141">
        <v>0.42725000000000002</v>
      </c>
    </row>
    <row r="1285" spans="1:18" x14ac:dyDescent="0.3">
      <c r="A1285" t="s">
        <v>126</v>
      </c>
      <c r="B1285" t="s">
        <v>125</v>
      </c>
      <c r="C1285" t="s">
        <v>470</v>
      </c>
      <c r="D1285" t="s">
        <v>470</v>
      </c>
      <c r="E1285">
        <v>5516</v>
      </c>
      <c r="F1285" t="s">
        <v>128</v>
      </c>
      <c r="G1285">
        <v>1628</v>
      </c>
      <c r="H1285" t="s">
        <v>120</v>
      </c>
      <c r="I1285">
        <v>2021</v>
      </c>
      <c r="J1285">
        <v>2021</v>
      </c>
      <c r="K1285" t="s">
        <v>143</v>
      </c>
      <c r="L1285">
        <v>224385072</v>
      </c>
      <c r="O1285">
        <v>179508057.60000002</v>
      </c>
      <c r="P1285">
        <v>179.50805760000003</v>
      </c>
      <c r="Q1285" t="s">
        <v>727</v>
      </c>
      <c r="R1285" s="141">
        <v>0.8</v>
      </c>
    </row>
    <row r="1286" spans="1:18" x14ac:dyDescent="0.3">
      <c r="A1286" t="s">
        <v>126</v>
      </c>
      <c r="B1286" t="s">
        <v>125</v>
      </c>
      <c r="C1286" t="s">
        <v>470</v>
      </c>
      <c r="D1286" t="s">
        <v>470</v>
      </c>
      <c r="E1286">
        <v>5616</v>
      </c>
      <c r="F1286" t="s">
        <v>127</v>
      </c>
      <c r="G1286">
        <v>1628</v>
      </c>
      <c r="H1286" t="s">
        <v>120</v>
      </c>
      <c r="I1286">
        <v>2021</v>
      </c>
      <c r="J1286">
        <v>2021</v>
      </c>
      <c r="K1286" t="s">
        <v>143</v>
      </c>
      <c r="L1286">
        <v>2398.34</v>
      </c>
      <c r="O1286">
        <v>959.33600000000013</v>
      </c>
      <c r="P1286">
        <v>9.5933600000000009E-4</v>
      </c>
      <c r="Q1286" t="s">
        <v>728</v>
      </c>
      <c r="R1286" s="141">
        <v>0.8</v>
      </c>
    </row>
    <row r="1287" spans="1:18" x14ac:dyDescent="0.3">
      <c r="A1287" t="s">
        <v>126</v>
      </c>
      <c r="B1287" t="s">
        <v>125</v>
      </c>
      <c r="C1287" t="s">
        <v>470</v>
      </c>
      <c r="D1287" t="s">
        <v>470</v>
      </c>
      <c r="E1287">
        <v>5916</v>
      </c>
      <c r="F1287" t="s">
        <v>124</v>
      </c>
      <c r="G1287">
        <v>1628</v>
      </c>
      <c r="H1287" t="s">
        <v>120</v>
      </c>
      <c r="I1287">
        <v>2021</v>
      </c>
      <c r="J1287">
        <v>2021</v>
      </c>
      <c r="K1287" t="s">
        <v>143</v>
      </c>
      <c r="L1287">
        <v>15420.33</v>
      </c>
      <c r="O1287">
        <v>6168.1320000000005</v>
      </c>
      <c r="P1287">
        <v>6.1681320000000006E-3</v>
      </c>
      <c r="Q1287" t="s">
        <v>729</v>
      </c>
      <c r="R1287" s="141">
        <v>0.8</v>
      </c>
    </row>
    <row r="1288" spans="1:18" x14ac:dyDescent="0.3">
      <c r="A1288" t="s">
        <v>126</v>
      </c>
      <c r="B1288" t="s">
        <v>125</v>
      </c>
      <c r="C1288" t="s">
        <v>470</v>
      </c>
      <c r="D1288" t="s">
        <v>470</v>
      </c>
      <c r="E1288">
        <v>5616</v>
      </c>
      <c r="F1288" t="s">
        <v>127</v>
      </c>
      <c r="G1288">
        <v>1629</v>
      </c>
      <c r="H1288" t="s">
        <v>160</v>
      </c>
      <c r="I1288">
        <v>2021</v>
      </c>
      <c r="J1288">
        <v>2021</v>
      </c>
      <c r="L1288">
        <v>0</v>
      </c>
    </row>
    <row r="1289" spans="1:18" x14ac:dyDescent="0.3">
      <c r="A1289" t="s">
        <v>126</v>
      </c>
      <c r="B1289" t="s">
        <v>125</v>
      </c>
      <c r="C1289" t="s">
        <v>470</v>
      </c>
      <c r="D1289" t="s">
        <v>470</v>
      </c>
      <c r="E1289">
        <v>5916</v>
      </c>
      <c r="F1289" t="s">
        <v>124</v>
      </c>
      <c r="G1289">
        <v>1629</v>
      </c>
      <c r="H1289" t="s">
        <v>160</v>
      </c>
      <c r="I1289">
        <v>2021</v>
      </c>
      <c r="J1289">
        <v>2021</v>
      </c>
      <c r="L1289">
        <v>0</v>
      </c>
    </row>
    <row r="1290" spans="1:18" x14ac:dyDescent="0.3">
      <c r="A1290" t="s">
        <v>126</v>
      </c>
      <c r="B1290" t="s">
        <v>125</v>
      </c>
      <c r="C1290" t="s">
        <v>470</v>
      </c>
      <c r="D1290" t="s">
        <v>470</v>
      </c>
      <c r="E1290">
        <v>5616</v>
      </c>
      <c r="F1290" t="s">
        <v>127</v>
      </c>
      <c r="G1290">
        <v>1651</v>
      </c>
      <c r="H1290" t="s">
        <v>159</v>
      </c>
      <c r="I1290">
        <v>2021</v>
      </c>
      <c r="J1290">
        <v>2021</v>
      </c>
      <c r="K1290" t="s">
        <v>143</v>
      </c>
      <c r="L1290">
        <v>3590414</v>
      </c>
      <c r="O1290">
        <v>745010.90499999991</v>
      </c>
      <c r="P1290">
        <v>0.74501090499999989</v>
      </c>
      <c r="Q1290" t="s">
        <v>730</v>
      </c>
      <c r="R1290" s="141">
        <v>0.41499999999999998</v>
      </c>
    </row>
    <row r="1291" spans="1:18" x14ac:dyDescent="0.3">
      <c r="A1291" t="s">
        <v>126</v>
      </c>
      <c r="B1291" t="s">
        <v>125</v>
      </c>
      <c r="C1291" t="s">
        <v>470</v>
      </c>
      <c r="D1291" t="s">
        <v>470</v>
      </c>
      <c r="E1291">
        <v>5916</v>
      </c>
      <c r="F1291" t="s">
        <v>124</v>
      </c>
      <c r="G1291">
        <v>1651</v>
      </c>
      <c r="H1291" t="s">
        <v>159</v>
      </c>
      <c r="I1291">
        <v>2021</v>
      </c>
      <c r="J1291">
        <v>2021</v>
      </c>
      <c r="K1291" t="s">
        <v>143</v>
      </c>
      <c r="L1291">
        <v>79985</v>
      </c>
      <c r="O1291">
        <v>16596.887500000001</v>
      </c>
      <c r="P1291">
        <v>1.6596887500000001E-2</v>
      </c>
      <c r="Q1291" t="s">
        <v>731</v>
      </c>
      <c r="R1291" s="141">
        <v>0.41499999999999998</v>
      </c>
    </row>
    <row r="1292" spans="1:18" x14ac:dyDescent="0.3">
      <c r="A1292" t="s">
        <v>126</v>
      </c>
      <c r="B1292" t="s">
        <v>125</v>
      </c>
      <c r="C1292" t="s">
        <v>470</v>
      </c>
      <c r="D1292" t="s">
        <v>470</v>
      </c>
      <c r="E1292">
        <v>5616</v>
      </c>
      <c r="F1292" t="s">
        <v>127</v>
      </c>
      <c r="G1292">
        <v>1657</v>
      </c>
      <c r="H1292" t="s">
        <v>158</v>
      </c>
      <c r="I1292">
        <v>2021</v>
      </c>
      <c r="J1292">
        <v>2021</v>
      </c>
      <c r="K1292" t="s">
        <v>143</v>
      </c>
      <c r="L1292">
        <v>1371853</v>
      </c>
      <c r="O1292">
        <v>379317.35450000002</v>
      </c>
      <c r="P1292">
        <v>0.37931735449999998</v>
      </c>
      <c r="Q1292" t="s">
        <v>732</v>
      </c>
      <c r="R1292" s="141">
        <v>0.55300000000000005</v>
      </c>
    </row>
    <row r="1293" spans="1:18" x14ac:dyDescent="0.3">
      <c r="A1293" t="s">
        <v>126</v>
      </c>
      <c r="B1293" t="s">
        <v>125</v>
      </c>
      <c r="C1293" t="s">
        <v>470</v>
      </c>
      <c r="D1293" t="s">
        <v>470</v>
      </c>
      <c r="E1293">
        <v>5916</v>
      </c>
      <c r="F1293" t="s">
        <v>124</v>
      </c>
      <c r="G1293">
        <v>1657</v>
      </c>
      <c r="H1293" t="s">
        <v>158</v>
      </c>
      <c r="I1293">
        <v>2021</v>
      </c>
      <c r="J1293">
        <v>2021</v>
      </c>
      <c r="K1293" t="s">
        <v>143</v>
      </c>
      <c r="L1293">
        <v>5439751</v>
      </c>
      <c r="O1293">
        <v>1504091.1515000002</v>
      </c>
      <c r="P1293">
        <v>1.5040911515000002</v>
      </c>
      <c r="Q1293" t="s">
        <v>733</v>
      </c>
      <c r="R1293" s="141">
        <v>0.55300000000000005</v>
      </c>
    </row>
    <row r="1294" spans="1:18" x14ac:dyDescent="0.3">
      <c r="A1294" t="s">
        <v>126</v>
      </c>
      <c r="B1294" t="s">
        <v>125</v>
      </c>
      <c r="C1294" t="s">
        <v>470</v>
      </c>
      <c r="D1294" t="s">
        <v>470</v>
      </c>
      <c r="E1294">
        <v>5616</v>
      </c>
      <c r="F1294" t="s">
        <v>127</v>
      </c>
      <c r="G1294">
        <v>1670</v>
      </c>
      <c r="H1294" t="s">
        <v>157</v>
      </c>
      <c r="I1294">
        <v>2021</v>
      </c>
      <c r="J1294">
        <v>2021</v>
      </c>
      <c r="K1294" t="s">
        <v>143</v>
      </c>
      <c r="L1294">
        <v>1563182</v>
      </c>
      <c r="O1294">
        <v>432219.82300000003</v>
      </c>
      <c r="P1294">
        <v>0.432219823</v>
      </c>
      <c r="Q1294" t="s">
        <v>734</v>
      </c>
      <c r="R1294" s="141">
        <v>0.55300000000000005</v>
      </c>
    </row>
    <row r="1295" spans="1:18" x14ac:dyDescent="0.3">
      <c r="A1295" t="s">
        <v>126</v>
      </c>
      <c r="B1295" t="s">
        <v>125</v>
      </c>
      <c r="C1295" t="s">
        <v>470</v>
      </c>
      <c r="D1295" t="s">
        <v>470</v>
      </c>
      <c r="E1295">
        <v>5916</v>
      </c>
      <c r="F1295" t="s">
        <v>124</v>
      </c>
      <c r="G1295">
        <v>1670</v>
      </c>
      <c r="H1295" t="s">
        <v>157</v>
      </c>
      <c r="I1295">
        <v>2021</v>
      </c>
      <c r="J1295">
        <v>2021</v>
      </c>
      <c r="K1295" t="s">
        <v>143</v>
      </c>
      <c r="L1295">
        <v>1313</v>
      </c>
      <c r="O1295">
        <v>363.04450000000003</v>
      </c>
      <c r="P1295">
        <v>3.6304450000000004E-4</v>
      </c>
      <c r="Q1295" t="s">
        <v>735</v>
      </c>
      <c r="R1295" s="141">
        <v>0.55300000000000005</v>
      </c>
    </row>
    <row r="1296" spans="1:18" x14ac:dyDescent="0.3">
      <c r="A1296" t="s">
        <v>126</v>
      </c>
      <c r="B1296" t="s">
        <v>125</v>
      </c>
      <c r="C1296" t="s">
        <v>470</v>
      </c>
      <c r="D1296" t="s">
        <v>470</v>
      </c>
      <c r="E1296">
        <v>5516</v>
      </c>
      <c r="F1296" t="s">
        <v>128</v>
      </c>
      <c r="G1296">
        <v>1601</v>
      </c>
      <c r="H1296" t="s">
        <v>119</v>
      </c>
      <c r="I1296">
        <v>2021</v>
      </c>
      <c r="J1296">
        <v>2021</v>
      </c>
      <c r="K1296" t="s">
        <v>143</v>
      </c>
      <c r="L1296">
        <v>5493240</v>
      </c>
      <c r="O1296">
        <v>2307160.7999999998</v>
      </c>
      <c r="P1296">
        <v>2.3071607999999997</v>
      </c>
      <c r="Q1296" t="s">
        <v>736</v>
      </c>
      <c r="R1296" s="141">
        <v>0.42</v>
      </c>
    </row>
    <row r="1297" spans="1:18" x14ac:dyDescent="0.3">
      <c r="A1297" t="s">
        <v>126</v>
      </c>
      <c r="B1297" t="s">
        <v>125</v>
      </c>
      <c r="C1297" t="s">
        <v>470</v>
      </c>
      <c r="D1297" t="s">
        <v>470</v>
      </c>
      <c r="E1297">
        <v>5616</v>
      </c>
      <c r="F1297" t="s">
        <v>127</v>
      </c>
      <c r="G1297">
        <v>1601</v>
      </c>
      <c r="H1297" t="s">
        <v>119</v>
      </c>
      <c r="I1297">
        <v>2021</v>
      </c>
      <c r="J1297">
        <v>2021</v>
      </c>
      <c r="L1297">
        <v>0</v>
      </c>
    </row>
    <row r="1298" spans="1:18" x14ac:dyDescent="0.3">
      <c r="A1298" t="s">
        <v>126</v>
      </c>
      <c r="B1298" t="s">
        <v>125</v>
      </c>
      <c r="C1298" t="s">
        <v>470</v>
      </c>
      <c r="D1298" t="s">
        <v>470</v>
      </c>
      <c r="E1298">
        <v>5916</v>
      </c>
      <c r="F1298" t="s">
        <v>124</v>
      </c>
      <c r="G1298">
        <v>1601</v>
      </c>
      <c r="H1298" t="s">
        <v>119</v>
      </c>
      <c r="I1298">
        <v>2021</v>
      </c>
      <c r="J1298">
        <v>2021</v>
      </c>
      <c r="L1298">
        <v>0</v>
      </c>
    </row>
    <row r="1299" spans="1:18" x14ac:dyDescent="0.3">
      <c r="A1299" t="s">
        <v>126</v>
      </c>
      <c r="B1299" t="s">
        <v>125</v>
      </c>
      <c r="C1299" t="s">
        <v>470</v>
      </c>
      <c r="D1299" t="s">
        <v>470</v>
      </c>
      <c r="E1299">
        <v>5516</v>
      </c>
      <c r="F1299" t="s">
        <v>128</v>
      </c>
      <c r="G1299">
        <v>1604</v>
      </c>
      <c r="H1299" t="s">
        <v>118</v>
      </c>
      <c r="I1299">
        <v>2021</v>
      </c>
      <c r="J1299">
        <v>2021</v>
      </c>
      <c r="K1299" t="s">
        <v>143</v>
      </c>
      <c r="L1299">
        <v>82158025</v>
      </c>
      <c r="O1299">
        <v>50362869.324999996</v>
      </c>
      <c r="P1299">
        <v>50.362869324999991</v>
      </c>
      <c r="Q1299" t="s">
        <v>737</v>
      </c>
      <c r="R1299" s="141">
        <v>0.61299999999999999</v>
      </c>
    </row>
    <row r="1300" spans="1:18" x14ac:dyDescent="0.3">
      <c r="A1300" t="s">
        <v>126</v>
      </c>
      <c r="B1300" t="s">
        <v>125</v>
      </c>
      <c r="C1300" t="s">
        <v>470</v>
      </c>
      <c r="D1300" t="s">
        <v>470</v>
      </c>
      <c r="E1300">
        <v>5616</v>
      </c>
      <c r="F1300" t="s">
        <v>127</v>
      </c>
      <c r="G1300">
        <v>1604</v>
      </c>
      <c r="H1300" t="s">
        <v>118</v>
      </c>
      <c r="I1300">
        <v>2021</v>
      </c>
      <c r="J1300">
        <v>2021</v>
      </c>
      <c r="L1300">
        <v>0</v>
      </c>
    </row>
    <row r="1301" spans="1:18" x14ac:dyDescent="0.3">
      <c r="A1301" t="s">
        <v>126</v>
      </c>
      <c r="B1301" t="s">
        <v>125</v>
      </c>
      <c r="C1301" t="s">
        <v>470</v>
      </c>
      <c r="D1301" t="s">
        <v>470</v>
      </c>
      <c r="E1301">
        <v>5916</v>
      </c>
      <c r="F1301" t="s">
        <v>124</v>
      </c>
      <c r="G1301">
        <v>1604</v>
      </c>
      <c r="H1301" t="s">
        <v>118</v>
      </c>
      <c r="I1301">
        <v>2021</v>
      </c>
      <c r="J1301">
        <v>2021</v>
      </c>
      <c r="L1301">
        <v>0</v>
      </c>
    </row>
    <row r="1302" spans="1:18" x14ac:dyDescent="0.3">
      <c r="A1302" t="s">
        <v>126</v>
      </c>
      <c r="B1302" t="s">
        <v>125</v>
      </c>
      <c r="C1302" t="s">
        <v>470</v>
      </c>
      <c r="D1302" t="s">
        <v>470</v>
      </c>
      <c r="E1302">
        <v>5516</v>
      </c>
      <c r="F1302" t="s">
        <v>128</v>
      </c>
      <c r="G1302">
        <v>1602</v>
      </c>
      <c r="H1302" t="s">
        <v>156</v>
      </c>
      <c r="I1302">
        <v>2021</v>
      </c>
      <c r="J1302">
        <v>2021</v>
      </c>
      <c r="K1302" t="s">
        <v>143</v>
      </c>
      <c r="L1302">
        <v>1675000</v>
      </c>
      <c r="O1302">
        <v>686750</v>
      </c>
      <c r="P1302">
        <v>0.68674999999999997</v>
      </c>
      <c r="Q1302" t="s">
        <v>738</v>
      </c>
      <c r="R1302" s="141">
        <v>0.41</v>
      </c>
    </row>
    <row r="1303" spans="1:18" x14ac:dyDescent="0.3">
      <c r="A1303" t="s">
        <v>126</v>
      </c>
      <c r="B1303" t="s">
        <v>125</v>
      </c>
      <c r="C1303" t="s">
        <v>470</v>
      </c>
      <c r="D1303" t="s">
        <v>470</v>
      </c>
      <c r="E1303">
        <v>5516</v>
      </c>
      <c r="F1303" t="s">
        <v>128</v>
      </c>
      <c r="G1303">
        <v>1603</v>
      </c>
      <c r="H1303" t="s">
        <v>155</v>
      </c>
      <c r="I1303">
        <v>2021</v>
      </c>
      <c r="J1303">
        <v>2021</v>
      </c>
      <c r="K1303" t="s">
        <v>143</v>
      </c>
      <c r="L1303">
        <v>76059101</v>
      </c>
      <c r="O1303">
        <v>37497136.792999998</v>
      </c>
      <c r="P1303">
        <v>37.497136792999996</v>
      </c>
      <c r="Q1303" t="s">
        <v>739</v>
      </c>
      <c r="R1303" s="141">
        <v>0.49299999999999999</v>
      </c>
    </row>
    <row r="1304" spans="1:18" x14ac:dyDescent="0.3">
      <c r="A1304" t="s">
        <v>126</v>
      </c>
      <c r="B1304" t="s">
        <v>125</v>
      </c>
      <c r="C1304" t="s">
        <v>470</v>
      </c>
      <c r="D1304" t="s">
        <v>470</v>
      </c>
      <c r="E1304">
        <v>5516</v>
      </c>
      <c r="F1304" t="s">
        <v>128</v>
      </c>
      <c r="G1304">
        <v>1614</v>
      </c>
      <c r="H1304" t="s">
        <v>154</v>
      </c>
      <c r="I1304">
        <v>2021</v>
      </c>
      <c r="J1304">
        <v>2021</v>
      </c>
      <c r="L1304">
        <v>0</v>
      </c>
    </row>
    <row r="1305" spans="1:18" x14ac:dyDescent="0.3">
      <c r="A1305" t="s">
        <v>126</v>
      </c>
      <c r="B1305" t="s">
        <v>125</v>
      </c>
      <c r="C1305" t="s">
        <v>470</v>
      </c>
      <c r="D1305" t="s">
        <v>470</v>
      </c>
      <c r="E1305">
        <v>5616</v>
      </c>
      <c r="F1305" t="s">
        <v>127</v>
      </c>
      <c r="G1305">
        <v>1614</v>
      </c>
      <c r="H1305" t="s">
        <v>154</v>
      </c>
      <c r="I1305">
        <v>2021</v>
      </c>
      <c r="J1305">
        <v>2021</v>
      </c>
      <c r="L1305">
        <v>0</v>
      </c>
    </row>
    <row r="1306" spans="1:18" x14ac:dyDescent="0.3">
      <c r="A1306" t="s">
        <v>126</v>
      </c>
      <c r="B1306" t="s">
        <v>125</v>
      </c>
      <c r="C1306" t="s">
        <v>470</v>
      </c>
      <c r="D1306" t="s">
        <v>470</v>
      </c>
      <c r="E1306">
        <v>5916</v>
      </c>
      <c r="F1306" t="s">
        <v>124</v>
      </c>
      <c r="G1306">
        <v>1614</v>
      </c>
      <c r="H1306" t="s">
        <v>154</v>
      </c>
      <c r="I1306">
        <v>2021</v>
      </c>
      <c r="J1306">
        <v>2021</v>
      </c>
      <c r="L1306">
        <v>0</v>
      </c>
    </row>
    <row r="1307" spans="1:18" x14ac:dyDescent="0.3">
      <c r="A1307" t="s">
        <v>126</v>
      </c>
      <c r="B1307" t="s">
        <v>125</v>
      </c>
      <c r="C1307" t="s">
        <v>470</v>
      </c>
      <c r="D1307" t="s">
        <v>470</v>
      </c>
      <c r="E1307">
        <v>5516</v>
      </c>
      <c r="F1307" t="s">
        <v>128</v>
      </c>
      <c r="G1307">
        <v>1608</v>
      </c>
      <c r="H1307" t="s">
        <v>153</v>
      </c>
      <c r="I1307">
        <v>2021</v>
      </c>
      <c r="J1307">
        <v>2021</v>
      </c>
      <c r="L1307">
        <v>0</v>
      </c>
    </row>
    <row r="1308" spans="1:18" x14ac:dyDescent="0.3">
      <c r="A1308" t="s">
        <v>126</v>
      </c>
      <c r="B1308" t="s">
        <v>125</v>
      </c>
      <c r="C1308" t="s">
        <v>470</v>
      </c>
      <c r="D1308" t="s">
        <v>470</v>
      </c>
      <c r="E1308">
        <v>5516</v>
      </c>
      <c r="F1308" t="s">
        <v>128</v>
      </c>
      <c r="G1308">
        <v>1611</v>
      </c>
      <c r="H1308" t="s">
        <v>152</v>
      </c>
      <c r="I1308">
        <v>2021</v>
      </c>
      <c r="J1308">
        <v>2021</v>
      </c>
      <c r="L1308">
        <v>0</v>
      </c>
    </row>
    <row r="1309" spans="1:18" x14ac:dyDescent="0.3">
      <c r="A1309" t="s">
        <v>126</v>
      </c>
      <c r="B1309" t="s">
        <v>125</v>
      </c>
      <c r="C1309" t="s">
        <v>470</v>
      </c>
      <c r="D1309" t="s">
        <v>470</v>
      </c>
      <c r="E1309">
        <v>5516</v>
      </c>
      <c r="F1309" t="s">
        <v>128</v>
      </c>
      <c r="G1309">
        <v>1623</v>
      </c>
      <c r="H1309" t="s">
        <v>151</v>
      </c>
      <c r="I1309">
        <v>2021</v>
      </c>
      <c r="J1309">
        <v>2021</v>
      </c>
      <c r="K1309" t="s">
        <v>143</v>
      </c>
      <c r="L1309">
        <v>1480000</v>
      </c>
      <c r="O1309">
        <v>614200</v>
      </c>
      <c r="P1309">
        <v>0.61419999999999997</v>
      </c>
      <c r="Q1309" t="s">
        <v>740</v>
      </c>
      <c r="R1309" s="141">
        <v>0.41499999999999998</v>
      </c>
    </row>
    <row r="1310" spans="1:18" x14ac:dyDescent="0.3">
      <c r="A1310" t="s">
        <v>126</v>
      </c>
      <c r="B1310" t="s">
        <v>125</v>
      </c>
      <c r="C1310" t="s">
        <v>470</v>
      </c>
      <c r="D1310" t="s">
        <v>470</v>
      </c>
      <c r="E1310">
        <v>5516</v>
      </c>
      <c r="F1310" t="s">
        <v>128</v>
      </c>
      <c r="G1310">
        <v>1626</v>
      </c>
      <c r="H1310" t="s">
        <v>150</v>
      </c>
      <c r="I1310">
        <v>2021</v>
      </c>
      <c r="J1310">
        <v>2021</v>
      </c>
      <c r="K1310" t="s">
        <v>143</v>
      </c>
      <c r="L1310">
        <v>20643420</v>
      </c>
      <c r="O1310">
        <v>11415811.260000002</v>
      </c>
      <c r="P1310">
        <v>11.415811260000002</v>
      </c>
      <c r="Q1310" t="s">
        <v>741</v>
      </c>
      <c r="R1310" s="141">
        <v>0.55300000000000005</v>
      </c>
    </row>
    <row r="1311" spans="1:18" x14ac:dyDescent="0.3">
      <c r="A1311" t="s">
        <v>126</v>
      </c>
      <c r="B1311" t="s">
        <v>125</v>
      </c>
      <c r="C1311" t="s">
        <v>470</v>
      </c>
      <c r="D1311" t="s">
        <v>470</v>
      </c>
      <c r="E1311">
        <v>5616</v>
      </c>
      <c r="F1311" t="s">
        <v>127</v>
      </c>
      <c r="G1311">
        <v>1625</v>
      </c>
      <c r="H1311" t="s">
        <v>149</v>
      </c>
      <c r="I1311">
        <v>2021</v>
      </c>
      <c r="J1311">
        <v>2021</v>
      </c>
      <c r="L1311">
        <v>0</v>
      </c>
    </row>
    <row r="1312" spans="1:18" x14ac:dyDescent="0.3">
      <c r="A1312" t="s">
        <v>126</v>
      </c>
      <c r="B1312" t="s">
        <v>125</v>
      </c>
      <c r="C1312" t="s">
        <v>470</v>
      </c>
      <c r="D1312" t="s">
        <v>470</v>
      </c>
      <c r="E1312">
        <v>5916</v>
      </c>
      <c r="F1312" t="s">
        <v>124</v>
      </c>
      <c r="G1312">
        <v>1625</v>
      </c>
      <c r="H1312" t="s">
        <v>149</v>
      </c>
      <c r="I1312">
        <v>2021</v>
      </c>
      <c r="J1312">
        <v>2021</v>
      </c>
      <c r="L1312">
        <v>0</v>
      </c>
    </row>
    <row r="1313" spans="1:18" x14ac:dyDescent="0.3">
      <c r="A1313" t="s">
        <v>126</v>
      </c>
      <c r="B1313" t="s">
        <v>125</v>
      </c>
      <c r="C1313" t="s">
        <v>470</v>
      </c>
      <c r="D1313" t="s">
        <v>470</v>
      </c>
      <c r="E1313">
        <v>5510</v>
      </c>
      <c r="F1313" t="s">
        <v>128</v>
      </c>
      <c r="G1313">
        <v>1630</v>
      </c>
      <c r="H1313" t="s">
        <v>117</v>
      </c>
      <c r="I1313">
        <v>2021</v>
      </c>
      <c r="J1313">
        <v>2021</v>
      </c>
      <c r="K1313" t="s">
        <v>339</v>
      </c>
      <c r="L1313">
        <v>4372936</v>
      </c>
      <c r="O1313">
        <v>4219883.24</v>
      </c>
      <c r="P1313">
        <v>4.2198832399999997</v>
      </c>
      <c r="Q1313" t="s">
        <v>742</v>
      </c>
      <c r="R1313" s="141">
        <v>0.96499999999999997</v>
      </c>
    </row>
    <row r="1314" spans="1:18" x14ac:dyDescent="0.3">
      <c r="A1314" t="s">
        <v>126</v>
      </c>
      <c r="B1314" t="s">
        <v>125</v>
      </c>
      <c r="C1314" t="s">
        <v>470</v>
      </c>
      <c r="D1314" t="s">
        <v>470</v>
      </c>
      <c r="E1314">
        <v>5510</v>
      </c>
      <c r="F1314" t="s">
        <v>128</v>
      </c>
      <c r="G1314">
        <v>1694</v>
      </c>
      <c r="H1314" t="s">
        <v>348</v>
      </c>
      <c r="I1314">
        <v>2021</v>
      </c>
      <c r="J1314">
        <v>2021</v>
      </c>
      <c r="K1314" t="s">
        <v>339</v>
      </c>
      <c r="L1314">
        <v>355276</v>
      </c>
      <c r="O1314">
        <v>328630.3</v>
      </c>
      <c r="P1314">
        <v>0.32863029999999999</v>
      </c>
      <c r="Q1314" t="s">
        <v>743</v>
      </c>
      <c r="R1314" s="141">
        <v>0.92500000000000004</v>
      </c>
    </row>
    <row r="1315" spans="1:18" x14ac:dyDescent="0.3">
      <c r="A1315" t="s">
        <v>126</v>
      </c>
      <c r="B1315" t="s">
        <v>125</v>
      </c>
      <c r="C1315" t="s">
        <v>470</v>
      </c>
      <c r="D1315" t="s">
        <v>470</v>
      </c>
      <c r="E1315">
        <v>5610</v>
      </c>
      <c r="F1315" t="s">
        <v>127</v>
      </c>
      <c r="G1315">
        <v>1630</v>
      </c>
      <c r="H1315" t="s">
        <v>117</v>
      </c>
      <c r="I1315">
        <v>2021</v>
      </c>
      <c r="J1315">
        <v>2021</v>
      </c>
      <c r="K1315" t="s">
        <v>339</v>
      </c>
      <c r="L1315">
        <v>372950.48</v>
      </c>
      <c r="O1315">
        <v>179948.6066</v>
      </c>
      <c r="P1315">
        <v>0.17994860659999998</v>
      </c>
      <c r="Q1315" t="s">
        <v>744</v>
      </c>
      <c r="R1315" s="141">
        <v>0.96499999999999997</v>
      </c>
    </row>
    <row r="1316" spans="1:18" x14ac:dyDescent="0.3">
      <c r="A1316" t="s">
        <v>126</v>
      </c>
      <c r="B1316" t="s">
        <v>125</v>
      </c>
      <c r="C1316" t="s">
        <v>470</v>
      </c>
      <c r="D1316" t="s">
        <v>470</v>
      </c>
      <c r="E1316">
        <v>5610</v>
      </c>
      <c r="F1316" t="s">
        <v>127</v>
      </c>
      <c r="G1316">
        <v>1694</v>
      </c>
      <c r="H1316" t="s">
        <v>348</v>
      </c>
      <c r="I1316">
        <v>2021</v>
      </c>
      <c r="J1316">
        <v>2021</v>
      </c>
      <c r="K1316" t="s">
        <v>339</v>
      </c>
      <c r="L1316">
        <v>280820.96999999997</v>
      </c>
      <c r="O1316">
        <v>129879.69862499999</v>
      </c>
      <c r="P1316">
        <v>0.12987969862499998</v>
      </c>
      <c r="Q1316" t="s">
        <v>745</v>
      </c>
      <c r="R1316" s="141">
        <v>0.92500000000000004</v>
      </c>
    </row>
    <row r="1317" spans="1:18" x14ac:dyDescent="0.3">
      <c r="A1317" t="s">
        <v>126</v>
      </c>
      <c r="B1317" t="s">
        <v>125</v>
      </c>
      <c r="C1317" t="s">
        <v>470</v>
      </c>
      <c r="D1317" t="s">
        <v>470</v>
      </c>
      <c r="E1317">
        <v>5910</v>
      </c>
      <c r="F1317" t="s">
        <v>124</v>
      </c>
      <c r="G1317">
        <v>1630</v>
      </c>
      <c r="H1317" t="s">
        <v>117</v>
      </c>
      <c r="I1317">
        <v>2021</v>
      </c>
      <c r="J1317">
        <v>2021</v>
      </c>
      <c r="K1317" t="s">
        <v>339</v>
      </c>
      <c r="L1317">
        <v>985417.31</v>
      </c>
      <c r="O1317">
        <v>475463.852075</v>
      </c>
      <c r="P1317">
        <v>0.47546385207499997</v>
      </c>
      <c r="Q1317" t="s">
        <v>746</v>
      </c>
      <c r="R1317" s="141">
        <v>0.96499999999999997</v>
      </c>
    </row>
    <row r="1318" spans="1:18" x14ac:dyDescent="0.3">
      <c r="A1318" t="s">
        <v>126</v>
      </c>
      <c r="B1318" t="s">
        <v>125</v>
      </c>
      <c r="C1318" t="s">
        <v>470</v>
      </c>
      <c r="D1318" t="s">
        <v>470</v>
      </c>
      <c r="E1318">
        <v>5910</v>
      </c>
      <c r="F1318" t="s">
        <v>124</v>
      </c>
      <c r="G1318">
        <v>1694</v>
      </c>
      <c r="H1318" t="s">
        <v>348</v>
      </c>
      <c r="I1318">
        <v>2021</v>
      </c>
      <c r="J1318">
        <v>2021</v>
      </c>
      <c r="K1318" t="s">
        <v>339</v>
      </c>
      <c r="L1318">
        <v>232606.31</v>
      </c>
      <c r="O1318">
        <v>107580.41837500001</v>
      </c>
      <c r="P1318">
        <v>0.107580418375</v>
      </c>
      <c r="Q1318" t="s">
        <v>747</v>
      </c>
      <c r="R1318" s="141">
        <v>0.92500000000000004</v>
      </c>
    </row>
    <row r="1319" spans="1:18" x14ac:dyDescent="0.3">
      <c r="A1319" t="s">
        <v>126</v>
      </c>
      <c r="B1319" t="s">
        <v>125</v>
      </c>
      <c r="C1319" t="s">
        <v>470</v>
      </c>
      <c r="D1319" t="s">
        <v>470</v>
      </c>
      <c r="E1319">
        <v>5516</v>
      </c>
      <c r="F1319" t="s">
        <v>128</v>
      </c>
      <c r="G1319">
        <v>1619</v>
      </c>
      <c r="H1319" t="s">
        <v>92</v>
      </c>
      <c r="I1319">
        <v>2021</v>
      </c>
      <c r="J1319">
        <v>2021</v>
      </c>
      <c r="K1319" t="s">
        <v>143</v>
      </c>
      <c r="L1319">
        <v>20694491</v>
      </c>
      <c r="O1319">
        <v>8516251.4403292164</v>
      </c>
      <c r="P1319">
        <v>8.5162514403292153</v>
      </c>
      <c r="Q1319" t="s">
        <v>748</v>
      </c>
      <c r="R1319" s="141">
        <v>0.41152263374485593</v>
      </c>
    </row>
    <row r="1320" spans="1:18" x14ac:dyDescent="0.3">
      <c r="A1320" t="s">
        <v>126</v>
      </c>
      <c r="B1320" t="s">
        <v>125</v>
      </c>
      <c r="C1320" t="s">
        <v>470</v>
      </c>
      <c r="D1320" t="s">
        <v>470</v>
      </c>
      <c r="E1320">
        <v>5616</v>
      </c>
      <c r="F1320" t="s">
        <v>127</v>
      </c>
      <c r="G1320">
        <v>1619</v>
      </c>
      <c r="H1320" t="s">
        <v>92</v>
      </c>
      <c r="I1320">
        <v>2021</v>
      </c>
      <c r="J1320">
        <v>2021</v>
      </c>
      <c r="K1320" t="s">
        <v>143</v>
      </c>
      <c r="L1320">
        <v>1220297.0700000003</v>
      </c>
      <c r="O1320">
        <v>251089.93209876548</v>
      </c>
      <c r="P1320">
        <v>0.25108993209876546</v>
      </c>
      <c r="Q1320" t="s">
        <v>749</v>
      </c>
      <c r="R1320" s="141">
        <v>0.41152263374485593</v>
      </c>
    </row>
    <row r="1321" spans="1:18" x14ac:dyDescent="0.3">
      <c r="A1321" t="s">
        <v>126</v>
      </c>
      <c r="B1321" t="s">
        <v>125</v>
      </c>
      <c r="C1321" t="s">
        <v>470</v>
      </c>
      <c r="D1321" t="s">
        <v>470</v>
      </c>
      <c r="E1321">
        <v>5916</v>
      </c>
      <c r="F1321" t="s">
        <v>124</v>
      </c>
      <c r="G1321">
        <v>1619</v>
      </c>
      <c r="H1321" t="s">
        <v>92</v>
      </c>
      <c r="I1321">
        <v>2021</v>
      </c>
      <c r="J1321">
        <v>2021</v>
      </c>
      <c r="K1321" t="s">
        <v>143</v>
      </c>
      <c r="L1321">
        <v>30398151.469999999</v>
      </c>
      <c r="O1321">
        <v>6254763.6769547313</v>
      </c>
      <c r="P1321">
        <v>6.254763676954731</v>
      </c>
      <c r="Q1321" t="s">
        <v>750</v>
      </c>
      <c r="R1321" s="141">
        <v>0.41152263374485593</v>
      </c>
    </row>
    <row r="1322" spans="1:18" x14ac:dyDescent="0.3">
      <c r="A1322" t="s">
        <v>126</v>
      </c>
      <c r="B1322" t="s">
        <v>125</v>
      </c>
      <c r="C1322" t="s">
        <v>470</v>
      </c>
      <c r="D1322" t="s">
        <v>470</v>
      </c>
      <c r="E1322">
        <v>5516</v>
      </c>
      <c r="F1322" t="s">
        <v>128</v>
      </c>
      <c r="G1322">
        <v>1620</v>
      </c>
      <c r="H1322" t="s">
        <v>115</v>
      </c>
      <c r="I1322">
        <v>2021</v>
      </c>
      <c r="J1322">
        <v>2021</v>
      </c>
      <c r="K1322" t="s">
        <v>143</v>
      </c>
      <c r="L1322">
        <v>8600300</v>
      </c>
      <c r="O1322">
        <v>3531950.7186858314</v>
      </c>
      <c r="P1322">
        <v>3.5319507186858314</v>
      </c>
      <c r="Q1322" t="s">
        <v>751</v>
      </c>
      <c r="R1322" s="141">
        <v>0.41067761806981518</v>
      </c>
    </row>
    <row r="1323" spans="1:18" x14ac:dyDescent="0.3">
      <c r="A1323" t="s">
        <v>126</v>
      </c>
      <c r="B1323" t="s">
        <v>125</v>
      </c>
      <c r="C1323" t="s">
        <v>470</v>
      </c>
      <c r="D1323" t="s">
        <v>470</v>
      </c>
      <c r="E1323">
        <v>5616</v>
      </c>
      <c r="F1323" t="s">
        <v>127</v>
      </c>
      <c r="G1323">
        <v>1620</v>
      </c>
      <c r="H1323" t="s">
        <v>115</v>
      </c>
      <c r="I1323">
        <v>2021</v>
      </c>
      <c r="J1323">
        <v>2021</v>
      </c>
      <c r="K1323" t="s">
        <v>143</v>
      </c>
      <c r="L1323">
        <v>77217.13</v>
      </c>
      <c r="O1323">
        <v>15855.673511293635</v>
      </c>
      <c r="P1323">
        <v>1.5855673511293633E-2</v>
      </c>
      <c r="Q1323" t="s">
        <v>752</v>
      </c>
      <c r="R1323" s="141">
        <v>0.41067761806981518</v>
      </c>
    </row>
    <row r="1324" spans="1:18" x14ac:dyDescent="0.3">
      <c r="A1324" t="s">
        <v>126</v>
      </c>
      <c r="B1324" t="s">
        <v>125</v>
      </c>
      <c r="C1324" t="s">
        <v>470</v>
      </c>
      <c r="D1324" t="s">
        <v>470</v>
      </c>
      <c r="E1324">
        <v>5916</v>
      </c>
      <c r="F1324" t="s">
        <v>124</v>
      </c>
      <c r="G1324">
        <v>1620</v>
      </c>
      <c r="H1324" t="s">
        <v>115</v>
      </c>
      <c r="I1324">
        <v>2021</v>
      </c>
      <c r="J1324">
        <v>2021</v>
      </c>
      <c r="K1324" t="s">
        <v>143</v>
      </c>
      <c r="L1324">
        <v>70074.75</v>
      </c>
      <c r="O1324">
        <v>14389.06570841889</v>
      </c>
      <c r="P1324">
        <v>1.4389065708418889E-2</v>
      </c>
      <c r="Q1324" t="s">
        <v>753</v>
      </c>
      <c r="R1324" s="141">
        <v>0.41067761806981518</v>
      </c>
    </row>
    <row r="1325" spans="1:18" x14ac:dyDescent="0.3">
      <c r="A1325" t="s">
        <v>126</v>
      </c>
      <c r="B1325" t="s">
        <v>125</v>
      </c>
      <c r="C1325" t="s">
        <v>470</v>
      </c>
      <c r="D1325" t="s">
        <v>470</v>
      </c>
      <c r="E1325">
        <v>5510</v>
      </c>
      <c r="F1325" t="s">
        <v>128</v>
      </c>
      <c r="G1325">
        <v>1600</v>
      </c>
      <c r="H1325" t="s">
        <v>148</v>
      </c>
      <c r="I1325">
        <v>2021</v>
      </c>
      <c r="J1325">
        <v>2021</v>
      </c>
      <c r="L1325">
        <v>1687000</v>
      </c>
      <c r="O1325">
        <v>1307425</v>
      </c>
      <c r="P1325">
        <v>1.3074249999999998</v>
      </c>
      <c r="Q1325" t="s">
        <v>754</v>
      </c>
      <c r="R1325" s="141">
        <v>0.77500000000000002</v>
      </c>
    </row>
    <row r="1326" spans="1:18" x14ac:dyDescent="0.3">
      <c r="A1326" t="s">
        <v>126</v>
      </c>
      <c r="B1326" t="s">
        <v>125</v>
      </c>
      <c r="C1326" t="s">
        <v>470</v>
      </c>
      <c r="D1326" t="s">
        <v>470</v>
      </c>
      <c r="E1326">
        <v>5610</v>
      </c>
      <c r="F1326" t="s">
        <v>127</v>
      </c>
      <c r="G1326">
        <v>1600</v>
      </c>
      <c r="H1326" t="s">
        <v>148</v>
      </c>
      <c r="I1326">
        <v>2021</v>
      </c>
      <c r="J1326">
        <v>2021</v>
      </c>
      <c r="K1326" t="s">
        <v>339</v>
      </c>
      <c r="L1326">
        <v>0</v>
      </c>
      <c r="O1326">
        <v>0</v>
      </c>
      <c r="P1326">
        <v>0</v>
      </c>
      <c r="Q1326" t="s">
        <v>755</v>
      </c>
      <c r="R1326" s="141">
        <v>0.77500000000000002</v>
      </c>
    </row>
    <row r="1327" spans="1:18" x14ac:dyDescent="0.3">
      <c r="A1327" t="s">
        <v>126</v>
      </c>
      <c r="B1327" t="s">
        <v>125</v>
      </c>
      <c r="C1327" t="s">
        <v>470</v>
      </c>
      <c r="D1327" t="s">
        <v>470</v>
      </c>
      <c r="E1327">
        <v>5910</v>
      </c>
      <c r="F1327" t="s">
        <v>124</v>
      </c>
      <c r="G1327">
        <v>1600</v>
      </c>
      <c r="H1327" t="s">
        <v>148</v>
      </c>
      <c r="I1327">
        <v>2021</v>
      </c>
      <c r="J1327">
        <v>2021</v>
      </c>
      <c r="L1327">
        <v>0</v>
      </c>
      <c r="O1327">
        <v>0</v>
      </c>
      <c r="P1327">
        <v>0</v>
      </c>
      <c r="Q1327" t="s">
        <v>756</v>
      </c>
      <c r="R1327" s="141">
        <v>0.77500000000000002</v>
      </c>
    </row>
    <row r="1328" spans="1:18" x14ac:dyDescent="0.3">
      <c r="A1328" t="s">
        <v>126</v>
      </c>
      <c r="B1328" t="s">
        <v>125</v>
      </c>
      <c r="C1328" t="s">
        <v>470</v>
      </c>
      <c r="D1328" t="s">
        <v>470</v>
      </c>
      <c r="E1328">
        <v>5510</v>
      </c>
      <c r="F1328" t="s">
        <v>128</v>
      </c>
      <c r="G1328">
        <v>1693</v>
      </c>
      <c r="H1328" t="s">
        <v>114</v>
      </c>
      <c r="I1328">
        <v>2021</v>
      </c>
      <c r="J1328">
        <v>2021</v>
      </c>
      <c r="K1328" t="s">
        <v>339</v>
      </c>
      <c r="L1328">
        <v>4932200</v>
      </c>
      <c r="O1328">
        <v>4562285</v>
      </c>
      <c r="P1328">
        <v>4.5622850000000001</v>
      </c>
      <c r="Q1328" t="s">
        <v>757</v>
      </c>
      <c r="R1328" s="141">
        <v>0.92500000000000004</v>
      </c>
    </row>
    <row r="1329" spans="1:18" x14ac:dyDescent="0.3">
      <c r="A1329" t="s">
        <v>126</v>
      </c>
      <c r="B1329" t="s">
        <v>125</v>
      </c>
      <c r="C1329" t="s">
        <v>470</v>
      </c>
      <c r="D1329" t="s">
        <v>470</v>
      </c>
      <c r="E1329">
        <v>5610</v>
      </c>
      <c r="F1329" t="s">
        <v>127</v>
      </c>
      <c r="G1329">
        <v>1693</v>
      </c>
      <c r="H1329" t="s">
        <v>114</v>
      </c>
      <c r="I1329">
        <v>2021</v>
      </c>
      <c r="J1329">
        <v>2021</v>
      </c>
      <c r="K1329" t="s">
        <v>339</v>
      </c>
      <c r="L1329">
        <v>3387005.17</v>
      </c>
      <c r="O1329">
        <v>1566489.8911250001</v>
      </c>
      <c r="P1329">
        <v>1.566489891125</v>
      </c>
      <c r="Q1329" t="s">
        <v>758</v>
      </c>
      <c r="R1329" s="141">
        <v>0.92500000000000004</v>
      </c>
    </row>
    <row r="1330" spans="1:18" x14ac:dyDescent="0.3">
      <c r="A1330" t="s">
        <v>126</v>
      </c>
      <c r="B1330" t="s">
        <v>125</v>
      </c>
      <c r="C1330" t="s">
        <v>470</v>
      </c>
      <c r="D1330" t="s">
        <v>470</v>
      </c>
      <c r="E1330">
        <v>5910</v>
      </c>
      <c r="F1330" t="s">
        <v>124</v>
      </c>
      <c r="G1330">
        <v>1693</v>
      </c>
      <c r="H1330" t="s">
        <v>114</v>
      </c>
      <c r="I1330">
        <v>2021</v>
      </c>
      <c r="J1330">
        <v>2021</v>
      </c>
      <c r="K1330" t="s">
        <v>339</v>
      </c>
      <c r="L1330">
        <v>4464617.5599999996</v>
      </c>
      <c r="O1330">
        <v>2064885.6214999999</v>
      </c>
      <c r="P1330">
        <v>2.0648856214999998</v>
      </c>
      <c r="Q1330" t="s">
        <v>759</v>
      </c>
      <c r="R1330" s="141">
        <v>0.92500000000000004</v>
      </c>
    </row>
    <row r="1331" spans="1:18" x14ac:dyDescent="0.3">
      <c r="A1331" t="s">
        <v>126</v>
      </c>
      <c r="B1331" t="s">
        <v>125</v>
      </c>
      <c r="C1331" t="s">
        <v>470</v>
      </c>
      <c r="D1331" t="s">
        <v>470</v>
      </c>
      <c r="E1331">
        <v>5516</v>
      </c>
      <c r="F1331" t="s">
        <v>128</v>
      </c>
      <c r="G1331">
        <v>1632</v>
      </c>
      <c r="H1331" t="s">
        <v>110</v>
      </c>
      <c r="I1331">
        <v>2021</v>
      </c>
      <c r="J1331">
        <v>2021</v>
      </c>
      <c r="K1331" t="s">
        <v>143</v>
      </c>
      <c r="L1331">
        <v>2940733</v>
      </c>
      <c r="O1331">
        <v>1430666.6045000001</v>
      </c>
      <c r="P1331">
        <v>1.4306666045</v>
      </c>
      <c r="Q1331" t="s">
        <v>760</v>
      </c>
      <c r="R1331" s="141">
        <v>0.48650000000000004</v>
      </c>
    </row>
    <row r="1332" spans="1:18" x14ac:dyDescent="0.3">
      <c r="A1332" t="s">
        <v>126</v>
      </c>
      <c r="B1332" t="s">
        <v>125</v>
      </c>
      <c r="C1332" t="s">
        <v>470</v>
      </c>
      <c r="D1332" t="s">
        <v>470</v>
      </c>
      <c r="E1332">
        <v>5616</v>
      </c>
      <c r="F1332" t="s">
        <v>127</v>
      </c>
      <c r="G1332">
        <v>1632</v>
      </c>
      <c r="H1332" t="s">
        <v>110</v>
      </c>
      <c r="I1332">
        <v>2021</v>
      </c>
      <c r="J1332">
        <v>2021</v>
      </c>
      <c r="K1332" t="s">
        <v>143</v>
      </c>
      <c r="L1332">
        <v>5066897</v>
      </c>
      <c r="O1332">
        <v>1232522.6952500001</v>
      </c>
      <c r="P1332">
        <v>1.2325226952500001</v>
      </c>
      <c r="Q1332" t="s">
        <v>761</v>
      </c>
      <c r="R1332" s="141">
        <v>0.48650000000000004</v>
      </c>
    </row>
    <row r="1333" spans="1:18" x14ac:dyDescent="0.3">
      <c r="A1333" t="s">
        <v>126</v>
      </c>
      <c r="B1333" t="s">
        <v>125</v>
      </c>
      <c r="C1333" t="s">
        <v>470</v>
      </c>
      <c r="D1333" t="s">
        <v>470</v>
      </c>
      <c r="E1333">
        <v>5916</v>
      </c>
      <c r="F1333" t="s">
        <v>124</v>
      </c>
      <c r="G1333">
        <v>1632</v>
      </c>
      <c r="H1333" t="s">
        <v>110</v>
      </c>
      <c r="I1333">
        <v>2021</v>
      </c>
      <c r="J1333">
        <v>2021</v>
      </c>
      <c r="K1333" t="s">
        <v>143</v>
      </c>
      <c r="L1333">
        <v>72601</v>
      </c>
      <c r="O1333">
        <v>17660.19325</v>
      </c>
      <c r="P1333">
        <v>1.7660193250000001E-2</v>
      </c>
      <c r="Q1333" t="s">
        <v>762</v>
      </c>
      <c r="R1333" s="141">
        <v>0.48650000000000004</v>
      </c>
    </row>
    <row r="1334" spans="1:18" x14ac:dyDescent="0.3">
      <c r="A1334" t="s">
        <v>126</v>
      </c>
      <c r="B1334" t="s">
        <v>125</v>
      </c>
      <c r="C1334" t="s">
        <v>470</v>
      </c>
      <c r="D1334" t="s">
        <v>470</v>
      </c>
      <c r="E1334">
        <v>5516</v>
      </c>
      <c r="F1334" t="s">
        <v>128</v>
      </c>
      <c r="G1334">
        <v>1633</v>
      </c>
      <c r="H1334" t="s">
        <v>109</v>
      </c>
      <c r="I1334">
        <v>2021</v>
      </c>
      <c r="J1334">
        <v>2021</v>
      </c>
      <c r="K1334" t="s">
        <v>143</v>
      </c>
      <c r="L1334">
        <v>20469453</v>
      </c>
      <c r="O1334">
        <v>13074863.103749998</v>
      </c>
      <c r="P1334">
        <v>13.074863103749998</v>
      </c>
      <c r="Q1334" t="s">
        <v>763</v>
      </c>
      <c r="R1334" s="141">
        <v>0.63874999999999993</v>
      </c>
    </row>
    <row r="1335" spans="1:18" x14ac:dyDescent="0.3">
      <c r="A1335" t="s">
        <v>126</v>
      </c>
      <c r="B1335" t="s">
        <v>125</v>
      </c>
      <c r="C1335" t="s">
        <v>470</v>
      </c>
      <c r="D1335" t="s">
        <v>470</v>
      </c>
      <c r="E1335">
        <v>5616</v>
      </c>
      <c r="F1335" t="s">
        <v>127</v>
      </c>
      <c r="G1335">
        <v>1633</v>
      </c>
      <c r="H1335" t="s">
        <v>109</v>
      </c>
      <c r="I1335">
        <v>2021</v>
      </c>
      <c r="J1335">
        <v>2021</v>
      </c>
      <c r="K1335" t="s">
        <v>143</v>
      </c>
      <c r="L1335">
        <v>2287908</v>
      </c>
      <c r="O1335">
        <v>730700.61749999993</v>
      </c>
      <c r="P1335">
        <v>0.73070061749999993</v>
      </c>
      <c r="Q1335" t="s">
        <v>764</v>
      </c>
      <c r="R1335" s="141">
        <v>0.63874999999999993</v>
      </c>
    </row>
    <row r="1336" spans="1:18" x14ac:dyDescent="0.3">
      <c r="A1336" t="s">
        <v>126</v>
      </c>
      <c r="B1336" t="s">
        <v>125</v>
      </c>
      <c r="C1336" t="s">
        <v>470</v>
      </c>
      <c r="D1336" t="s">
        <v>470</v>
      </c>
      <c r="E1336">
        <v>5916</v>
      </c>
      <c r="F1336" t="s">
        <v>124</v>
      </c>
      <c r="G1336">
        <v>1633</v>
      </c>
      <c r="H1336" t="s">
        <v>109</v>
      </c>
      <c r="I1336">
        <v>2021</v>
      </c>
      <c r="J1336">
        <v>2021</v>
      </c>
      <c r="K1336" t="s">
        <v>143</v>
      </c>
      <c r="L1336">
        <v>6998425</v>
      </c>
      <c r="O1336">
        <v>2235121.9843749995</v>
      </c>
      <c r="P1336">
        <v>2.2351219843749996</v>
      </c>
      <c r="Q1336" t="s">
        <v>765</v>
      </c>
      <c r="R1336" s="141">
        <v>0.63874999999999993</v>
      </c>
    </row>
    <row r="1337" spans="1:18" x14ac:dyDescent="0.3">
      <c r="A1337" t="s">
        <v>126</v>
      </c>
      <c r="B1337" t="s">
        <v>125</v>
      </c>
      <c r="C1337" t="s">
        <v>470</v>
      </c>
      <c r="D1337" t="s">
        <v>470</v>
      </c>
      <c r="E1337">
        <v>5516</v>
      </c>
      <c r="F1337" t="s">
        <v>128</v>
      </c>
      <c r="G1337">
        <v>1634</v>
      </c>
      <c r="H1337" t="s">
        <v>108</v>
      </c>
      <c r="I1337">
        <v>2021</v>
      </c>
      <c r="J1337">
        <v>2021</v>
      </c>
      <c r="K1337" t="s">
        <v>143</v>
      </c>
      <c r="L1337">
        <v>6301486</v>
      </c>
      <c r="O1337">
        <v>3601299.2489999998</v>
      </c>
      <c r="P1337">
        <v>3.6012992489999998</v>
      </c>
      <c r="Q1337" t="s">
        <v>766</v>
      </c>
      <c r="R1337" s="141">
        <v>0.57150000000000001</v>
      </c>
    </row>
    <row r="1338" spans="1:18" x14ac:dyDescent="0.3">
      <c r="A1338" t="s">
        <v>126</v>
      </c>
      <c r="B1338" t="s">
        <v>125</v>
      </c>
      <c r="C1338" t="s">
        <v>470</v>
      </c>
      <c r="D1338" t="s">
        <v>470</v>
      </c>
      <c r="E1338">
        <v>5616</v>
      </c>
      <c r="F1338" t="s">
        <v>127</v>
      </c>
      <c r="G1338">
        <v>1634</v>
      </c>
      <c r="H1338" t="s">
        <v>108</v>
      </c>
      <c r="I1338">
        <v>2021</v>
      </c>
      <c r="J1338">
        <v>2021</v>
      </c>
      <c r="K1338" t="s">
        <v>143</v>
      </c>
      <c r="L1338">
        <v>796347</v>
      </c>
      <c r="O1338">
        <v>227556.15525000001</v>
      </c>
      <c r="P1338">
        <v>0.22755615525</v>
      </c>
      <c r="Q1338" t="s">
        <v>767</v>
      </c>
      <c r="R1338" s="141">
        <v>0.57150000000000001</v>
      </c>
    </row>
    <row r="1339" spans="1:18" x14ac:dyDescent="0.3">
      <c r="A1339" t="s">
        <v>126</v>
      </c>
      <c r="B1339" t="s">
        <v>125</v>
      </c>
      <c r="C1339" t="s">
        <v>470</v>
      </c>
      <c r="D1339" t="s">
        <v>470</v>
      </c>
      <c r="E1339">
        <v>5916</v>
      </c>
      <c r="F1339" t="s">
        <v>124</v>
      </c>
      <c r="G1339">
        <v>1634</v>
      </c>
      <c r="H1339" t="s">
        <v>108</v>
      </c>
      <c r="I1339">
        <v>2021</v>
      </c>
      <c r="J1339">
        <v>2021</v>
      </c>
      <c r="K1339" t="s">
        <v>143</v>
      </c>
      <c r="L1339">
        <v>3243623</v>
      </c>
      <c r="O1339">
        <v>926865.27225000004</v>
      </c>
      <c r="P1339">
        <v>0.92686527225000004</v>
      </c>
      <c r="Q1339" t="s">
        <v>768</v>
      </c>
      <c r="R1339" s="141">
        <v>0.57150000000000001</v>
      </c>
    </row>
    <row r="1340" spans="1:18" x14ac:dyDescent="0.3">
      <c r="A1340" t="s">
        <v>126</v>
      </c>
      <c r="B1340" t="s">
        <v>125</v>
      </c>
      <c r="C1340" t="s">
        <v>470</v>
      </c>
      <c r="D1340" t="s">
        <v>470</v>
      </c>
      <c r="E1340">
        <v>5516</v>
      </c>
      <c r="F1340" t="s">
        <v>128</v>
      </c>
      <c r="G1340">
        <v>1640</v>
      </c>
      <c r="H1340" t="s">
        <v>104</v>
      </c>
      <c r="I1340">
        <v>2021</v>
      </c>
      <c r="J1340">
        <v>2021</v>
      </c>
      <c r="K1340" t="s">
        <v>143</v>
      </c>
      <c r="L1340">
        <v>10286107</v>
      </c>
      <c r="O1340">
        <v>5878510.1505000005</v>
      </c>
      <c r="P1340">
        <v>5.8785101505000004</v>
      </c>
      <c r="Q1340" t="s">
        <v>769</v>
      </c>
      <c r="R1340" s="141">
        <v>0.57150000000000001</v>
      </c>
    </row>
    <row r="1341" spans="1:18" x14ac:dyDescent="0.3">
      <c r="A1341" t="s">
        <v>126</v>
      </c>
      <c r="B1341" t="s">
        <v>125</v>
      </c>
      <c r="C1341" t="s">
        <v>470</v>
      </c>
      <c r="D1341" t="s">
        <v>470</v>
      </c>
      <c r="E1341">
        <v>5616</v>
      </c>
      <c r="F1341" t="s">
        <v>127</v>
      </c>
      <c r="G1341">
        <v>1640</v>
      </c>
      <c r="H1341" t="s">
        <v>104</v>
      </c>
      <c r="I1341">
        <v>2021</v>
      </c>
      <c r="J1341">
        <v>2021</v>
      </c>
      <c r="K1341" t="s">
        <v>143</v>
      </c>
      <c r="L1341">
        <v>5133520</v>
      </c>
      <c r="O1341">
        <v>1466903.34</v>
      </c>
      <c r="P1341">
        <v>1.46690334</v>
      </c>
      <c r="Q1341" t="s">
        <v>770</v>
      </c>
      <c r="R1341" s="141">
        <v>0.57150000000000001</v>
      </c>
    </row>
    <row r="1342" spans="1:18" x14ac:dyDescent="0.3">
      <c r="A1342" t="s">
        <v>126</v>
      </c>
      <c r="B1342" t="s">
        <v>125</v>
      </c>
      <c r="C1342" t="s">
        <v>470</v>
      </c>
      <c r="D1342" t="s">
        <v>470</v>
      </c>
      <c r="E1342">
        <v>5916</v>
      </c>
      <c r="F1342" t="s">
        <v>124</v>
      </c>
      <c r="G1342">
        <v>1640</v>
      </c>
      <c r="H1342" t="s">
        <v>104</v>
      </c>
      <c r="I1342">
        <v>2021</v>
      </c>
      <c r="J1342">
        <v>2021</v>
      </c>
      <c r="K1342" t="s">
        <v>143</v>
      </c>
      <c r="L1342">
        <v>7042966</v>
      </c>
      <c r="O1342">
        <v>2012527.5345000001</v>
      </c>
      <c r="P1342">
        <v>2.0125275344999998</v>
      </c>
      <c r="Q1342" t="s">
        <v>771</v>
      </c>
      <c r="R1342" s="141">
        <v>0.57150000000000001</v>
      </c>
    </row>
    <row r="1343" spans="1:18" x14ac:dyDescent="0.3">
      <c r="A1343" t="s">
        <v>126</v>
      </c>
      <c r="B1343" t="s">
        <v>125</v>
      </c>
      <c r="C1343" t="s">
        <v>470</v>
      </c>
      <c r="D1343" t="s">
        <v>470</v>
      </c>
      <c r="E1343">
        <v>5516</v>
      </c>
      <c r="F1343" t="s">
        <v>128</v>
      </c>
      <c r="G1343">
        <v>1646</v>
      </c>
      <c r="H1343" t="s">
        <v>147</v>
      </c>
      <c r="I1343">
        <v>2021</v>
      </c>
      <c r="J1343">
        <v>2021</v>
      </c>
      <c r="L1343">
        <v>0</v>
      </c>
    </row>
    <row r="1344" spans="1:18" x14ac:dyDescent="0.3">
      <c r="A1344" t="s">
        <v>126</v>
      </c>
      <c r="B1344" t="s">
        <v>125</v>
      </c>
      <c r="C1344" t="s">
        <v>470</v>
      </c>
      <c r="D1344" t="s">
        <v>470</v>
      </c>
      <c r="E1344">
        <v>5616</v>
      </c>
      <c r="F1344" t="s">
        <v>127</v>
      </c>
      <c r="G1344">
        <v>1646</v>
      </c>
      <c r="H1344" t="s">
        <v>147</v>
      </c>
      <c r="I1344">
        <v>2021</v>
      </c>
      <c r="J1344">
        <v>2021</v>
      </c>
      <c r="L1344">
        <v>0</v>
      </c>
    </row>
    <row r="1345" spans="1:18" x14ac:dyDescent="0.3">
      <c r="A1345" t="s">
        <v>126</v>
      </c>
      <c r="B1345" t="s">
        <v>125</v>
      </c>
      <c r="C1345" t="s">
        <v>470</v>
      </c>
      <c r="D1345" t="s">
        <v>470</v>
      </c>
      <c r="E1345">
        <v>5916</v>
      </c>
      <c r="F1345" t="s">
        <v>124</v>
      </c>
      <c r="G1345">
        <v>1646</v>
      </c>
      <c r="H1345" t="s">
        <v>147</v>
      </c>
      <c r="I1345">
        <v>2021</v>
      </c>
      <c r="J1345">
        <v>2021</v>
      </c>
      <c r="L1345">
        <v>0</v>
      </c>
    </row>
    <row r="1346" spans="1:18" x14ac:dyDescent="0.3">
      <c r="A1346" t="s">
        <v>126</v>
      </c>
      <c r="B1346" t="s">
        <v>125</v>
      </c>
      <c r="C1346" t="s">
        <v>470</v>
      </c>
      <c r="D1346" t="s">
        <v>470</v>
      </c>
      <c r="E1346">
        <v>5516</v>
      </c>
      <c r="F1346" t="s">
        <v>128</v>
      </c>
      <c r="G1346">
        <v>1697</v>
      </c>
      <c r="H1346" t="s">
        <v>103</v>
      </c>
      <c r="I1346">
        <v>2021</v>
      </c>
      <c r="J1346">
        <v>2021</v>
      </c>
      <c r="K1346" t="s">
        <v>143</v>
      </c>
      <c r="L1346">
        <v>5005200</v>
      </c>
      <c r="O1346">
        <v>2839278.3531428576</v>
      </c>
      <c r="P1346">
        <v>2.8392783531428574</v>
      </c>
      <c r="Q1346" t="s">
        <v>772</v>
      </c>
      <c r="R1346" s="141">
        <v>0.56726571428571437</v>
      </c>
    </row>
    <row r="1347" spans="1:18" x14ac:dyDescent="0.3">
      <c r="A1347" t="s">
        <v>126</v>
      </c>
      <c r="B1347" t="s">
        <v>125</v>
      </c>
      <c r="C1347" t="s">
        <v>470</v>
      </c>
      <c r="D1347" t="s">
        <v>470</v>
      </c>
      <c r="E1347">
        <v>5616</v>
      </c>
      <c r="F1347" t="s">
        <v>127</v>
      </c>
      <c r="G1347">
        <v>1697</v>
      </c>
      <c r="H1347" t="s">
        <v>103</v>
      </c>
      <c r="I1347">
        <v>2021</v>
      </c>
      <c r="J1347">
        <v>2021</v>
      </c>
      <c r="K1347" t="s">
        <v>143</v>
      </c>
      <c r="L1347">
        <v>2512361.1300000004</v>
      </c>
      <c r="O1347">
        <v>712588.16547655733</v>
      </c>
      <c r="P1347">
        <v>0.71258816547655734</v>
      </c>
      <c r="Q1347" t="s">
        <v>773</v>
      </c>
      <c r="R1347" s="141">
        <v>0.56726571428571437</v>
      </c>
    </row>
    <row r="1348" spans="1:18" x14ac:dyDescent="0.3">
      <c r="A1348" t="s">
        <v>126</v>
      </c>
      <c r="B1348" t="s">
        <v>125</v>
      </c>
      <c r="C1348" t="s">
        <v>470</v>
      </c>
      <c r="D1348" t="s">
        <v>470</v>
      </c>
      <c r="E1348">
        <v>5916</v>
      </c>
      <c r="F1348" t="s">
        <v>124</v>
      </c>
      <c r="G1348">
        <v>1697</v>
      </c>
      <c r="H1348" t="s">
        <v>103</v>
      </c>
      <c r="I1348">
        <v>2021</v>
      </c>
      <c r="J1348">
        <v>2021</v>
      </c>
      <c r="K1348" t="s">
        <v>143</v>
      </c>
      <c r="L1348">
        <v>3422179.86</v>
      </c>
      <c r="O1348">
        <v>970642.651348543</v>
      </c>
      <c r="P1348">
        <v>0.970642651348543</v>
      </c>
      <c r="Q1348" t="s">
        <v>774</v>
      </c>
      <c r="R1348" s="141">
        <v>0.56726571428571437</v>
      </c>
    </row>
    <row r="1349" spans="1:18" x14ac:dyDescent="0.3">
      <c r="A1349" t="s">
        <v>126</v>
      </c>
      <c r="B1349" t="s">
        <v>125</v>
      </c>
      <c r="C1349" t="s">
        <v>470</v>
      </c>
      <c r="D1349" t="s">
        <v>470</v>
      </c>
      <c r="E1349">
        <v>5516</v>
      </c>
      <c r="F1349" t="s">
        <v>128</v>
      </c>
      <c r="G1349">
        <v>1606</v>
      </c>
      <c r="H1349" t="s">
        <v>102</v>
      </c>
      <c r="I1349">
        <v>2021</v>
      </c>
      <c r="J1349">
        <v>2021</v>
      </c>
      <c r="K1349" t="s">
        <v>143</v>
      </c>
      <c r="L1349">
        <v>0</v>
      </c>
      <c r="O1349">
        <v>0</v>
      </c>
      <c r="P1349">
        <v>0</v>
      </c>
      <c r="Q1349" t="s">
        <v>775</v>
      </c>
      <c r="R1349" s="141">
        <v>0.57827142857142866</v>
      </c>
    </row>
    <row r="1350" spans="1:18" x14ac:dyDescent="0.3">
      <c r="A1350" t="s">
        <v>126</v>
      </c>
      <c r="B1350" t="s">
        <v>125</v>
      </c>
      <c r="C1350" t="s">
        <v>470</v>
      </c>
      <c r="D1350" t="s">
        <v>470</v>
      </c>
      <c r="E1350">
        <v>5616</v>
      </c>
      <c r="F1350" t="s">
        <v>127</v>
      </c>
      <c r="G1350">
        <v>1606</v>
      </c>
      <c r="H1350" t="s">
        <v>102</v>
      </c>
      <c r="I1350">
        <v>2021</v>
      </c>
      <c r="J1350">
        <v>2021</v>
      </c>
      <c r="K1350" t="s">
        <v>143</v>
      </c>
      <c r="L1350">
        <v>310393.88</v>
      </c>
      <c r="O1350">
        <v>89745.956203714304</v>
      </c>
      <c r="P1350">
        <v>8.9745956203714297E-2</v>
      </c>
      <c r="Q1350" t="s">
        <v>776</v>
      </c>
      <c r="R1350" s="141">
        <v>0.57827142857142866</v>
      </c>
    </row>
    <row r="1351" spans="1:18" x14ac:dyDescent="0.3">
      <c r="A1351" t="s">
        <v>126</v>
      </c>
      <c r="B1351" t="s">
        <v>125</v>
      </c>
      <c r="C1351" t="s">
        <v>470</v>
      </c>
      <c r="D1351" t="s">
        <v>470</v>
      </c>
      <c r="E1351">
        <v>5916</v>
      </c>
      <c r="F1351" t="s">
        <v>124</v>
      </c>
      <c r="G1351">
        <v>1606</v>
      </c>
      <c r="H1351" t="s">
        <v>102</v>
      </c>
      <c r="I1351">
        <v>2021</v>
      </c>
      <c r="J1351">
        <v>2021</v>
      </c>
      <c r="K1351" t="s">
        <v>143</v>
      </c>
      <c r="L1351">
        <v>138984.22</v>
      </c>
      <c r="O1351">
        <v>40185.301724142861</v>
      </c>
      <c r="P1351">
        <v>4.0185301724142856E-2</v>
      </c>
      <c r="Q1351" t="s">
        <v>777</v>
      </c>
      <c r="R1351" s="141">
        <v>0.57827142857142866</v>
      </c>
    </row>
    <row r="1352" spans="1:18" x14ac:dyDescent="0.3">
      <c r="A1352" t="s">
        <v>126</v>
      </c>
      <c r="B1352" t="s">
        <v>125</v>
      </c>
      <c r="C1352" t="s">
        <v>470</v>
      </c>
      <c r="D1352" t="s">
        <v>470</v>
      </c>
      <c r="E1352">
        <v>5516</v>
      </c>
      <c r="F1352" t="s">
        <v>128</v>
      </c>
      <c r="G1352">
        <v>1647</v>
      </c>
      <c r="H1352" t="s">
        <v>146</v>
      </c>
      <c r="I1352">
        <v>2021</v>
      </c>
      <c r="J1352">
        <v>2021</v>
      </c>
      <c r="K1352" t="s">
        <v>143</v>
      </c>
      <c r="L1352">
        <v>420822</v>
      </c>
      <c r="O1352">
        <v>325716.228</v>
      </c>
      <c r="P1352">
        <v>0.325716228</v>
      </c>
      <c r="Q1352" t="s">
        <v>778</v>
      </c>
      <c r="R1352" s="141">
        <v>0.77400000000000002</v>
      </c>
    </row>
    <row r="1353" spans="1:18" x14ac:dyDescent="0.3">
      <c r="A1353" t="s">
        <v>126</v>
      </c>
      <c r="B1353" t="s">
        <v>125</v>
      </c>
      <c r="C1353" t="s">
        <v>470</v>
      </c>
      <c r="D1353" t="s">
        <v>470</v>
      </c>
      <c r="E1353">
        <v>5616</v>
      </c>
      <c r="F1353" t="s">
        <v>127</v>
      </c>
      <c r="G1353">
        <v>1647</v>
      </c>
      <c r="H1353" t="s">
        <v>146</v>
      </c>
      <c r="I1353">
        <v>2021</v>
      </c>
      <c r="J1353">
        <v>2021</v>
      </c>
      <c r="K1353" t="s">
        <v>143</v>
      </c>
      <c r="L1353">
        <v>137735.13</v>
      </c>
      <c r="O1353">
        <v>53303.495310000006</v>
      </c>
      <c r="P1353">
        <v>5.3303495310000004E-2</v>
      </c>
      <c r="Q1353" t="s">
        <v>779</v>
      </c>
      <c r="R1353" s="141">
        <v>0.77400000000000002</v>
      </c>
    </row>
    <row r="1354" spans="1:18" x14ac:dyDescent="0.3">
      <c r="A1354" t="s">
        <v>126</v>
      </c>
      <c r="B1354" t="s">
        <v>125</v>
      </c>
      <c r="C1354" t="s">
        <v>470</v>
      </c>
      <c r="D1354" t="s">
        <v>470</v>
      </c>
      <c r="E1354">
        <v>5916</v>
      </c>
      <c r="F1354" t="s">
        <v>124</v>
      </c>
      <c r="G1354">
        <v>1647</v>
      </c>
      <c r="H1354" t="s">
        <v>146</v>
      </c>
      <c r="I1354">
        <v>2021</v>
      </c>
      <c r="J1354">
        <v>2021</v>
      </c>
      <c r="K1354" t="s">
        <v>143</v>
      </c>
      <c r="L1354">
        <v>153187.21</v>
      </c>
      <c r="O1354">
        <v>59283.450270000001</v>
      </c>
      <c r="P1354">
        <v>5.9283450269999996E-2</v>
      </c>
      <c r="Q1354" t="s">
        <v>780</v>
      </c>
      <c r="R1354" s="141">
        <v>0.77400000000000002</v>
      </c>
    </row>
    <row r="1355" spans="1:18" x14ac:dyDescent="0.3">
      <c r="A1355" t="s">
        <v>126</v>
      </c>
      <c r="B1355" t="s">
        <v>125</v>
      </c>
      <c r="C1355" t="s">
        <v>470</v>
      </c>
      <c r="D1355" t="s">
        <v>470</v>
      </c>
      <c r="E1355">
        <v>5516</v>
      </c>
      <c r="F1355" t="s">
        <v>128</v>
      </c>
      <c r="G1355">
        <v>1648</v>
      </c>
      <c r="H1355" t="s">
        <v>145</v>
      </c>
      <c r="I1355">
        <v>2021</v>
      </c>
      <c r="J1355">
        <v>2021</v>
      </c>
      <c r="K1355" t="s">
        <v>143</v>
      </c>
      <c r="L1355">
        <v>7912000</v>
      </c>
      <c r="O1355">
        <v>4793824.2857142854</v>
      </c>
      <c r="P1355">
        <v>4.793824285714285</v>
      </c>
      <c r="Q1355" t="s">
        <v>781</v>
      </c>
      <c r="R1355" s="141">
        <v>0.60589285714285712</v>
      </c>
    </row>
    <row r="1356" spans="1:18" x14ac:dyDescent="0.3">
      <c r="A1356" t="s">
        <v>126</v>
      </c>
      <c r="B1356" t="s">
        <v>125</v>
      </c>
      <c r="C1356" t="s">
        <v>470</v>
      </c>
      <c r="D1356" t="s">
        <v>470</v>
      </c>
      <c r="E1356">
        <v>5616</v>
      </c>
      <c r="F1356" t="s">
        <v>127</v>
      </c>
      <c r="G1356">
        <v>1648</v>
      </c>
      <c r="H1356" t="s">
        <v>145</v>
      </c>
      <c r="I1356">
        <v>2021</v>
      </c>
      <c r="J1356">
        <v>2021</v>
      </c>
      <c r="K1356" t="s">
        <v>143</v>
      </c>
      <c r="L1356">
        <v>1171561.0699999998</v>
      </c>
      <c r="O1356">
        <v>354920.24200982135</v>
      </c>
      <c r="P1356">
        <v>0.35492024200982131</v>
      </c>
      <c r="Q1356" t="s">
        <v>782</v>
      </c>
      <c r="R1356" s="141">
        <v>0.60589285714285712</v>
      </c>
    </row>
    <row r="1357" spans="1:18" x14ac:dyDescent="0.3">
      <c r="A1357" t="s">
        <v>126</v>
      </c>
      <c r="B1357" t="s">
        <v>125</v>
      </c>
      <c r="C1357" t="s">
        <v>470</v>
      </c>
      <c r="D1357" t="s">
        <v>470</v>
      </c>
      <c r="E1357">
        <v>5916</v>
      </c>
      <c r="F1357" t="s">
        <v>124</v>
      </c>
      <c r="G1357">
        <v>1648</v>
      </c>
      <c r="H1357" t="s">
        <v>145</v>
      </c>
      <c r="I1357">
        <v>2021</v>
      </c>
      <c r="J1357">
        <v>2021</v>
      </c>
      <c r="K1357" t="s">
        <v>143</v>
      </c>
      <c r="L1357">
        <v>4093765.3200000003</v>
      </c>
      <c r="O1357">
        <v>1240191.5831035716</v>
      </c>
      <c r="P1357">
        <v>1.2401915831035715</v>
      </c>
      <c r="Q1357" t="s">
        <v>783</v>
      </c>
      <c r="R1357" s="141">
        <v>0.60589285714285712</v>
      </c>
    </row>
    <row r="1358" spans="1:18" x14ac:dyDescent="0.3">
      <c r="A1358" t="s">
        <v>126</v>
      </c>
      <c r="B1358" t="s">
        <v>125</v>
      </c>
      <c r="C1358" t="s">
        <v>470</v>
      </c>
      <c r="D1358" t="s">
        <v>470</v>
      </c>
      <c r="E1358">
        <v>5516</v>
      </c>
      <c r="F1358" t="s">
        <v>128</v>
      </c>
      <c r="G1358">
        <v>1650</v>
      </c>
      <c r="H1358" t="s">
        <v>144</v>
      </c>
      <c r="I1358">
        <v>2021</v>
      </c>
      <c r="J1358">
        <v>2021</v>
      </c>
      <c r="K1358" t="s">
        <v>143</v>
      </c>
      <c r="L1358">
        <v>514640</v>
      </c>
      <c r="O1358">
        <v>125578.59300000001</v>
      </c>
      <c r="P1358">
        <v>0.12557859300000002</v>
      </c>
      <c r="Q1358" t="s">
        <v>784</v>
      </c>
      <c r="R1358" s="141">
        <v>0.24401250000000002</v>
      </c>
    </row>
    <row r="1359" spans="1:18" x14ac:dyDescent="0.3">
      <c r="A1359" t="s">
        <v>126</v>
      </c>
      <c r="B1359" t="s">
        <v>125</v>
      </c>
      <c r="C1359" t="s">
        <v>470</v>
      </c>
      <c r="D1359" t="s">
        <v>470</v>
      </c>
      <c r="E1359">
        <v>5616</v>
      </c>
      <c r="F1359" t="s">
        <v>127</v>
      </c>
      <c r="G1359">
        <v>1650</v>
      </c>
      <c r="H1359" t="s">
        <v>144</v>
      </c>
      <c r="I1359">
        <v>2021</v>
      </c>
      <c r="J1359">
        <v>2021</v>
      </c>
      <c r="K1359" t="s">
        <v>143</v>
      </c>
      <c r="L1359">
        <v>223332.01000000004</v>
      </c>
      <c r="O1359">
        <v>27247.901045062506</v>
      </c>
      <c r="P1359">
        <v>2.7247901045062504E-2</v>
      </c>
      <c r="Q1359" t="s">
        <v>785</v>
      </c>
      <c r="R1359" s="141">
        <v>0.24401250000000002</v>
      </c>
    </row>
    <row r="1360" spans="1:18" x14ac:dyDescent="0.3">
      <c r="A1360" t="s">
        <v>126</v>
      </c>
      <c r="B1360" t="s">
        <v>125</v>
      </c>
      <c r="C1360" t="s">
        <v>470</v>
      </c>
      <c r="D1360" t="s">
        <v>470</v>
      </c>
      <c r="E1360">
        <v>5916</v>
      </c>
      <c r="F1360" t="s">
        <v>124</v>
      </c>
      <c r="G1360">
        <v>1650</v>
      </c>
      <c r="H1360" t="s">
        <v>144</v>
      </c>
      <c r="I1360">
        <v>2021</v>
      </c>
      <c r="J1360">
        <v>2021</v>
      </c>
      <c r="K1360" t="s">
        <v>143</v>
      </c>
      <c r="L1360">
        <v>690475.03</v>
      </c>
      <c r="O1360">
        <v>84242.269128937507</v>
      </c>
      <c r="P1360">
        <v>8.4242269128937508E-2</v>
      </c>
      <c r="Q1360" t="s">
        <v>786</v>
      </c>
      <c r="R1360" s="141">
        <v>0.24401250000000002</v>
      </c>
    </row>
    <row r="1361" spans="1:18" x14ac:dyDescent="0.3">
      <c r="A1361" t="s">
        <v>126</v>
      </c>
      <c r="B1361" t="s">
        <v>125</v>
      </c>
      <c r="C1361" t="s">
        <v>470</v>
      </c>
      <c r="D1361" t="s">
        <v>470</v>
      </c>
      <c r="E1361">
        <v>5516</v>
      </c>
      <c r="F1361" t="s">
        <v>128</v>
      </c>
      <c r="G1361">
        <v>1649</v>
      </c>
      <c r="H1361" t="s">
        <v>142</v>
      </c>
      <c r="I1361">
        <v>2021</v>
      </c>
      <c r="J1361">
        <v>2021</v>
      </c>
      <c r="L1361">
        <v>0</v>
      </c>
    </row>
    <row r="1362" spans="1:18" x14ac:dyDescent="0.3">
      <c r="A1362" t="s">
        <v>126</v>
      </c>
      <c r="B1362" t="s">
        <v>125</v>
      </c>
      <c r="C1362" t="s">
        <v>470</v>
      </c>
      <c r="D1362" t="s">
        <v>470</v>
      </c>
      <c r="E1362">
        <v>5616</v>
      </c>
      <c r="F1362" t="s">
        <v>127</v>
      </c>
      <c r="G1362">
        <v>1649</v>
      </c>
      <c r="H1362" t="s">
        <v>142</v>
      </c>
      <c r="I1362">
        <v>2021</v>
      </c>
      <c r="J1362">
        <v>2021</v>
      </c>
      <c r="L1362">
        <v>0</v>
      </c>
    </row>
    <row r="1363" spans="1:18" x14ac:dyDescent="0.3">
      <c r="A1363" t="s">
        <v>126</v>
      </c>
      <c r="B1363" t="s">
        <v>125</v>
      </c>
      <c r="C1363" t="s">
        <v>470</v>
      </c>
      <c r="D1363" t="s">
        <v>470</v>
      </c>
      <c r="E1363">
        <v>5916</v>
      </c>
      <c r="F1363" t="s">
        <v>124</v>
      </c>
      <c r="G1363">
        <v>1649</v>
      </c>
      <c r="H1363" t="s">
        <v>142</v>
      </c>
      <c r="I1363">
        <v>2021</v>
      </c>
      <c r="J1363">
        <v>2021</v>
      </c>
      <c r="L1363">
        <v>0</v>
      </c>
    </row>
    <row r="1364" spans="1:18" x14ac:dyDescent="0.3">
      <c r="A1364" t="s">
        <v>126</v>
      </c>
      <c r="B1364" t="s">
        <v>125</v>
      </c>
      <c r="C1364" t="s">
        <v>470</v>
      </c>
      <c r="D1364" t="s">
        <v>470</v>
      </c>
      <c r="E1364">
        <v>5510</v>
      </c>
      <c r="F1364" t="s">
        <v>128</v>
      </c>
      <c r="G1364">
        <v>1685</v>
      </c>
      <c r="H1364" t="s">
        <v>98</v>
      </c>
      <c r="I1364">
        <v>2021</v>
      </c>
      <c r="J1364">
        <v>2021</v>
      </c>
      <c r="K1364" t="s">
        <v>339</v>
      </c>
      <c r="L1364">
        <v>807000</v>
      </c>
      <c r="O1364">
        <v>726300</v>
      </c>
      <c r="P1364">
        <v>0.72629999999999995</v>
      </c>
      <c r="Q1364" t="s">
        <v>787</v>
      </c>
      <c r="R1364" s="141">
        <v>0.9</v>
      </c>
    </row>
    <row r="1365" spans="1:18" x14ac:dyDescent="0.3">
      <c r="A1365" t="s">
        <v>126</v>
      </c>
      <c r="B1365" t="s">
        <v>125</v>
      </c>
      <c r="C1365" t="s">
        <v>470</v>
      </c>
      <c r="D1365" t="s">
        <v>470</v>
      </c>
      <c r="E1365">
        <v>5610</v>
      </c>
      <c r="F1365" t="s">
        <v>127</v>
      </c>
      <c r="G1365">
        <v>1685</v>
      </c>
      <c r="H1365" t="s">
        <v>98</v>
      </c>
      <c r="I1365">
        <v>2021</v>
      </c>
      <c r="J1365">
        <v>2021</v>
      </c>
      <c r="K1365" t="s">
        <v>339</v>
      </c>
      <c r="L1365">
        <v>573458.13</v>
      </c>
      <c r="O1365">
        <v>258056.15850000002</v>
      </c>
      <c r="P1365">
        <v>0.25805615850000002</v>
      </c>
      <c r="Q1365" t="s">
        <v>788</v>
      </c>
      <c r="R1365" s="141">
        <v>0.9</v>
      </c>
    </row>
    <row r="1366" spans="1:18" x14ac:dyDescent="0.3">
      <c r="A1366" t="s">
        <v>126</v>
      </c>
      <c r="B1366" t="s">
        <v>125</v>
      </c>
      <c r="C1366" t="s">
        <v>470</v>
      </c>
      <c r="D1366" t="s">
        <v>470</v>
      </c>
      <c r="E1366">
        <v>5910</v>
      </c>
      <c r="F1366" t="s">
        <v>124</v>
      </c>
      <c r="G1366">
        <v>1685</v>
      </c>
      <c r="H1366" t="s">
        <v>98</v>
      </c>
      <c r="I1366">
        <v>2021</v>
      </c>
      <c r="J1366">
        <v>2021</v>
      </c>
      <c r="K1366" t="s">
        <v>339</v>
      </c>
      <c r="L1366">
        <v>36269.74</v>
      </c>
      <c r="O1366">
        <v>16321.383</v>
      </c>
      <c r="P1366">
        <v>1.6321382999999998E-2</v>
      </c>
      <c r="Q1366" t="s">
        <v>789</v>
      </c>
      <c r="R1366" s="141">
        <v>0.9</v>
      </c>
    </row>
    <row r="1367" spans="1:18" x14ac:dyDescent="0.3">
      <c r="A1367" t="s">
        <v>126</v>
      </c>
      <c r="B1367" t="s">
        <v>125</v>
      </c>
      <c r="C1367" t="s">
        <v>470</v>
      </c>
      <c r="D1367" t="s">
        <v>470</v>
      </c>
      <c r="E1367">
        <v>5510</v>
      </c>
      <c r="F1367" t="s">
        <v>128</v>
      </c>
      <c r="G1367">
        <v>1654</v>
      </c>
      <c r="H1367" t="s">
        <v>141</v>
      </c>
      <c r="I1367">
        <v>2021</v>
      </c>
      <c r="J1367">
        <v>2021</v>
      </c>
      <c r="L1367">
        <v>0</v>
      </c>
    </row>
    <row r="1368" spans="1:18" x14ac:dyDescent="0.3">
      <c r="A1368" t="s">
        <v>126</v>
      </c>
      <c r="B1368" t="s">
        <v>125</v>
      </c>
      <c r="C1368" t="s">
        <v>470</v>
      </c>
      <c r="D1368" t="s">
        <v>470</v>
      </c>
      <c r="E1368">
        <v>5610</v>
      </c>
      <c r="F1368" t="s">
        <v>127</v>
      </c>
      <c r="G1368">
        <v>1654</v>
      </c>
      <c r="H1368" t="s">
        <v>141</v>
      </c>
      <c r="I1368">
        <v>2021</v>
      </c>
      <c r="J1368">
        <v>2021</v>
      </c>
      <c r="L1368">
        <v>0</v>
      </c>
    </row>
    <row r="1369" spans="1:18" x14ac:dyDescent="0.3">
      <c r="A1369" t="s">
        <v>126</v>
      </c>
      <c r="B1369" t="s">
        <v>125</v>
      </c>
      <c r="C1369" t="s">
        <v>470</v>
      </c>
      <c r="D1369" t="s">
        <v>470</v>
      </c>
      <c r="E1369">
        <v>5910</v>
      </c>
      <c r="F1369" t="s">
        <v>124</v>
      </c>
      <c r="G1369">
        <v>1654</v>
      </c>
      <c r="H1369" t="s">
        <v>141</v>
      </c>
      <c r="I1369">
        <v>2021</v>
      </c>
      <c r="J1369">
        <v>2021</v>
      </c>
      <c r="L1369">
        <v>0</v>
      </c>
    </row>
    <row r="1370" spans="1:18" x14ac:dyDescent="0.3">
      <c r="A1370" t="s">
        <v>126</v>
      </c>
      <c r="B1370" t="s">
        <v>125</v>
      </c>
      <c r="C1370" t="s">
        <v>470</v>
      </c>
      <c r="D1370" t="s">
        <v>470</v>
      </c>
      <c r="E1370">
        <v>5510</v>
      </c>
      <c r="F1370" t="s">
        <v>128</v>
      </c>
      <c r="G1370">
        <v>1655</v>
      </c>
      <c r="H1370" t="s">
        <v>140</v>
      </c>
      <c r="I1370">
        <v>2021</v>
      </c>
      <c r="J1370">
        <v>2021</v>
      </c>
      <c r="L1370">
        <v>0</v>
      </c>
    </row>
    <row r="1371" spans="1:18" x14ac:dyDescent="0.3">
      <c r="A1371" t="s">
        <v>126</v>
      </c>
      <c r="B1371" t="s">
        <v>125</v>
      </c>
      <c r="C1371" t="s">
        <v>470</v>
      </c>
      <c r="D1371" t="s">
        <v>470</v>
      </c>
      <c r="E1371">
        <v>5610</v>
      </c>
      <c r="F1371" t="s">
        <v>127</v>
      </c>
      <c r="G1371">
        <v>1655</v>
      </c>
      <c r="H1371" t="s">
        <v>140</v>
      </c>
      <c r="I1371">
        <v>2021</v>
      </c>
      <c r="J1371">
        <v>2021</v>
      </c>
      <c r="L1371">
        <v>0</v>
      </c>
    </row>
    <row r="1372" spans="1:18" x14ac:dyDescent="0.3">
      <c r="A1372" t="s">
        <v>126</v>
      </c>
      <c r="B1372" t="s">
        <v>125</v>
      </c>
      <c r="C1372" t="s">
        <v>470</v>
      </c>
      <c r="D1372" t="s">
        <v>470</v>
      </c>
      <c r="E1372">
        <v>5910</v>
      </c>
      <c r="F1372" t="s">
        <v>124</v>
      </c>
      <c r="G1372">
        <v>1655</v>
      </c>
      <c r="H1372" t="s">
        <v>140</v>
      </c>
      <c r="I1372">
        <v>2021</v>
      </c>
      <c r="J1372">
        <v>2021</v>
      </c>
      <c r="L1372">
        <v>0</v>
      </c>
    </row>
    <row r="1373" spans="1:18" x14ac:dyDescent="0.3">
      <c r="A1373" t="s">
        <v>126</v>
      </c>
      <c r="B1373" t="s">
        <v>125</v>
      </c>
      <c r="C1373" t="s">
        <v>470</v>
      </c>
      <c r="D1373" t="s">
        <v>470</v>
      </c>
      <c r="E1373">
        <v>5510</v>
      </c>
      <c r="F1373" t="s">
        <v>128</v>
      </c>
      <c r="G1373">
        <v>1656</v>
      </c>
      <c r="H1373" t="s">
        <v>97</v>
      </c>
      <c r="I1373">
        <v>2021</v>
      </c>
      <c r="J1373">
        <v>2021</v>
      </c>
      <c r="K1373" t="s">
        <v>339</v>
      </c>
      <c r="L1373">
        <v>10522183</v>
      </c>
      <c r="O1373">
        <v>9469964.7000000011</v>
      </c>
      <c r="P1373">
        <v>9.4699647000000002</v>
      </c>
      <c r="Q1373" t="s">
        <v>790</v>
      </c>
      <c r="R1373" s="141">
        <v>0.9</v>
      </c>
    </row>
    <row r="1374" spans="1:18" x14ac:dyDescent="0.3">
      <c r="A1374" t="s">
        <v>126</v>
      </c>
      <c r="B1374" t="s">
        <v>125</v>
      </c>
      <c r="C1374" t="s">
        <v>470</v>
      </c>
      <c r="D1374" t="s">
        <v>470</v>
      </c>
      <c r="E1374">
        <v>5610</v>
      </c>
      <c r="F1374" t="s">
        <v>127</v>
      </c>
      <c r="G1374">
        <v>1656</v>
      </c>
      <c r="H1374" t="s">
        <v>97</v>
      </c>
      <c r="I1374">
        <v>2021</v>
      </c>
      <c r="J1374">
        <v>2021</v>
      </c>
      <c r="K1374" t="s">
        <v>339</v>
      </c>
      <c r="L1374">
        <v>4312834.97</v>
      </c>
      <c r="O1374">
        <v>1940775.7364999999</v>
      </c>
      <c r="P1374">
        <v>1.9407757364999998</v>
      </c>
      <c r="Q1374" t="s">
        <v>791</v>
      </c>
      <c r="R1374" s="141">
        <v>0.9</v>
      </c>
    </row>
    <row r="1375" spans="1:18" x14ac:dyDescent="0.3">
      <c r="A1375" t="s">
        <v>126</v>
      </c>
      <c r="B1375" t="s">
        <v>125</v>
      </c>
      <c r="C1375" t="s">
        <v>470</v>
      </c>
      <c r="D1375" t="s">
        <v>470</v>
      </c>
      <c r="E1375">
        <v>5910</v>
      </c>
      <c r="F1375" t="s">
        <v>124</v>
      </c>
      <c r="G1375">
        <v>1656</v>
      </c>
      <c r="H1375" t="s">
        <v>97</v>
      </c>
      <c r="I1375">
        <v>2021</v>
      </c>
      <c r="J1375">
        <v>2021</v>
      </c>
      <c r="K1375" t="s">
        <v>339</v>
      </c>
      <c r="L1375">
        <v>5412802.3000000007</v>
      </c>
      <c r="O1375">
        <v>2435761.0350000006</v>
      </c>
      <c r="P1375">
        <v>2.4357610350000005</v>
      </c>
      <c r="Q1375" t="s">
        <v>792</v>
      </c>
      <c r="R1375" s="141">
        <v>0.9</v>
      </c>
    </row>
    <row r="1376" spans="1:18" x14ac:dyDescent="0.3">
      <c r="A1376" t="s">
        <v>126</v>
      </c>
      <c r="B1376" t="s">
        <v>125</v>
      </c>
      <c r="C1376" t="s">
        <v>470</v>
      </c>
      <c r="D1376" t="s">
        <v>470</v>
      </c>
      <c r="E1376">
        <v>5510</v>
      </c>
      <c r="F1376" t="s">
        <v>128</v>
      </c>
      <c r="G1376">
        <v>1662</v>
      </c>
      <c r="H1376" t="s">
        <v>139</v>
      </c>
      <c r="I1376">
        <v>2021</v>
      </c>
      <c r="J1376">
        <v>2021</v>
      </c>
      <c r="K1376" t="s">
        <v>339</v>
      </c>
      <c r="L1376">
        <v>58000</v>
      </c>
    </row>
    <row r="1377" spans="1:18" x14ac:dyDescent="0.3">
      <c r="A1377" t="s">
        <v>126</v>
      </c>
      <c r="B1377" t="s">
        <v>125</v>
      </c>
      <c r="C1377" t="s">
        <v>470</v>
      </c>
      <c r="D1377" t="s">
        <v>470</v>
      </c>
      <c r="E1377">
        <v>5610</v>
      </c>
      <c r="F1377" t="s">
        <v>127</v>
      </c>
      <c r="G1377">
        <v>1662</v>
      </c>
      <c r="H1377" t="s">
        <v>139</v>
      </c>
      <c r="I1377">
        <v>2021</v>
      </c>
      <c r="J1377">
        <v>2021</v>
      </c>
      <c r="K1377" t="s">
        <v>339</v>
      </c>
      <c r="L1377">
        <v>581549.92000000004</v>
      </c>
    </row>
    <row r="1378" spans="1:18" x14ac:dyDescent="0.3">
      <c r="A1378" t="s">
        <v>126</v>
      </c>
      <c r="B1378" t="s">
        <v>125</v>
      </c>
      <c r="C1378" t="s">
        <v>470</v>
      </c>
      <c r="D1378" t="s">
        <v>470</v>
      </c>
      <c r="E1378">
        <v>5910</v>
      </c>
      <c r="F1378" t="s">
        <v>124</v>
      </c>
      <c r="G1378">
        <v>1662</v>
      </c>
      <c r="H1378" t="s">
        <v>139</v>
      </c>
      <c r="I1378">
        <v>2021</v>
      </c>
      <c r="J1378">
        <v>2021</v>
      </c>
      <c r="K1378" t="s">
        <v>339</v>
      </c>
      <c r="L1378">
        <v>18686.03</v>
      </c>
    </row>
    <row r="1379" spans="1:18" x14ac:dyDescent="0.3">
      <c r="A1379" t="s">
        <v>126</v>
      </c>
      <c r="B1379" t="s">
        <v>125</v>
      </c>
      <c r="C1379" t="s">
        <v>470</v>
      </c>
      <c r="D1379" t="s">
        <v>470</v>
      </c>
      <c r="E1379">
        <v>5510</v>
      </c>
      <c r="F1379" t="s">
        <v>128</v>
      </c>
      <c r="G1379">
        <v>1663</v>
      </c>
      <c r="H1379" t="s">
        <v>138</v>
      </c>
      <c r="I1379">
        <v>2021</v>
      </c>
      <c r="J1379">
        <v>2021</v>
      </c>
      <c r="K1379" t="s">
        <v>339</v>
      </c>
      <c r="L1379">
        <v>10332183</v>
      </c>
    </row>
    <row r="1380" spans="1:18" x14ac:dyDescent="0.3">
      <c r="A1380" t="s">
        <v>126</v>
      </c>
      <c r="B1380" t="s">
        <v>125</v>
      </c>
      <c r="C1380" t="s">
        <v>470</v>
      </c>
      <c r="D1380" t="s">
        <v>470</v>
      </c>
      <c r="E1380">
        <v>5610</v>
      </c>
      <c r="F1380" t="s">
        <v>127</v>
      </c>
      <c r="G1380">
        <v>1663</v>
      </c>
      <c r="H1380" t="s">
        <v>138</v>
      </c>
      <c r="I1380">
        <v>2021</v>
      </c>
      <c r="J1380">
        <v>2021</v>
      </c>
      <c r="K1380" t="s">
        <v>339</v>
      </c>
      <c r="L1380">
        <v>3672012.5600000005</v>
      </c>
    </row>
    <row r="1381" spans="1:18" x14ac:dyDescent="0.3">
      <c r="A1381" t="s">
        <v>126</v>
      </c>
      <c r="B1381" t="s">
        <v>125</v>
      </c>
      <c r="C1381" t="s">
        <v>470</v>
      </c>
      <c r="D1381" t="s">
        <v>470</v>
      </c>
      <c r="E1381">
        <v>5910</v>
      </c>
      <c r="F1381" t="s">
        <v>124</v>
      </c>
      <c r="G1381">
        <v>1663</v>
      </c>
      <c r="H1381" t="s">
        <v>138</v>
      </c>
      <c r="I1381">
        <v>2021</v>
      </c>
      <c r="J1381">
        <v>2021</v>
      </c>
      <c r="K1381" t="s">
        <v>339</v>
      </c>
      <c r="L1381">
        <v>5386658.7000000002</v>
      </c>
    </row>
    <row r="1382" spans="1:18" x14ac:dyDescent="0.3">
      <c r="A1382" t="s">
        <v>126</v>
      </c>
      <c r="B1382" t="s">
        <v>125</v>
      </c>
      <c r="C1382" t="s">
        <v>470</v>
      </c>
      <c r="D1382" t="s">
        <v>470</v>
      </c>
      <c r="E1382">
        <v>5510</v>
      </c>
      <c r="F1382" t="s">
        <v>128</v>
      </c>
      <c r="G1382">
        <v>1686</v>
      </c>
      <c r="H1382" t="s">
        <v>137</v>
      </c>
      <c r="I1382">
        <v>2021</v>
      </c>
      <c r="J1382">
        <v>2021</v>
      </c>
      <c r="K1382" t="s">
        <v>339</v>
      </c>
      <c r="L1382">
        <v>132000</v>
      </c>
    </row>
    <row r="1383" spans="1:18" x14ac:dyDescent="0.3">
      <c r="A1383" t="s">
        <v>126</v>
      </c>
      <c r="B1383" t="s">
        <v>125</v>
      </c>
      <c r="C1383" t="s">
        <v>470</v>
      </c>
      <c r="D1383" t="s">
        <v>470</v>
      </c>
      <c r="E1383">
        <v>5610</v>
      </c>
      <c r="F1383" t="s">
        <v>127</v>
      </c>
      <c r="G1383">
        <v>1686</v>
      </c>
      <c r="H1383" t="s">
        <v>137</v>
      </c>
      <c r="I1383">
        <v>2021</v>
      </c>
      <c r="J1383">
        <v>2021</v>
      </c>
      <c r="K1383" t="s">
        <v>339</v>
      </c>
      <c r="L1383">
        <v>59271.509999999995</v>
      </c>
    </row>
    <row r="1384" spans="1:18" x14ac:dyDescent="0.3">
      <c r="A1384" t="s">
        <v>126</v>
      </c>
      <c r="B1384" t="s">
        <v>125</v>
      </c>
      <c r="C1384" t="s">
        <v>470</v>
      </c>
      <c r="D1384" t="s">
        <v>470</v>
      </c>
      <c r="E1384">
        <v>5910</v>
      </c>
      <c r="F1384" t="s">
        <v>124</v>
      </c>
      <c r="G1384">
        <v>1686</v>
      </c>
      <c r="H1384" t="s">
        <v>137</v>
      </c>
      <c r="I1384">
        <v>2021</v>
      </c>
      <c r="J1384">
        <v>2021</v>
      </c>
      <c r="K1384" t="s">
        <v>339</v>
      </c>
      <c r="L1384">
        <v>7383.57</v>
      </c>
    </row>
    <row r="1385" spans="1:18" x14ac:dyDescent="0.3">
      <c r="A1385" t="s">
        <v>126</v>
      </c>
      <c r="B1385" t="s">
        <v>125</v>
      </c>
      <c r="C1385" t="s">
        <v>470</v>
      </c>
      <c r="D1385" t="s">
        <v>470</v>
      </c>
      <c r="E1385">
        <v>5510</v>
      </c>
      <c r="F1385" t="s">
        <v>128</v>
      </c>
      <c r="G1385">
        <v>1660</v>
      </c>
      <c r="H1385" t="s">
        <v>136</v>
      </c>
      <c r="I1385">
        <v>2021</v>
      </c>
      <c r="J1385">
        <v>2021</v>
      </c>
      <c r="L1385">
        <v>0</v>
      </c>
    </row>
    <row r="1386" spans="1:18" x14ac:dyDescent="0.3">
      <c r="A1386" t="s">
        <v>126</v>
      </c>
      <c r="B1386" t="s">
        <v>125</v>
      </c>
      <c r="C1386" t="s">
        <v>470</v>
      </c>
      <c r="D1386" t="s">
        <v>470</v>
      </c>
      <c r="E1386">
        <v>5610</v>
      </c>
      <c r="F1386" t="s">
        <v>127</v>
      </c>
      <c r="G1386">
        <v>1660</v>
      </c>
      <c r="H1386" t="s">
        <v>136</v>
      </c>
      <c r="I1386">
        <v>2021</v>
      </c>
      <c r="J1386">
        <v>2021</v>
      </c>
      <c r="L1386">
        <v>0</v>
      </c>
    </row>
    <row r="1387" spans="1:18" x14ac:dyDescent="0.3">
      <c r="A1387" t="s">
        <v>126</v>
      </c>
      <c r="B1387" t="s">
        <v>125</v>
      </c>
      <c r="C1387" t="s">
        <v>470</v>
      </c>
      <c r="D1387" t="s">
        <v>470</v>
      </c>
      <c r="E1387">
        <v>5910</v>
      </c>
      <c r="F1387" t="s">
        <v>124</v>
      </c>
      <c r="G1387">
        <v>1660</v>
      </c>
      <c r="H1387" t="s">
        <v>136</v>
      </c>
      <c r="I1387">
        <v>2021</v>
      </c>
      <c r="J1387">
        <v>2021</v>
      </c>
      <c r="L1387">
        <v>0</v>
      </c>
    </row>
    <row r="1388" spans="1:18" x14ac:dyDescent="0.3">
      <c r="A1388" t="s">
        <v>126</v>
      </c>
      <c r="B1388" t="s">
        <v>125</v>
      </c>
      <c r="C1388" t="s">
        <v>470</v>
      </c>
      <c r="D1388" t="s">
        <v>470</v>
      </c>
      <c r="E1388">
        <v>5510</v>
      </c>
      <c r="F1388" t="s">
        <v>128</v>
      </c>
      <c r="G1388">
        <v>1661</v>
      </c>
      <c r="H1388" t="s">
        <v>135</v>
      </c>
      <c r="I1388">
        <v>2021</v>
      </c>
      <c r="J1388">
        <v>2021</v>
      </c>
      <c r="L1388">
        <v>0</v>
      </c>
    </row>
    <row r="1389" spans="1:18" x14ac:dyDescent="0.3">
      <c r="A1389" t="s">
        <v>126</v>
      </c>
      <c r="B1389" t="s">
        <v>125</v>
      </c>
      <c r="C1389" t="s">
        <v>470</v>
      </c>
      <c r="D1389" t="s">
        <v>470</v>
      </c>
      <c r="E1389">
        <v>5610</v>
      </c>
      <c r="F1389" t="s">
        <v>127</v>
      </c>
      <c r="G1389">
        <v>1661</v>
      </c>
      <c r="H1389" t="s">
        <v>135</v>
      </c>
      <c r="I1389">
        <v>2021</v>
      </c>
      <c r="J1389">
        <v>2021</v>
      </c>
      <c r="L1389">
        <v>0</v>
      </c>
    </row>
    <row r="1390" spans="1:18" x14ac:dyDescent="0.3">
      <c r="A1390" t="s">
        <v>126</v>
      </c>
      <c r="B1390" t="s">
        <v>125</v>
      </c>
      <c r="C1390" t="s">
        <v>470</v>
      </c>
      <c r="D1390" t="s">
        <v>470</v>
      </c>
      <c r="E1390">
        <v>5910</v>
      </c>
      <c r="F1390" t="s">
        <v>124</v>
      </c>
      <c r="G1390">
        <v>1661</v>
      </c>
      <c r="H1390" t="s">
        <v>135</v>
      </c>
      <c r="I1390">
        <v>2021</v>
      </c>
      <c r="J1390">
        <v>2021</v>
      </c>
      <c r="L1390">
        <v>0</v>
      </c>
    </row>
    <row r="1391" spans="1:18" x14ac:dyDescent="0.3">
      <c r="A1391" t="s">
        <v>126</v>
      </c>
      <c r="B1391" t="s">
        <v>125</v>
      </c>
      <c r="C1391" t="s">
        <v>470</v>
      </c>
      <c r="D1391" t="s">
        <v>470</v>
      </c>
      <c r="E1391">
        <v>5510</v>
      </c>
      <c r="F1391" t="s">
        <v>128</v>
      </c>
      <c r="G1391">
        <v>1667</v>
      </c>
      <c r="H1391" t="s">
        <v>96</v>
      </c>
      <c r="I1391">
        <v>2021</v>
      </c>
      <c r="J1391">
        <v>2021</v>
      </c>
      <c r="K1391" t="s">
        <v>339</v>
      </c>
      <c r="L1391">
        <v>1676000</v>
      </c>
      <c r="O1391">
        <v>1508400</v>
      </c>
      <c r="P1391">
        <v>1.5084</v>
      </c>
      <c r="Q1391" t="s">
        <v>793</v>
      </c>
      <c r="R1391" s="141">
        <v>0.9</v>
      </c>
    </row>
    <row r="1392" spans="1:18" x14ac:dyDescent="0.3">
      <c r="A1392" t="s">
        <v>126</v>
      </c>
      <c r="B1392" t="s">
        <v>125</v>
      </c>
      <c r="C1392" t="s">
        <v>470</v>
      </c>
      <c r="D1392" t="s">
        <v>470</v>
      </c>
      <c r="E1392">
        <v>5610</v>
      </c>
      <c r="F1392" t="s">
        <v>127</v>
      </c>
      <c r="G1392">
        <v>1667</v>
      </c>
      <c r="H1392" t="s">
        <v>96</v>
      </c>
      <c r="I1392">
        <v>2021</v>
      </c>
      <c r="J1392">
        <v>2021</v>
      </c>
      <c r="K1392" t="s">
        <v>339</v>
      </c>
      <c r="L1392">
        <v>1229099.48</v>
      </c>
      <c r="O1392">
        <v>553094.76600000006</v>
      </c>
      <c r="P1392">
        <v>0.55309476600000007</v>
      </c>
      <c r="Q1392" t="s">
        <v>794</v>
      </c>
      <c r="R1392" s="141">
        <v>0.9</v>
      </c>
    </row>
    <row r="1393" spans="1:18" x14ac:dyDescent="0.3">
      <c r="A1393" t="s">
        <v>126</v>
      </c>
      <c r="B1393" t="s">
        <v>125</v>
      </c>
      <c r="C1393" t="s">
        <v>470</v>
      </c>
      <c r="D1393" t="s">
        <v>470</v>
      </c>
      <c r="E1393">
        <v>5910</v>
      </c>
      <c r="F1393" t="s">
        <v>124</v>
      </c>
      <c r="G1393">
        <v>1667</v>
      </c>
      <c r="H1393" t="s">
        <v>96</v>
      </c>
      <c r="I1393">
        <v>2021</v>
      </c>
      <c r="J1393">
        <v>2021</v>
      </c>
      <c r="K1393" t="s">
        <v>339</v>
      </c>
      <c r="L1393">
        <v>1998902.63</v>
      </c>
      <c r="O1393">
        <v>899506.18349999993</v>
      </c>
      <c r="P1393">
        <v>0.89950618349999989</v>
      </c>
      <c r="Q1393" t="s">
        <v>795</v>
      </c>
      <c r="R1393" s="141">
        <v>0.9</v>
      </c>
    </row>
    <row r="1394" spans="1:18" x14ac:dyDescent="0.3">
      <c r="A1394" t="s">
        <v>126</v>
      </c>
      <c r="B1394" t="s">
        <v>125</v>
      </c>
      <c r="C1394" t="s">
        <v>470</v>
      </c>
      <c r="D1394" t="s">
        <v>470</v>
      </c>
      <c r="E1394">
        <v>5510</v>
      </c>
      <c r="F1394" t="s">
        <v>128</v>
      </c>
      <c r="G1394">
        <v>1668</v>
      </c>
      <c r="H1394" t="s">
        <v>95</v>
      </c>
      <c r="I1394">
        <v>2021</v>
      </c>
      <c r="J1394">
        <v>2021</v>
      </c>
      <c r="K1394" t="s">
        <v>339</v>
      </c>
      <c r="L1394">
        <v>818500</v>
      </c>
      <c r="O1394">
        <v>736650</v>
      </c>
      <c r="P1394">
        <v>0.73664999999999992</v>
      </c>
      <c r="Q1394" t="s">
        <v>796</v>
      </c>
      <c r="R1394" s="141">
        <v>0.9</v>
      </c>
    </row>
    <row r="1395" spans="1:18" x14ac:dyDescent="0.3">
      <c r="A1395" t="s">
        <v>126</v>
      </c>
      <c r="B1395" t="s">
        <v>125</v>
      </c>
      <c r="C1395" t="s">
        <v>470</v>
      </c>
      <c r="D1395" t="s">
        <v>470</v>
      </c>
      <c r="E1395">
        <v>5610</v>
      </c>
      <c r="F1395" t="s">
        <v>127</v>
      </c>
      <c r="G1395">
        <v>1668</v>
      </c>
      <c r="H1395" t="s">
        <v>95</v>
      </c>
      <c r="I1395">
        <v>2021</v>
      </c>
      <c r="J1395">
        <v>2021</v>
      </c>
      <c r="K1395" t="s">
        <v>339</v>
      </c>
      <c r="L1395">
        <v>54377.87</v>
      </c>
      <c r="O1395">
        <v>24470.041500000003</v>
      </c>
      <c r="P1395">
        <v>2.4470041500000001E-2</v>
      </c>
      <c r="Q1395" t="s">
        <v>797</v>
      </c>
      <c r="R1395" s="141">
        <v>0.9</v>
      </c>
    </row>
    <row r="1396" spans="1:18" x14ac:dyDescent="0.3">
      <c r="A1396" t="s">
        <v>126</v>
      </c>
      <c r="B1396" t="s">
        <v>125</v>
      </c>
      <c r="C1396" t="s">
        <v>470</v>
      </c>
      <c r="D1396" t="s">
        <v>470</v>
      </c>
      <c r="E1396">
        <v>5910</v>
      </c>
      <c r="F1396" t="s">
        <v>124</v>
      </c>
      <c r="G1396">
        <v>1668</v>
      </c>
      <c r="H1396" t="s">
        <v>95</v>
      </c>
      <c r="I1396">
        <v>2021</v>
      </c>
      <c r="J1396">
        <v>2021</v>
      </c>
      <c r="K1396" t="s">
        <v>339</v>
      </c>
      <c r="L1396">
        <v>60390.59</v>
      </c>
      <c r="O1396">
        <v>27175.765499999998</v>
      </c>
      <c r="P1396">
        <v>2.7175765499999997E-2</v>
      </c>
      <c r="Q1396" t="s">
        <v>798</v>
      </c>
      <c r="R1396" s="141">
        <v>0.9</v>
      </c>
    </row>
    <row r="1397" spans="1:18" x14ac:dyDescent="0.3">
      <c r="A1397" t="s">
        <v>126</v>
      </c>
      <c r="B1397" t="s">
        <v>125</v>
      </c>
      <c r="C1397" t="s">
        <v>470</v>
      </c>
      <c r="D1397" t="s">
        <v>470</v>
      </c>
      <c r="E1397">
        <v>5510</v>
      </c>
      <c r="F1397" t="s">
        <v>128</v>
      </c>
      <c r="G1397">
        <v>1609</v>
      </c>
      <c r="H1397" t="s">
        <v>94</v>
      </c>
      <c r="I1397">
        <v>2021</v>
      </c>
      <c r="J1397">
        <v>2021</v>
      </c>
      <c r="L1397">
        <v>0</v>
      </c>
      <c r="O1397">
        <v>0</v>
      </c>
      <c r="P1397">
        <v>0</v>
      </c>
      <c r="Q1397" t="s">
        <v>799</v>
      </c>
      <c r="R1397" s="141">
        <v>0.9</v>
      </c>
    </row>
    <row r="1398" spans="1:18" x14ac:dyDescent="0.3">
      <c r="A1398" t="s">
        <v>126</v>
      </c>
      <c r="B1398" t="s">
        <v>125</v>
      </c>
      <c r="C1398" t="s">
        <v>470</v>
      </c>
      <c r="D1398" t="s">
        <v>470</v>
      </c>
      <c r="E1398">
        <v>5610</v>
      </c>
      <c r="F1398" t="s">
        <v>127</v>
      </c>
      <c r="G1398">
        <v>1609</v>
      </c>
      <c r="H1398" t="s">
        <v>94</v>
      </c>
      <c r="I1398">
        <v>2021</v>
      </c>
      <c r="J1398">
        <v>2021</v>
      </c>
      <c r="K1398" t="s">
        <v>339</v>
      </c>
      <c r="L1398">
        <v>101965.92</v>
      </c>
      <c r="O1398">
        <v>45884.663999999997</v>
      </c>
      <c r="P1398">
        <v>4.5884663999999992E-2</v>
      </c>
      <c r="Q1398" t="s">
        <v>800</v>
      </c>
      <c r="R1398" s="141">
        <v>0.9</v>
      </c>
    </row>
    <row r="1399" spans="1:18" x14ac:dyDescent="0.3">
      <c r="A1399" t="s">
        <v>126</v>
      </c>
      <c r="B1399" t="s">
        <v>125</v>
      </c>
      <c r="C1399" t="s">
        <v>470</v>
      </c>
      <c r="D1399" t="s">
        <v>470</v>
      </c>
      <c r="E1399">
        <v>5910</v>
      </c>
      <c r="F1399" t="s">
        <v>124</v>
      </c>
      <c r="G1399">
        <v>1609</v>
      </c>
      <c r="H1399" t="s">
        <v>94</v>
      </c>
      <c r="I1399">
        <v>2021</v>
      </c>
      <c r="J1399">
        <v>2021</v>
      </c>
      <c r="K1399" t="s">
        <v>339</v>
      </c>
      <c r="L1399">
        <v>2347967.16</v>
      </c>
      <c r="O1399">
        <v>1056585.2220000001</v>
      </c>
      <c r="P1399">
        <v>1.056585222</v>
      </c>
      <c r="Q1399" t="s">
        <v>801</v>
      </c>
      <c r="R1399" s="141">
        <v>0.9</v>
      </c>
    </row>
    <row r="1400" spans="1:18" x14ac:dyDescent="0.3">
      <c r="A1400" t="s">
        <v>126</v>
      </c>
      <c r="B1400" t="s">
        <v>125</v>
      </c>
      <c r="C1400" t="s">
        <v>470</v>
      </c>
      <c r="D1400" t="s">
        <v>470</v>
      </c>
      <c r="E1400">
        <v>5510</v>
      </c>
      <c r="F1400" t="s">
        <v>128</v>
      </c>
      <c r="G1400">
        <v>1669</v>
      </c>
      <c r="H1400" t="s">
        <v>134</v>
      </c>
      <c r="I1400">
        <v>2021</v>
      </c>
      <c r="J1400">
        <v>2021</v>
      </c>
      <c r="K1400" t="s">
        <v>339</v>
      </c>
      <c r="L1400">
        <v>19104092</v>
      </c>
      <c r="O1400">
        <v>16716080.5</v>
      </c>
      <c r="P1400">
        <v>16.7160805</v>
      </c>
      <c r="Q1400" t="s">
        <v>802</v>
      </c>
      <c r="R1400" s="141">
        <v>0.875</v>
      </c>
    </row>
    <row r="1401" spans="1:18" x14ac:dyDescent="0.3">
      <c r="A1401" t="s">
        <v>126</v>
      </c>
      <c r="B1401" t="s">
        <v>125</v>
      </c>
      <c r="C1401" t="s">
        <v>470</v>
      </c>
      <c r="D1401" t="s">
        <v>470</v>
      </c>
      <c r="E1401">
        <v>5610</v>
      </c>
      <c r="F1401" t="s">
        <v>127</v>
      </c>
      <c r="G1401">
        <v>1669</v>
      </c>
      <c r="H1401" t="s">
        <v>134</v>
      </c>
      <c r="I1401">
        <v>2021</v>
      </c>
      <c r="J1401">
        <v>2021</v>
      </c>
      <c r="K1401" t="s">
        <v>339</v>
      </c>
      <c r="L1401">
        <v>13954181.059999999</v>
      </c>
      <c r="O1401">
        <v>6104954.2137499992</v>
      </c>
      <c r="P1401">
        <v>6.1049542137499992</v>
      </c>
      <c r="Q1401" t="s">
        <v>803</v>
      </c>
      <c r="R1401" s="141">
        <v>0.875</v>
      </c>
    </row>
    <row r="1402" spans="1:18" x14ac:dyDescent="0.3">
      <c r="A1402" t="s">
        <v>126</v>
      </c>
      <c r="B1402" t="s">
        <v>125</v>
      </c>
      <c r="C1402" t="s">
        <v>470</v>
      </c>
      <c r="D1402" t="s">
        <v>470</v>
      </c>
      <c r="E1402">
        <v>5910</v>
      </c>
      <c r="F1402" t="s">
        <v>124</v>
      </c>
      <c r="G1402">
        <v>1669</v>
      </c>
      <c r="H1402" t="s">
        <v>134</v>
      </c>
      <c r="I1402">
        <v>2021</v>
      </c>
      <c r="J1402">
        <v>2021</v>
      </c>
      <c r="K1402" t="s">
        <v>339</v>
      </c>
      <c r="L1402">
        <v>1208095.0999999999</v>
      </c>
      <c r="O1402">
        <v>528541.60624999995</v>
      </c>
      <c r="P1402">
        <v>0.52854160624999991</v>
      </c>
      <c r="Q1402" t="s">
        <v>804</v>
      </c>
      <c r="R1402" s="141">
        <v>0.875</v>
      </c>
    </row>
    <row r="1403" spans="1:18" x14ac:dyDescent="0.3">
      <c r="A1403" t="s">
        <v>126</v>
      </c>
      <c r="B1403" t="s">
        <v>125</v>
      </c>
      <c r="C1403" t="s">
        <v>470</v>
      </c>
      <c r="D1403" t="s">
        <v>470</v>
      </c>
      <c r="E1403">
        <v>5510</v>
      </c>
      <c r="F1403" t="s">
        <v>128</v>
      </c>
      <c r="G1403">
        <v>1671</v>
      </c>
      <c r="H1403" t="s">
        <v>89</v>
      </c>
      <c r="I1403">
        <v>2021</v>
      </c>
      <c r="J1403">
        <v>2021</v>
      </c>
      <c r="K1403" t="s">
        <v>339</v>
      </c>
      <c r="L1403">
        <v>1380491</v>
      </c>
      <c r="O1403">
        <v>1311466.45</v>
      </c>
      <c r="P1403">
        <v>1.31146645</v>
      </c>
      <c r="Q1403" t="s">
        <v>805</v>
      </c>
      <c r="R1403" s="141">
        <v>0.95</v>
      </c>
    </row>
    <row r="1404" spans="1:18" x14ac:dyDescent="0.3">
      <c r="A1404" t="s">
        <v>126</v>
      </c>
      <c r="B1404" t="s">
        <v>125</v>
      </c>
      <c r="C1404" t="s">
        <v>470</v>
      </c>
      <c r="D1404" t="s">
        <v>470</v>
      </c>
      <c r="E1404">
        <v>5610</v>
      </c>
      <c r="F1404" t="s">
        <v>127</v>
      </c>
      <c r="G1404">
        <v>1671</v>
      </c>
      <c r="H1404" t="s">
        <v>89</v>
      </c>
      <c r="I1404">
        <v>2021</v>
      </c>
      <c r="J1404">
        <v>2021</v>
      </c>
      <c r="K1404" t="s">
        <v>339</v>
      </c>
      <c r="L1404">
        <v>247946.19</v>
      </c>
      <c r="O1404">
        <v>117774.44025</v>
      </c>
      <c r="P1404">
        <v>0.11777444025</v>
      </c>
      <c r="Q1404" t="s">
        <v>806</v>
      </c>
      <c r="R1404" s="141">
        <v>0.95</v>
      </c>
    </row>
    <row r="1405" spans="1:18" x14ac:dyDescent="0.3">
      <c r="A1405" t="s">
        <v>126</v>
      </c>
      <c r="B1405" t="s">
        <v>125</v>
      </c>
      <c r="C1405" t="s">
        <v>470</v>
      </c>
      <c r="D1405" t="s">
        <v>470</v>
      </c>
      <c r="E1405">
        <v>5910</v>
      </c>
      <c r="F1405" t="s">
        <v>124</v>
      </c>
      <c r="G1405">
        <v>1671</v>
      </c>
      <c r="H1405" t="s">
        <v>89</v>
      </c>
      <c r="I1405">
        <v>2021</v>
      </c>
      <c r="J1405">
        <v>2021</v>
      </c>
      <c r="K1405" t="s">
        <v>339</v>
      </c>
      <c r="L1405">
        <v>137419.41</v>
      </c>
      <c r="O1405">
        <v>65274.219749999997</v>
      </c>
      <c r="P1405">
        <v>6.5274219749999987E-2</v>
      </c>
      <c r="Q1405" t="s">
        <v>807</v>
      </c>
      <c r="R1405" s="141">
        <v>0.95</v>
      </c>
    </row>
    <row r="1406" spans="1:18" x14ac:dyDescent="0.3">
      <c r="A1406" t="s">
        <v>126</v>
      </c>
      <c r="B1406" t="s">
        <v>125</v>
      </c>
      <c r="C1406" t="s">
        <v>470</v>
      </c>
      <c r="D1406" t="s">
        <v>470</v>
      </c>
      <c r="E1406">
        <v>5510</v>
      </c>
      <c r="F1406" t="s">
        <v>128</v>
      </c>
      <c r="G1406">
        <v>1674</v>
      </c>
      <c r="H1406" t="s">
        <v>88</v>
      </c>
      <c r="I1406">
        <v>2021</v>
      </c>
      <c r="J1406">
        <v>2021</v>
      </c>
      <c r="K1406" t="s">
        <v>339</v>
      </c>
      <c r="L1406">
        <v>8653000</v>
      </c>
      <c r="O1406">
        <v>8220350</v>
      </c>
      <c r="P1406">
        <v>8.2203499999999998</v>
      </c>
      <c r="Q1406" t="s">
        <v>808</v>
      </c>
      <c r="R1406" s="141">
        <v>0.95</v>
      </c>
    </row>
    <row r="1407" spans="1:18" x14ac:dyDescent="0.3">
      <c r="A1407" t="s">
        <v>126</v>
      </c>
      <c r="B1407" t="s">
        <v>125</v>
      </c>
      <c r="C1407" t="s">
        <v>470</v>
      </c>
      <c r="D1407" t="s">
        <v>470</v>
      </c>
      <c r="E1407">
        <v>5610</v>
      </c>
      <c r="F1407" t="s">
        <v>127</v>
      </c>
      <c r="G1407">
        <v>1674</v>
      </c>
      <c r="H1407" t="s">
        <v>88</v>
      </c>
      <c r="I1407">
        <v>2021</v>
      </c>
      <c r="J1407">
        <v>2021</v>
      </c>
      <c r="K1407" t="s">
        <v>339</v>
      </c>
      <c r="L1407">
        <v>3980150.91</v>
      </c>
      <c r="O1407">
        <v>1890571.6822500001</v>
      </c>
      <c r="P1407">
        <v>1.8905716822500001</v>
      </c>
      <c r="Q1407" t="s">
        <v>809</v>
      </c>
      <c r="R1407" s="141">
        <v>0.95</v>
      </c>
    </row>
    <row r="1408" spans="1:18" x14ac:dyDescent="0.3">
      <c r="A1408" t="s">
        <v>126</v>
      </c>
      <c r="B1408" t="s">
        <v>125</v>
      </c>
      <c r="C1408" t="s">
        <v>470</v>
      </c>
      <c r="D1408" t="s">
        <v>470</v>
      </c>
      <c r="E1408">
        <v>5910</v>
      </c>
      <c r="F1408" t="s">
        <v>124</v>
      </c>
      <c r="G1408">
        <v>1674</v>
      </c>
      <c r="H1408" t="s">
        <v>88</v>
      </c>
      <c r="I1408">
        <v>2021</v>
      </c>
      <c r="J1408">
        <v>2021</v>
      </c>
      <c r="K1408" t="s">
        <v>339</v>
      </c>
      <c r="L1408">
        <v>5730019.46</v>
      </c>
      <c r="O1408">
        <v>2721759.2434999999</v>
      </c>
      <c r="P1408">
        <v>2.7217592434999998</v>
      </c>
      <c r="Q1408" t="s">
        <v>810</v>
      </c>
      <c r="R1408" s="141">
        <v>0.95</v>
      </c>
    </row>
    <row r="1409" spans="1:18" x14ac:dyDescent="0.3">
      <c r="A1409" t="s">
        <v>126</v>
      </c>
      <c r="B1409" t="s">
        <v>125</v>
      </c>
      <c r="C1409" t="s">
        <v>470</v>
      </c>
      <c r="D1409" t="s">
        <v>470</v>
      </c>
      <c r="E1409">
        <v>5510</v>
      </c>
      <c r="F1409" t="s">
        <v>128</v>
      </c>
      <c r="G1409">
        <v>1612</v>
      </c>
      <c r="H1409" t="s">
        <v>133</v>
      </c>
      <c r="I1409">
        <v>2021</v>
      </c>
      <c r="J1409">
        <v>2021</v>
      </c>
      <c r="K1409" t="s">
        <v>339</v>
      </c>
      <c r="L1409">
        <v>563000</v>
      </c>
    </row>
    <row r="1410" spans="1:18" x14ac:dyDescent="0.3">
      <c r="A1410" t="s">
        <v>126</v>
      </c>
      <c r="B1410" t="s">
        <v>125</v>
      </c>
      <c r="C1410" t="s">
        <v>470</v>
      </c>
      <c r="D1410" t="s">
        <v>470</v>
      </c>
      <c r="E1410">
        <v>5610</v>
      </c>
      <c r="F1410" t="s">
        <v>127</v>
      </c>
      <c r="G1410">
        <v>1612</v>
      </c>
      <c r="H1410" t="s">
        <v>133</v>
      </c>
      <c r="I1410">
        <v>2021</v>
      </c>
      <c r="J1410">
        <v>2021</v>
      </c>
      <c r="K1410" t="s">
        <v>339</v>
      </c>
      <c r="L1410">
        <v>150338.85999999999</v>
      </c>
    </row>
    <row r="1411" spans="1:18" x14ac:dyDescent="0.3">
      <c r="A1411" t="s">
        <v>126</v>
      </c>
      <c r="B1411" t="s">
        <v>125</v>
      </c>
      <c r="C1411" t="s">
        <v>470</v>
      </c>
      <c r="D1411" t="s">
        <v>470</v>
      </c>
      <c r="E1411">
        <v>5910</v>
      </c>
      <c r="F1411" t="s">
        <v>124</v>
      </c>
      <c r="G1411">
        <v>1612</v>
      </c>
      <c r="H1411" t="s">
        <v>133</v>
      </c>
      <c r="I1411">
        <v>2021</v>
      </c>
      <c r="J1411">
        <v>2021</v>
      </c>
      <c r="K1411" t="s">
        <v>339</v>
      </c>
      <c r="L1411">
        <v>15595.83</v>
      </c>
    </row>
    <row r="1412" spans="1:18" x14ac:dyDescent="0.3">
      <c r="A1412" t="s">
        <v>126</v>
      </c>
      <c r="B1412" t="s">
        <v>125</v>
      </c>
      <c r="C1412" t="s">
        <v>470</v>
      </c>
      <c r="D1412" t="s">
        <v>470</v>
      </c>
      <c r="E1412">
        <v>5510</v>
      </c>
      <c r="F1412" t="s">
        <v>128</v>
      </c>
      <c r="G1412">
        <v>1615</v>
      </c>
      <c r="H1412" t="s">
        <v>132</v>
      </c>
      <c r="I1412">
        <v>2021</v>
      </c>
      <c r="J1412">
        <v>2021</v>
      </c>
      <c r="K1412" t="s">
        <v>339</v>
      </c>
      <c r="L1412">
        <v>4701000</v>
      </c>
    </row>
    <row r="1413" spans="1:18" x14ac:dyDescent="0.3">
      <c r="A1413" t="s">
        <v>126</v>
      </c>
      <c r="B1413" t="s">
        <v>125</v>
      </c>
      <c r="C1413" t="s">
        <v>470</v>
      </c>
      <c r="D1413" t="s">
        <v>470</v>
      </c>
      <c r="E1413">
        <v>5610</v>
      </c>
      <c r="F1413" t="s">
        <v>127</v>
      </c>
      <c r="G1413">
        <v>1615</v>
      </c>
      <c r="H1413" t="s">
        <v>132</v>
      </c>
      <c r="I1413">
        <v>2021</v>
      </c>
      <c r="J1413">
        <v>2021</v>
      </c>
      <c r="K1413" t="s">
        <v>339</v>
      </c>
      <c r="L1413">
        <v>2342330.35</v>
      </c>
    </row>
    <row r="1414" spans="1:18" x14ac:dyDescent="0.3">
      <c r="A1414" t="s">
        <v>126</v>
      </c>
      <c r="B1414" t="s">
        <v>125</v>
      </c>
      <c r="C1414" t="s">
        <v>470</v>
      </c>
      <c r="D1414" t="s">
        <v>470</v>
      </c>
      <c r="E1414">
        <v>5910</v>
      </c>
      <c r="F1414" t="s">
        <v>124</v>
      </c>
      <c r="G1414">
        <v>1615</v>
      </c>
      <c r="H1414" t="s">
        <v>132</v>
      </c>
      <c r="I1414">
        <v>2021</v>
      </c>
      <c r="J1414">
        <v>2021</v>
      </c>
      <c r="K1414" t="s">
        <v>339</v>
      </c>
      <c r="L1414">
        <v>4269164.75</v>
      </c>
    </row>
    <row r="1415" spans="1:18" x14ac:dyDescent="0.3">
      <c r="A1415" t="s">
        <v>126</v>
      </c>
      <c r="B1415" t="s">
        <v>125</v>
      </c>
      <c r="C1415" t="s">
        <v>470</v>
      </c>
      <c r="D1415" t="s">
        <v>470</v>
      </c>
      <c r="E1415">
        <v>5510</v>
      </c>
      <c r="F1415" t="s">
        <v>128</v>
      </c>
      <c r="G1415">
        <v>1616</v>
      </c>
      <c r="H1415" t="s">
        <v>131</v>
      </c>
      <c r="I1415">
        <v>2021</v>
      </c>
      <c r="J1415">
        <v>2021</v>
      </c>
      <c r="K1415" t="s">
        <v>339</v>
      </c>
      <c r="L1415">
        <v>3359000</v>
      </c>
    </row>
    <row r="1416" spans="1:18" x14ac:dyDescent="0.3">
      <c r="A1416" t="s">
        <v>126</v>
      </c>
      <c r="B1416" t="s">
        <v>125</v>
      </c>
      <c r="C1416" t="s">
        <v>470</v>
      </c>
      <c r="D1416" t="s">
        <v>470</v>
      </c>
      <c r="E1416">
        <v>5610</v>
      </c>
      <c r="F1416" t="s">
        <v>127</v>
      </c>
      <c r="G1416">
        <v>1616</v>
      </c>
      <c r="H1416" t="s">
        <v>131</v>
      </c>
      <c r="I1416">
        <v>2021</v>
      </c>
      <c r="J1416">
        <v>2021</v>
      </c>
      <c r="K1416" t="s">
        <v>339</v>
      </c>
      <c r="L1416">
        <v>1487251.7</v>
      </c>
    </row>
    <row r="1417" spans="1:18" x14ac:dyDescent="0.3">
      <c r="A1417" t="s">
        <v>126</v>
      </c>
      <c r="B1417" t="s">
        <v>125</v>
      </c>
      <c r="C1417" t="s">
        <v>470</v>
      </c>
      <c r="D1417" t="s">
        <v>470</v>
      </c>
      <c r="E1417">
        <v>5910</v>
      </c>
      <c r="F1417" t="s">
        <v>124</v>
      </c>
      <c r="G1417">
        <v>1616</v>
      </c>
      <c r="H1417" t="s">
        <v>131</v>
      </c>
      <c r="I1417">
        <v>2021</v>
      </c>
      <c r="J1417">
        <v>2021</v>
      </c>
      <c r="K1417" t="s">
        <v>339</v>
      </c>
      <c r="L1417">
        <v>1445258.87</v>
      </c>
    </row>
    <row r="1418" spans="1:18" x14ac:dyDescent="0.3">
      <c r="A1418" t="s">
        <v>126</v>
      </c>
      <c r="B1418" t="s">
        <v>125</v>
      </c>
      <c r="C1418" t="s">
        <v>470</v>
      </c>
      <c r="D1418" t="s">
        <v>470</v>
      </c>
      <c r="E1418">
        <v>5510</v>
      </c>
      <c r="F1418" t="s">
        <v>128</v>
      </c>
      <c r="G1418">
        <v>1675</v>
      </c>
      <c r="H1418" t="s">
        <v>87</v>
      </c>
      <c r="I1418">
        <v>2021</v>
      </c>
      <c r="J1418">
        <v>2021</v>
      </c>
      <c r="K1418" t="s">
        <v>339</v>
      </c>
      <c r="L1418">
        <v>24010378</v>
      </c>
    </row>
    <row r="1419" spans="1:18" x14ac:dyDescent="0.3">
      <c r="A1419" t="s">
        <v>126</v>
      </c>
      <c r="B1419" t="s">
        <v>125</v>
      </c>
      <c r="C1419" t="s">
        <v>470</v>
      </c>
      <c r="D1419" t="s">
        <v>470</v>
      </c>
      <c r="E1419">
        <v>5610</v>
      </c>
      <c r="F1419" t="s">
        <v>127</v>
      </c>
      <c r="G1419">
        <v>1675</v>
      </c>
      <c r="H1419" t="s">
        <v>87</v>
      </c>
      <c r="I1419">
        <v>2021</v>
      </c>
      <c r="J1419">
        <v>2021</v>
      </c>
      <c r="K1419" t="s">
        <v>339</v>
      </c>
      <c r="L1419">
        <v>7203299.1899999995</v>
      </c>
    </row>
    <row r="1420" spans="1:18" x14ac:dyDescent="0.3">
      <c r="A1420" t="s">
        <v>126</v>
      </c>
      <c r="B1420" t="s">
        <v>125</v>
      </c>
      <c r="C1420" t="s">
        <v>470</v>
      </c>
      <c r="D1420" t="s">
        <v>470</v>
      </c>
      <c r="E1420">
        <v>5910</v>
      </c>
      <c r="F1420" t="s">
        <v>124</v>
      </c>
      <c r="G1420">
        <v>1675</v>
      </c>
      <c r="H1420" t="s">
        <v>87</v>
      </c>
      <c r="I1420">
        <v>2021</v>
      </c>
      <c r="J1420">
        <v>2021</v>
      </c>
      <c r="K1420" t="s">
        <v>339</v>
      </c>
      <c r="L1420">
        <v>6078955.4200000009</v>
      </c>
    </row>
    <row r="1421" spans="1:18" x14ac:dyDescent="0.3">
      <c r="A1421" t="s">
        <v>126</v>
      </c>
      <c r="B1421" t="s">
        <v>125</v>
      </c>
      <c r="C1421" t="s">
        <v>470</v>
      </c>
      <c r="D1421" t="s">
        <v>470</v>
      </c>
      <c r="E1421">
        <v>5510</v>
      </c>
      <c r="F1421" t="s">
        <v>128</v>
      </c>
      <c r="G1421">
        <v>1676</v>
      </c>
      <c r="H1421" t="s">
        <v>86</v>
      </c>
      <c r="I1421">
        <v>2021</v>
      </c>
      <c r="J1421">
        <v>2021</v>
      </c>
      <c r="K1421" t="s">
        <v>339</v>
      </c>
      <c r="L1421">
        <v>2039712</v>
      </c>
      <c r="O1421">
        <v>1937726.4</v>
      </c>
      <c r="P1421">
        <v>1.9377263999999998</v>
      </c>
      <c r="Q1421" t="s">
        <v>811</v>
      </c>
      <c r="R1421" s="141">
        <v>0.95</v>
      </c>
    </row>
    <row r="1422" spans="1:18" x14ac:dyDescent="0.3">
      <c r="A1422" t="s">
        <v>126</v>
      </c>
      <c r="B1422" t="s">
        <v>125</v>
      </c>
      <c r="C1422" t="s">
        <v>470</v>
      </c>
      <c r="D1422" t="s">
        <v>470</v>
      </c>
      <c r="E1422">
        <v>5610</v>
      </c>
      <c r="F1422" t="s">
        <v>127</v>
      </c>
      <c r="G1422">
        <v>1676</v>
      </c>
      <c r="H1422" t="s">
        <v>86</v>
      </c>
      <c r="I1422">
        <v>2021</v>
      </c>
      <c r="J1422">
        <v>2021</v>
      </c>
      <c r="K1422" t="s">
        <v>339</v>
      </c>
      <c r="L1422">
        <v>351404.51</v>
      </c>
      <c r="O1422">
        <v>166917.14225</v>
      </c>
      <c r="P1422">
        <v>0.16691714224999998</v>
      </c>
      <c r="Q1422" t="s">
        <v>812</v>
      </c>
      <c r="R1422" s="141">
        <v>0.95</v>
      </c>
    </row>
    <row r="1423" spans="1:18" x14ac:dyDescent="0.3">
      <c r="A1423" t="s">
        <v>126</v>
      </c>
      <c r="B1423" t="s">
        <v>125</v>
      </c>
      <c r="C1423" t="s">
        <v>470</v>
      </c>
      <c r="D1423" t="s">
        <v>470</v>
      </c>
      <c r="E1423">
        <v>5910</v>
      </c>
      <c r="F1423" t="s">
        <v>124</v>
      </c>
      <c r="G1423">
        <v>1676</v>
      </c>
      <c r="H1423" t="s">
        <v>86</v>
      </c>
      <c r="I1423">
        <v>2021</v>
      </c>
      <c r="J1423">
        <v>2021</v>
      </c>
      <c r="K1423" t="s">
        <v>339</v>
      </c>
      <c r="L1423">
        <v>665697.87</v>
      </c>
      <c r="O1423">
        <v>316206.48824999999</v>
      </c>
      <c r="P1423">
        <v>0.31620648824999997</v>
      </c>
      <c r="Q1423" t="s">
        <v>813</v>
      </c>
      <c r="R1423" s="141">
        <v>0.95</v>
      </c>
    </row>
    <row r="1424" spans="1:18" x14ac:dyDescent="0.3">
      <c r="A1424" t="s">
        <v>126</v>
      </c>
      <c r="B1424" t="s">
        <v>125</v>
      </c>
      <c r="C1424" t="s">
        <v>470</v>
      </c>
      <c r="D1424" t="s">
        <v>470</v>
      </c>
      <c r="E1424">
        <v>5510</v>
      </c>
      <c r="F1424" t="s">
        <v>128</v>
      </c>
      <c r="G1424">
        <v>1681</v>
      </c>
      <c r="H1424" t="s">
        <v>130</v>
      </c>
      <c r="I1424">
        <v>2021</v>
      </c>
      <c r="J1424">
        <v>2021</v>
      </c>
      <c r="L1424">
        <v>0</v>
      </c>
    </row>
    <row r="1425" spans="1:18" x14ac:dyDescent="0.3">
      <c r="A1425" t="s">
        <v>126</v>
      </c>
      <c r="B1425" t="s">
        <v>125</v>
      </c>
      <c r="C1425" t="s">
        <v>470</v>
      </c>
      <c r="D1425" t="s">
        <v>470</v>
      </c>
      <c r="E1425">
        <v>5610</v>
      </c>
      <c r="F1425" t="s">
        <v>127</v>
      </c>
      <c r="G1425">
        <v>1681</v>
      </c>
      <c r="H1425" t="s">
        <v>130</v>
      </c>
      <c r="I1425">
        <v>2021</v>
      </c>
      <c r="J1425">
        <v>2021</v>
      </c>
      <c r="L1425">
        <v>0</v>
      </c>
    </row>
    <row r="1426" spans="1:18" x14ac:dyDescent="0.3">
      <c r="A1426" t="s">
        <v>126</v>
      </c>
      <c r="B1426" t="s">
        <v>125</v>
      </c>
      <c r="C1426" t="s">
        <v>470</v>
      </c>
      <c r="D1426" t="s">
        <v>470</v>
      </c>
      <c r="E1426">
        <v>5910</v>
      </c>
      <c r="F1426" t="s">
        <v>124</v>
      </c>
      <c r="G1426">
        <v>1681</v>
      </c>
      <c r="H1426" t="s">
        <v>130</v>
      </c>
      <c r="I1426">
        <v>2021</v>
      </c>
      <c r="J1426">
        <v>2021</v>
      </c>
      <c r="L1426">
        <v>0</v>
      </c>
    </row>
    <row r="1427" spans="1:18" x14ac:dyDescent="0.3">
      <c r="A1427" t="s">
        <v>126</v>
      </c>
      <c r="B1427" t="s">
        <v>125</v>
      </c>
      <c r="C1427" t="s">
        <v>470</v>
      </c>
      <c r="D1427" t="s">
        <v>470</v>
      </c>
      <c r="E1427">
        <v>5510</v>
      </c>
      <c r="F1427" t="s">
        <v>128</v>
      </c>
      <c r="G1427">
        <v>1617</v>
      </c>
      <c r="H1427" t="s">
        <v>85</v>
      </c>
      <c r="I1427">
        <v>2021</v>
      </c>
      <c r="J1427">
        <v>2021</v>
      </c>
      <c r="K1427" t="s">
        <v>339</v>
      </c>
      <c r="L1427">
        <v>14590500</v>
      </c>
      <c r="O1427">
        <v>13860975</v>
      </c>
      <c r="P1427">
        <v>13.860975</v>
      </c>
      <c r="Q1427" t="s">
        <v>814</v>
      </c>
      <c r="R1427" s="141">
        <v>0.95</v>
      </c>
    </row>
    <row r="1428" spans="1:18" x14ac:dyDescent="0.3">
      <c r="A1428" t="s">
        <v>126</v>
      </c>
      <c r="B1428" t="s">
        <v>125</v>
      </c>
      <c r="C1428" t="s">
        <v>470</v>
      </c>
      <c r="D1428" t="s">
        <v>470</v>
      </c>
      <c r="E1428">
        <v>5610</v>
      </c>
      <c r="F1428" t="s">
        <v>127</v>
      </c>
      <c r="G1428">
        <v>1617</v>
      </c>
      <c r="H1428" t="s">
        <v>85</v>
      </c>
      <c r="I1428">
        <v>2021</v>
      </c>
      <c r="J1428">
        <v>2021</v>
      </c>
      <c r="K1428" t="s">
        <v>339</v>
      </c>
      <c r="L1428">
        <v>2691366.7399999998</v>
      </c>
      <c r="O1428">
        <v>1278399.2014999997</v>
      </c>
      <c r="P1428">
        <v>1.2783992014999996</v>
      </c>
      <c r="Q1428" t="s">
        <v>815</v>
      </c>
      <c r="R1428" s="141">
        <v>0.95</v>
      </c>
    </row>
    <row r="1429" spans="1:18" x14ac:dyDescent="0.3">
      <c r="A1429" t="s">
        <v>126</v>
      </c>
      <c r="B1429" t="s">
        <v>125</v>
      </c>
      <c r="C1429" t="s">
        <v>470</v>
      </c>
      <c r="D1429" t="s">
        <v>470</v>
      </c>
      <c r="E1429">
        <v>5910</v>
      </c>
      <c r="F1429" t="s">
        <v>124</v>
      </c>
      <c r="G1429">
        <v>1617</v>
      </c>
      <c r="H1429" t="s">
        <v>85</v>
      </c>
      <c r="I1429">
        <v>2021</v>
      </c>
      <c r="J1429">
        <v>2021</v>
      </c>
      <c r="K1429" t="s">
        <v>339</v>
      </c>
      <c r="L1429">
        <v>3504823.53</v>
      </c>
      <c r="O1429">
        <v>1664791.1767499999</v>
      </c>
      <c r="P1429">
        <v>1.6647911767499999</v>
      </c>
      <c r="Q1429" t="s">
        <v>816</v>
      </c>
      <c r="R1429" s="141">
        <v>0.95</v>
      </c>
    </row>
    <row r="1430" spans="1:18" x14ac:dyDescent="0.3">
      <c r="A1430" t="s">
        <v>126</v>
      </c>
      <c r="B1430" t="s">
        <v>125</v>
      </c>
      <c r="C1430" t="s">
        <v>470</v>
      </c>
      <c r="D1430" t="s">
        <v>470</v>
      </c>
      <c r="E1430">
        <v>5510</v>
      </c>
      <c r="F1430" t="s">
        <v>128</v>
      </c>
      <c r="G1430">
        <v>1618</v>
      </c>
      <c r="H1430" t="s">
        <v>84</v>
      </c>
      <c r="I1430">
        <v>2021</v>
      </c>
      <c r="J1430">
        <v>2021</v>
      </c>
      <c r="K1430" t="s">
        <v>339</v>
      </c>
      <c r="L1430">
        <v>4558000</v>
      </c>
      <c r="O1430">
        <v>4330100</v>
      </c>
      <c r="P1430">
        <v>4.3300999999999998</v>
      </c>
      <c r="Q1430" t="s">
        <v>817</v>
      </c>
      <c r="R1430" s="141">
        <v>0.95</v>
      </c>
    </row>
    <row r="1431" spans="1:18" x14ac:dyDescent="0.3">
      <c r="A1431" t="s">
        <v>126</v>
      </c>
      <c r="B1431" t="s">
        <v>125</v>
      </c>
      <c r="C1431" t="s">
        <v>470</v>
      </c>
      <c r="D1431" t="s">
        <v>470</v>
      </c>
      <c r="E1431">
        <v>5610</v>
      </c>
      <c r="F1431" t="s">
        <v>127</v>
      </c>
      <c r="G1431">
        <v>1618</v>
      </c>
      <c r="H1431" t="s">
        <v>84</v>
      </c>
      <c r="I1431">
        <v>2021</v>
      </c>
      <c r="J1431">
        <v>2021</v>
      </c>
      <c r="K1431" t="s">
        <v>339</v>
      </c>
      <c r="L1431">
        <v>2694209.4099999997</v>
      </c>
      <c r="O1431">
        <v>1279749.4697499997</v>
      </c>
      <c r="P1431">
        <v>1.2797494697499996</v>
      </c>
      <c r="Q1431" t="s">
        <v>818</v>
      </c>
      <c r="R1431" s="141">
        <v>0.95</v>
      </c>
    </row>
    <row r="1432" spans="1:18" x14ac:dyDescent="0.3">
      <c r="A1432" t="s">
        <v>126</v>
      </c>
      <c r="B1432" t="s">
        <v>125</v>
      </c>
      <c r="C1432" t="s">
        <v>470</v>
      </c>
      <c r="D1432" t="s">
        <v>470</v>
      </c>
      <c r="E1432">
        <v>5910</v>
      </c>
      <c r="F1432" t="s">
        <v>124</v>
      </c>
      <c r="G1432">
        <v>1618</v>
      </c>
      <c r="H1432" t="s">
        <v>84</v>
      </c>
      <c r="I1432">
        <v>2021</v>
      </c>
      <c r="J1432">
        <v>2021</v>
      </c>
      <c r="K1432" t="s">
        <v>339</v>
      </c>
      <c r="L1432">
        <v>1211273.29</v>
      </c>
      <c r="O1432">
        <v>575354.81275000004</v>
      </c>
      <c r="P1432">
        <v>0.57535481275</v>
      </c>
      <c r="Q1432" t="s">
        <v>819</v>
      </c>
      <c r="R1432" s="141">
        <v>0.95</v>
      </c>
    </row>
    <row r="1433" spans="1:18" x14ac:dyDescent="0.3">
      <c r="A1433" t="s">
        <v>126</v>
      </c>
      <c r="B1433" t="s">
        <v>125</v>
      </c>
      <c r="C1433" t="s">
        <v>470</v>
      </c>
      <c r="D1433" t="s">
        <v>470</v>
      </c>
      <c r="E1433">
        <v>5510</v>
      </c>
      <c r="F1433" t="s">
        <v>128</v>
      </c>
      <c r="G1433">
        <v>1621</v>
      </c>
      <c r="H1433" t="s">
        <v>129</v>
      </c>
      <c r="I1433">
        <v>2021</v>
      </c>
      <c r="J1433">
        <v>2021</v>
      </c>
      <c r="K1433" t="s">
        <v>339</v>
      </c>
      <c r="L1433">
        <v>421180</v>
      </c>
      <c r="O1433">
        <v>400121</v>
      </c>
      <c r="P1433">
        <v>0.400121</v>
      </c>
      <c r="Q1433" t="s">
        <v>820</v>
      </c>
      <c r="R1433" s="141">
        <v>0.95</v>
      </c>
    </row>
    <row r="1434" spans="1:18" x14ac:dyDescent="0.3">
      <c r="A1434" t="s">
        <v>126</v>
      </c>
      <c r="B1434" t="s">
        <v>125</v>
      </c>
      <c r="C1434" t="s">
        <v>470</v>
      </c>
      <c r="D1434" t="s">
        <v>470</v>
      </c>
      <c r="E1434">
        <v>5610</v>
      </c>
      <c r="F1434" t="s">
        <v>127</v>
      </c>
      <c r="G1434">
        <v>1621</v>
      </c>
      <c r="H1434" t="s">
        <v>129</v>
      </c>
      <c r="I1434">
        <v>2021</v>
      </c>
      <c r="J1434">
        <v>2021</v>
      </c>
      <c r="K1434" t="s">
        <v>339</v>
      </c>
      <c r="L1434">
        <v>1046858.63</v>
      </c>
      <c r="O1434">
        <v>497257.84924999997</v>
      </c>
      <c r="P1434">
        <v>0.49725784924999994</v>
      </c>
      <c r="Q1434" t="s">
        <v>821</v>
      </c>
      <c r="R1434" s="141">
        <v>0.95</v>
      </c>
    </row>
    <row r="1435" spans="1:18" x14ac:dyDescent="0.3">
      <c r="A1435" t="s">
        <v>126</v>
      </c>
      <c r="B1435" t="s">
        <v>125</v>
      </c>
      <c r="C1435" t="s">
        <v>470</v>
      </c>
      <c r="D1435" t="s">
        <v>470</v>
      </c>
      <c r="E1435">
        <v>5910</v>
      </c>
      <c r="F1435" t="s">
        <v>124</v>
      </c>
      <c r="G1435">
        <v>1621</v>
      </c>
      <c r="H1435" t="s">
        <v>129</v>
      </c>
      <c r="I1435">
        <v>2021</v>
      </c>
      <c r="J1435">
        <v>2021</v>
      </c>
      <c r="K1435" t="s">
        <v>339</v>
      </c>
      <c r="L1435">
        <v>455251.02999999997</v>
      </c>
      <c r="O1435">
        <v>216244.23924999998</v>
      </c>
      <c r="P1435">
        <v>0.21624423924999997</v>
      </c>
      <c r="Q1435" t="s">
        <v>822</v>
      </c>
      <c r="R1435" s="141">
        <v>0.95</v>
      </c>
    </row>
    <row r="1436" spans="1:18" x14ac:dyDescent="0.3">
      <c r="A1436" t="s">
        <v>126</v>
      </c>
      <c r="B1436" t="s">
        <v>125</v>
      </c>
      <c r="C1436" t="s">
        <v>470</v>
      </c>
      <c r="D1436" t="s">
        <v>470</v>
      </c>
      <c r="E1436">
        <v>5510</v>
      </c>
      <c r="F1436" t="s">
        <v>128</v>
      </c>
      <c r="G1436">
        <v>1622</v>
      </c>
      <c r="H1436" t="s">
        <v>83</v>
      </c>
      <c r="I1436">
        <v>2021</v>
      </c>
      <c r="J1436">
        <v>2021</v>
      </c>
      <c r="K1436" t="s">
        <v>339</v>
      </c>
      <c r="L1436">
        <v>1158000</v>
      </c>
      <c r="O1436">
        <v>1100100</v>
      </c>
      <c r="P1436">
        <v>1.1000999999999999</v>
      </c>
      <c r="Q1436" t="s">
        <v>823</v>
      </c>
      <c r="R1436" s="141">
        <v>0.95</v>
      </c>
    </row>
    <row r="1437" spans="1:18" x14ac:dyDescent="0.3">
      <c r="A1437" t="s">
        <v>126</v>
      </c>
      <c r="B1437" t="s">
        <v>125</v>
      </c>
      <c r="C1437" t="s">
        <v>470</v>
      </c>
      <c r="D1437" t="s">
        <v>470</v>
      </c>
      <c r="E1437">
        <v>5610</v>
      </c>
      <c r="F1437" t="s">
        <v>127</v>
      </c>
      <c r="G1437">
        <v>1622</v>
      </c>
      <c r="H1437" t="s">
        <v>83</v>
      </c>
      <c r="I1437">
        <v>2021</v>
      </c>
      <c r="J1437">
        <v>2021</v>
      </c>
      <c r="K1437" t="s">
        <v>339</v>
      </c>
      <c r="L1437">
        <v>188055.08000000002</v>
      </c>
      <c r="O1437">
        <v>89326.163</v>
      </c>
      <c r="P1437">
        <v>8.9326163E-2</v>
      </c>
      <c r="Q1437" t="s">
        <v>824</v>
      </c>
      <c r="R1437" s="141">
        <v>0.95</v>
      </c>
    </row>
    <row r="1438" spans="1:18" x14ac:dyDescent="0.3">
      <c r="A1438" t="s">
        <v>126</v>
      </c>
      <c r="B1438" t="s">
        <v>125</v>
      </c>
      <c r="C1438" t="s">
        <v>470</v>
      </c>
      <c r="D1438" t="s">
        <v>470</v>
      </c>
      <c r="E1438">
        <v>5910</v>
      </c>
      <c r="F1438" t="s">
        <v>124</v>
      </c>
      <c r="G1438">
        <v>1622</v>
      </c>
      <c r="H1438" t="s">
        <v>83</v>
      </c>
      <c r="I1438">
        <v>2021</v>
      </c>
      <c r="J1438">
        <v>2021</v>
      </c>
      <c r="K1438" t="s">
        <v>339</v>
      </c>
      <c r="L1438">
        <v>117803.46</v>
      </c>
      <c r="O1438">
        <v>55956.643499999998</v>
      </c>
      <c r="P1438">
        <v>5.5956643499999993E-2</v>
      </c>
      <c r="Q1438" t="s">
        <v>825</v>
      </c>
      <c r="R1438" s="141">
        <v>0.95</v>
      </c>
    </row>
    <row r="1439" spans="1:18" x14ac:dyDescent="0.3">
      <c r="A1439" t="s">
        <v>126</v>
      </c>
      <c r="B1439" t="s">
        <v>125</v>
      </c>
      <c r="C1439" t="s">
        <v>470</v>
      </c>
      <c r="D1439" t="s">
        <v>470</v>
      </c>
      <c r="E1439">
        <v>5510</v>
      </c>
      <c r="F1439" t="s">
        <v>128</v>
      </c>
      <c r="G1439">
        <v>1683</v>
      </c>
      <c r="H1439" t="s">
        <v>123</v>
      </c>
      <c r="I1439">
        <v>2021</v>
      </c>
      <c r="J1439">
        <v>2021</v>
      </c>
      <c r="K1439" t="s">
        <v>339</v>
      </c>
      <c r="L1439">
        <v>1242986</v>
      </c>
      <c r="O1439">
        <v>1180836.7</v>
      </c>
      <c r="P1439">
        <v>1.1808367</v>
      </c>
      <c r="Q1439" t="s">
        <v>826</v>
      </c>
      <c r="R1439" s="141">
        <v>0.95</v>
      </c>
    </row>
    <row r="1440" spans="1:18" x14ac:dyDescent="0.3">
      <c r="A1440" t="s">
        <v>126</v>
      </c>
      <c r="B1440" t="s">
        <v>125</v>
      </c>
      <c r="C1440" t="s">
        <v>470</v>
      </c>
      <c r="D1440" t="s">
        <v>470</v>
      </c>
      <c r="E1440">
        <v>5610</v>
      </c>
      <c r="F1440" t="s">
        <v>127</v>
      </c>
      <c r="G1440">
        <v>1683</v>
      </c>
      <c r="H1440" t="s">
        <v>123</v>
      </c>
      <c r="I1440">
        <v>2021</v>
      </c>
      <c r="J1440">
        <v>2021</v>
      </c>
      <c r="K1440" t="s">
        <v>339</v>
      </c>
      <c r="L1440">
        <v>231342.82</v>
      </c>
      <c r="O1440">
        <v>109887.8395</v>
      </c>
      <c r="P1440">
        <v>0.1098878395</v>
      </c>
      <c r="Q1440" t="s">
        <v>827</v>
      </c>
      <c r="R1440" s="141">
        <v>0.95</v>
      </c>
    </row>
    <row r="1441" spans="1:18" x14ac:dyDescent="0.3">
      <c r="A1441" t="s">
        <v>126</v>
      </c>
      <c r="B1441" t="s">
        <v>125</v>
      </c>
      <c r="C1441" t="s">
        <v>470</v>
      </c>
      <c r="D1441" t="s">
        <v>470</v>
      </c>
      <c r="E1441">
        <v>5910</v>
      </c>
      <c r="F1441" t="s">
        <v>124</v>
      </c>
      <c r="G1441">
        <v>1683</v>
      </c>
      <c r="H1441" t="s">
        <v>123</v>
      </c>
      <c r="I1441">
        <v>2021</v>
      </c>
      <c r="J1441">
        <v>2021</v>
      </c>
      <c r="K1441" t="s">
        <v>339</v>
      </c>
      <c r="L1441">
        <v>124106.26999999999</v>
      </c>
      <c r="O1441">
        <v>58950.478249999993</v>
      </c>
      <c r="P1441">
        <v>5.8950478249999994E-2</v>
      </c>
      <c r="Q1441" t="s">
        <v>828</v>
      </c>
      <c r="R1441" s="141">
        <v>0.95</v>
      </c>
    </row>
    <row r="1442" spans="1:18" x14ac:dyDescent="0.3">
      <c r="A1442" t="s">
        <v>126</v>
      </c>
      <c r="B1442" t="s">
        <v>125</v>
      </c>
      <c r="C1442" t="s">
        <v>471</v>
      </c>
      <c r="D1442" t="s">
        <v>471</v>
      </c>
      <c r="E1442">
        <v>5516</v>
      </c>
      <c r="F1442" t="s">
        <v>128</v>
      </c>
      <c r="G1442">
        <v>1627</v>
      </c>
      <c r="H1442" t="s">
        <v>121</v>
      </c>
      <c r="I1442">
        <v>2021</v>
      </c>
      <c r="J1442">
        <v>2021</v>
      </c>
      <c r="K1442" t="s">
        <v>143</v>
      </c>
      <c r="L1442">
        <v>23509623</v>
      </c>
      <c r="O1442">
        <v>10044486.426750001</v>
      </c>
      <c r="P1442">
        <v>10.04448642675</v>
      </c>
      <c r="Q1442" t="s">
        <v>724</v>
      </c>
      <c r="R1442" s="141">
        <v>0.42725000000000002</v>
      </c>
    </row>
    <row r="1443" spans="1:18" x14ac:dyDescent="0.3">
      <c r="A1443" t="s">
        <v>126</v>
      </c>
      <c r="B1443" t="s">
        <v>125</v>
      </c>
      <c r="C1443" t="s">
        <v>471</v>
      </c>
      <c r="D1443" t="s">
        <v>471</v>
      </c>
      <c r="E1443">
        <v>5616</v>
      </c>
      <c r="F1443" t="s">
        <v>127</v>
      </c>
      <c r="G1443">
        <v>1627</v>
      </c>
      <c r="H1443" t="s">
        <v>121</v>
      </c>
      <c r="I1443">
        <v>2021</v>
      </c>
      <c r="J1443">
        <v>2021</v>
      </c>
      <c r="K1443" t="s">
        <v>143</v>
      </c>
      <c r="L1443">
        <v>6290</v>
      </c>
      <c r="O1443">
        <v>2149.922</v>
      </c>
      <c r="P1443">
        <v>2.1499219999999999E-3</v>
      </c>
      <c r="Q1443" t="s">
        <v>725</v>
      </c>
      <c r="R1443" s="141">
        <v>0.42725000000000002</v>
      </c>
    </row>
    <row r="1444" spans="1:18" x14ac:dyDescent="0.3">
      <c r="A1444" t="s">
        <v>126</v>
      </c>
      <c r="B1444" t="s">
        <v>125</v>
      </c>
      <c r="C1444" t="s">
        <v>471</v>
      </c>
      <c r="D1444" t="s">
        <v>471</v>
      </c>
      <c r="E1444">
        <v>5916</v>
      </c>
      <c r="F1444" t="s">
        <v>124</v>
      </c>
      <c r="G1444">
        <v>1627</v>
      </c>
      <c r="H1444" t="s">
        <v>121</v>
      </c>
      <c r="I1444">
        <v>2021</v>
      </c>
      <c r="J1444">
        <v>2021</v>
      </c>
      <c r="K1444" t="s">
        <v>143</v>
      </c>
      <c r="L1444">
        <v>262223</v>
      </c>
      <c r="O1444">
        <v>89627.821400000015</v>
      </c>
      <c r="P1444">
        <v>8.9627821400000016E-2</v>
      </c>
      <c r="Q1444" t="s">
        <v>726</v>
      </c>
      <c r="R1444" s="141">
        <v>0.42725000000000002</v>
      </c>
    </row>
    <row r="1445" spans="1:18" x14ac:dyDescent="0.3">
      <c r="A1445" t="s">
        <v>126</v>
      </c>
      <c r="B1445" t="s">
        <v>125</v>
      </c>
      <c r="C1445" t="s">
        <v>471</v>
      </c>
      <c r="D1445" t="s">
        <v>471</v>
      </c>
      <c r="E1445">
        <v>5516</v>
      </c>
      <c r="F1445" t="s">
        <v>128</v>
      </c>
      <c r="G1445">
        <v>1628</v>
      </c>
      <c r="H1445" t="s">
        <v>120</v>
      </c>
      <c r="I1445">
        <v>2021</v>
      </c>
      <c r="J1445">
        <v>2021</v>
      </c>
      <c r="K1445" t="s">
        <v>143</v>
      </c>
      <c r="L1445">
        <v>17545332</v>
      </c>
      <c r="O1445">
        <v>14036265.600000001</v>
      </c>
      <c r="P1445">
        <v>14.0362656</v>
      </c>
      <c r="Q1445" t="s">
        <v>727</v>
      </c>
      <c r="R1445" s="141">
        <v>0.8</v>
      </c>
    </row>
    <row r="1446" spans="1:18" x14ac:dyDescent="0.3">
      <c r="A1446" t="s">
        <v>126</v>
      </c>
      <c r="B1446" t="s">
        <v>125</v>
      </c>
      <c r="C1446" t="s">
        <v>471</v>
      </c>
      <c r="D1446" t="s">
        <v>471</v>
      </c>
      <c r="E1446">
        <v>5616</v>
      </c>
      <c r="F1446" t="s">
        <v>127</v>
      </c>
      <c r="G1446">
        <v>1628</v>
      </c>
      <c r="H1446" t="s">
        <v>120</v>
      </c>
      <c r="I1446">
        <v>2021</v>
      </c>
      <c r="J1446">
        <v>2021</v>
      </c>
      <c r="K1446" t="s">
        <v>143</v>
      </c>
      <c r="L1446">
        <v>42293</v>
      </c>
      <c r="O1446">
        <v>27067.520000000004</v>
      </c>
      <c r="P1446">
        <v>2.7067520000000001E-2</v>
      </c>
      <c r="Q1446" t="s">
        <v>728</v>
      </c>
      <c r="R1446" s="141">
        <v>0.8</v>
      </c>
    </row>
    <row r="1447" spans="1:18" x14ac:dyDescent="0.3">
      <c r="A1447" t="s">
        <v>126</v>
      </c>
      <c r="B1447" t="s">
        <v>125</v>
      </c>
      <c r="C1447" t="s">
        <v>471</v>
      </c>
      <c r="D1447" t="s">
        <v>471</v>
      </c>
      <c r="E1447">
        <v>5916</v>
      </c>
      <c r="F1447" t="s">
        <v>124</v>
      </c>
      <c r="G1447">
        <v>1628</v>
      </c>
      <c r="H1447" t="s">
        <v>120</v>
      </c>
      <c r="I1447">
        <v>2021</v>
      </c>
      <c r="J1447">
        <v>2021</v>
      </c>
      <c r="K1447" t="s">
        <v>143</v>
      </c>
      <c r="L1447">
        <v>528325</v>
      </c>
      <c r="O1447">
        <v>338128</v>
      </c>
      <c r="P1447">
        <v>0.33812799999999998</v>
      </c>
      <c r="Q1447" t="s">
        <v>729</v>
      </c>
      <c r="R1447" s="141">
        <v>0.8</v>
      </c>
    </row>
    <row r="1448" spans="1:18" x14ac:dyDescent="0.3">
      <c r="A1448" t="s">
        <v>126</v>
      </c>
      <c r="B1448" t="s">
        <v>125</v>
      </c>
      <c r="C1448" t="s">
        <v>471</v>
      </c>
      <c r="D1448" t="s">
        <v>471</v>
      </c>
      <c r="E1448">
        <v>5616</v>
      </c>
      <c r="F1448" t="s">
        <v>127</v>
      </c>
      <c r="G1448">
        <v>1629</v>
      </c>
      <c r="H1448" t="s">
        <v>160</v>
      </c>
      <c r="I1448">
        <v>2021</v>
      </c>
      <c r="J1448">
        <v>2021</v>
      </c>
      <c r="L1448">
        <v>0</v>
      </c>
    </row>
    <row r="1449" spans="1:18" x14ac:dyDescent="0.3">
      <c r="A1449" t="s">
        <v>126</v>
      </c>
      <c r="B1449" t="s">
        <v>125</v>
      </c>
      <c r="C1449" t="s">
        <v>471</v>
      </c>
      <c r="D1449" t="s">
        <v>471</v>
      </c>
      <c r="E1449">
        <v>5916</v>
      </c>
      <c r="F1449" t="s">
        <v>124</v>
      </c>
      <c r="G1449">
        <v>1629</v>
      </c>
      <c r="H1449" t="s">
        <v>160</v>
      </c>
      <c r="I1449">
        <v>2021</v>
      </c>
      <c r="J1449">
        <v>2021</v>
      </c>
      <c r="L1449">
        <v>0</v>
      </c>
    </row>
    <row r="1450" spans="1:18" x14ac:dyDescent="0.3">
      <c r="A1450" t="s">
        <v>126</v>
      </c>
      <c r="B1450" t="s">
        <v>125</v>
      </c>
      <c r="C1450" t="s">
        <v>471</v>
      </c>
      <c r="D1450" t="s">
        <v>471</v>
      </c>
      <c r="E1450">
        <v>5616</v>
      </c>
      <c r="F1450" t="s">
        <v>127</v>
      </c>
      <c r="G1450">
        <v>1651</v>
      </c>
      <c r="H1450" t="s">
        <v>159</v>
      </c>
      <c r="I1450">
        <v>2021</v>
      </c>
      <c r="J1450">
        <v>2021</v>
      </c>
      <c r="K1450" t="s">
        <v>143</v>
      </c>
      <c r="L1450">
        <v>452448</v>
      </c>
      <c r="O1450">
        <v>150212.736</v>
      </c>
      <c r="P1450">
        <v>0.15021273599999999</v>
      </c>
      <c r="Q1450" t="s">
        <v>730</v>
      </c>
      <c r="R1450" s="141">
        <v>0.41499999999999998</v>
      </c>
    </row>
    <row r="1451" spans="1:18" x14ac:dyDescent="0.3">
      <c r="A1451" t="s">
        <v>126</v>
      </c>
      <c r="B1451" t="s">
        <v>125</v>
      </c>
      <c r="C1451" t="s">
        <v>471</v>
      </c>
      <c r="D1451" t="s">
        <v>471</v>
      </c>
      <c r="E1451">
        <v>5916</v>
      </c>
      <c r="F1451" t="s">
        <v>124</v>
      </c>
      <c r="G1451">
        <v>1651</v>
      </c>
      <c r="H1451" t="s">
        <v>159</v>
      </c>
      <c r="I1451">
        <v>2021</v>
      </c>
      <c r="J1451">
        <v>2021</v>
      </c>
      <c r="K1451" t="s">
        <v>143</v>
      </c>
      <c r="L1451">
        <v>8569483</v>
      </c>
      <c r="O1451">
        <v>2845068.3560000001</v>
      </c>
      <c r="P1451">
        <v>2.8450683560000001</v>
      </c>
      <c r="Q1451" t="s">
        <v>731</v>
      </c>
      <c r="R1451" s="141">
        <v>0.41499999999999998</v>
      </c>
    </row>
    <row r="1452" spans="1:18" x14ac:dyDescent="0.3">
      <c r="A1452" t="s">
        <v>126</v>
      </c>
      <c r="B1452" t="s">
        <v>125</v>
      </c>
      <c r="C1452" t="s">
        <v>471</v>
      </c>
      <c r="D1452" t="s">
        <v>471</v>
      </c>
      <c r="E1452">
        <v>5616</v>
      </c>
      <c r="F1452" t="s">
        <v>127</v>
      </c>
      <c r="G1452">
        <v>1657</v>
      </c>
      <c r="H1452" t="s">
        <v>158</v>
      </c>
      <c r="I1452">
        <v>2021</v>
      </c>
      <c r="J1452">
        <v>2021</v>
      </c>
      <c r="K1452" t="s">
        <v>143</v>
      </c>
      <c r="L1452">
        <v>675</v>
      </c>
      <c r="O1452">
        <v>298.62000000000006</v>
      </c>
      <c r="P1452">
        <v>2.9862000000000004E-4</v>
      </c>
      <c r="Q1452" t="s">
        <v>732</v>
      </c>
      <c r="R1452" s="141">
        <v>0.55300000000000005</v>
      </c>
    </row>
    <row r="1453" spans="1:18" x14ac:dyDescent="0.3">
      <c r="A1453" t="s">
        <v>126</v>
      </c>
      <c r="B1453" t="s">
        <v>125</v>
      </c>
      <c r="C1453" t="s">
        <v>471</v>
      </c>
      <c r="D1453" t="s">
        <v>471</v>
      </c>
      <c r="E1453">
        <v>5916</v>
      </c>
      <c r="F1453" t="s">
        <v>124</v>
      </c>
      <c r="G1453">
        <v>1657</v>
      </c>
      <c r="H1453" t="s">
        <v>158</v>
      </c>
      <c r="I1453">
        <v>2021</v>
      </c>
      <c r="J1453">
        <v>2021</v>
      </c>
      <c r="K1453" t="s">
        <v>143</v>
      </c>
      <c r="L1453">
        <v>30</v>
      </c>
      <c r="O1453">
        <v>13.272</v>
      </c>
      <c r="P1453">
        <v>1.3271999999999999E-5</v>
      </c>
      <c r="Q1453" t="s">
        <v>733</v>
      </c>
      <c r="R1453" s="141">
        <v>0.55300000000000005</v>
      </c>
    </row>
    <row r="1454" spans="1:18" x14ac:dyDescent="0.3">
      <c r="A1454" t="s">
        <v>126</v>
      </c>
      <c r="B1454" t="s">
        <v>125</v>
      </c>
      <c r="C1454" t="s">
        <v>471</v>
      </c>
      <c r="D1454" t="s">
        <v>471</v>
      </c>
      <c r="E1454">
        <v>5616</v>
      </c>
      <c r="F1454" t="s">
        <v>127</v>
      </c>
      <c r="G1454">
        <v>1670</v>
      </c>
      <c r="H1454" t="s">
        <v>157</v>
      </c>
      <c r="I1454">
        <v>2021</v>
      </c>
      <c r="J1454">
        <v>2021</v>
      </c>
      <c r="K1454" t="s">
        <v>143</v>
      </c>
      <c r="L1454">
        <v>183739</v>
      </c>
      <c r="O1454">
        <v>81286.133600000016</v>
      </c>
      <c r="P1454">
        <v>8.1286133600000018E-2</v>
      </c>
      <c r="Q1454" t="s">
        <v>734</v>
      </c>
      <c r="R1454" s="141">
        <v>0.55300000000000005</v>
      </c>
    </row>
    <row r="1455" spans="1:18" x14ac:dyDescent="0.3">
      <c r="A1455" t="s">
        <v>126</v>
      </c>
      <c r="B1455" t="s">
        <v>125</v>
      </c>
      <c r="C1455" t="s">
        <v>471</v>
      </c>
      <c r="D1455" t="s">
        <v>471</v>
      </c>
      <c r="E1455">
        <v>5916</v>
      </c>
      <c r="F1455" t="s">
        <v>124</v>
      </c>
      <c r="G1455">
        <v>1670</v>
      </c>
      <c r="H1455" t="s">
        <v>157</v>
      </c>
      <c r="I1455">
        <v>2021</v>
      </c>
      <c r="J1455">
        <v>2021</v>
      </c>
      <c r="K1455" t="s">
        <v>143</v>
      </c>
      <c r="L1455">
        <v>8408392</v>
      </c>
      <c r="O1455">
        <v>3719872.6208000006</v>
      </c>
      <c r="P1455">
        <v>3.7198726208000004</v>
      </c>
      <c r="Q1455" t="s">
        <v>735</v>
      </c>
      <c r="R1455" s="141">
        <v>0.55300000000000005</v>
      </c>
    </row>
    <row r="1456" spans="1:18" x14ac:dyDescent="0.3">
      <c r="A1456" t="s">
        <v>126</v>
      </c>
      <c r="B1456" t="s">
        <v>125</v>
      </c>
      <c r="C1456" t="s">
        <v>471</v>
      </c>
      <c r="D1456" t="s">
        <v>471</v>
      </c>
      <c r="E1456">
        <v>5516</v>
      </c>
      <c r="F1456" t="s">
        <v>128</v>
      </c>
      <c r="G1456">
        <v>1601</v>
      </c>
      <c r="H1456" t="s">
        <v>119</v>
      </c>
      <c r="I1456">
        <v>2021</v>
      </c>
      <c r="J1456">
        <v>2021</v>
      </c>
      <c r="K1456" t="s">
        <v>143</v>
      </c>
      <c r="L1456">
        <v>133052604</v>
      </c>
      <c r="O1456">
        <v>55882093.68</v>
      </c>
      <c r="P1456">
        <v>55.882093679999997</v>
      </c>
      <c r="Q1456" t="s">
        <v>736</v>
      </c>
      <c r="R1456" s="141">
        <v>0.42</v>
      </c>
    </row>
    <row r="1457" spans="1:18" x14ac:dyDescent="0.3">
      <c r="A1457" t="s">
        <v>126</v>
      </c>
      <c r="B1457" t="s">
        <v>125</v>
      </c>
      <c r="C1457" t="s">
        <v>471</v>
      </c>
      <c r="D1457" t="s">
        <v>471</v>
      </c>
      <c r="E1457">
        <v>5616</v>
      </c>
      <c r="F1457" t="s">
        <v>127</v>
      </c>
      <c r="G1457">
        <v>1601</v>
      </c>
      <c r="H1457" t="s">
        <v>119</v>
      </c>
      <c r="I1457">
        <v>2021</v>
      </c>
      <c r="J1457">
        <v>2021</v>
      </c>
      <c r="L1457">
        <v>0</v>
      </c>
    </row>
    <row r="1458" spans="1:18" x14ac:dyDescent="0.3">
      <c r="A1458" t="s">
        <v>126</v>
      </c>
      <c r="B1458" t="s">
        <v>125</v>
      </c>
      <c r="C1458" t="s">
        <v>471</v>
      </c>
      <c r="D1458" t="s">
        <v>471</v>
      </c>
      <c r="E1458">
        <v>5916</v>
      </c>
      <c r="F1458" t="s">
        <v>124</v>
      </c>
      <c r="G1458">
        <v>1601</v>
      </c>
      <c r="H1458" t="s">
        <v>119</v>
      </c>
      <c r="I1458">
        <v>2021</v>
      </c>
      <c r="J1458">
        <v>2021</v>
      </c>
      <c r="L1458">
        <v>0</v>
      </c>
    </row>
    <row r="1459" spans="1:18" x14ac:dyDescent="0.3">
      <c r="A1459" t="s">
        <v>126</v>
      </c>
      <c r="B1459" t="s">
        <v>125</v>
      </c>
      <c r="C1459" t="s">
        <v>471</v>
      </c>
      <c r="D1459" t="s">
        <v>471</v>
      </c>
      <c r="E1459">
        <v>5516</v>
      </c>
      <c r="F1459" t="s">
        <v>128</v>
      </c>
      <c r="G1459">
        <v>1604</v>
      </c>
      <c r="H1459" t="s">
        <v>118</v>
      </c>
      <c r="I1459">
        <v>2021</v>
      </c>
      <c r="J1459">
        <v>2021</v>
      </c>
      <c r="K1459" t="s">
        <v>143</v>
      </c>
      <c r="L1459">
        <v>17836420</v>
      </c>
      <c r="O1459">
        <v>10933725.459999999</v>
      </c>
      <c r="P1459">
        <v>10.933725459999998</v>
      </c>
      <c r="Q1459" t="s">
        <v>737</v>
      </c>
      <c r="R1459" s="141">
        <v>0.61299999999999999</v>
      </c>
    </row>
    <row r="1460" spans="1:18" x14ac:dyDescent="0.3">
      <c r="A1460" t="s">
        <v>126</v>
      </c>
      <c r="B1460" t="s">
        <v>125</v>
      </c>
      <c r="C1460" t="s">
        <v>471</v>
      </c>
      <c r="D1460" t="s">
        <v>471</v>
      </c>
      <c r="E1460">
        <v>5616</v>
      </c>
      <c r="F1460" t="s">
        <v>127</v>
      </c>
      <c r="G1460">
        <v>1604</v>
      </c>
      <c r="H1460" t="s">
        <v>118</v>
      </c>
      <c r="I1460">
        <v>2021</v>
      </c>
      <c r="J1460">
        <v>2021</v>
      </c>
      <c r="L1460">
        <v>0</v>
      </c>
    </row>
    <row r="1461" spans="1:18" x14ac:dyDescent="0.3">
      <c r="A1461" t="s">
        <v>126</v>
      </c>
      <c r="B1461" t="s">
        <v>125</v>
      </c>
      <c r="C1461" t="s">
        <v>471</v>
      </c>
      <c r="D1461" t="s">
        <v>471</v>
      </c>
      <c r="E1461">
        <v>5916</v>
      </c>
      <c r="F1461" t="s">
        <v>124</v>
      </c>
      <c r="G1461">
        <v>1604</v>
      </c>
      <c r="H1461" t="s">
        <v>118</v>
      </c>
      <c r="I1461">
        <v>2021</v>
      </c>
      <c r="J1461">
        <v>2021</v>
      </c>
      <c r="L1461">
        <v>0</v>
      </c>
    </row>
    <row r="1462" spans="1:18" x14ac:dyDescent="0.3">
      <c r="A1462" t="s">
        <v>126</v>
      </c>
      <c r="B1462" t="s">
        <v>125</v>
      </c>
      <c r="C1462" t="s">
        <v>471</v>
      </c>
      <c r="D1462" t="s">
        <v>471</v>
      </c>
      <c r="E1462">
        <v>5516</v>
      </c>
      <c r="F1462" t="s">
        <v>128</v>
      </c>
      <c r="G1462">
        <v>1602</v>
      </c>
      <c r="H1462" t="s">
        <v>156</v>
      </c>
      <c r="I1462">
        <v>2021</v>
      </c>
      <c r="J1462">
        <v>2021</v>
      </c>
      <c r="K1462" t="s">
        <v>143</v>
      </c>
      <c r="L1462">
        <v>37889191</v>
      </c>
      <c r="O1462">
        <v>15534568.309999999</v>
      </c>
      <c r="P1462">
        <v>15.534568309999997</v>
      </c>
      <c r="Q1462" t="s">
        <v>738</v>
      </c>
      <c r="R1462" s="141">
        <v>0.41</v>
      </c>
    </row>
    <row r="1463" spans="1:18" x14ac:dyDescent="0.3">
      <c r="A1463" t="s">
        <v>126</v>
      </c>
      <c r="B1463" t="s">
        <v>125</v>
      </c>
      <c r="C1463" t="s">
        <v>471</v>
      </c>
      <c r="D1463" t="s">
        <v>471</v>
      </c>
      <c r="E1463">
        <v>5516</v>
      </c>
      <c r="F1463" t="s">
        <v>128</v>
      </c>
      <c r="G1463">
        <v>1603</v>
      </c>
      <c r="H1463" t="s">
        <v>155</v>
      </c>
      <c r="I1463">
        <v>2021</v>
      </c>
      <c r="J1463">
        <v>2021</v>
      </c>
      <c r="K1463" t="s">
        <v>143</v>
      </c>
      <c r="L1463">
        <v>17380812</v>
      </c>
      <c r="O1463">
        <v>8568740.3159999996</v>
      </c>
      <c r="P1463">
        <v>8.5687403159999995</v>
      </c>
      <c r="Q1463" t="s">
        <v>739</v>
      </c>
      <c r="R1463" s="141">
        <v>0.49299999999999999</v>
      </c>
    </row>
    <row r="1464" spans="1:18" x14ac:dyDescent="0.3">
      <c r="A1464" t="s">
        <v>126</v>
      </c>
      <c r="B1464" t="s">
        <v>125</v>
      </c>
      <c r="C1464" t="s">
        <v>471</v>
      </c>
      <c r="D1464" t="s">
        <v>471</v>
      </c>
      <c r="E1464">
        <v>5516</v>
      </c>
      <c r="F1464" t="s">
        <v>128</v>
      </c>
      <c r="G1464">
        <v>1614</v>
      </c>
      <c r="H1464" t="s">
        <v>154</v>
      </c>
      <c r="I1464">
        <v>2021</v>
      </c>
      <c r="J1464">
        <v>2021</v>
      </c>
      <c r="L1464">
        <v>0</v>
      </c>
    </row>
    <row r="1465" spans="1:18" x14ac:dyDescent="0.3">
      <c r="A1465" t="s">
        <v>126</v>
      </c>
      <c r="B1465" t="s">
        <v>125</v>
      </c>
      <c r="C1465" t="s">
        <v>471</v>
      </c>
      <c r="D1465" t="s">
        <v>471</v>
      </c>
      <c r="E1465">
        <v>5616</v>
      </c>
      <c r="F1465" t="s">
        <v>127</v>
      </c>
      <c r="G1465">
        <v>1614</v>
      </c>
      <c r="H1465" t="s">
        <v>154</v>
      </c>
      <c r="I1465">
        <v>2021</v>
      </c>
      <c r="J1465">
        <v>2021</v>
      </c>
      <c r="L1465">
        <v>0</v>
      </c>
    </row>
    <row r="1466" spans="1:18" x14ac:dyDescent="0.3">
      <c r="A1466" t="s">
        <v>126</v>
      </c>
      <c r="B1466" t="s">
        <v>125</v>
      </c>
      <c r="C1466" t="s">
        <v>471</v>
      </c>
      <c r="D1466" t="s">
        <v>471</v>
      </c>
      <c r="E1466">
        <v>5916</v>
      </c>
      <c r="F1466" t="s">
        <v>124</v>
      </c>
      <c r="G1466">
        <v>1614</v>
      </c>
      <c r="H1466" t="s">
        <v>154</v>
      </c>
      <c r="I1466">
        <v>2021</v>
      </c>
      <c r="J1466">
        <v>2021</v>
      </c>
      <c r="L1466">
        <v>0</v>
      </c>
    </row>
    <row r="1467" spans="1:18" x14ac:dyDescent="0.3">
      <c r="A1467" t="s">
        <v>126</v>
      </c>
      <c r="B1467" t="s">
        <v>125</v>
      </c>
      <c r="C1467" t="s">
        <v>471</v>
      </c>
      <c r="D1467" t="s">
        <v>471</v>
      </c>
      <c r="E1467">
        <v>5516</v>
      </c>
      <c r="F1467" t="s">
        <v>128</v>
      </c>
      <c r="G1467">
        <v>1608</v>
      </c>
      <c r="H1467" t="s">
        <v>153</v>
      </c>
      <c r="I1467">
        <v>2021</v>
      </c>
      <c r="J1467">
        <v>2021</v>
      </c>
      <c r="L1467">
        <v>0</v>
      </c>
    </row>
    <row r="1468" spans="1:18" x14ac:dyDescent="0.3">
      <c r="A1468" t="s">
        <v>126</v>
      </c>
      <c r="B1468" t="s">
        <v>125</v>
      </c>
      <c r="C1468" t="s">
        <v>471</v>
      </c>
      <c r="D1468" t="s">
        <v>471</v>
      </c>
      <c r="E1468">
        <v>5516</v>
      </c>
      <c r="F1468" t="s">
        <v>128</v>
      </c>
      <c r="G1468">
        <v>1611</v>
      </c>
      <c r="H1468" t="s">
        <v>152</v>
      </c>
      <c r="I1468">
        <v>2021</v>
      </c>
      <c r="J1468">
        <v>2021</v>
      </c>
      <c r="L1468">
        <v>0</v>
      </c>
    </row>
    <row r="1469" spans="1:18" x14ac:dyDescent="0.3">
      <c r="A1469" t="s">
        <v>126</v>
      </c>
      <c r="B1469" t="s">
        <v>125</v>
      </c>
      <c r="C1469" t="s">
        <v>471</v>
      </c>
      <c r="D1469" t="s">
        <v>471</v>
      </c>
      <c r="E1469">
        <v>5516</v>
      </c>
      <c r="F1469" t="s">
        <v>128</v>
      </c>
      <c r="G1469">
        <v>1623</v>
      </c>
      <c r="H1469" t="s">
        <v>151</v>
      </c>
      <c r="I1469">
        <v>2021</v>
      </c>
      <c r="J1469">
        <v>2021</v>
      </c>
      <c r="K1469" t="s">
        <v>143</v>
      </c>
      <c r="L1469">
        <v>10244657</v>
      </c>
      <c r="O1469">
        <v>4251532.6549999993</v>
      </c>
      <c r="P1469">
        <v>4.2515326549999992</v>
      </c>
      <c r="Q1469" t="s">
        <v>740</v>
      </c>
      <c r="R1469" s="141">
        <v>0.41499999999999998</v>
      </c>
    </row>
    <row r="1470" spans="1:18" x14ac:dyDescent="0.3">
      <c r="A1470" t="s">
        <v>126</v>
      </c>
      <c r="B1470" t="s">
        <v>125</v>
      </c>
      <c r="C1470" t="s">
        <v>471</v>
      </c>
      <c r="D1470" t="s">
        <v>471</v>
      </c>
      <c r="E1470">
        <v>5516</v>
      </c>
      <c r="F1470" t="s">
        <v>128</v>
      </c>
      <c r="G1470">
        <v>1626</v>
      </c>
      <c r="H1470" t="s">
        <v>150</v>
      </c>
      <c r="I1470">
        <v>2021</v>
      </c>
      <c r="J1470">
        <v>2021</v>
      </c>
      <c r="K1470" t="s">
        <v>143</v>
      </c>
      <c r="L1470">
        <v>11208731</v>
      </c>
      <c r="O1470">
        <v>6198428.2430000007</v>
      </c>
      <c r="P1470">
        <v>6.1984282430000004</v>
      </c>
      <c r="Q1470" t="s">
        <v>741</v>
      </c>
      <c r="R1470" s="141">
        <v>0.55300000000000005</v>
      </c>
    </row>
    <row r="1471" spans="1:18" x14ac:dyDescent="0.3">
      <c r="A1471" t="s">
        <v>126</v>
      </c>
      <c r="B1471" t="s">
        <v>125</v>
      </c>
      <c r="C1471" t="s">
        <v>471</v>
      </c>
      <c r="D1471" t="s">
        <v>471</v>
      </c>
      <c r="E1471">
        <v>5616</v>
      </c>
      <c r="F1471" t="s">
        <v>127</v>
      </c>
      <c r="G1471">
        <v>1625</v>
      </c>
      <c r="H1471" t="s">
        <v>149</v>
      </c>
      <c r="I1471">
        <v>2021</v>
      </c>
      <c r="J1471">
        <v>2021</v>
      </c>
      <c r="L1471">
        <v>0</v>
      </c>
    </row>
    <row r="1472" spans="1:18" x14ac:dyDescent="0.3">
      <c r="A1472" t="s">
        <v>126</v>
      </c>
      <c r="B1472" t="s">
        <v>125</v>
      </c>
      <c r="C1472" t="s">
        <v>471</v>
      </c>
      <c r="D1472" t="s">
        <v>471</v>
      </c>
      <c r="E1472">
        <v>5916</v>
      </c>
      <c r="F1472" t="s">
        <v>124</v>
      </c>
      <c r="G1472">
        <v>1625</v>
      </c>
      <c r="H1472" t="s">
        <v>149</v>
      </c>
      <c r="I1472">
        <v>2021</v>
      </c>
      <c r="J1472">
        <v>2021</v>
      </c>
      <c r="L1472">
        <v>0</v>
      </c>
    </row>
    <row r="1473" spans="1:18" x14ac:dyDescent="0.3">
      <c r="A1473" t="s">
        <v>126</v>
      </c>
      <c r="B1473" t="s">
        <v>125</v>
      </c>
      <c r="C1473" t="s">
        <v>471</v>
      </c>
      <c r="D1473" t="s">
        <v>471</v>
      </c>
      <c r="E1473">
        <v>5510</v>
      </c>
      <c r="F1473" t="s">
        <v>128</v>
      </c>
      <c r="G1473">
        <v>1630</v>
      </c>
      <c r="H1473" t="s">
        <v>117</v>
      </c>
      <c r="I1473">
        <v>2021</v>
      </c>
      <c r="J1473">
        <v>2021</v>
      </c>
      <c r="K1473" t="s">
        <v>339</v>
      </c>
      <c r="L1473">
        <v>226298</v>
      </c>
      <c r="O1473">
        <v>218377.57</v>
      </c>
      <c r="P1473">
        <v>0.21837756999999999</v>
      </c>
      <c r="Q1473" t="s">
        <v>742</v>
      </c>
      <c r="R1473" s="141">
        <v>0.96499999999999997</v>
      </c>
    </row>
    <row r="1474" spans="1:18" x14ac:dyDescent="0.3">
      <c r="A1474" t="s">
        <v>126</v>
      </c>
      <c r="B1474" t="s">
        <v>125</v>
      </c>
      <c r="C1474" t="s">
        <v>471</v>
      </c>
      <c r="D1474" t="s">
        <v>471</v>
      </c>
      <c r="E1474">
        <v>5510</v>
      </c>
      <c r="F1474" t="s">
        <v>128</v>
      </c>
      <c r="G1474">
        <v>1694</v>
      </c>
      <c r="H1474" t="s">
        <v>348</v>
      </c>
      <c r="I1474">
        <v>2021</v>
      </c>
      <c r="J1474">
        <v>2021</v>
      </c>
      <c r="K1474" t="s">
        <v>339</v>
      </c>
      <c r="L1474">
        <v>1429584</v>
      </c>
      <c r="O1474">
        <v>1322365.2</v>
      </c>
      <c r="P1474">
        <v>1.3223651999999999</v>
      </c>
      <c r="Q1474" t="s">
        <v>743</v>
      </c>
      <c r="R1474" s="141">
        <v>0.92500000000000004</v>
      </c>
    </row>
    <row r="1475" spans="1:18" x14ac:dyDescent="0.3">
      <c r="A1475" t="s">
        <v>126</v>
      </c>
      <c r="B1475" t="s">
        <v>125</v>
      </c>
      <c r="C1475" t="s">
        <v>471</v>
      </c>
      <c r="D1475" t="s">
        <v>471</v>
      </c>
      <c r="E1475">
        <v>5610</v>
      </c>
      <c r="F1475" t="s">
        <v>127</v>
      </c>
      <c r="G1475">
        <v>1630</v>
      </c>
      <c r="H1475" t="s">
        <v>117</v>
      </c>
      <c r="I1475">
        <v>2021</v>
      </c>
      <c r="J1475">
        <v>2021</v>
      </c>
      <c r="K1475" t="s">
        <v>339</v>
      </c>
      <c r="L1475">
        <v>27521</v>
      </c>
      <c r="O1475">
        <v>21246.212</v>
      </c>
      <c r="P1475">
        <v>2.1246211999999997E-2</v>
      </c>
      <c r="Q1475" t="s">
        <v>744</v>
      </c>
      <c r="R1475" s="141">
        <v>0.96499999999999997</v>
      </c>
    </row>
    <row r="1476" spans="1:18" x14ac:dyDescent="0.3">
      <c r="A1476" t="s">
        <v>126</v>
      </c>
      <c r="B1476" t="s">
        <v>125</v>
      </c>
      <c r="C1476" t="s">
        <v>471</v>
      </c>
      <c r="D1476" t="s">
        <v>471</v>
      </c>
      <c r="E1476">
        <v>5610</v>
      </c>
      <c r="F1476" t="s">
        <v>127</v>
      </c>
      <c r="G1476">
        <v>1694</v>
      </c>
      <c r="H1476" t="s">
        <v>348</v>
      </c>
      <c r="I1476">
        <v>2021</v>
      </c>
      <c r="J1476">
        <v>2021</v>
      </c>
      <c r="K1476" t="s">
        <v>339</v>
      </c>
      <c r="L1476">
        <v>4965</v>
      </c>
      <c r="O1476">
        <v>3674.1000000000004</v>
      </c>
      <c r="P1476">
        <v>3.6741E-3</v>
      </c>
      <c r="Q1476" t="s">
        <v>745</v>
      </c>
      <c r="R1476" s="141">
        <v>0.92500000000000004</v>
      </c>
    </row>
    <row r="1477" spans="1:18" x14ac:dyDescent="0.3">
      <c r="A1477" t="s">
        <v>126</v>
      </c>
      <c r="B1477" t="s">
        <v>125</v>
      </c>
      <c r="C1477" t="s">
        <v>471</v>
      </c>
      <c r="D1477" t="s">
        <v>471</v>
      </c>
      <c r="E1477">
        <v>5910</v>
      </c>
      <c r="F1477" t="s">
        <v>124</v>
      </c>
      <c r="G1477">
        <v>1630</v>
      </c>
      <c r="H1477" t="s">
        <v>117</v>
      </c>
      <c r="I1477">
        <v>2021</v>
      </c>
      <c r="J1477">
        <v>2021</v>
      </c>
      <c r="K1477" t="s">
        <v>339</v>
      </c>
      <c r="L1477">
        <v>228020</v>
      </c>
      <c r="O1477">
        <v>176031.44</v>
      </c>
      <c r="P1477">
        <v>0.17603143999999998</v>
      </c>
      <c r="Q1477" t="s">
        <v>746</v>
      </c>
      <c r="R1477" s="141">
        <v>0.96499999999999997</v>
      </c>
    </row>
    <row r="1478" spans="1:18" x14ac:dyDescent="0.3">
      <c r="A1478" t="s">
        <v>126</v>
      </c>
      <c r="B1478" t="s">
        <v>125</v>
      </c>
      <c r="C1478" t="s">
        <v>471</v>
      </c>
      <c r="D1478" t="s">
        <v>471</v>
      </c>
      <c r="E1478">
        <v>5910</v>
      </c>
      <c r="F1478" t="s">
        <v>124</v>
      </c>
      <c r="G1478">
        <v>1694</v>
      </c>
      <c r="H1478" t="s">
        <v>348</v>
      </c>
      <c r="I1478">
        <v>2021</v>
      </c>
      <c r="J1478">
        <v>2021</v>
      </c>
      <c r="K1478" t="s">
        <v>339</v>
      </c>
      <c r="L1478">
        <v>484836</v>
      </c>
      <c r="O1478">
        <v>358778.64000000007</v>
      </c>
      <c r="P1478">
        <v>0.35877864000000004</v>
      </c>
      <c r="Q1478" t="s">
        <v>747</v>
      </c>
      <c r="R1478" s="141">
        <v>0.92500000000000004</v>
      </c>
    </row>
    <row r="1479" spans="1:18" x14ac:dyDescent="0.3">
      <c r="A1479" t="s">
        <v>126</v>
      </c>
      <c r="B1479" t="s">
        <v>125</v>
      </c>
      <c r="C1479" t="s">
        <v>471</v>
      </c>
      <c r="D1479" t="s">
        <v>471</v>
      </c>
      <c r="E1479">
        <v>5516</v>
      </c>
      <c r="F1479" t="s">
        <v>128</v>
      </c>
      <c r="G1479">
        <v>1619</v>
      </c>
      <c r="H1479" t="s">
        <v>92</v>
      </c>
      <c r="I1479">
        <v>2021</v>
      </c>
      <c r="J1479">
        <v>2021</v>
      </c>
      <c r="K1479" t="s">
        <v>143</v>
      </c>
      <c r="L1479">
        <v>23852209</v>
      </c>
      <c r="O1479">
        <v>9815723.8683127556</v>
      </c>
      <c r="P1479">
        <v>9.8157238683127552</v>
      </c>
      <c r="Q1479" t="s">
        <v>748</v>
      </c>
      <c r="R1479" s="141">
        <v>0.41152263374485593</v>
      </c>
    </row>
    <row r="1480" spans="1:18" x14ac:dyDescent="0.3">
      <c r="A1480" t="s">
        <v>126</v>
      </c>
      <c r="B1480" t="s">
        <v>125</v>
      </c>
      <c r="C1480" t="s">
        <v>471</v>
      </c>
      <c r="D1480" t="s">
        <v>471</v>
      </c>
      <c r="E1480">
        <v>5616</v>
      </c>
      <c r="F1480" t="s">
        <v>127</v>
      </c>
      <c r="G1480">
        <v>1619</v>
      </c>
      <c r="H1480" t="s">
        <v>92</v>
      </c>
      <c r="I1480">
        <v>2021</v>
      </c>
      <c r="J1480">
        <v>2021</v>
      </c>
      <c r="K1480" t="s">
        <v>143</v>
      </c>
      <c r="L1480">
        <v>14485</v>
      </c>
      <c r="O1480">
        <v>4768.72427983539</v>
      </c>
      <c r="P1480">
        <v>4.7687242798353895E-3</v>
      </c>
      <c r="Q1480" t="s">
        <v>749</v>
      </c>
      <c r="R1480" s="141">
        <v>0.41152263374485593</v>
      </c>
    </row>
    <row r="1481" spans="1:18" x14ac:dyDescent="0.3">
      <c r="A1481" t="s">
        <v>126</v>
      </c>
      <c r="B1481" t="s">
        <v>125</v>
      </c>
      <c r="C1481" t="s">
        <v>471</v>
      </c>
      <c r="D1481" t="s">
        <v>471</v>
      </c>
      <c r="E1481">
        <v>5916</v>
      </c>
      <c r="F1481" t="s">
        <v>124</v>
      </c>
      <c r="G1481">
        <v>1619</v>
      </c>
      <c r="H1481" t="s">
        <v>92</v>
      </c>
      <c r="I1481">
        <v>2021</v>
      </c>
      <c r="J1481">
        <v>2021</v>
      </c>
      <c r="K1481" t="s">
        <v>143</v>
      </c>
      <c r="L1481">
        <v>7529316</v>
      </c>
      <c r="O1481">
        <v>2478787.160493827</v>
      </c>
      <c r="P1481">
        <v>2.4787871604938267</v>
      </c>
      <c r="Q1481" t="s">
        <v>750</v>
      </c>
      <c r="R1481" s="141">
        <v>0.41152263374485593</v>
      </c>
    </row>
    <row r="1482" spans="1:18" x14ac:dyDescent="0.3">
      <c r="A1482" t="s">
        <v>126</v>
      </c>
      <c r="B1482" t="s">
        <v>125</v>
      </c>
      <c r="C1482" t="s">
        <v>471</v>
      </c>
      <c r="D1482" t="s">
        <v>471</v>
      </c>
      <c r="E1482">
        <v>5516</v>
      </c>
      <c r="F1482" t="s">
        <v>128</v>
      </c>
      <c r="G1482">
        <v>1620</v>
      </c>
      <c r="H1482" t="s">
        <v>115</v>
      </c>
      <c r="I1482">
        <v>2021</v>
      </c>
      <c r="J1482">
        <v>2021</v>
      </c>
      <c r="K1482" t="s">
        <v>143</v>
      </c>
      <c r="L1482">
        <v>11333670</v>
      </c>
      <c r="O1482">
        <v>4654484.5995893218</v>
      </c>
      <c r="P1482">
        <v>4.6544845995893214</v>
      </c>
      <c r="Q1482" t="s">
        <v>751</v>
      </c>
      <c r="R1482" s="141">
        <v>0.41067761806981518</v>
      </c>
    </row>
    <row r="1483" spans="1:18" x14ac:dyDescent="0.3">
      <c r="A1483" t="s">
        <v>126</v>
      </c>
      <c r="B1483" t="s">
        <v>125</v>
      </c>
      <c r="C1483" t="s">
        <v>471</v>
      </c>
      <c r="D1483" t="s">
        <v>471</v>
      </c>
      <c r="E1483">
        <v>5616</v>
      </c>
      <c r="F1483" t="s">
        <v>127</v>
      </c>
      <c r="G1483">
        <v>1620</v>
      </c>
      <c r="H1483" t="s">
        <v>115</v>
      </c>
      <c r="I1483">
        <v>2021</v>
      </c>
      <c r="J1483">
        <v>2021</v>
      </c>
      <c r="K1483" t="s">
        <v>143</v>
      </c>
      <c r="L1483">
        <v>4505</v>
      </c>
      <c r="O1483">
        <v>1480.0821355236139</v>
      </c>
      <c r="P1483">
        <v>1.4800821355236138E-3</v>
      </c>
      <c r="Q1483" t="s">
        <v>752</v>
      </c>
      <c r="R1483" s="141">
        <v>0.41067761806981518</v>
      </c>
    </row>
    <row r="1484" spans="1:18" x14ac:dyDescent="0.3">
      <c r="A1484" t="s">
        <v>126</v>
      </c>
      <c r="B1484" t="s">
        <v>125</v>
      </c>
      <c r="C1484" t="s">
        <v>471</v>
      </c>
      <c r="D1484" t="s">
        <v>471</v>
      </c>
      <c r="E1484">
        <v>5916</v>
      </c>
      <c r="F1484" t="s">
        <v>124</v>
      </c>
      <c r="G1484">
        <v>1620</v>
      </c>
      <c r="H1484" t="s">
        <v>115</v>
      </c>
      <c r="I1484">
        <v>2021</v>
      </c>
      <c r="J1484">
        <v>2021</v>
      </c>
      <c r="K1484" t="s">
        <v>143</v>
      </c>
      <c r="L1484">
        <v>620921</v>
      </c>
      <c r="O1484">
        <v>203998.68583162219</v>
      </c>
      <c r="P1484">
        <v>0.20399868583162217</v>
      </c>
      <c r="Q1484" t="s">
        <v>753</v>
      </c>
      <c r="R1484" s="141">
        <v>0.41067761806981518</v>
      </c>
    </row>
    <row r="1485" spans="1:18" x14ac:dyDescent="0.3">
      <c r="A1485" t="s">
        <v>126</v>
      </c>
      <c r="B1485" t="s">
        <v>125</v>
      </c>
      <c r="C1485" t="s">
        <v>471</v>
      </c>
      <c r="D1485" t="s">
        <v>471</v>
      </c>
      <c r="E1485">
        <v>5510</v>
      </c>
      <c r="F1485" t="s">
        <v>128</v>
      </c>
      <c r="G1485">
        <v>1600</v>
      </c>
      <c r="H1485" t="s">
        <v>148</v>
      </c>
      <c r="I1485">
        <v>2021</v>
      </c>
      <c r="J1485">
        <v>2021</v>
      </c>
      <c r="L1485">
        <v>56</v>
      </c>
      <c r="O1485">
        <v>43.4</v>
      </c>
      <c r="P1485">
        <v>4.3399999999999998E-5</v>
      </c>
      <c r="Q1485" t="s">
        <v>754</v>
      </c>
      <c r="R1485" s="141">
        <v>0.77500000000000002</v>
      </c>
    </row>
    <row r="1486" spans="1:18" x14ac:dyDescent="0.3">
      <c r="A1486" t="s">
        <v>126</v>
      </c>
      <c r="B1486" t="s">
        <v>125</v>
      </c>
      <c r="C1486" t="s">
        <v>471</v>
      </c>
      <c r="D1486" t="s">
        <v>471</v>
      </c>
      <c r="E1486">
        <v>5610</v>
      </c>
      <c r="F1486" t="s">
        <v>127</v>
      </c>
      <c r="G1486">
        <v>1600</v>
      </c>
      <c r="H1486" t="s">
        <v>148</v>
      </c>
      <c r="I1486">
        <v>2021</v>
      </c>
      <c r="J1486">
        <v>2021</v>
      </c>
      <c r="K1486" t="s">
        <v>339</v>
      </c>
      <c r="L1486">
        <v>2663</v>
      </c>
      <c r="O1486">
        <v>1651.0600000000004</v>
      </c>
      <c r="P1486">
        <v>1.6510600000000004E-3</v>
      </c>
      <c r="Q1486" t="s">
        <v>755</v>
      </c>
      <c r="R1486" s="141">
        <v>0.77500000000000002</v>
      </c>
    </row>
    <row r="1487" spans="1:18" x14ac:dyDescent="0.3">
      <c r="A1487" t="s">
        <v>126</v>
      </c>
      <c r="B1487" t="s">
        <v>125</v>
      </c>
      <c r="C1487" t="s">
        <v>471</v>
      </c>
      <c r="D1487" t="s">
        <v>471</v>
      </c>
      <c r="E1487">
        <v>5910</v>
      </c>
      <c r="F1487" t="s">
        <v>124</v>
      </c>
      <c r="G1487">
        <v>1600</v>
      </c>
      <c r="H1487" t="s">
        <v>148</v>
      </c>
      <c r="I1487">
        <v>2021</v>
      </c>
      <c r="J1487">
        <v>2021</v>
      </c>
      <c r="L1487">
        <v>228676</v>
      </c>
      <c r="O1487">
        <v>141779.12</v>
      </c>
      <c r="P1487">
        <v>0.14177911999999998</v>
      </c>
      <c r="Q1487" t="s">
        <v>756</v>
      </c>
      <c r="R1487" s="141">
        <v>0.77500000000000002</v>
      </c>
    </row>
    <row r="1488" spans="1:18" x14ac:dyDescent="0.3">
      <c r="A1488" t="s">
        <v>126</v>
      </c>
      <c r="B1488" t="s">
        <v>125</v>
      </c>
      <c r="C1488" t="s">
        <v>471</v>
      </c>
      <c r="D1488" t="s">
        <v>471</v>
      </c>
      <c r="E1488">
        <v>5510</v>
      </c>
      <c r="F1488" t="s">
        <v>128</v>
      </c>
      <c r="G1488">
        <v>1693</v>
      </c>
      <c r="H1488" t="s">
        <v>114</v>
      </c>
      <c r="I1488">
        <v>2021</v>
      </c>
      <c r="J1488">
        <v>2021</v>
      </c>
      <c r="K1488" t="s">
        <v>339</v>
      </c>
      <c r="L1488">
        <v>3817706</v>
      </c>
      <c r="O1488">
        <v>3531378.0500000003</v>
      </c>
      <c r="P1488">
        <v>3.5313780500000003</v>
      </c>
      <c r="Q1488" t="s">
        <v>757</v>
      </c>
      <c r="R1488" s="141">
        <v>0.92500000000000004</v>
      </c>
    </row>
    <row r="1489" spans="1:18" x14ac:dyDescent="0.3">
      <c r="A1489" t="s">
        <v>126</v>
      </c>
      <c r="B1489" t="s">
        <v>125</v>
      </c>
      <c r="C1489" t="s">
        <v>471</v>
      </c>
      <c r="D1489" t="s">
        <v>471</v>
      </c>
      <c r="E1489">
        <v>5610</v>
      </c>
      <c r="F1489" t="s">
        <v>127</v>
      </c>
      <c r="G1489">
        <v>1693</v>
      </c>
      <c r="H1489" t="s">
        <v>114</v>
      </c>
      <c r="I1489">
        <v>2021</v>
      </c>
      <c r="J1489">
        <v>2021</v>
      </c>
      <c r="K1489" t="s">
        <v>339</v>
      </c>
      <c r="L1489">
        <v>14820</v>
      </c>
      <c r="O1489">
        <v>10966.800000000001</v>
      </c>
      <c r="P1489">
        <v>1.0966800000000001E-2</v>
      </c>
      <c r="Q1489" t="s">
        <v>758</v>
      </c>
      <c r="R1489" s="141">
        <v>0.92500000000000004</v>
      </c>
    </row>
    <row r="1490" spans="1:18" x14ac:dyDescent="0.3">
      <c r="A1490" t="s">
        <v>126</v>
      </c>
      <c r="B1490" t="s">
        <v>125</v>
      </c>
      <c r="C1490" t="s">
        <v>471</v>
      </c>
      <c r="D1490" t="s">
        <v>471</v>
      </c>
      <c r="E1490">
        <v>5910</v>
      </c>
      <c r="F1490" t="s">
        <v>124</v>
      </c>
      <c r="G1490">
        <v>1693</v>
      </c>
      <c r="H1490" t="s">
        <v>114</v>
      </c>
      <c r="I1490">
        <v>2021</v>
      </c>
      <c r="J1490">
        <v>2021</v>
      </c>
      <c r="K1490" t="s">
        <v>339</v>
      </c>
      <c r="L1490">
        <v>3260440</v>
      </c>
      <c r="O1490">
        <v>2412725.6</v>
      </c>
      <c r="P1490">
        <v>2.4127255999999999</v>
      </c>
      <c r="Q1490" t="s">
        <v>759</v>
      </c>
      <c r="R1490" s="141">
        <v>0.92500000000000004</v>
      </c>
    </row>
    <row r="1491" spans="1:18" x14ac:dyDescent="0.3">
      <c r="A1491" t="s">
        <v>126</v>
      </c>
      <c r="B1491" t="s">
        <v>125</v>
      </c>
      <c r="C1491" t="s">
        <v>471</v>
      </c>
      <c r="D1491" t="s">
        <v>471</v>
      </c>
      <c r="E1491">
        <v>5516</v>
      </c>
      <c r="F1491" t="s">
        <v>128</v>
      </c>
      <c r="G1491">
        <v>1632</v>
      </c>
      <c r="H1491" t="s">
        <v>110</v>
      </c>
      <c r="I1491">
        <v>2021</v>
      </c>
      <c r="J1491">
        <v>2021</v>
      </c>
      <c r="K1491" t="s">
        <v>143</v>
      </c>
      <c r="L1491">
        <v>46364631</v>
      </c>
      <c r="O1491">
        <v>22556392.981500003</v>
      </c>
      <c r="P1491">
        <v>22.556392981500004</v>
      </c>
      <c r="Q1491" t="s">
        <v>760</v>
      </c>
      <c r="R1491" s="141">
        <v>0.48650000000000004</v>
      </c>
    </row>
    <row r="1492" spans="1:18" x14ac:dyDescent="0.3">
      <c r="A1492" t="s">
        <v>126</v>
      </c>
      <c r="B1492" t="s">
        <v>125</v>
      </c>
      <c r="C1492" t="s">
        <v>471</v>
      </c>
      <c r="D1492" t="s">
        <v>471</v>
      </c>
      <c r="E1492">
        <v>5616</v>
      </c>
      <c r="F1492" t="s">
        <v>127</v>
      </c>
      <c r="G1492">
        <v>1632</v>
      </c>
      <c r="H1492" t="s">
        <v>110</v>
      </c>
      <c r="I1492">
        <v>2021</v>
      </c>
      <c r="J1492">
        <v>2021</v>
      </c>
      <c r="K1492" t="s">
        <v>143</v>
      </c>
      <c r="L1492">
        <v>4076024</v>
      </c>
      <c r="O1492">
        <v>1586388.5408000003</v>
      </c>
      <c r="P1492">
        <v>1.5863885408000002</v>
      </c>
      <c r="Q1492" t="s">
        <v>761</v>
      </c>
      <c r="R1492" s="141">
        <v>0.48650000000000004</v>
      </c>
    </row>
    <row r="1493" spans="1:18" x14ac:dyDescent="0.3">
      <c r="A1493" t="s">
        <v>126</v>
      </c>
      <c r="B1493" t="s">
        <v>125</v>
      </c>
      <c r="C1493" t="s">
        <v>471</v>
      </c>
      <c r="D1493" t="s">
        <v>471</v>
      </c>
      <c r="E1493">
        <v>5916</v>
      </c>
      <c r="F1493" t="s">
        <v>124</v>
      </c>
      <c r="G1493">
        <v>1632</v>
      </c>
      <c r="H1493" t="s">
        <v>110</v>
      </c>
      <c r="I1493">
        <v>2021</v>
      </c>
      <c r="J1493">
        <v>2021</v>
      </c>
      <c r="K1493" t="s">
        <v>143</v>
      </c>
      <c r="L1493">
        <v>36565640</v>
      </c>
      <c r="O1493">
        <v>14231347.088000003</v>
      </c>
      <c r="P1493">
        <v>14.231347088000003</v>
      </c>
      <c r="Q1493" t="s">
        <v>762</v>
      </c>
      <c r="R1493" s="141">
        <v>0.48650000000000004</v>
      </c>
    </row>
    <row r="1494" spans="1:18" x14ac:dyDescent="0.3">
      <c r="A1494" t="s">
        <v>126</v>
      </c>
      <c r="B1494" t="s">
        <v>125</v>
      </c>
      <c r="C1494" t="s">
        <v>471</v>
      </c>
      <c r="D1494" t="s">
        <v>471</v>
      </c>
      <c r="E1494">
        <v>5516</v>
      </c>
      <c r="F1494" t="s">
        <v>128</v>
      </c>
      <c r="G1494">
        <v>1633</v>
      </c>
      <c r="H1494" t="s">
        <v>109</v>
      </c>
      <c r="I1494">
        <v>2021</v>
      </c>
      <c r="J1494">
        <v>2021</v>
      </c>
      <c r="K1494" t="s">
        <v>143</v>
      </c>
      <c r="L1494">
        <v>3477212</v>
      </c>
      <c r="O1494">
        <v>2221069.1649999996</v>
      </c>
      <c r="P1494">
        <v>2.2210691649999994</v>
      </c>
      <c r="Q1494" t="s">
        <v>763</v>
      </c>
      <c r="R1494" s="141">
        <v>0.63874999999999993</v>
      </c>
    </row>
    <row r="1495" spans="1:18" x14ac:dyDescent="0.3">
      <c r="A1495" t="s">
        <v>126</v>
      </c>
      <c r="B1495" t="s">
        <v>125</v>
      </c>
      <c r="C1495" t="s">
        <v>471</v>
      </c>
      <c r="D1495" t="s">
        <v>471</v>
      </c>
      <c r="E1495">
        <v>5616</v>
      </c>
      <c r="F1495" t="s">
        <v>127</v>
      </c>
      <c r="G1495">
        <v>1633</v>
      </c>
      <c r="H1495" t="s">
        <v>109</v>
      </c>
      <c r="I1495">
        <v>2021</v>
      </c>
      <c r="J1495">
        <v>2021</v>
      </c>
      <c r="K1495" t="s">
        <v>143</v>
      </c>
      <c r="L1495">
        <v>121258</v>
      </c>
      <c r="O1495">
        <v>61962.837999999989</v>
      </c>
      <c r="P1495">
        <v>6.1962837999999985E-2</v>
      </c>
      <c r="Q1495" t="s">
        <v>764</v>
      </c>
      <c r="R1495" s="141">
        <v>0.63874999999999993</v>
      </c>
    </row>
    <row r="1496" spans="1:18" x14ac:dyDescent="0.3">
      <c r="A1496" t="s">
        <v>126</v>
      </c>
      <c r="B1496" t="s">
        <v>125</v>
      </c>
      <c r="C1496" t="s">
        <v>471</v>
      </c>
      <c r="D1496" t="s">
        <v>471</v>
      </c>
      <c r="E1496">
        <v>5916</v>
      </c>
      <c r="F1496" t="s">
        <v>124</v>
      </c>
      <c r="G1496">
        <v>1633</v>
      </c>
      <c r="H1496" t="s">
        <v>109</v>
      </c>
      <c r="I1496">
        <v>2021</v>
      </c>
      <c r="J1496">
        <v>2021</v>
      </c>
      <c r="K1496" t="s">
        <v>143</v>
      </c>
      <c r="L1496">
        <v>2007316</v>
      </c>
      <c r="O1496">
        <v>1025738.476</v>
      </c>
      <c r="P1496">
        <v>1.0257384759999999</v>
      </c>
      <c r="Q1496" t="s">
        <v>765</v>
      </c>
      <c r="R1496" s="141">
        <v>0.63874999999999993</v>
      </c>
    </row>
    <row r="1497" spans="1:18" x14ac:dyDescent="0.3">
      <c r="A1497" t="s">
        <v>126</v>
      </c>
      <c r="B1497" t="s">
        <v>125</v>
      </c>
      <c r="C1497" t="s">
        <v>471</v>
      </c>
      <c r="D1497" t="s">
        <v>471</v>
      </c>
      <c r="E1497">
        <v>5516</v>
      </c>
      <c r="F1497" t="s">
        <v>128</v>
      </c>
      <c r="G1497">
        <v>1634</v>
      </c>
      <c r="H1497" t="s">
        <v>108</v>
      </c>
      <c r="I1497">
        <v>2021</v>
      </c>
      <c r="J1497">
        <v>2021</v>
      </c>
      <c r="K1497" t="s">
        <v>143</v>
      </c>
      <c r="L1497">
        <v>1820780</v>
      </c>
      <c r="O1497">
        <v>1040575.77</v>
      </c>
      <c r="P1497">
        <v>1.04057577</v>
      </c>
      <c r="Q1497" t="s">
        <v>766</v>
      </c>
      <c r="R1497" s="141">
        <v>0.57150000000000001</v>
      </c>
    </row>
    <row r="1498" spans="1:18" x14ac:dyDescent="0.3">
      <c r="A1498" t="s">
        <v>126</v>
      </c>
      <c r="B1498" t="s">
        <v>125</v>
      </c>
      <c r="C1498" t="s">
        <v>471</v>
      </c>
      <c r="D1498" t="s">
        <v>471</v>
      </c>
      <c r="E1498">
        <v>5616</v>
      </c>
      <c r="F1498" t="s">
        <v>127</v>
      </c>
      <c r="G1498">
        <v>1634</v>
      </c>
      <c r="H1498" t="s">
        <v>108</v>
      </c>
      <c r="I1498">
        <v>2021</v>
      </c>
      <c r="J1498">
        <v>2021</v>
      </c>
      <c r="K1498" t="s">
        <v>143</v>
      </c>
      <c r="L1498">
        <v>48726</v>
      </c>
      <c r="O1498">
        <v>22277.5272</v>
      </c>
      <c r="P1498">
        <v>2.2277527200000001E-2</v>
      </c>
      <c r="Q1498" t="s">
        <v>767</v>
      </c>
      <c r="R1498" s="141">
        <v>0.57150000000000001</v>
      </c>
    </row>
    <row r="1499" spans="1:18" x14ac:dyDescent="0.3">
      <c r="A1499" t="s">
        <v>126</v>
      </c>
      <c r="B1499" t="s">
        <v>125</v>
      </c>
      <c r="C1499" t="s">
        <v>471</v>
      </c>
      <c r="D1499" t="s">
        <v>471</v>
      </c>
      <c r="E1499">
        <v>5916</v>
      </c>
      <c r="F1499" t="s">
        <v>124</v>
      </c>
      <c r="G1499">
        <v>1634</v>
      </c>
      <c r="H1499" t="s">
        <v>108</v>
      </c>
      <c r="I1499">
        <v>2021</v>
      </c>
      <c r="J1499">
        <v>2021</v>
      </c>
      <c r="K1499" t="s">
        <v>143</v>
      </c>
      <c r="L1499">
        <v>803991</v>
      </c>
      <c r="O1499">
        <v>367584.68520000001</v>
      </c>
      <c r="P1499">
        <v>0.36758468519999998</v>
      </c>
      <c r="Q1499" t="s">
        <v>768</v>
      </c>
      <c r="R1499" s="141">
        <v>0.57150000000000001</v>
      </c>
    </row>
    <row r="1500" spans="1:18" x14ac:dyDescent="0.3">
      <c r="A1500" t="s">
        <v>126</v>
      </c>
      <c r="B1500" t="s">
        <v>125</v>
      </c>
      <c r="C1500" t="s">
        <v>471</v>
      </c>
      <c r="D1500" t="s">
        <v>471</v>
      </c>
      <c r="E1500">
        <v>5516</v>
      </c>
      <c r="F1500" t="s">
        <v>128</v>
      </c>
      <c r="G1500">
        <v>1640</v>
      </c>
      <c r="H1500" t="s">
        <v>104</v>
      </c>
      <c r="I1500">
        <v>2021</v>
      </c>
      <c r="J1500">
        <v>2021</v>
      </c>
      <c r="K1500" t="s">
        <v>143</v>
      </c>
      <c r="L1500">
        <v>4677097</v>
      </c>
      <c r="O1500">
        <v>2672960.9355000001</v>
      </c>
      <c r="P1500">
        <v>2.6729609354999999</v>
      </c>
      <c r="Q1500" t="s">
        <v>769</v>
      </c>
      <c r="R1500" s="141">
        <v>0.57150000000000001</v>
      </c>
    </row>
    <row r="1501" spans="1:18" x14ac:dyDescent="0.3">
      <c r="A1501" t="s">
        <v>126</v>
      </c>
      <c r="B1501" t="s">
        <v>125</v>
      </c>
      <c r="C1501" t="s">
        <v>471</v>
      </c>
      <c r="D1501" t="s">
        <v>471</v>
      </c>
      <c r="E1501">
        <v>5616</v>
      </c>
      <c r="F1501" t="s">
        <v>127</v>
      </c>
      <c r="G1501">
        <v>1640</v>
      </c>
      <c r="H1501" t="s">
        <v>104</v>
      </c>
      <c r="I1501">
        <v>2021</v>
      </c>
      <c r="J1501">
        <v>2021</v>
      </c>
      <c r="K1501" t="s">
        <v>143</v>
      </c>
      <c r="L1501">
        <v>547723</v>
      </c>
      <c r="O1501">
        <v>250418.95559999999</v>
      </c>
      <c r="P1501">
        <v>0.25041895559999999</v>
      </c>
      <c r="Q1501" t="s">
        <v>770</v>
      </c>
      <c r="R1501" s="141">
        <v>0.57150000000000001</v>
      </c>
    </row>
    <row r="1502" spans="1:18" x14ac:dyDescent="0.3">
      <c r="A1502" t="s">
        <v>126</v>
      </c>
      <c r="B1502" t="s">
        <v>125</v>
      </c>
      <c r="C1502" t="s">
        <v>471</v>
      </c>
      <c r="D1502" t="s">
        <v>471</v>
      </c>
      <c r="E1502">
        <v>5916</v>
      </c>
      <c r="F1502" t="s">
        <v>124</v>
      </c>
      <c r="G1502">
        <v>1640</v>
      </c>
      <c r="H1502" t="s">
        <v>104</v>
      </c>
      <c r="I1502">
        <v>2021</v>
      </c>
      <c r="J1502">
        <v>2021</v>
      </c>
      <c r="K1502" t="s">
        <v>143</v>
      </c>
      <c r="L1502">
        <v>3368071</v>
      </c>
      <c r="O1502">
        <v>1539882.0612000001</v>
      </c>
      <c r="P1502">
        <v>1.5398820612000002</v>
      </c>
      <c r="Q1502" t="s">
        <v>771</v>
      </c>
      <c r="R1502" s="141">
        <v>0.57150000000000001</v>
      </c>
    </row>
    <row r="1503" spans="1:18" x14ac:dyDescent="0.3">
      <c r="A1503" t="s">
        <v>126</v>
      </c>
      <c r="B1503" t="s">
        <v>125</v>
      </c>
      <c r="C1503" t="s">
        <v>471</v>
      </c>
      <c r="D1503" t="s">
        <v>471</v>
      </c>
      <c r="E1503">
        <v>5516</v>
      </c>
      <c r="F1503" t="s">
        <v>128</v>
      </c>
      <c r="G1503">
        <v>1646</v>
      </c>
      <c r="H1503" t="s">
        <v>147</v>
      </c>
      <c r="I1503">
        <v>2021</v>
      </c>
      <c r="J1503">
        <v>2021</v>
      </c>
      <c r="L1503">
        <v>0</v>
      </c>
    </row>
    <row r="1504" spans="1:18" x14ac:dyDescent="0.3">
      <c r="A1504" t="s">
        <v>126</v>
      </c>
      <c r="B1504" t="s">
        <v>125</v>
      </c>
      <c r="C1504" t="s">
        <v>471</v>
      </c>
      <c r="D1504" t="s">
        <v>471</v>
      </c>
      <c r="E1504">
        <v>5616</v>
      </c>
      <c r="F1504" t="s">
        <v>127</v>
      </c>
      <c r="G1504">
        <v>1646</v>
      </c>
      <c r="H1504" t="s">
        <v>147</v>
      </c>
      <c r="I1504">
        <v>2021</v>
      </c>
      <c r="J1504">
        <v>2021</v>
      </c>
      <c r="L1504">
        <v>0</v>
      </c>
    </row>
    <row r="1505" spans="1:18" x14ac:dyDescent="0.3">
      <c r="A1505" t="s">
        <v>126</v>
      </c>
      <c r="B1505" t="s">
        <v>125</v>
      </c>
      <c r="C1505" t="s">
        <v>471</v>
      </c>
      <c r="D1505" t="s">
        <v>471</v>
      </c>
      <c r="E1505">
        <v>5916</v>
      </c>
      <c r="F1505" t="s">
        <v>124</v>
      </c>
      <c r="G1505">
        <v>1646</v>
      </c>
      <c r="H1505" t="s">
        <v>147</v>
      </c>
      <c r="I1505">
        <v>2021</v>
      </c>
      <c r="J1505">
        <v>2021</v>
      </c>
      <c r="L1505">
        <v>0</v>
      </c>
    </row>
    <row r="1506" spans="1:18" x14ac:dyDescent="0.3">
      <c r="A1506" t="s">
        <v>126</v>
      </c>
      <c r="B1506" t="s">
        <v>125</v>
      </c>
      <c r="C1506" t="s">
        <v>471</v>
      </c>
      <c r="D1506" t="s">
        <v>471</v>
      </c>
      <c r="E1506">
        <v>5516</v>
      </c>
      <c r="F1506" t="s">
        <v>128</v>
      </c>
      <c r="G1506">
        <v>1697</v>
      </c>
      <c r="H1506" t="s">
        <v>103</v>
      </c>
      <c r="I1506">
        <v>2021</v>
      </c>
      <c r="J1506">
        <v>2021</v>
      </c>
      <c r="K1506" t="s">
        <v>143</v>
      </c>
      <c r="L1506">
        <v>11128743</v>
      </c>
      <c r="O1506">
        <v>6312954.3469971437</v>
      </c>
      <c r="P1506">
        <v>6.3129543469971434</v>
      </c>
      <c r="Q1506" t="s">
        <v>772</v>
      </c>
      <c r="R1506" s="141">
        <v>0.56726571428571437</v>
      </c>
    </row>
    <row r="1507" spans="1:18" x14ac:dyDescent="0.3">
      <c r="A1507" t="s">
        <v>126</v>
      </c>
      <c r="B1507" t="s">
        <v>125</v>
      </c>
      <c r="C1507" t="s">
        <v>471</v>
      </c>
      <c r="D1507" t="s">
        <v>471</v>
      </c>
      <c r="E1507">
        <v>5616</v>
      </c>
      <c r="F1507" t="s">
        <v>127</v>
      </c>
      <c r="G1507">
        <v>1697</v>
      </c>
      <c r="H1507" t="s">
        <v>103</v>
      </c>
      <c r="I1507">
        <v>2021</v>
      </c>
      <c r="J1507">
        <v>2021</v>
      </c>
      <c r="K1507" t="s">
        <v>143</v>
      </c>
      <c r="L1507">
        <v>2779096</v>
      </c>
      <c r="O1507">
        <v>1261188.7020068574</v>
      </c>
      <c r="P1507">
        <v>1.2611887020068573</v>
      </c>
      <c r="Q1507" t="s">
        <v>773</v>
      </c>
      <c r="R1507" s="141">
        <v>0.56726571428571437</v>
      </c>
    </row>
    <row r="1508" spans="1:18" x14ac:dyDescent="0.3">
      <c r="A1508" t="s">
        <v>126</v>
      </c>
      <c r="B1508" t="s">
        <v>125</v>
      </c>
      <c r="C1508" t="s">
        <v>471</v>
      </c>
      <c r="D1508" t="s">
        <v>471</v>
      </c>
      <c r="E1508">
        <v>5916</v>
      </c>
      <c r="F1508" t="s">
        <v>124</v>
      </c>
      <c r="G1508">
        <v>1697</v>
      </c>
      <c r="H1508" t="s">
        <v>103</v>
      </c>
      <c r="I1508">
        <v>2021</v>
      </c>
      <c r="J1508">
        <v>2021</v>
      </c>
      <c r="K1508" t="s">
        <v>143</v>
      </c>
      <c r="L1508">
        <v>3107365</v>
      </c>
      <c r="O1508">
        <v>1410161.3010171431</v>
      </c>
      <c r="P1508">
        <v>1.410161301017143</v>
      </c>
      <c r="Q1508" t="s">
        <v>774</v>
      </c>
      <c r="R1508" s="141">
        <v>0.56726571428571437</v>
      </c>
    </row>
    <row r="1509" spans="1:18" x14ac:dyDescent="0.3">
      <c r="A1509" t="s">
        <v>126</v>
      </c>
      <c r="B1509" t="s">
        <v>125</v>
      </c>
      <c r="C1509" t="s">
        <v>471</v>
      </c>
      <c r="D1509" t="s">
        <v>471</v>
      </c>
      <c r="E1509">
        <v>5516</v>
      </c>
      <c r="F1509" t="s">
        <v>128</v>
      </c>
      <c r="G1509">
        <v>1606</v>
      </c>
      <c r="H1509" t="s">
        <v>102</v>
      </c>
      <c r="I1509">
        <v>2021</v>
      </c>
      <c r="J1509">
        <v>2021</v>
      </c>
      <c r="K1509" t="s">
        <v>143</v>
      </c>
      <c r="L1509">
        <v>2399000</v>
      </c>
      <c r="O1509">
        <v>1387273.1571428573</v>
      </c>
      <c r="P1509">
        <v>1.3872731571428571</v>
      </c>
      <c r="Q1509" t="s">
        <v>775</v>
      </c>
      <c r="R1509" s="141">
        <v>0.57827142857142866</v>
      </c>
    </row>
    <row r="1510" spans="1:18" x14ac:dyDescent="0.3">
      <c r="A1510" t="s">
        <v>126</v>
      </c>
      <c r="B1510" t="s">
        <v>125</v>
      </c>
      <c r="C1510" t="s">
        <v>471</v>
      </c>
      <c r="D1510" t="s">
        <v>471</v>
      </c>
      <c r="E1510">
        <v>5616</v>
      </c>
      <c r="F1510" t="s">
        <v>127</v>
      </c>
      <c r="G1510">
        <v>1606</v>
      </c>
      <c r="H1510" t="s">
        <v>102</v>
      </c>
      <c r="I1510">
        <v>2021</v>
      </c>
      <c r="J1510">
        <v>2021</v>
      </c>
      <c r="K1510" t="s">
        <v>143</v>
      </c>
      <c r="L1510">
        <v>597370</v>
      </c>
      <c r="O1510">
        <v>276353.60262857145</v>
      </c>
      <c r="P1510">
        <v>0.27635360262857145</v>
      </c>
      <c r="Q1510" t="s">
        <v>776</v>
      </c>
      <c r="R1510" s="141">
        <v>0.57827142857142866</v>
      </c>
    </row>
    <row r="1511" spans="1:18" x14ac:dyDescent="0.3">
      <c r="A1511" t="s">
        <v>126</v>
      </c>
      <c r="B1511" t="s">
        <v>125</v>
      </c>
      <c r="C1511" t="s">
        <v>471</v>
      </c>
      <c r="D1511" t="s">
        <v>471</v>
      </c>
      <c r="E1511">
        <v>5916</v>
      </c>
      <c r="F1511" t="s">
        <v>124</v>
      </c>
      <c r="G1511">
        <v>1606</v>
      </c>
      <c r="H1511" t="s">
        <v>102</v>
      </c>
      <c r="I1511">
        <v>2021</v>
      </c>
      <c r="J1511">
        <v>2021</v>
      </c>
      <c r="K1511" t="s">
        <v>143</v>
      </c>
      <c r="L1511">
        <v>952335</v>
      </c>
      <c r="O1511">
        <v>440566.49674285727</v>
      </c>
      <c r="P1511">
        <v>0.44056649674285725</v>
      </c>
      <c r="Q1511" t="s">
        <v>777</v>
      </c>
      <c r="R1511" s="141">
        <v>0.57827142857142866</v>
      </c>
    </row>
    <row r="1512" spans="1:18" x14ac:dyDescent="0.3">
      <c r="A1512" t="s">
        <v>126</v>
      </c>
      <c r="B1512" t="s">
        <v>125</v>
      </c>
      <c r="C1512" t="s">
        <v>471</v>
      </c>
      <c r="D1512" t="s">
        <v>471</v>
      </c>
      <c r="E1512">
        <v>5516</v>
      </c>
      <c r="F1512" t="s">
        <v>128</v>
      </c>
      <c r="G1512">
        <v>1647</v>
      </c>
      <c r="H1512" t="s">
        <v>146</v>
      </c>
      <c r="I1512">
        <v>2021</v>
      </c>
      <c r="J1512">
        <v>2021</v>
      </c>
      <c r="K1512" t="s">
        <v>143</v>
      </c>
      <c r="L1512">
        <v>1261050</v>
      </c>
      <c r="O1512">
        <v>976052.70000000007</v>
      </c>
      <c r="P1512">
        <v>0.9760527</v>
      </c>
      <c r="Q1512" t="s">
        <v>778</v>
      </c>
      <c r="R1512" s="141">
        <v>0.77400000000000002</v>
      </c>
    </row>
    <row r="1513" spans="1:18" x14ac:dyDescent="0.3">
      <c r="A1513" t="s">
        <v>126</v>
      </c>
      <c r="B1513" t="s">
        <v>125</v>
      </c>
      <c r="C1513" t="s">
        <v>471</v>
      </c>
      <c r="D1513" t="s">
        <v>471</v>
      </c>
      <c r="E1513">
        <v>5616</v>
      </c>
      <c r="F1513" t="s">
        <v>127</v>
      </c>
      <c r="G1513">
        <v>1647</v>
      </c>
      <c r="H1513" t="s">
        <v>146</v>
      </c>
      <c r="I1513">
        <v>2021</v>
      </c>
      <c r="J1513">
        <v>2021</v>
      </c>
      <c r="K1513" t="s">
        <v>143</v>
      </c>
      <c r="L1513">
        <v>360363</v>
      </c>
      <c r="O1513">
        <v>223136.7696</v>
      </c>
      <c r="P1513">
        <v>0.22313676959999998</v>
      </c>
      <c r="Q1513" t="s">
        <v>779</v>
      </c>
      <c r="R1513" s="141">
        <v>0.77400000000000002</v>
      </c>
    </row>
    <row r="1514" spans="1:18" x14ac:dyDescent="0.3">
      <c r="A1514" t="s">
        <v>126</v>
      </c>
      <c r="B1514" t="s">
        <v>125</v>
      </c>
      <c r="C1514" t="s">
        <v>471</v>
      </c>
      <c r="D1514" t="s">
        <v>471</v>
      </c>
      <c r="E1514">
        <v>5916</v>
      </c>
      <c r="F1514" t="s">
        <v>124</v>
      </c>
      <c r="G1514">
        <v>1647</v>
      </c>
      <c r="H1514" t="s">
        <v>146</v>
      </c>
      <c r="I1514">
        <v>2021</v>
      </c>
      <c r="J1514">
        <v>2021</v>
      </c>
      <c r="K1514" t="s">
        <v>143</v>
      </c>
      <c r="L1514">
        <v>585949</v>
      </c>
      <c r="O1514">
        <v>362819.62080000003</v>
      </c>
      <c r="P1514">
        <v>0.36281962080000002</v>
      </c>
      <c r="Q1514" t="s">
        <v>780</v>
      </c>
      <c r="R1514" s="141">
        <v>0.77400000000000002</v>
      </c>
    </row>
    <row r="1515" spans="1:18" x14ac:dyDescent="0.3">
      <c r="A1515" t="s">
        <v>126</v>
      </c>
      <c r="B1515" t="s">
        <v>125</v>
      </c>
      <c r="C1515" t="s">
        <v>471</v>
      </c>
      <c r="D1515" t="s">
        <v>471</v>
      </c>
      <c r="E1515">
        <v>5516</v>
      </c>
      <c r="F1515" t="s">
        <v>128</v>
      </c>
      <c r="G1515">
        <v>1648</v>
      </c>
      <c r="H1515" t="s">
        <v>145</v>
      </c>
      <c r="I1515">
        <v>2021</v>
      </c>
      <c r="J1515">
        <v>2021</v>
      </c>
      <c r="K1515" t="s">
        <v>143</v>
      </c>
      <c r="L1515">
        <v>5166116</v>
      </c>
      <c r="O1515">
        <v>3130112.7835714286</v>
      </c>
      <c r="P1515">
        <v>3.1301127835714286</v>
      </c>
      <c r="Q1515" t="s">
        <v>781</v>
      </c>
      <c r="R1515" s="141">
        <v>0.60589285714285712</v>
      </c>
    </row>
    <row r="1516" spans="1:18" x14ac:dyDescent="0.3">
      <c r="A1516" t="s">
        <v>126</v>
      </c>
      <c r="B1516" t="s">
        <v>125</v>
      </c>
      <c r="C1516" t="s">
        <v>471</v>
      </c>
      <c r="D1516" t="s">
        <v>471</v>
      </c>
      <c r="E1516">
        <v>5616</v>
      </c>
      <c r="F1516" t="s">
        <v>127</v>
      </c>
      <c r="G1516">
        <v>1648</v>
      </c>
      <c r="H1516" t="s">
        <v>145</v>
      </c>
      <c r="I1516">
        <v>2021</v>
      </c>
      <c r="J1516">
        <v>2021</v>
      </c>
      <c r="K1516" t="s">
        <v>143</v>
      </c>
      <c r="L1516">
        <v>2170680</v>
      </c>
      <c r="O1516">
        <v>1052159.6057142857</v>
      </c>
      <c r="P1516">
        <v>1.0521596057142857</v>
      </c>
      <c r="Q1516" t="s">
        <v>782</v>
      </c>
      <c r="R1516" s="141">
        <v>0.60589285714285712</v>
      </c>
    </row>
    <row r="1517" spans="1:18" x14ac:dyDescent="0.3">
      <c r="A1517" t="s">
        <v>126</v>
      </c>
      <c r="B1517" t="s">
        <v>125</v>
      </c>
      <c r="C1517" t="s">
        <v>471</v>
      </c>
      <c r="D1517" t="s">
        <v>471</v>
      </c>
      <c r="E1517">
        <v>5916</v>
      </c>
      <c r="F1517" t="s">
        <v>124</v>
      </c>
      <c r="G1517">
        <v>1648</v>
      </c>
      <c r="H1517" t="s">
        <v>145</v>
      </c>
      <c r="I1517">
        <v>2021</v>
      </c>
      <c r="J1517">
        <v>2021</v>
      </c>
      <c r="K1517" t="s">
        <v>143</v>
      </c>
      <c r="L1517">
        <v>2240697</v>
      </c>
      <c r="O1517">
        <v>1086097.8458571429</v>
      </c>
      <c r="P1517">
        <v>1.0860978458571429</v>
      </c>
      <c r="Q1517" t="s">
        <v>783</v>
      </c>
      <c r="R1517" s="141">
        <v>0.60589285714285712</v>
      </c>
    </row>
    <row r="1518" spans="1:18" x14ac:dyDescent="0.3">
      <c r="A1518" t="s">
        <v>126</v>
      </c>
      <c r="B1518" t="s">
        <v>125</v>
      </c>
      <c r="C1518" t="s">
        <v>471</v>
      </c>
      <c r="D1518" t="s">
        <v>471</v>
      </c>
      <c r="E1518">
        <v>5516</v>
      </c>
      <c r="F1518" t="s">
        <v>128</v>
      </c>
      <c r="G1518">
        <v>1650</v>
      </c>
      <c r="H1518" t="s">
        <v>144</v>
      </c>
      <c r="I1518">
        <v>2021</v>
      </c>
      <c r="J1518">
        <v>2021</v>
      </c>
      <c r="K1518" t="s">
        <v>143</v>
      </c>
      <c r="L1518">
        <v>53650</v>
      </c>
      <c r="O1518">
        <v>13091.270625000001</v>
      </c>
      <c r="P1518">
        <v>1.3091270625E-2</v>
      </c>
      <c r="Q1518" t="s">
        <v>784</v>
      </c>
      <c r="R1518" s="141">
        <v>0.24401250000000002</v>
      </c>
    </row>
    <row r="1519" spans="1:18" x14ac:dyDescent="0.3">
      <c r="A1519" t="s">
        <v>126</v>
      </c>
      <c r="B1519" t="s">
        <v>125</v>
      </c>
      <c r="C1519" t="s">
        <v>471</v>
      </c>
      <c r="D1519" t="s">
        <v>471</v>
      </c>
      <c r="E1519">
        <v>5616</v>
      </c>
      <c r="F1519" t="s">
        <v>127</v>
      </c>
      <c r="G1519">
        <v>1650</v>
      </c>
      <c r="H1519" t="s">
        <v>144</v>
      </c>
      <c r="I1519">
        <v>2021</v>
      </c>
      <c r="J1519">
        <v>2021</v>
      </c>
      <c r="K1519" t="s">
        <v>143</v>
      </c>
      <c r="L1519">
        <v>143749</v>
      </c>
      <c r="O1519">
        <v>28061.242290000002</v>
      </c>
      <c r="P1519">
        <v>2.806124229E-2</v>
      </c>
      <c r="Q1519" t="s">
        <v>785</v>
      </c>
      <c r="R1519" s="141">
        <v>0.24401250000000002</v>
      </c>
    </row>
    <row r="1520" spans="1:18" x14ac:dyDescent="0.3">
      <c r="A1520" t="s">
        <v>126</v>
      </c>
      <c r="B1520" t="s">
        <v>125</v>
      </c>
      <c r="C1520" t="s">
        <v>471</v>
      </c>
      <c r="D1520" t="s">
        <v>471</v>
      </c>
      <c r="E1520">
        <v>5916</v>
      </c>
      <c r="F1520" t="s">
        <v>124</v>
      </c>
      <c r="G1520">
        <v>1650</v>
      </c>
      <c r="H1520" t="s">
        <v>144</v>
      </c>
      <c r="I1520">
        <v>2021</v>
      </c>
      <c r="J1520">
        <v>2021</v>
      </c>
      <c r="K1520" t="s">
        <v>143</v>
      </c>
      <c r="L1520">
        <v>42904</v>
      </c>
      <c r="O1520">
        <v>8375.2898400000013</v>
      </c>
      <c r="P1520">
        <v>8.3752898400000012E-3</v>
      </c>
      <c r="Q1520" t="s">
        <v>786</v>
      </c>
      <c r="R1520" s="141">
        <v>0.24401250000000002</v>
      </c>
    </row>
    <row r="1521" spans="1:18" x14ac:dyDescent="0.3">
      <c r="A1521" t="s">
        <v>126</v>
      </c>
      <c r="B1521" t="s">
        <v>125</v>
      </c>
      <c r="C1521" t="s">
        <v>471</v>
      </c>
      <c r="D1521" t="s">
        <v>471</v>
      </c>
      <c r="E1521">
        <v>5516</v>
      </c>
      <c r="F1521" t="s">
        <v>128</v>
      </c>
      <c r="G1521">
        <v>1649</v>
      </c>
      <c r="H1521" t="s">
        <v>142</v>
      </c>
      <c r="I1521">
        <v>2021</v>
      </c>
      <c r="J1521">
        <v>2021</v>
      </c>
      <c r="L1521">
        <v>0</v>
      </c>
    </row>
    <row r="1522" spans="1:18" x14ac:dyDescent="0.3">
      <c r="A1522" t="s">
        <v>126</v>
      </c>
      <c r="B1522" t="s">
        <v>125</v>
      </c>
      <c r="C1522" t="s">
        <v>471</v>
      </c>
      <c r="D1522" t="s">
        <v>471</v>
      </c>
      <c r="E1522">
        <v>5616</v>
      </c>
      <c r="F1522" t="s">
        <v>127</v>
      </c>
      <c r="G1522">
        <v>1649</v>
      </c>
      <c r="H1522" t="s">
        <v>142</v>
      </c>
      <c r="I1522">
        <v>2021</v>
      </c>
      <c r="J1522">
        <v>2021</v>
      </c>
      <c r="L1522">
        <v>0</v>
      </c>
    </row>
    <row r="1523" spans="1:18" x14ac:dyDescent="0.3">
      <c r="A1523" t="s">
        <v>126</v>
      </c>
      <c r="B1523" t="s">
        <v>125</v>
      </c>
      <c r="C1523" t="s">
        <v>471</v>
      </c>
      <c r="D1523" t="s">
        <v>471</v>
      </c>
      <c r="E1523">
        <v>5916</v>
      </c>
      <c r="F1523" t="s">
        <v>124</v>
      </c>
      <c r="G1523">
        <v>1649</v>
      </c>
      <c r="H1523" t="s">
        <v>142</v>
      </c>
      <c r="I1523">
        <v>2021</v>
      </c>
      <c r="J1523">
        <v>2021</v>
      </c>
      <c r="L1523">
        <v>0</v>
      </c>
    </row>
    <row r="1524" spans="1:18" x14ac:dyDescent="0.3">
      <c r="A1524" t="s">
        <v>126</v>
      </c>
      <c r="B1524" t="s">
        <v>125</v>
      </c>
      <c r="C1524" t="s">
        <v>471</v>
      </c>
      <c r="D1524" t="s">
        <v>471</v>
      </c>
      <c r="E1524">
        <v>5510</v>
      </c>
      <c r="F1524" t="s">
        <v>128</v>
      </c>
      <c r="G1524">
        <v>1685</v>
      </c>
      <c r="H1524" t="s">
        <v>98</v>
      </c>
      <c r="I1524">
        <v>2021</v>
      </c>
      <c r="J1524">
        <v>2021</v>
      </c>
      <c r="K1524" t="s">
        <v>339</v>
      </c>
      <c r="L1524">
        <v>2439000</v>
      </c>
      <c r="O1524">
        <v>2195100</v>
      </c>
      <c r="P1524">
        <v>2.1951000000000001</v>
      </c>
      <c r="Q1524" t="s">
        <v>787</v>
      </c>
      <c r="R1524" s="141">
        <v>0.9</v>
      </c>
    </row>
    <row r="1525" spans="1:18" x14ac:dyDescent="0.3">
      <c r="A1525" t="s">
        <v>126</v>
      </c>
      <c r="B1525" t="s">
        <v>125</v>
      </c>
      <c r="C1525" t="s">
        <v>471</v>
      </c>
      <c r="D1525" t="s">
        <v>471</v>
      </c>
      <c r="E1525">
        <v>5610</v>
      </c>
      <c r="F1525" t="s">
        <v>127</v>
      </c>
      <c r="G1525">
        <v>1685</v>
      </c>
      <c r="H1525" t="s">
        <v>98</v>
      </c>
      <c r="I1525">
        <v>2021</v>
      </c>
      <c r="J1525">
        <v>2021</v>
      </c>
      <c r="K1525" t="s">
        <v>339</v>
      </c>
      <c r="L1525">
        <v>11177</v>
      </c>
      <c r="O1525">
        <v>8047.4400000000014</v>
      </c>
      <c r="P1525">
        <v>8.0474400000000012E-3</v>
      </c>
      <c r="Q1525" t="s">
        <v>788</v>
      </c>
      <c r="R1525" s="141">
        <v>0.9</v>
      </c>
    </row>
    <row r="1526" spans="1:18" x14ac:dyDescent="0.3">
      <c r="A1526" t="s">
        <v>126</v>
      </c>
      <c r="B1526" t="s">
        <v>125</v>
      </c>
      <c r="C1526" t="s">
        <v>471</v>
      </c>
      <c r="D1526" t="s">
        <v>471</v>
      </c>
      <c r="E1526">
        <v>5910</v>
      </c>
      <c r="F1526" t="s">
        <v>124</v>
      </c>
      <c r="G1526">
        <v>1685</v>
      </c>
      <c r="H1526" t="s">
        <v>98</v>
      </c>
      <c r="I1526">
        <v>2021</v>
      </c>
      <c r="J1526">
        <v>2021</v>
      </c>
      <c r="K1526" t="s">
        <v>339</v>
      </c>
      <c r="L1526">
        <v>138498</v>
      </c>
      <c r="O1526">
        <v>99718.56</v>
      </c>
      <c r="P1526">
        <v>9.9718559999999998E-2</v>
      </c>
      <c r="Q1526" t="s">
        <v>789</v>
      </c>
      <c r="R1526" s="141">
        <v>0.9</v>
      </c>
    </row>
    <row r="1527" spans="1:18" x14ac:dyDescent="0.3">
      <c r="A1527" t="s">
        <v>126</v>
      </c>
      <c r="B1527" t="s">
        <v>125</v>
      </c>
      <c r="C1527" t="s">
        <v>471</v>
      </c>
      <c r="D1527" t="s">
        <v>471</v>
      </c>
      <c r="E1527">
        <v>5510</v>
      </c>
      <c r="F1527" t="s">
        <v>128</v>
      </c>
      <c r="G1527">
        <v>1654</v>
      </c>
      <c r="H1527" t="s">
        <v>141</v>
      </c>
      <c r="I1527">
        <v>2021</v>
      </c>
      <c r="J1527">
        <v>2021</v>
      </c>
      <c r="L1527">
        <v>0</v>
      </c>
    </row>
    <row r="1528" spans="1:18" x14ac:dyDescent="0.3">
      <c r="A1528" t="s">
        <v>126</v>
      </c>
      <c r="B1528" t="s">
        <v>125</v>
      </c>
      <c r="C1528" t="s">
        <v>471</v>
      </c>
      <c r="D1528" t="s">
        <v>471</v>
      </c>
      <c r="E1528">
        <v>5610</v>
      </c>
      <c r="F1528" t="s">
        <v>127</v>
      </c>
      <c r="G1528">
        <v>1654</v>
      </c>
      <c r="H1528" t="s">
        <v>141</v>
      </c>
      <c r="I1528">
        <v>2021</v>
      </c>
      <c r="J1528">
        <v>2021</v>
      </c>
      <c r="L1528">
        <v>0</v>
      </c>
    </row>
    <row r="1529" spans="1:18" x14ac:dyDescent="0.3">
      <c r="A1529" t="s">
        <v>126</v>
      </c>
      <c r="B1529" t="s">
        <v>125</v>
      </c>
      <c r="C1529" t="s">
        <v>471</v>
      </c>
      <c r="D1529" t="s">
        <v>471</v>
      </c>
      <c r="E1529">
        <v>5910</v>
      </c>
      <c r="F1529" t="s">
        <v>124</v>
      </c>
      <c r="G1529">
        <v>1654</v>
      </c>
      <c r="H1529" t="s">
        <v>141</v>
      </c>
      <c r="I1529">
        <v>2021</v>
      </c>
      <c r="J1529">
        <v>2021</v>
      </c>
      <c r="L1529">
        <v>0</v>
      </c>
    </row>
    <row r="1530" spans="1:18" x14ac:dyDescent="0.3">
      <c r="A1530" t="s">
        <v>126</v>
      </c>
      <c r="B1530" t="s">
        <v>125</v>
      </c>
      <c r="C1530" t="s">
        <v>471</v>
      </c>
      <c r="D1530" t="s">
        <v>471</v>
      </c>
      <c r="E1530">
        <v>5510</v>
      </c>
      <c r="F1530" t="s">
        <v>128</v>
      </c>
      <c r="G1530">
        <v>1655</v>
      </c>
      <c r="H1530" t="s">
        <v>140</v>
      </c>
      <c r="I1530">
        <v>2021</v>
      </c>
      <c r="J1530">
        <v>2021</v>
      </c>
      <c r="L1530">
        <v>0</v>
      </c>
    </row>
    <row r="1531" spans="1:18" x14ac:dyDescent="0.3">
      <c r="A1531" t="s">
        <v>126</v>
      </c>
      <c r="B1531" t="s">
        <v>125</v>
      </c>
      <c r="C1531" t="s">
        <v>471</v>
      </c>
      <c r="D1531" t="s">
        <v>471</v>
      </c>
      <c r="E1531">
        <v>5610</v>
      </c>
      <c r="F1531" t="s">
        <v>127</v>
      </c>
      <c r="G1531">
        <v>1655</v>
      </c>
      <c r="H1531" t="s">
        <v>140</v>
      </c>
      <c r="I1531">
        <v>2021</v>
      </c>
      <c r="J1531">
        <v>2021</v>
      </c>
      <c r="L1531">
        <v>0</v>
      </c>
    </row>
    <row r="1532" spans="1:18" x14ac:dyDescent="0.3">
      <c r="A1532" t="s">
        <v>126</v>
      </c>
      <c r="B1532" t="s">
        <v>125</v>
      </c>
      <c r="C1532" t="s">
        <v>471</v>
      </c>
      <c r="D1532" t="s">
        <v>471</v>
      </c>
      <c r="E1532">
        <v>5910</v>
      </c>
      <c r="F1532" t="s">
        <v>124</v>
      </c>
      <c r="G1532">
        <v>1655</v>
      </c>
      <c r="H1532" t="s">
        <v>140</v>
      </c>
      <c r="I1532">
        <v>2021</v>
      </c>
      <c r="J1532">
        <v>2021</v>
      </c>
      <c r="L1532">
        <v>0</v>
      </c>
    </row>
    <row r="1533" spans="1:18" x14ac:dyDescent="0.3">
      <c r="A1533" t="s">
        <v>126</v>
      </c>
      <c r="B1533" t="s">
        <v>125</v>
      </c>
      <c r="C1533" t="s">
        <v>471</v>
      </c>
      <c r="D1533" t="s">
        <v>471</v>
      </c>
      <c r="E1533">
        <v>5510</v>
      </c>
      <c r="F1533" t="s">
        <v>128</v>
      </c>
      <c r="G1533">
        <v>1656</v>
      </c>
      <c r="H1533" t="s">
        <v>97</v>
      </c>
      <c r="I1533">
        <v>2021</v>
      </c>
      <c r="J1533">
        <v>2021</v>
      </c>
      <c r="K1533" t="s">
        <v>339</v>
      </c>
      <c r="L1533">
        <v>6617000</v>
      </c>
      <c r="O1533">
        <v>5955300</v>
      </c>
      <c r="P1533">
        <v>5.9552999999999994</v>
      </c>
      <c r="Q1533" t="s">
        <v>790</v>
      </c>
      <c r="R1533" s="141">
        <v>0.9</v>
      </c>
    </row>
    <row r="1534" spans="1:18" x14ac:dyDescent="0.3">
      <c r="A1534" t="s">
        <v>126</v>
      </c>
      <c r="B1534" t="s">
        <v>125</v>
      </c>
      <c r="C1534" t="s">
        <v>471</v>
      </c>
      <c r="D1534" t="s">
        <v>471</v>
      </c>
      <c r="E1534">
        <v>5610</v>
      </c>
      <c r="F1534" t="s">
        <v>127</v>
      </c>
      <c r="G1534">
        <v>1656</v>
      </c>
      <c r="H1534" t="s">
        <v>97</v>
      </c>
      <c r="I1534">
        <v>2021</v>
      </c>
      <c r="J1534">
        <v>2021</v>
      </c>
      <c r="K1534" t="s">
        <v>339</v>
      </c>
      <c r="L1534">
        <v>327354</v>
      </c>
      <c r="O1534">
        <v>235694.88000000003</v>
      </c>
      <c r="P1534">
        <v>0.23569488000000002</v>
      </c>
      <c r="Q1534" t="s">
        <v>791</v>
      </c>
      <c r="R1534" s="141">
        <v>0.9</v>
      </c>
    </row>
    <row r="1535" spans="1:18" x14ac:dyDescent="0.3">
      <c r="A1535" t="s">
        <v>126</v>
      </c>
      <c r="B1535" t="s">
        <v>125</v>
      </c>
      <c r="C1535" t="s">
        <v>471</v>
      </c>
      <c r="D1535" t="s">
        <v>471</v>
      </c>
      <c r="E1535">
        <v>5910</v>
      </c>
      <c r="F1535" t="s">
        <v>124</v>
      </c>
      <c r="G1535">
        <v>1656</v>
      </c>
      <c r="H1535" t="s">
        <v>97</v>
      </c>
      <c r="I1535">
        <v>2021</v>
      </c>
      <c r="J1535">
        <v>2021</v>
      </c>
      <c r="K1535" t="s">
        <v>339</v>
      </c>
      <c r="L1535">
        <v>2521629</v>
      </c>
      <c r="O1535">
        <v>1815572.8800000001</v>
      </c>
      <c r="P1535">
        <v>1.8155728799999999</v>
      </c>
      <c r="Q1535" t="s">
        <v>792</v>
      </c>
      <c r="R1535" s="141">
        <v>0.9</v>
      </c>
    </row>
    <row r="1536" spans="1:18" x14ac:dyDescent="0.3">
      <c r="A1536" t="s">
        <v>126</v>
      </c>
      <c r="B1536" t="s">
        <v>125</v>
      </c>
      <c r="C1536" t="s">
        <v>471</v>
      </c>
      <c r="D1536" t="s">
        <v>471</v>
      </c>
      <c r="E1536">
        <v>5510</v>
      </c>
      <c r="F1536" t="s">
        <v>128</v>
      </c>
      <c r="G1536">
        <v>1662</v>
      </c>
      <c r="H1536" t="s">
        <v>139</v>
      </c>
      <c r="I1536">
        <v>2021</v>
      </c>
      <c r="J1536">
        <v>2021</v>
      </c>
      <c r="K1536" t="s">
        <v>339</v>
      </c>
      <c r="L1536">
        <v>4316000</v>
      </c>
    </row>
    <row r="1537" spans="1:18" x14ac:dyDescent="0.3">
      <c r="A1537" t="s">
        <v>126</v>
      </c>
      <c r="B1537" t="s">
        <v>125</v>
      </c>
      <c r="C1537" t="s">
        <v>471</v>
      </c>
      <c r="D1537" t="s">
        <v>471</v>
      </c>
      <c r="E1537">
        <v>5610</v>
      </c>
      <c r="F1537" t="s">
        <v>127</v>
      </c>
      <c r="G1537">
        <v>1662</v>
      </c>
      <c r="H1537" t="s">
        <v>139</v>
      </c>
      <c r="I1537">
        <v>2021</v>
      </c>
      <c r="J1537">
        <v>2021</v>
      </c>
      <c r="K1537" t="s">
        <v>339</v>
      </c>
      <c r="L1537">
        <v>14501</v>
      </c>
    </row>
    <row r="1538" spans="1:18" x14ac:dyDescent="0.3">
      <c r="A1538" t="s">
        <v>126</v>
      </c>
      <c r="B1538" t="s">
        <v>125</v>
      </c>
      <c r="C1538" t="s">
        <v>471</v>
      </c>
      <c r="D1538" t="s">
        <v>471</v>
      </c>
      <c r="E1538">
        <v>5910</v>
      </c>
      <c r="F1538" t="s">
        <v>124</v>
      </c>
      <c r="G1538">
        <v>1662</v>
      </c>
      <c r="H1538" t="s">
        <v>139</v>
      </c>
      <c r="I1538">
        <v>2021</v>
      </c>
      <c r="J1538">
        <v>2021</v>
      </c>
      <c r="K1538" t="s">
        <v>339</v>
      </c>
      <c r="L1538">
        <v>415000</v>
      </c>
    </row>
    <row r="1539" spans="1:18" x14ac:dyDescent="0.3">
      <c r="A1539" t="s">
        <v>126</v>
      </c>
      <c r="B1539" t="s">
        <v>125</v>
      </c>
      <c r="C1539" t="s">
        <v>471</v>
      </c>
      <c r="D1539" t="s">
        <v>471</v>
      </c>
      <c r="E1539">
        <v>5510</v>
      </c>
      <c r="F1539" t="s">
        <v>128</v>
      </c>
      <c r="G1539">
        <v>1663</v>
      </c>
      <c r="H1539" t="s">
        <v>138</v>
      </c>
      <c r="I1539">
        <v>2021</v>
      </c>
      <c r="J1539">
        <v>2021</v>
      </c>
      <c r="K1539" t="s">
        <v>339</v>
      </c>
      <c r="L1539">
        <v>1951000</v>
      </c>
    </row>
    <row r="1540" spans="1:18" x14ac:dyDescent="0.3">
      <c r="A1540" t="s">
        <v>126</v>
      </c>
      <c r="B1540" t="s">
        <v>125</v>
      </c>
      <c r="C1540" t="s">
        <v>471</v>
      </c>
      <c r="D1540" t="s">
        <v>471</v>
      </c>
      <c r="E1540">
        <v>5610</v>
      </c>
      <c r="F1540" t="s">
        <v>127</v>
      </c>
      <c r="G1540">
        <v>1663</v>
      </c>
      <c r="H1540" t="s">
        <v>138</v>
      </c>
      <c r="I1540">
        <v>2021</v>
      </c>
      <c r="J1540">
        <v>2021</v>
      </c>
      <c r="K1540" t="s">
        <v>339</v>
      </c>
      <c r="L1540">
        <v>309740</v>
      </c>
    </row>
    <row r="1541" spans="1:18" x14ac:dyDescent="0.3">
      <c r="A1541" t="s">
        <v>126</v>
      </c>
      <c r="B1541" t="s">
        <v>125</v>
      </c>
      <c r="C1541" t="s">
        <v>471</v>
      </c>
      <c r="D1541" t="s">
        <v>471</v>
      </c>
      <c r="E1541">
        <v>5910</v>
      </c>
      <c r="F1541" t="s">
        <v>124</v>
      </c>
      <c r="G1541">
        <v>1663</v>
      </c>
      <c r="H1541" t="s">
        <v>138</v>
      </c>
      <c r="I1541">
        <v>2021</v>
      </c>
      <c r="J1541">
        <v>2021</v>
      </c>
      <c r="K1541" t="s">
        <v>339</v>
      </c>
      <c r="L1541">
        <v>2093400</v>
      </c>
    </row>
    <row r="1542" spans="1:18" x14ac:dyDescent="0.3">
      <c r="A1542" t="s">
        <v>126</v>
      </c>
      <c r="B1542" t="s">
        <v>125</v>
      </c>
      <c r="C1542" t="s">
        <v>471</v>
      </c>
      <c r="D1542" t="s">
        <v>471</v>
      </c>
      <c r="E1542">
        <v>5510</v>
      </c>
      <c r="F1542" t="s">
        <v>128</v>
      </c>
      <c r="G1542">
        <v>1686</v>
      </c>
      <c r="H1542" t="s">
        <v>137</v>
      </c>
      <c r="I1542">
        <v>2021</v>
      </c>
      <c r="J1542">
        <v>2021</v>
      </c>
      <c r="K1542" t="s">
        <v>339</v>
      </c>
      <c r="L1542">
        <v>350000</v>
      </c>
    </row>
    <row r="1543" spans="1:18" x14ac:dyDescent="0.3">
      <c r="A1543" t="s">
        <v>126</v>
      </c>
      <c r="B1543" t="s">
        <v>125</v>
      </c>
      <c r="C1543" t="s">
        <v>471</v>
      </c>
      <c r="D1543" t="s">
        <v>471</v>
      </c>
      <c r="E1543">
        <v>5610</v>
      </c>
      <c r="F1543" t="s">
        <v>127</v>
      </c>
      <c r="G1543">
        <v>1686</v>
      </c>
      <c r="H1543" t="s">
        <v>137</v>
      </c>
      <c r="I1543">
        <v>2021</v>
      </c>
      <c r="J1543">
        <v>2021</v>
      </c>
      <c r="K1543" t="s">
        <v>339</v>
      </c>
      <c r="L1543">
        <v>3113</v>
      </c>
    </row>
    <row r="1544" spans="1:18" x14ac:dyDescent="0.3">
      <c r="A1544" t="s">
        <v>126</v>
      </c>
      <c r="B1544" t="s">
        <v>125</v>
      </c>
      <c r="C1544" t="s">
        <v>471</v>
      </c>
      <c r="D1544" t="s">
        <v>471</v>
      </c>
      <c r="E1544">
        <v>5910</v>
      </c>
      <c r="F1544" t="s">
        <v>124</v>
      </c>
      <c r="G1544">
        <v>1686</v>
      </c>
      <c r="H1544" t="s">
        <v>137</v>
      </c>
      <c r="I1544">
        <v>2021</v>
      </c>
      <c r="J1544">
        <v>2021</v>
      </c>
      <c r="K1544" t="s">
        <v>339</v>
      </c>
      <c r="L1544">
        <v>13229</v>
      </c>
    </row>
    <row r="1545" spans="1:18" x14ac:dyDescent="0.3">
      <c r="A1545" t="s">
        <v>126</v>
      </c>
      <c r="B1545" t="s">
        <v>125</v>
      </c>
      <c r="C1545" t="s">
        <v>471</v>
      </c>
      <c r="D1545" t="s">
        <v>471</v>
      </c>
      <c r="E1545">
        <v>5510</v>
      </c>
      <c r="F1545" t="s">
        <v>128</v>
      </c>
      <c r="G1545">
        <v>1660</v>
      </c>
      <c r="H1545" t="s">
        <v>136</v>
      </c>
      <c r="I1545">
        <v>2021</v>
      </c>
      <c r="J1545">
        <v>2021</v>
      </c>
      <c r="L1545">
        <v>0</v>
      </c>
    </row>
    <row r="1546" spans="1:18" x14ac:dyDescent="0.3">
      <c r="A1546" t="s">
        <v>126</v>
      </c>
      <c r="B1546" t="s">
        <v>125</v>
      </c>
      <c r="C1546" t="s">
        <v>471</v>
      </c>
      <c r="D1546" t="s">
        <v>471</v>
      </c>
      <c r="E1546">
        <v>5610</v>
      </c>
      <c r="F1546" t="s">
        <v>127</v>
      </c>
      <c r="G1546">
        <v>1660</v>
      </c>
      <c r="H1546" t="s">
        <v>136</v>
      </c>
      <c r="I1546">
        <v>2021</v>
      </c>
      <c r="J1546">
        <v>2021</v>
      </c>
      <c r="L1546">
        <v>0</v>
      </c>
    </row>
    <row r="1547" spans="1:18" x14ac:dyDescent="0.3">
      <c r="A1547" t="s">
        <v>126</v>
      </c>
      <c r="B1547" t="s">
        <v>125</v>
      </c>
      <c r="C1547" t="s">
        <v>471</v>
      </c>
      <c r="D1547" t="s">
        <v>471</v>
      </c>
      <c r="E1547">
        <v>5910</v>
      </c>
      <c r="F1547" t="s">
        <v>124</v>
      </c>
      <c r="G1547">
        <v>1660</v>
      </c>
      <c r="H1547" t="s">
        <v>136</v>
      </c>
      <c r="I1547">
        <v>2021</v>
      </c>
      <c r="J1547">
        <v>2021</v>
      </c>
      <c r="L1547">
        <v>0</v>
      </c>
    </row>
    <row r="1548" spans="1:18" x14ac:dyDescent="0.3">
      <c r="A1548" t="s">
        <v>126</v>
      </c>
      <c r="B1548" t="s">
        <v>125</v>
      </c>
      <c r="C1548" t="s">
        <v>471</v>
      </c>
      <c r="D1548" t="s">
        <v>471</v>
      </c>
      <c r="E1548">
        <v>5510</v>
      </c>
      <c r="F1548" t="s">
        <v>128</v>
      </c>
      <c r="G1548">
        <v>1661</v>
      </c>
      <c r="H1548" t="s">
        <v>135</v>
      </c>
      <c r="I1548">
        <v>2021</v>
      </c>
      <c r="J1548">
        <v>2021</v>
      </c>
      <c r="L1548">
        <v>0</v>
      </c>
    </row>
    <row r="1549" spans="1:18" x14ac:dyDescent="0.3">
      <c r="A1549" t="s">
        <v>126</v>
      </c>
      <c r="B1549" t="s">
        <v>125</v>
      </c>
      <c r="C1549" t="s">
        <v>471</v>
      </c>
      <c r="D1549" t="s">
        <v>471</v>
      </c>
      <c r="E1549">
        <v>5610</v>
      </c>
      <c r="F1549" t="s">
        <v>127</v>
      </c>
      <c r="G1549">
        <v>1661</v>
      </c>
      <c r="H1549" t="s">
        <v>135</v>
      </c>
      <c r="I1549">
        <v>2021</v>
      </c>
      <c r="J1549">
        <v>2021</v>
      </c>
      <c r="L1549">
        <v>0</v>
      </c>
    </row>
    <row r="1550" spans="1:18" x14ac:dyDescent="0.3">
      <c r="A1550" t="s">
        <v>126</v>
      </c>
      <c r="B1550" t="s">
        <v>125</v>
      </c>
      <c r="C1550" t="s">
        <v>471</v>
      </c>
      <c r="D1550" t="s">
        <v>471</v>
      </c>
      <c r="E1550">
        <v>5910</v>
      </c>
      <c r="F1550" t="s">
        <v>124</v>
      </c>
      <c r="G1550">
        <v>1661</v>
      </c>
      <c r="H1550" t="s">
        <v>135</v>
      </c>
      <c r="I1550">
        <v>2021</v>
      </c>
      <c r="J1550">
        <v>2021</v>
      </c>
      <c r="L1550">
        <v>0</v>
      </c>
    </row>
    <row r="1551" spans="1:18" x14ac:dyDescent="0.3">
      <c r="A1551" t="s">
        <v>126</v>
      </c>
      <c r="B1551" t="s">
        <v>125</v>
      </c>
      <c r="C1551" t="s">
        <v>471</v>
      </c>
      <c r="D1551" t="s">
        <v>471</v>
      </c>
      <c r="E1551">
        <v>5510</v>
      </c>
      <c r="F1551" t="s">
        <v>128</v>
      </c>
      <c r="G1551">
        <v>1667</v>
      </c>
      <c r="H1551" t="s">
        <v>96</v>
      </c>
      <c r="I1551">
        <v>2021</v>
      </c>
      <c r="J1551">
        <v>2021</v>
      </c>
      <c r="K1551" t="s">
        <v>339</v>
      </c>
      <c r="L1551">
        <v>0</v>
      </c>
      <c r="O1551">
        <v>0</v>
      </c>
      <c r="P1551">
        <v>0</v>
      </c>
      <c r="Q1551" t="s">
        <v>793</v>
      </c>
      <c r="R1551" s="141">
        <v>0.9</v>
      </c>
    </row>
    <row r="1552" spans="1:18" x14ac:dyDescent="0.3">
      <c r="A1552" t="s">
        <v>126</v>
      </c>
      <c r="B1552" t="s">
        <v>125</v>
      </c>
      <c r="C1552" t="s">
        <v>471</v>
      </c>
      <c r="D1552" t="s">
        <v>471</v>
      </c>
      <c r="E1552">
        <v>5610</v>
      </c>
      <c r="F1552" t="s">
        <v>127</v>
      </c>
      <c r="G1552">
        <v>1667</v>
      </c>
      <c r="H1552" t="s">
        <v>96</v>
      </c>
      <c r="I1552">
        <v>2021</v>
      </c>
      <c r="J1552">
        <v>2021</v>
      </c>
      <c r="K1552" t="s">
        <v>339</v>
      </c>
      <c r="L1552">
        <v>172</v>
      </c>
      <c r="O1552">
        <v>123.84000000000002</v>
      </c>
      <c r="P1552">
        <v>1.2384000000000001E-4</v>
      </c>
      <c r="Q1552" t="s">
        <v>794</v>
      </c>
      <c r="R1552" s="141">
        <v>0.9</v>
      </c>
    </row>
    <row r="1553" spans="1:18" x14ac:dyDescent="0.3">
      <c r="A1553" t="s">
        <v>126</v>
      </c>
      <c r="B1553" t="s">
        <v>125</v>
      </c>
      <c r="C1553" t="s">
        <v>471</v>
      </c>
      <c r="D1553" t="s">
        <v>471</v>
      </c>
      <c r="E1553">
        <v>5910</v>
      </c>
      <c r="F1553" t="s">
        <v>124</v>
      </c>
      <c r="G1553">
        <v>1667</v>
      </c>
      <c r="H1553" t="s">
        <v>96</v>
      </c>
      <c r="I1553">
        <v>2021</v>
      </c>
      <c r="J1553">
        <v>2021</v>
      </c>
      <c r="K1553" t="s">
        <v>339</v>
      </c>
      <c r="L1553">
        <v>0</v>
      </c>
      <c r="O1553">
        <v>0</v>
      </c>
      <c r="P1553">
        <v>0</v>
      </c>
      <c r="Q1553" t="s">
        <v>795</v>
      </c>
      <c r="R1553" s="141">
        <v>0.9</v>
      </c>
    </row>
    <row r="1554" spans="1:18" x14ac:dyDescent="0.3">
      <c r="A1554" t="s">
        <v>126</v>
      </c>
      <c r="B1554" t="s">
        <v>125</v>
      </c>
      <c r="C1554" t="s">
        <v>471</v>
      </c>
      <c r="D1554" t="s">
        <v>471</v>
      </c>
      <c r="E1554">
        <v>5510</v>
      </c>
      <c r="F1554" t="s">
        <v>128</v>
      </c>
      <c r="G1554">
        <v>1668</v>
      </c>
      <c r="H1554" t="s">
        <v>95</v>
      </c>
      <c r="I1554">
        <v>2021</v>
      </c>
      <c r="J1554">
        <v>2021</v>
      </c>
      <c r="K1554" t="s">
        <v>339</v>
      </c>
      <c r="L1554">
        <v>127996</v>
      </c>
      <c r="O1554">
        <v>115196.40000000001</v>
      </c>
      <c r="P1554">
        <v>0.1151964</v>
      </c>
      <c r="Q1554" t="s">
        <v>796</v>
      </c>
      <c r="R1554" s="141">
        <v>0.9</v>
      </c>
    </row>
    <row r="1555" spans="1:18" x14ac:dyDescent="0.3">
      <c r="A1555" t="s">
        <v>126</v>
      </c>
      <c r="B1555" t="s">
        <v>125</v>
      </c>
      <c r="C1555" t="s">
        <v>471</v>
      </c>
      <c r="D1555" t="s">
        <v>471</v>
      </c>
      <c r="E1555">
        <v>5610</v>
      </c>
      <c r="F1555" t="s">
        <v>127</v>
      </c>
      <c r="G1555">
        <v>1668</v>
      </c>
      <c r="H1555" t="s">
        <v>95</v>
      </c>
      <c r="I1555">
        <v>2021</v>
      </c>
      <c r="J1555">
        <v>2021</v>
      </c>
      <c r="K1555" t="s">
        <v>339</v>
      </c>
      <c r="L1555">
        <v>7898</v>
      </c>
      <c r="O1555">
        <v>5686.56</v>
      </c>
      <c r="P1555">
        <v>5.6865600000000002E-3</v>
      </c>
      <c r="Q1555" t="s">
        <v>797</v>
      </c>
      <c r="R1555" s="141">
        <v>0.9</v>
      </c>
    </row>
    <row r="1556" spans="1:18" x14ac:dyDescent="0.3">
      <c r="A1556" t="s">
        <v>126</v>
      </c>
      <c r="B1556" t="s">
        <v>125</v>
      </c>
      <c r="C1556" t="s">
        <v>471</v>
      </c>
      <c r="D1556" t="s">
        <v>471</v>
      </c>
      <c r="E1556">
        <v>5910</v>
      </c>
      <c r="F1556" t="s">
        <v>124</v>
      </c>
      <c r="G1556">
        <v>1668</v>
      </c>
      <c r="H1556" t="s">
        <v>95</v>
      </c>
      <c r="I1556">
        <v>2021</v>
      </c>
      <c r="J1556">
        <v>2021</v>
      </c>
      <c r="K1556" t="s">
        <v>339</v>
      </c>
      <c r="L1556">
        <v>26149</v>
      </c>
      <c r="O1556">
        <v>18827.280000000002</v>
      </c>
      <c r="P1556">
        <v>1.8827280000000002E-2</v>
      </c>
      <c r="Q1556" t="s">
        <v>798</v>
      </c>
      <c r="R1556" s="141">
        <v>0.9</v>
      </c>
    </row>
    <row r="1557" spans="1:18" x14ac:dyDescent="0.3">
      <c r="A1557" t="s">
        <v>126</v>
      </c>
      <c r="B1557" t="s">
        <v>125</v>
      </c>
      <c r="C1557" t="s">
        <v>471</v>
      </c>
      <c r="D1557" t="s">
        <v>471</v>
      </c>
      <c r="E1557">
        <v>5510</v>
      </c>
      <c r="F1557" t="s">
        <v>128</v>
      </c>
      <c r="G1557">
        <v>1609</v>
      </c>
      <c r="H1557" t="s">
        <v>94</v>
      </c>
      <c r="I1557">
        <v>2021</v>
      </c>
      <c r="J1557">
        <v>2021</v>
      </c>
      <c r="L1557">
        <v>0</v>
      </c>
      <c r="O1557">
        <v>0</v>
      </c>
      <c r="P1557">
        <v>0</v>
      </c>
      <c r="Q1557" t="s">
        <v>799</v>
      </c>
      <c r="R1557" s="141">
        <v>0.9</v>
      </c>
    </row>
    <row r="1558" spans="1:18" x14ac:dyDescent="0.3">
      <c r="A1558" t="s">
        <v>126</v>
      </c>
      <c r="B1558" t="s">
        <v>125</v>
      </c>
      <c r="C1558" t="s">
        <v>471</v>
      </c>
      <c r="D1558" t="s">
        <v>471</v>
      </c>
      <c r="E1558">
        <v>5610</v>
      </c>
      <c r="F1558" t="s">
        <v>127</v>
      </c>
      <c r="G1558">
        <v>1609</v>
      </c>
      <c r="H1558" t="s">
        <v>94</v>
      </c>
      <c r="I1558">
        <v>2021</v>
      </c>
      <c r="J1558">
        <v>2021</v>
      </c>
      <c r="K1558" t="s">
        <v>339</v>
      </c>
      <c r="L1558">
        <v>20742</v>
      </c>
      <c r="O1558">
        <v>14934.24</v>
      </c>
      <c r="P1558">
        <v>1.493424E-2</v>
      </c>
      <c r="Q1558" t="s">
        <v>800</v>
      </c>
      <c r="R1558" s="141">
        <v>0.9</v>
      </c>
    </row>
    <row r="1559" spans="1:18" x14ac:dyDescent="0.3">
      <c r="A1559" t="s">
        <v>126</v>
      </c>
      <c r="B1559" t="s">
        <v>125</v>
      </c>
      <c r="C1559" t="s">
        <v>471</v>
      </c>
      <c r="D1559" t="s">
        <v>471</v>
      </c>
      <c r="E1559">
        <v>5910</v>
      </c>
      <c r="F1559" t="s">
        <v>124</v>
      </c>
      <c r="G1559">
        <v>1609</v>
      </c>
      <c r="H1559" t="s">
        <v>94</v>
      </c>
      <c r="I1559">
        <v>2021</v>
      </c>
      <c r="J1559">
        <v>2021</v>
      </c>
      <c r="K1559" t="s">
        <v>339</v>
      </c>
      <c r="L1559">
        <v>4701</v>
      </c>
      <c r="O1559">
        <v>3384.7200000000007</v>
      </c>
      <c r="P1559">
        <v>3.3847200000000003E-3</v>
      </c>
      <c r="Q1559" t="s">
        <v>801</v>
      </c>
      <c r="R1559" s="141">
        <v>0.9</v>
      </c>
    </row>
    <row r="1560" spans="1:18" x14ac:dyDescent="0.3">
      <c r="A1560" t="s">
        <v>126</v>
      </c>
      <c r="B1560" t="s">
        <v>125</v>
      </c>
      <c r="C1560" t="s">
        <v>471</v>
      </c>
      <c r="D1560" t="s">
        <v>471</v>
      </c>
      <c r="E1560">
        <v>5510</v>
      </c>
      <c r="F1560" t="s">
        <v>128</v>
      </c>
      <c r="G1560">
        <v>1669</v>
      </c>
      <c r="H1560" t="s">
        <v>134</v>
      </c>
      <c r="I1560">
        <v>2021</v>
      </c>
      <c r="J1560">
        <v>2021</v>
      </c>
      <c r="K1560" t="s">
        <v>339</v>
      </c>
      <c r="L1560">
        <v>4534496</v>
      </c>
      <c r="O1560">
        <v>3967684</v>
      </c>
      <c r="P1560">
        <v>3.9676839999999998</v>
      </c>
      <c r="Q1560" t="s">
        <v>802</v>
      </c>
      <c r="R1560" s="141">
        <v>0.875</v>
      </c>
    </row>
    <row r="1561" spans="1:18" x14ac:dyDescent="0.3">
      <c r="A1561" t="s">
        <v>126</v>
      </c>
      <c r="B1561" t="s">
        <v>125</v>
      </c>
      <c r="C1561" t="s">
        <v>471</v>
      </c>
      <c r="D1561" t="s">
        <v>471</v>
      </c>
      <c r="E1561">
        <v>5610</v>
      </c>
      <c r="F1561" t="s">
        <v>127</v>
      </c>
      <c r="G1561">
        <v>1669</v>
      </c>
      <c r="H1561" t="s">
        <v>134</v>
      </c>
      <c r="I1561">
        <v>2021</v>
      </c>
      <c r="J1561">
        <v>2021</v>
      </c>
      <c r="K1561" t="s">
        <v>339</v>
      </c>
      <c r="L1561">
        <v>675570</v>
      </c>
      <c r="O1561">
        <v>472899</v>
      </c>
      <c r="P1561">
        <v>0.47289899999999996</v>
      </c>
      <c r="Q1561" t="s">
        <v>803</v>
      </c>
      <c r="R1561" s="141">
        <v>0.875</v>
      </c>
    </row>
    <row r="1562" spans="1:18" x14ac:dyDescent="0.3">
      <c r="A1562" t="s">
        <v>126</v>
      </c>
      <c r="B1562" t="s">
        <v>125</v>
      </c>
      <c r="C1562" t="s">
        <v>471</v>
      </c>
      <c r="D1562" t="s">
        <v>471</v>
      </c>
      <c r="E1562">
        <v>5910</v>
      </c>
      <c r="F1562" t="s">
        <v>124</v>
      </c>
      <c r="G1562">
        <v>1669</v>
      </c>
      <c r="H1562" t="s">
        <v>134</v>
      </c>
      <c r="I1562">
        <v>2021</v>
      </c>
      <c r="J1562">
        <v>2021</v>
      </c>
      <c r="K1562" t="s">
        <v>339</v>
      </c>
      <c r="L1562">
        <v>365413</v>
      </c>
      <c r="O1562">
        <v>255789.1</v>
      </c>
      <c r="P1562">
        <v>0.25578909999999999</v>
      </c>
      <c r="Q1562" t="s">
        <v>804</v>
      </c>
      <c r="R1562" s="141">
        <v>0.875</v>
      </c>
    </row>
    <row r="1563" spans="1:18" x14ac:dyDescent="0.3">
      <c r="A1563" t="s">
        <v>126</v>
      </c>
      <c r="B1563" t="s">
        <v>125</v>
      </c>
      <c r="C1563" t="s">
        <v>471</v>
      </c>
      <c r="D1563" t="s">
        <v>471</v>
      </c>
      <c r="E1563">
        <v>5510</v>
      </c>
      <c r="F1563" t="s">
        <v>128</v>
      </c>
      <c r="G1563">
        <v>1671</v>
      </c>
      <c r="H1563" t="s">
        <v>89</v>
      </c>
      <c r="I1563">
        <v>2021</v>
      </c>
      <c r="J1563">
        <v>2021</v>
      </c>
      <c r="K1563" t="s">
        <v>339</v>
      </c>
      <c r="L1563">
        <v>1350280</v>
      </c>
      <c r="O1563">
        <v>1282766</v>
      </c>
      <c r="P1563">
        <v>1.2827659999999999</v>
      </c>
      <c r="Q1563" t="s">
        <v>805</v>
      </c>
      <c r="R1563" s="141">
        <v>0.95</v>
      </c>
    </row>
    <row r="1564" spans="1:18" x14ac:dyDescent="0.3">
      <c r="A1564" t="s">
        <v>126</v>
      </c>
      <c r="B1564" t="s">
        <v>125</v>
      </c>
      <c r="C1564" t="s">
        <v>471</v>
      </c>
      <c r="D1564" t="s">
        <v>471</v>
      </c>
      <c r="E1564">
        <v>5610</v>
      </c>
      <c r="F1564" t="s">
        <v>127</v>
      </c>
      <c r="G1564">
        <v>1671</v>
      </c>
      <c r="H1564" t="s">
        <v>89</v>
      </c>
      <c r="I1564">
        <v>2021</v>
      </c>
      <c r="J1564">
        <v>2021</v>
      </c>
      <c r="K1564" t="s">
        <v>339</v>
      </c>
      <c r="L1564">
        <v>71122</v>
      </c>
      <c r="O1564">
        <v>54052.72</v>
      </c>
      <c r="P1564">
        <v>5.4052719999999999E-2</v>
      </c>
      <c r="Q1564" t="s">
        <v>806</v>
      </c>
      <c r="R1564" s="141">
        <v>0.95</v>
      </c>
    </row>
    <row r="1565" spans="1:18" x14ac:dyDescent="0.3">
      <c r="A1565" t="s">
        <v>126</v>
      </c>
      <c r="B1565" t="s">
        <v>125</v>
      </c>
      <c r="C1565" t="s">
        <v>471</v>
      </c>
      <c r="D1565" t="s">
        <v>471</v>
      </c>
      <c r="E1565">
        <v>5910</v>
      </c>
      <c r="F1565" t="s">
        <v>124</v>
      </c>
      <c r="G1565">
        <v>1671</v>
      </c>
      <c r="H1565" t="s">
        <v>89</v>
      </c>
      <c r="I1565">
        <v>2021</v>
      </c>
      <c r="J1565">
        <v>2021</v>
      </c>
      <c r="K1565" t="s">
        <v>339</v>
      </c>
      <c r="L1565">
        <v>1078153</v>
      </c>
      <c r="O1565">
        <v>819396.28</v>
      </c>
      <c r="P1565">
        <v>0.81939627999999998</v>
      </c>
      <c r="Q1565" t="s">
        <v>807</v>
      </c>
      <c r="R1565" s="141">
        <v>0.95</v>
      </c>
    </row>
    <row r="1566" spans="1:18" x14ac:dyDescent="0.3">
      <c r="A1566" t="s">
        <v>126</v>
      </c>
      <c r="B1566" t="s">
        <v>125</v>
      </c>
      <c r="C1566" t="s">
        <v>471</v>
      </c>
      <c r="D1566" t="s">
        <v>471</v>
      </c>
      <c r="E1566">
        <v>5510</v>
      </c>
      <c r="F1566" t="s">
        <v>128</v>
      </c>
      <c r="G1566">
        <v>1674</v>
      </c>
      <c r="H1566" t="s">
        <v>88</v>
      </c>
      <c r="I1566">
        <v>2021</v>
      </c>
      <c r="J1566">
        <v>2021</v>
      </c>
      <c r="K1566" t="s">
        <v>339</v>
      </c>
      <c r="L1566">
        <v>1332678</v>
      </c>
      <c r="O1566">
        <v>1266044.0999999999</v>
      </c>
      <c r="P1566">
        <v>1.2660440999999998</v>
      </c>
      <c r="Q1566" t="s">
        <v>808</v>
      </c>
      <c r="R1566" s="141">
        <v>0.95</v>
      </c>
    </row>
    <row r="1567" spans="1:18" x14ac:dyDescent="0.3">
      <c r="A1567" t="s">
        <v>126</v>
      </c>
      <c r="B1567" t="s">
        <v>125</v>
      </c>
      <c r="C1567" t="s">
        <v>471</v>
      </c>
      <c r="D1567" t="s">
        <v>471</v>
      </c>
      <c r="E1567">
        <v>5610</v>
      </c>
      <c r="F1567" t="s">
        <v>127</v>
      </c>
      <c r="G1567">
        <v>1674</v>
      </c>
      <c r="H1567" t="s">
        <v>88</v>
      </c>
      <c r="I1567">
        <v>2021</v>
      </c>
      <c r="J1567">
        <v>2021</v>
      </c>
      <c r="K1567" t="s">
        <v>339</v>
      </c>
      <c r="L1567">
        <v>784293</v>
      </c>
      <c r="O1567">
        <v>596062.68000000005</v>
      </c>
      <c r="P1567">
        <v>0.59606268000000007</v>
      </c>
      <c r="Q1567" t="s">
        <v>809</v>
      </c>
      <c r="R1567" s="141">
        <v>0.95</v>
      </c>
    </row>
    <row r="1568" spans="1:18" x14ac:dyDescent="0.3">
      <c r="A1568" t="s">
        <v>126</v>
      </c>
      <c r="B1568" t="s">
        <v>125</v>
      </c>
      <c r="C1568" t="s">
        <v>471</v>
      </c>
      <c r="D1568" t="s">
        <v>471</v>
      </c>
      <c r="E1568">
        <v>5910</v>
      </c>
      <c r="F1568" t="s">
        <v>124</v>
      </c>
      <c r="G1568">
        <v>1674</v>
      </c>
      <c r="H1568" t="s">
        <v>88</v>
      </c>
      <c r="I1568">
        <v>2021</v>
      </c>
      <c r="J1568">
        <v>2021</v>
      </c>
      <c r="K1568" t="s">
        <v>339</v>
      </c>
      <c r="L1568">
        <v>455511</v>
      </c>
      <c r="O1568">
        <v>346188.36</v>
      </c>
      <c r="P1568">
        <v>0.34618835999999997</v>
      </c>
      <c r="Q1568" t="s">
        <v>810</v>
      </c>
      <c r="R1568" s="141">
        <v>0.95</v>
      </c>
    </row>
    <row r="1569" spans="1:18" x14ac:dyDescent="0.3">
      <c r="A1569" t="s">
        <v>126</v>
      </c>
      <c r="B1569" t="s">
        <v>125</v>
      </c>
      <c r="C1569" t="s">
        <v>471</v>
      </c>
      <c r="D1569" t="s">
        <v>471</v>
      </c>
      <c r="E1569">
        <v>5510</v>
      </c>
      <c r="F1569" t="s">
        <v>128</v>
      </c>
      <c r="G1569">
        <v>1612</v>
      </c>
      <c r="H1569" t="s">
        <v>133</v>
      </c>
      <c r="I1569">
        <v>2021</v>
      </c>
      <c r="J1569">
        <v>2021</v>
      </c>
      <c r="K1569" t="s">
        <v>339</v>
      </c>
      <c r="L1569">
        <v>88220</v>
      </c>
    </row>
    <row r="1570" spans="1:18" x14ac:dyDescent="0.3">
      <c r="A1570" t="s">
        <v>126</v>
      </c>
      <c r="B1570" t="s">
        <v>125</v>
      </c>
      <c r="C1570" t="s">
        <v>471</v>
      </c>
      <c r="D1570" t="s">
        <v>471</v>
      </c>
      <c r="E1570">
        <v>5610</v>
      </c>
      <c r="F1570" t="s">
        <v>127</v>
      </c>
      <c r="G1570">
        <v>1612</v>
      </c>
      <c r="H1570" t="s">
        <v>133</v>
      </c>
      <c r="I1570">
        <v>2021</v>
      </c>
      <c r="J1570">
        <v>2021</v>
      </c>
      <c r="K1570" t="s">
        <v>339</v>
      </c>
      <c r="L1570">
        <v>64092</v>
      </c>
    </row>
    <row r="1571" spans="1:18" x14ac:dyDescent="0.3">
      <c r="A1571" t="s">
        <v>126</v>
      </c>
      <c r="B1571" t="s">
        <v>125</v>
      </c>
      <c r="C1571" t="s">
        <v>471</v>
      </c>
      <c r="D1571" t="s">
        <v>471</v>
      </c>
      <c r="E1571">
        <v>5910</v>
      </c>
      <c r="F1571" t="s">
        <v>124</v>
      </c>
      <c r="G1571">
        <v>1612</v>
      </c>
      <c r="H1571" t="s">
        <v>133</v>
      </c>
      <c r="I1571">
        <v>2021</v>
      </c>
      <c r="J1571">
        <v>2021</v>
      </c>
      <c r="K1571" t="s">
        <v>339</v>
      </c>
      <c r="L1571">
        <v>26966</v>
      </c>
    </row>
    <row r="1572" spans="1:18" x14ac:dyDescent="0.3">
      <c r="A1572" t="s">
        <v>126</v>
      </c>
      <c r="B1572" t="s">
        <v>125</v>
      </c>
      <c r="C1572" t="s">
        <v>471</v>
      </c>
      <c r="D1572" t="s">
        <v>471</v>
      </c>
      <c r="E1572">
        <v>5510</v>
      </c>
      <c r="F1572" t="s">
        <v>128</v>
      </c>
      <c r="G1572">
        <v>1615</v>
      </c>
      <c r="H1572" t="s">
        <v>132</v>
      </c>
      <c r="I1572">
        <v>2021</v>
      </c>
      <c r="J1572">
        <v>2021</v>
      </c>
      <c r="K1572" t="s">
        <v>339</v>
      </c>
      <c r="L1572">
        <v>1112544</v>
      </c>
    </row>
    <row r="1573" spans="1:18" x14ac:dyDescent="0.3">
      <c r="A1573" t="s">
        <v>126</v>
      </c>
      <c r="B1573" t="s">
        <v>125</v>
      </c>
      <c r="C1573" t="s">
        <v>471</v>
      </c>
      <c r="D1573" t="s">
        <v>471</v>
      </c>
      <c r="E1573">
        <v>5610</v>
      </c>
      <c r="F1573" t="s">
        <v>127</v>
      </c>
      <c r="G1573">
        <v>1615</v>
      </c>
      <c r="H1573" t="s">
        <v>132</v>
      </c>
      <c r="I1573">
        <v>2021</v>
      </c>
      <c r="J1573">
        <v>2021</v>
      </c>
      <c r="K1573" t="s">
        <v>339</v>
      </c>
      <c r="L1573">
        <v>428819</v>
      </c>
    </row>
    <row r="1574" spans="1:18" x14ac:dyDescent="0.3">
      <c r="A1574" t="s">
        <v>126</v>
      </c>
      <c r="B1574" t="s">
        <v>125</v>
      </c>
      <c r="C1574" t="s">
        <v>471</v>
      </c>
      <c r="D1574" t="s">
        <v>471</v>
      </c>
      <c r="E1574">
        <v>5910</v>
      </c>
      <c r="F1574" t="s">
        <v>124</v>
      </c>
      <c r="G1574">
        <v>1615</v>
      </c>
      <c r="H1574" t="s">
        <v>132</v>
      </c>
      <c r="I1574">
        <v>2021</v>
      </c>
      <c r="J1574">
        <v>2021</v>
      </c>
      <c r="K1574" t="s">
        <v>339</v>
      </c>
      <c r="L1574">
        <v>414656</v>
      </c>
    </row>
    <row r="1575" spans="1:18" x14ac:dyDescent="0.3">
      <c r="A1575" t="s">
        <v>126</v>
      </c>
      <c r="B1575" t="s">
        <v>125</v>
      </c>
      <c r="C1575" t="s">
        <v>471</v>
      </c>
      <c r="D1575" t="s">
        <v>471</v>
      </c>
      <c r="E1575">
        <v>5510</v>
      </c>
      <c r="F1575" t="s">
        <v>128</v>
      </c>
      <c r="G1575">
        <v>1616</v>
      </c>
      <c r="H1575" t="s">
        <v>131</v>
      </c>
      <c r="I1575">
        <v>2021</v>
      </c>
      <c r="J1575">
        <v>2021</v>
      </c>
      <c r="K1575" t="s">
        <v>339</v>
      </c>
      <c r="L1575">
        <v>131914</v>
      </c>
    </row>
    <row r="1576" spans="1:18" x14ac:dyDescent="0.3">
      <c r="A1576" t="s">
        <v>126</v>
      </c>
      <c r="B1576" t="s">
        <v>125</v>
      </c>
      <c r="C1576" t="s">
        <v>471</v>
      </c>
      <c r="D1576" t="s">
        <v>471</v>
      </c>
      <c r="E1576">
        <v>5610</v>
      </c>
      <c r="F1576" t="s">
        <v>127</v>
      </c>
      <c r="G1576">
        <v>1616</v>
      </c>
      <c r="H1576" t="s">
        <v>131</v>
      </c>
      <c r="I1576">
        <v>2021</v>
      </c>
      <c r="J1576">
        <v>2021</v>
      </c>
      <c r="K1576" t="s">
        <v>339</v>
      </c>
      <c r="L1576">
        <v>291382</v>
      </c>
    </row>
    <row r="1577" spans="1:18" x14ac:dyDescent="0.3">
      <c r="A1577" t="s">
        <v>126</v>
      </c>
      <c r="B1577" t="s">
        <v>125</v>
      </c>
      <c r="C1577" t="s">
        <v>471</v>
      </c>
      <c r="D1577" t="s">
        <v>471</v>
      </c>
      <c r="E1577">
        <v>5910</v>
      </c>
      <c r="F1577" t="s">
        <v>124</v>
      </c>
      <c r="G1577">
        <v>1616</v>
      </c>
      <c r="H1577" t="s">
        <v>131</v>
      </c>
      <c r="I1577">
        <v>2021</v>
      </c>
      <c r="J1577">
        <v>2021</v>
      </c>
      <c r="K1577" t="s">
        <v>339</v>
      </c>
      <c r="L1577">
        <v>13889</v>
      </c>
    </row>
    <row r="1578" spans="1:18" x14ac:dyDescent="0.3">
      <c r="A1578" t="s">
        <v>126</v>
      </c>
      <c r="B1578" t="s">
        <v>125</v>
      </c>
      <c r="C1578" t="s">
        <v>471</v>
      </c>
      <c r="D1578" t="s">
        <v>471</v>
      </c>
      <c r="E1578">
        <v>5510</v>
      </c>
      <c r="F1578" t="s">
        <v>128</v>
      </c>
      <c r="G1578">
        <v>1675</v>
      </c>
      <c r="H1578" t="s">
        <v>87</v>
      </c>
      <c r="I1578">
        <v>2021</v>
      </c>
      <c r="J1578">
        <v>2021</v>
      </c>
      <c r="K1578" t="s">
        <v>339</v>
      </c>
      <c r="L1578">
        <v>8703204</v>
      </c>
    </row>
    <row r="1579" spans="1:18" x14ac:dyDescent="0.3">
      <c r="A1579" t="s">
        <v>126</v>
      </c>
      <c r="B1579" t="s">
        <v>125</v>
      </c>
      <c r="C1579" t="s">
        <v>471</v>
      </c>
      <c r="D1579" t="s">
        <v>471</v>
      </c>
      <c r="E1579">
        <v>5610</v>
      </c>
      <c r="F1579" t="s">
        <v>127</v>
      </c>
      <c r="G1579">
        <v>1675</v>
      </c>
      <c r="H1579" t="s">
        <v>87</v>
      </c>
      <c r="I1579">
        <v>2021</v>
      </c>
      <c r="J1579">
        <v>2021</v>
      </c>
      <c r="K1579" t="s">
        <v>339</v>
      </c>
      <c r="L1579">
        <v>1771686</v>
      </c>
    </row>
    <row r="1580" spans="1:18" x14ac:dyDescent="0.3">
      <c r="A1580" t="s">
        <v>126</v>
      </c>
      <c r="B1580" t="s">
        <v>125</v>
      </c>
      <c r="C1580" t="s">
        <v>471</v>
      </c>
      <c r="D1580" t="s">
        <v>471</v>
      </c>
      <c r="E1580">
        <v>5910</v>
      </c>
      <c r="F1580" t="s">
        <v>124</v>
      </c>
      <c r="G1580">
        <v>1675</v>
      </c>
      <c r="H1580" t="s">
        <v>87</v>
      </c>
      <c r="I1580">
        <v>2021</v>
      </c>
      <c r="J1580">
        <v>2021</v>
      </c>
      <c r="K1580" t="s">
        <v>339</v>
      </c>
      <c r="L1580">
        <v>2458425</v>
      </c>
    </row>
    <row r="1581" spans="1:18" x14ac:dyDescent="0.3">
      <c r="A1581" t="s">
        <v>126</v>
      </c>
      <c r="B1581" t="s">
        <v>125</v>
      </c>
      <c r="C1581" t="s">
        <v>471</v>
      </c>
      <c r="D1581" t="s">
        <v>471</v>
      </c>
      <c r="E1581">
        <v>5510</v>
      </c>
      <c r="F1581" t="s">
        <v>128</v>
      </c>
      <c r="G1581">
        <v>1676</v>
      </c>
      <c r="H1581" t="s">
        <v>86</v>
      </c>
      <c r="I1581">
        <v>2021</v>
      </c>
      <c r="J1581">
        <v>2021</v>
      </c>
      <c r="K1581" t="s">
        <v>339</v>
      </c>
      <c r="L1581">
        <v>900996</v>
      </c>
      <c r="O1581">
        <v>855946.2</v>
      </c>
      <c r="P1581">
        <v>0.85594619999999988</v>
      </c>
      <c r="Q1581" t="s">
        <v>811</v>
      </c>
      <c r="R1581" s="141">
        <v>0.95</v>
      </c>
    </row>
    <row r="1582" spans="1:18" x14ac:dyDescent="0.3">
      <c r="A1582" t="s">
        <v>126</v>
      </c>
      <c r="B1582" t="s">
        <v>125</v>
      </c>
      <c r="C1582" t="s">
        <v>471</v>
      </c>
      <c r="D1582" t="s">
        <v>471</v>
      </c>
      <c r="E1582">
        <v>5610</v>
      </c>
      <c r="F1582" t="s">
        <v>127</v>
      </c>
      <c r="G1582">
        <v>1676</v>
      </c>
      <c r="H1582" t="s">
        <v>86</v>
      </c>
      <c r="I1582">
        <v>2021</v>
      </c>
      <c r="J1582">
        <v>2021</v>
      </c>
      <c r="K1582" t="s">
        <v>339</v>
      </c>
      <c r="L1582">
        <v>61717</v>
      </c>
      <c r="O1582">
        <v>46904.92</v>
      </c>
      <c r="P1582">
        <v>4.6904919999999996E-2</v>
      </c>
      <c r="Q1582" t="s">
        <v>812</v>
      </c>
      <c r="R1582" s="141">
        <v>0.95</v>
      </c>
    </row>
    <row r="1583" spans="1:18" x14ac:dyDescent="0.3">
      <c r="A1583" t="s">
        <v>126</v>
      </c>
      <c r="B1583" t="s">
        <v>125</v>
      </c>
      <c r="C1583" t="s">
        <v>471</v>
      </c>
      <c r="D1583" t="s">
        <v>471</v>
      </c>
      <c r="E1583">
        <v>5910</v>
      </c>
      <c r="F1583" t="s">
        <v>124</v>
      </c>
      <c r="G1583">
        <v>1676</v>
      </c>
      <c r="H1583" t="s">
        <v>86</v>
      </c>
      <c r="I1583">
        <v>2021</v>
      </c>
      <c r="J1583">
        <v>2021</v>
      </c>
      <c r="K1583" t="s">
        <v>339</v>
      </c>
      <c r="L1583">
        <v>84441</v>
      </c>
      <c r="O1583">
        <v>64175.16</v>
      </c>
      <c r="P1583">
        <v>6.4175159999999995E-2</v>
      </c>
      <c r="Q1583" t="s">
        <v>813</v>
      </c>
      <c r="R1583" s="141">
        <v>0.95</v>
      </c>
    </row>
    <row r="1584" spans="1:18" x14ac:dyDescent="0.3">
      <c r="A1584" t="s">
        <v>126</v>
      </c>
      <c r="B1584" t="s">
        <v>125</v>
      </c>
      <c r="C1584" t="s">
        <v>471</v>
      </c>
      <c r="D1584" t="s">
        <v>471</v>
      </c>
      <c r="E1584">
        <v>5510</v>
      </c>
      <c r="F1584" t="s">
        <v>128</v>
      </c>
      <c r="G1584">
        <v>1681</v>
      </c>
      <c r="H1584" t="s">
        <v>130</v>
      </c>
      <c r="I1584">
        <v>2021</v>
      </c>
      <c r="J1584">
        <v>2021</v>
      </c>
      <c r="L1584">
        <v>0</v>
      </c>
    </row>
    <row r="1585" spans="1:18" x14ac:dyDescent="0.3">
      <c r="A1585" t="s">
        <v>126</v>
      </c>
      <c r="B1585" t="s">
        <v>125</v>
      </c>
      <c r="C1585" t="s">
        <v>471</v>
      </c>
      <c r="D1585" t="s">
        <v>471</v>
      </c>
      <c r="E1585">
        <v>5610</v>
      </c>
      <c r="F1585" t="s">
        <v>127</v>
      </c>
      <c r="G1585">
        <v>1681</v>
      </c>
      <c r="H1585" t="s">
        <v>130</v>
      </c>
      <c r="I1585">
        <v>2021</v>
      </c>
      <c r="J1585">
        <v>2021</v>
      </c>
      <c r="L1585">
        <v>0</v>
      </c>
    </row>
    <row r="1586" spans="1:18" x14ac:dyDescent="0.3">
      <c r="A1586" t="s">
        <v>126</v>
      </c>
      <c r="B1586" t="s">
        <v>125</v>
      </c>
      <c r="C1586" t="s">
        <v>471</v>
      </c>
      <c r="D1586" t="s">
        <v>471</v>
      </c>
      <c r="E1586">
        <v>5910</v>
      </c>
      <c r="F1586" t="s">
        <v>124</v>
      </c>
      <c r="G1586">
        <v>1681</v>
      </c>
      <c r="H1586" t="s">
        <v>130</v>
      </c>
      <c r="I1586">
        <v>2021</v>
      </c>
      <c r="J1586">
        <v>2021</v>
      </c>
      <c r="L1586">
        <v>0</v>
      </c>
    </row>
    <row r="1587" spans="1:18" x14ac:dyDescent="0.3">
      <c r="A1587" t="s">
        <v>126</v>
      </c>
      <c r="B1587" t="s">
        <v>125</v>
      </c>
      <c r="C1587" t="s">
        <v>471</v>
      </c>
      <c r="D1587" t="s">
        <v>471</v>
      </c>
      <c r="E1587">
        <v>5510</v>
      </c>
      <c r="F1587" t="s">
        <v>128</v>
      </c>
      <c r="G1587">
        <v>1617</v>
      </c>
      <c r="H1587" t="s">
        <v>85</v>
      </c>
      <c r="I1587">
        <v>2021</v>
      </c>
      <c r="J1587">
        <v>2021</v>
      </c>
      <c r="K1587" t="s">
        <v>339</v>
      </c>
      <c r="L1587">
        <v>5125907</v>
      </c>
      <c r="O1587">
        <v>4869611.6499999994</v>
      </c>
      <c r="P1587">
        <v>4.8696116499999995</v>
      </c>
      <c r="Q1587" t="s">
        <v>814</v>
      </c>
      <c r="R1587" s="141">
        <v>0.95</v>
      </c>
    </row>
    <row r="1588" spans="1:18" x14ac:dyDescent="0.3">
      <c r="A1588" t="s">
        <v>126</v>
      </c>
      <c r="B1588" t="s">
        <v>125</v>
      </c>
      <c r="C1588" t="s">
        <v>471</v>
      </c>
      <c r="D1588" t="s">
        <v>471</v>
      </c>
      <c r="E1588">
        <v>5610</v>
      </c>
      <c r="F1588" t="s">
        <v>127</v>
      </c>
      <c r="G1588">
        <v>1617</v>
      </c>
      <c r="H1588" t="s">
        <v>85</v>
      </c>
      <c r="I1588">
        <v>2021</v>
      </c>
      <c r="J1588">
        <v>2021</v>
      </c>
      <c r="K1588" t="s">
        <v>339</v>
      </c>
      <c r="L1588">
        <v>407026</v>
      </c>
      <c r="O1588">
        <v>309339.75999999995</v>
      </c>
      <c r="P1588">
        <v>0.30933975999999996</v>
      </c>
      <c r="Q1588" t="s">
        <v>815</v>
      </c>
      <c r="R1588" s="141">
        <v>0.95</v>
      </c>
    </row>
    <row r="1589" spans="1:18" x14ac:dyDescent="0.3">
      <c r="A1589" t="s">
        <v>126</v>
      </c>
      <c r="B1589" t="s">
        <v>125</v>
      </c>
      <c r="C1589" t="s">
        <v>471</v>
      </c>
      <c r="D1589" t="s">
        <v>471</v>
      </c>
      <c r="E1589">
        <v>5910</v>
      </c>
      <c r="F1589" t="s">
        <v>124</v>
      </c>
      <c r="G1589">
        <v>1617</v>
      </c>
      <c r="H1589" t="s">
        <v>85</v>
      </c>
      <c r="I1589">
        <v>2021</v>
      </c>
      <c r="J1589">
        <v>2021</v>
      </c>
      <c r="K1589" t="s">
        <v>339</v>
      </c>
      <c r="L1589">
        <v>1315151</v>
      </c>
      <c r="O1589">
        <v>999514.76</v>
      </c>
      <c r="P1589">
        <v>0.99951475999999995</v>
      </c>
      <c r="Q1589" t="s">
        <v>816</v>
      </c>
      <c r="R1589" s="141">
        <v>0.95</v>
      </c>
    </row>
    <row r="1590" spans="1:18" x14ac:dyDescent="0.3">
      <c r="A1590" t="s">
        <v>126</v>
      </c>
      <c r="B1590" t="s">
        <v>125</v>
      </c>
      <c r="C1590" t="s">
        <v>471</v>
      </c>
      <c r="D1590" t="s">
        <v>471</v>
      </c>
      <c r="E1590">
        <v>5510</v>
      </c>
      <c r="F1590" t="s">
        <v>128</v>
      </c>
      <c r="G1590">
        <v>1618</v>
      </c>
      <c r="H1590" t="s">
        <v>84</v>
      </c>
      <c r="I1590">
        <v>2021</v>
      </c>
      <c r="J1590">
        <v>2021</v>
      </c>
      <c r="K1590" t="s">
        <v>339</v>
      </c>
      <c r="L1590">
        <v>1227324</v>
      </c>
      <c r="O1590">
        <v>1165957.8</v>
      </c>
      <c r="P1590">
        <v>1.1659577999999999</v>
      </c>
      <c r="Q1590" t="s">
        <v>817</v>
      </c>
      <c r="R1590" s="141">
        <v>0.95</v>
      </c>
    </row>
    <row r="1591" spans="1:18" x14ac:dyDescent="0.3">
      <c r="A1591" t="s">
        <v>126</v>
      </c>
      <c r="B1591" t="s">
        <v>125</v>
      </c>
      <c r="C1591" t="s">
        <v>471</v>
      </c>
      <c r="D1591" t="s">
        <v>471</v>
      </c>
      <c r="E1591">
        <v>5610</v>
      </c>
      <c r="F1591" t="s">
        <v>127</v>
      </c>
      <c r="G1591">
        <v>1618</v>
      </c>
      <c r="H1591" t="s">
        <v>84</v>
      </c>
      <c r="I1591">
        <v>2021</v>
      </c>
      <c r="J1591">
        <v>2021</v>
      </c>
      <c r="K1591" t="s">
        <v>339</v>
      </c>
      <c r="L1591">
        <v>959919</v>
      </c>
      <c r="O1591">
        <v>729538.44</v>
      </c>
      <c r="P1591">
        <v>0.7295384399999999</v>
      </c>
      <c r="Q1591" t="s">
        <v>818</v>
      </c>
      <c r="R1591" s="141">
        <v>0.95</v>
      </c>
    </row>
    <row r="1592" spans="1:18" x14ac:dyDescent="0.3">
      <c r="A1592" t="s">
        <v>126</v>
      </c>
      <c r="B1592" t="s">
        <v>125</v>
      </c>
      <c r="C1592" t="s">
        <v>471</v>
      </c>
      <c r="D1592" t="s">
        <v>471</v>
      </c>
      <c r="E1592">
        <v>5910</v>
      </c>
      <c r="F1592" t="s">
        <v>124</v>
      </c>
      <c r="G1592">
        <v>1618</v>
      </c>
      <c r="H1592" t="s">
        <v>84</v>
      </c>
      <c r="I1592">
        <v>2021</v>
      </c>
      <c r="J1592">
        <v>2021</v>
      </c>
      <c r="K1592" t="s">
        <v>339</v>
      </c>
      <c r="L1592">
        <v>299675</v>
      </c>
      <c r="O1592">
        <v>227753</v>
      </c>
      <c r="P1592">
        <v>0.22775299999999998</v>
      </c>
      <c r="Q1592" t="s">
        <v>819</v>
      </c>
      <c r="R1592" s="141">
        <v>0.95</v>
      </c>
    </row>
    <row r="1593" spans="1:18" x14ac:dyDescent="0.3">
      <c r="A1593" t="s">
        <v>126</v>
      </c>
      <c r="B1593" t="s">
        <v>125</v>
      </c>
      <c r="C1593" t="s">
        <v>471</v>
      </c>
      <c r="D1593" t="s">
        <v>471</v>
      </c>
      <c r="E1593">
        <v>5510</v>
      </c>
      <c r="F1593" t="s">
        <v>128</v>
      </c>
      <c r="G1593">
        <v>1621</v>
      </c>
      <c r="H1593" t="s">
        <v>129</v>
      </c>
      <c r="I1593">
        <v>2021</v>
      </c>
      <c r="J1593">
        <v>2021</v>
      </c>
      <c r="K1593" t="s">
        <v>339</v>
      </c>
      <c r="L1593">
        <v>962070</v>
      </c>
      <c r="O1593">
        <v>913966.5</v>
      </c>
      <c r="P1593">
        <v>0.9139664999999999</v>
      </c>
      <c r="Q1593" t="s">
        <v>820</v>
      </c>
      <c r="R1593" s="141">
        <v>0.95</v>
      </c>
    </row>
    <row r="1594" spans="1:18" x14ac:dyDescent="0.3">
      <c r="A1594" t="s">
        <v>126</v>
      </c>
      <c r="B1594" t="s">
        <v>125</v>
      </c>
      <c r="C1594" t="s">
        <v>471</v>
      </c>
      <c r="D1594" t="s">
        <v>471</v>
      </c>
      <c r="E1594">
        <v>5610</v>
      </c>
      <c r="F1594" t="s">
        <v>127</v>
      </c>
      <c r="G1594">
        <v>1621</v>
      </c>
      <c r="H1594" t="s">
        <v>129</v>
      </c>
      <c r="I1594">
        <v>2021</v>
      </c>
      <c r="J1594">
        <v>2021</v>
      </c>
      <c r="K1594" t="s">
        <v>339</v>
      </c>
      <c r="L1594">
        <v>211150</v>
      </c>
      <c r="O1594">
        <v>160474</v>
      </c>
      <c r="P1594">
        <v>0.16047400000000001</v>
      </c>
      <c r="Q1594" t="s">
        <v>821</v>
      </c>
      <c r="R1594" s="141">
        <v>0.95</v>
      </c>
    </row>
    <row r="1595" spans="1:18" x14ac:dyDescent="0.3">
      <c r="A1595" t="s">
        <v>126</v>
      </c>
      <c r="B1595" t="s">
        <v>125</v>
      </c>
      <c r="C1595" t="s">
        <v>471</v>
      </c>
      <c r="D1595" t="s">
        <v>471</v>
      </c>
      <c r="E1595">
        <v>5910</v>
      </c>
      <c r="F1595" t="s">
        <v>124</v>
      </c>
      <c r="G1595">
        <v>1621</v>
      </c>
      <c r="H1595" t="s">
        <v>129</v>
      </c>
      <c r="I1595">
        <v>2021</v>
      </c>
      <c r="J1595">
        <v>2021</v>
      </c>
      <c r="K1595" t="s">
        <v>339</v>
      </c>
      <c r="L1595">
        <v>656365</v>
      </c>
      <c r="O1595">
        <v>498837.4</v>
      </c>
      <c r="P1595">
        <v>0.49883739999999999</v>
      </c>
      <c r="Q1595" t="s">
        <v>822</v>
      </c>
      <c r="R1595" s="141">
        <v>0.95</v>
      </c>
    </row>
    <row r="1596" spans="1:18" x14ac:dyDescent="0.3">
      <c r="A1596" t="s">
        <v>126</v>
      </c>
      <c r="B1596" t="s">
        <v>125</v>
      </c>
      <c r="C1596" t="s">
        <v>471</v>
      </c>
      <c r="D1596" t="s">
        <v>471</v>
      </c>
      <c r="E1596">
        <v>5510</v>
      </c>
      <c r="F1596" t="s">
        <v>128</v>
      </c>
      <c r="G1596">
        <v>1622</v>
      </c>
      <c r="H1596" t="s">
        <v>83</v>
      </c>
      <c r="I1596">
        <v>2021</v>
      </c>
      <c r="J1596">
        <v>2021</v>
      </c>
      <c r="K1596" t="s">
        <v>339</v>
      </c>
      <c r="L1596">
        <v>197088</v>
      </c>
      <c r="O1596">
        <v>187233.59999999998</v>
      </c>
      <c r="P1596">
        <v>0.18723359999999997</v>
      </c>
      <c r="Q1596" t="s">
        <v>823</v>
      </c>
      <c r="R1596" s="141">
        <v>0.95</v>
      </c>
    </row>
    <row r="1597" spans="1:18" x14ac:dyDescent="0.3">
      <c r="A1597" t="s">
        <v>126</v>
      </c>
      <c r="B1597" t="s">
        <v>125</v>
      </c>
      <c r="C1597" t="s">
        <v>471</v>
      </c>
      <c r="D1597" t="s">
        <v>471</v>
      </c>
      <c r="E1597">
        <v>5610</v>
      </c>
      <c r="F1597" t="s">
        <v>127</v>
      </c>
      <c r="G1597">
        <v>1622</v>
      </c>
      <c r="H1597" t="s">
        <v>83</v>
      </c>
      <c r="I1597">
        <v>2021</v>
      </c>
      <c r="J1597">
        <v>2021</v>
      </c>
      <c r="K1597" t="s">
        <v>339</v>
      </c>
      <c r="L1597">
        <v>48507</v>
      </c>
      <c r="O1597">
        <v>36865.32</v>
      </c>
      <c r="P1597">
        <v>3.686532E-2</v>
      </c>
      <c r="Q1597" t="s">
        <v>824</v>
      </c>
      <c r="R1597" s="141">
        <v>0.95</v>
      </c>
    </row>
    <row r="1598" spans="1:18" x14ac:dyDescent="0.3">
      <c r="A1598" t="s">
        <v>126</v>
      </c>
      <c r="B1598" t="s">
        <v>125</v>
      </c>
      <c r="C1598" t="s">
        <v>471</v>
      </c>
      <c r="D1598" t="s">
        <v>471</v>
      </c>
      <c r="E1598">
        <v>5910</v>
      </c>
      <c r="F1598" t="s">
        <v>124</v>
      </c>
      <c r="G1598">
        <v>1622</v>
      </c>
      <c r="H1598" t="s">
        <v>83</v>
      </c>
      <c r="I1598">
        <v>2021</v>
      </c>
      <c r="J1598">
        <v>2021</v>
      </c>
      <c r="K1598" t="s">
        <v>339</v>
      </c>
      <c r="L1598">
        <v>82062</v>
      </c>
      <c r="O1598">
        <v>62367.119999999995</v>
      </c>
      <c r="P1598">
        <v>6.2367119999999991E-2</v>
      </c>
      <c r="Q1598" t="s">
        <v>825</v>
      </c>
      <c r="R1598" s="141">
        <v>0.95</v>
      </c>
    </row>
    <row r="1599" spans="1:18" x14ac:dyDescent="0.3">
      <c r="A1599" t="s">
        <v>126</v>
      </c>
      <c r="B1599" t="s">
        <v>125</v>
      </c>
      <c r="C1599" t="s">
        <v>471</v>
      </c>
      <c r="D1599" t="s">
        <v>471</v>
      </c>
      <c r="E1599">
        <v>5510</v>
      </c>
      <c r="F1599" t="s">
        <v>128</v>
      </c>
      <c r="G1599">
        <v>1683</v>
      </c>
      <c r="H1599" t="s">
        <v>123</v>
      </c>
      <c r="I1599">
        <v>2021</v>
      </c>
      <c r="J1599">
        <v>2021</v>
      </c>
      <c r="K1599" t="s">
        <v>339</v>
      </c>
      <c r="L1599">
        <v>289819</v>
      </c>
      <c r="O1599">
        <v>275328.05</v>
      </c>
      <c r="P1599">
        <v>0.27532804999999999</v>
      </c>
      <c r="Q1599" t="s">
        <v>826</v>
      </c>
      <c r="R1599" s="141">
        <v>0.95</v>
      </c>
    </row>
    <row r="1600" spans="1:18" x14ac:dyDescent="0.3">
      <c r="A1600" t="s">
        <v>126</v>
      </c>
      <c r="B1600" t="s">
        <v>125</v>
      </c>
      <c r="C1600" t="s">
        <v>471</v>
      </c>
      <c r="D1600" t="s">
        <v>471</v>
      </c>
      <c r="E1600">
        <v>5610</v>
      </c>
      <c r="F1600" t="s">
        <v>127</v>
      </c>
      <c r="G1600">
        <v>1683</v>
      </c>
      <c r="H1600" t="s">
        <v>123</v>
      </c>
      <c r="I1600">
        <v>2021</v>
      </c>
      <c r="J1600">
        <v>2021</v>
      </c>
      <c r="K1600" t="s">
        <v>339</v>
      </c>
      <c r="L1600">
        <v>83367</v>
      </c>
      <c r="O1600">
        <v>63358.92</v>
      </c>
      <c r="P1600">
        <v>6.3358919999999999E-2</v>
      </c>
      <c r="Q1600" t="s">
        <v>827</v>
      </c>
      <c r="R1600" s="141">
        <v>0.95</v>
      </c>
    </row>
    <row r="1601" spans="1:18" x14ac:dyDescent="0.3">
      <c r="A1601" t="s">
        <v>126</v>
      </c>
      <c r="B1601" t="s">
        <v>125</v>
      </c>
      <c r="C1601" t="s">
        <v>471</v>
      </c>
      <c r="D1601" t="s">
        <v>471</v>
      </c>
      <c r="E1601">
        <v>5910</v>
      </c>
      <c r="F1601" t="s">
        <v>124</v>
      </c>
      <c r="G1601">
        <v>1683</v>
      </c>
      <c r="H1601" t="s">
        <v>123</v>
      </c>
      <c r="I1601">
        <v>2021</v>
      </c>
      <c r="J1601">
        <v>2021</v>
      </c>
      <c r="K1601" t="s">
        <v>339</v>
      </c>
      <c r="L1601">
        <v>20731</v>
      </c>
      <c r="O1601">
        <v>15755.560000000001</v>
      </c>
      <c r="P1601">
        <v>1.5755560000000002E-2</v>
      </c>
      <c r="Q1601" t="s">
        <v>828</v>
      </c>
      <c r="R1601" s="141">
        <v>0.95</v>
      </c>
    </row>
    <row r="1602" spans="1:18" x14ac:dyDescent="0.3">
      <c r="A1602" t="s">
        <v>126</v>
      </c>
      <c r="B1602" t="s">
        <v>125</v>
      </c>
      <c r="C1602" t="s">
        <v>472</v>
      </c>
      <c r="D1602" t="s">
        <v>472</v>
      </c>
      <c r="E1602">
        <v>5516</v>
      </c>
      <c r="F1602" t="s">
        <v>128</v>
      </c>
      <c r="G1602">
        <v>1627</v>
      </c>
      <c r="H1602" t="s">
        <v>121</v>
      </c>
      <c r="I1602">
        <v>2021</v>
      </c>
      <c r="J1602">
        <v>2021</v>
      </c>
      <c r="K1602" t="s">
        <v>143</v>
      </c>
      <c r="L1602">
        <v>11263649</v>
      </c>
      <c r="O1602">
        <v>4812394.0352500007</v>
      </c>
      <c r="P1602">
        <v>4.8123940352500005</v>
      </c>
      <c r="Q1602" t="s">
        <v>724</v>
      </c>
      <c r="R1602" s="141">
        <v>0.42725000000000002</v>
      </c>
    </row>
    <row r="1603" spans="1:18" x14ac:dyDescent="0.3">
      <c r="A1603" t="s">
        <v>126</v>
      </c>
      <c r="B1603" t="s">
        <v>125</v>
      </c>
      <c r="C1603" t="s">
        <v>472</v>
      </c>
      <c r="D1603" t="s">
        <v>472</v>
      </c>
      <c r="E1603">
        <v>5616</v>
      </c>
      <c r="F1603" t="s">
        <v>127</v>
      </c>
      <c r="G1603">
        <v>1627</v>
      </c>
      <c r="H1603" t="s">
        <v>121</v>
      </c>
      <c r="I1603">
        <v>2021</v>
      </c>
      <c r="J1603">
        <v>2021</v>
      </c>
      <c r="K1603" t="s">
        <v>143</v>
      </c>
      <c r="L1603">
        <v>644444.89</v>
      </c>
      <c r="O1603">
        <v>240921.69434593752</v>
      </c>
      <c r="P1603">
        <v>0.24092169434593752</v>
      </c>
      <c r="Q1603" t="s">
        <v>725</v>
      </c>
      <c r="R1603" s="141">
        <v>0.42725000000000002</v>
      </c>
    </row>
    <row r="1604" spans="1:18" x14ac:dyDescent="0.3">
      <c r="A1604" t="s">
        <v>126</v>
      </c>
      <c r="B1604" t="s">
        <v>125</v>
      </c>
      <c r="C1604" t="s">
        <v>472</v>
      </c>
      <c r="D1604" t="s">
        <v>472</v>
      </c>
      <c r="E1604">
        <v>5916</v>
      </c>
      <c r="F1604" t="s">
        <v>124</v>
      </c>
      <c r="G1604">
        <v>1627</v>
      </c>
      <c r="H1604" t="s">
        <v>121</v>
      </c>
      <c r="I1604">
        <v>2021</v>
      </c>
      <c r="J1604">
        <v>2021</v>
      </c>
      <c r="K1604" t="s">
        <v>143</v>
      </c>
      <c r="L1604">
        <v>635612.32999999996</v>
      </c>
      <c r="O1604">
        <v>237619.69699343751</v>
      </c>
      <c r="P1604">
        <v>0.23761969699343749</v>
      </c>
      <c r="Q1604" t="s">
        <v>726</v>
      </c>
      <c r="R1604" s="141">
        <v>0.42725000000000002</v>
      </c>
    </row>
    <row r="1605" spans="1:18" x14ac:dyDescent="0.3">
      <c r="A1605" t="s">
        <v>126</v>
      </c>
      <c r="B1605" t="s">
        <v>125</v>
      </c>
      <c r="C1605" t="s">
        <v>472</v>
      </c>
      <c r="D1605" t="s">
        <v>472</v>
      </c>
      <c r="E1605">
        <v>5516</v>
      </c>
      <c r="F1605" t="s">
        <v>128</v>
      </c>
      <c r="G1605">
        <v>1628</v>
      </c>
      <c r="H1605" t="s">
        <v>120</v>
      </c>
      <c r="I1605">
        <v>2021</v>
      </c>
      <c r="J1605">
        <v>2021</v>
      </c>
      <c r="K1605" t="s">
        <v>143</v>
      </c>
      <c r="L1605">
        <v>654856691</v>
      </c>
      <c r="O1605">
        <v>386424384.79219002</v>
      </c>
      <c r="P1605">
        <v>386.42438479218998</v>
      </c>
      <c r="Q1605" t="s">
        <v>727</v>
      </c>
      <c r="R1605" s="141">
        <v>0.59009</v>
      </c>
    </row>
    <row r="1606" spans="1:18" x14ac:dyDescent="0.3">
      <c r="A1606" t="s">
        <v>126</v>
      </c>
      <c r="B1606" t="s">
        <v>125</v>
      </c>
      <c r="C1606" t="s">
        <v>472</v>
      </c>
      <c r="D1606" t="s">
        <v>472</v>
      </c>
      <c r="E1606">
        <v>5616</v>
      </c>
      <c r="F1606" t="s">
        <v>127</v>
      </c>
      <c r="G1606">
        <v>1628</v>
      </c>
      <c r="H1606" t="s">
        <v>120</v>
      </c>
      <c r="I1606">
        <v>2021</v>
      </c>
      <c r="J1606">
        <v>2021</v>
      </c>
      <c r="K1606" t="s">
        <v>143</v>
      </c>
      <c r="L1606">
        <v>883101.37</v>
      </c>
      <c r="O1606">
        <v>455970.62649538746</v>
      </c>
      <c r="P1606">
        <v>0.45597062649538744</v>
      </c>
      <c r="Q1606" t="s">
        <v>728</v>
      </c>
      <c r="R1606" s="141">
        <v>0.59009</v>
      </c>
    </row>
    <row r="1607" spans="1:18" x14ac:dyDescent="0.3">
      <c r="A1607" t="s">
        <v>126</v>
      </c>
      <c r="B1607" t="s">
        <v>125</v>
      </c>
      <c r="C1607" t="s">
        <v>472</v>
      </c>
      <c r="D1607" t="s">
        <v>472</v>
      </c>
      <c r="E1607">
        <v>5916</v>
      </c>
      <c r="F1607" t="s">
        <v>124</v>
      </c>
      <c r="G1607">
        <v>1628</v>
      </c>
      <c r="H1607" t="s">
        <v>120</v>
      </c>
      <c r="I1607">
        <v>2021</v>
      </c>
      <c r="J1607">
        <v>2021</v>
      </c>
      <c r="K1607" t="s">
        <v>143</v>
      </c>
      <c r="L1607">
        <v>845041.94</v>
      </c>
      <c r="O1607">
        <v>436319.44857777498</v>
      </c>
      <c r="P1607">
        <v>0.43631944857777494</v>
      </c>
      <c r="Q1607" t="s">
        <v>729</v>
      </c>
      <c r="R1607" s="141">
        <v>0.59009</v>
      </c>
    </row>
    <row r="1608" spans="1:18" x14ac:dyDescent="0.3">
      <c r="A1608" t="s">
        <v>126</v>
      </c>
      <c r="B1608" t="s">
        <v>125</v>
      </c>
      <c r="C1608" t="s">
        <v>472</v>
      </c>
      <c r="D1608" t="s">
        <v>472</v>
      </c>
      <c r="E1608">
        <v>5616</v>
      </c>
      <c r="F1608" t="s">
        <v>127</v>
      </c>
      <c r="G1608">
        <v>1629</v>
      </c>
      <c r="H1608" t="s">
        <v>160</v>
      </c>
      <c r="I1608">
        <v>2021</v>
      </c>
      <c r="J1608">
        <v>2021</v>
      </c>
      <c r="L1608">
        <v>0</v>
      </c>
    </row>
    <row r="1609" spans="1:18" x14ac:dyDescent="0.3">
      <c r="A1609" t="s">
        <v>126</v>
      </c>
      <c r="B1609" t="s">
        <v>125</v>
      </c>
      <c r="C1609" t="s">
        <v>472</v>
      </c>
      <c r="D1609" t="s">
        <v>472</v>
      </c>
      <c r="E1609">
        <v>5916</v>
      </c>
      <c r="F1609" t="s">
        <v>124</v>
      </c>
      <c r="G1609">
        <v>1629</v>
      </c>
      <c r="H1609" t="s">
        <v>160</v>
      </c>
      <c r="I1609">
        <v>2021</v>
      </c>
      <c r="J1609">
        <v>2021</v>
      </c>
      <c r="L1609">
        <v>0</v>
      </c>
    </row>
    <row r="1610" spans="1:18" x14ac:dyDescent="0.3">
      <c r="A1610" t="s">
        <v>126</v>
      </c>
      <c r="B1610" t="s">
        <v>125</v>
      </c>
      <c r="C1610" t="s">
        <v>472</v>
      </c>
      <c r="D1610" t="s">
        <v>472</v>
      </c>
      <c r="E1610">
        <v>5616</v>
      </c>
      <c r="F1610" t="s">
        <v>127</v>
      </c>
      <c r="G1610">
        <v>1651</v>
      </c>
      <c r="H1610" t="s">
        <v>159</v>
      </c>
      <c r="I1610">
        <v>2021</v>
      </c>
      <c r="J1610">
        <v>2021</v>
      </c>
      <c r="K1610" t="s">
        <v>143</v>
      </c>
      <c r="L1610">
        <v>142692</v>
      </c>
      <c r="O1610">
        <v>54936.420000000006</v>
      </c>
      <c r="P1610">
        <v>5.493642E-2</v>
      </c>
      <c r="Q1610" t="s">
        <v>730</v>
      </c>
      <c r="R1610" s="141">
        <v>0.44</v>
      </c>
    </row>
    <row r="1611" spans="1:18" x14ac:dyDescent="0.3">
      <c r="A1611" t="s">
        <v>126</v>
      </c>
      <c r="B1611" t="s">
        <v>125</v>
      </c>
      <c r="C1611" t="s">
        <v>472</v>
      </c>
      <c r="D1611" t="s">
        <v>472</v>
      </c>
      <c r="E1611">
        <v>5916</v>
      </c>
      <c r="F1611" t="s">
        <v>124</v>
      </c>
      <c r="G1611">
        <v>1651</v>
      </c>
      <c r="H1611" t="s">
        <v>159</v>
      </c>
      <c r="I1611">
        <v>2021</v>
      </c>
      <c r="J1611">
        <v>2021</v>
      </c>
      <c r="K1611" t="s">
        <v>143</v>
      </c>
      <c r="L1611">
        <v>202290</v>
      </c>
      <c r="O1611">
        <v>77881.650000000009</v>
      </c>
      <c r="P1611">
        <v>7.7881650000000011E-2</v>
      </c>
      <c r="Q1611" t="s">
        <v>731</v>
      </c>
      <c r="R1611" s="141">
        <v>0.44</v>
      </c>
    </row>
    <row r="1612" spans="1:18" x14ac:dyDescent="0.3">
      <c r="A1612" t="s">
        <v>126</v>
      </c>
      <c r="B1612" t="s">
        <v>125</v>
      </c>
      <c r="C1612" t="s">
        <v>472</v>
      </c>
      <c r="D1612" t="s">
        <v>472</v>
      </c>
      <c r="E1612">
        <v>5616</v>
      </c>
      <c r="F1612" t="s">
        <v>127</v>
      </c>
      <c r="G1612">
        <v>1657</v>
      </c>
      <c r="H1612" t="s">
        <v>158</v>
      </c>
      <c r="I1612">
        <v>2021</v>
      </c>
      <c r="J1612">
        <v>2021</v>
      </c>
      <c r="K1612" t="s">
        <v>143</v>
      </c>
      <c r="L1612">
        <v>29521</v>
      </c>
      <c r="O1612">
        <v>15821.410937500003</v>
      </c>
      <c r="P1612">
        <v>1.5821410937500002E-2</v>
      </c>
      <c r="Q1612" t="s">
        <v>732</v>
      </c>
      <c r="R1612" s="141">
        <v>0.61250000000000004</v>
      </c>
    </row>
    <row r="1613" spans="1:18" x14ac:dyDescent="0.3">
      <c r="A1613" t="s">
        <v>126</v>
      </c>
      <c r="B1613" t="s">
        <v>125</v>
      </c>
      <c r="C1613" t="s">
        <v>472</v>
      </c>
      <c r="D1613" t="s">
        <v>472</v>
      </c>
      <c r="E1613">
        <v>5916</v>
      </c>
      <c r="F1613" t="s">
        <v>124</v>
      </c>
      <c r="G1613">
        <v>1657</v>
      </c>
      <c r="H1613" t="s">
        <v>158</v>
      </c>
      <c r="I1613">
        <v>2021</v>
      </c>
      <c r="J1613">
        <v>2021</v>
      </c>
      <c r="K1613" t="s">
        <v>143</v>
      </c>
      <c r="L1613">
        <v>4023099</v>
      </c>
      <c r="O1613">
        <v>2156129.6203125003</v>
      </c>
      <c r="P1613">
        <v>2.1561296203125</v>
      </c>
      <c r="Q1613" t="s">
        <v>733</v>
      </c>
      <c r="R1613" s="141">
        <v>0.61250000000000004</v>
      </c>
    </row>
    <row r="1614" spans="1:18" x14ac:dyDescent="0.3">
      <c r="A1614" t="s">
        <v>126</v>
      </c>
      <c r="B1614" t="s">
        <v>125</v>
      </c>
      <c r="C1614" t="s">
        <v>472</v>
      </c>
      <c r="D1614" t="s">
        <v>472</v>
      </c>
      <c r="E1614">
        <v>5616</v>
      </c>
      <c r="F1614" t="s">
        <v>127</v>
      </c>
      <c r="G1614">
        <v>1670</v>
      </c>
      <c r="H1614" t="s">
        <v>157</v>
      </c>
      <c r="I1614">
        <v>2021</v>
      </c>
      <c r="J1614">
        <v>2021</v>
      </c>
      <c r="K1614" t="s">
        <v>143</v>
      </c>
      <c r="L1614">
        <v>90251</v>
      </c>
      <c r="O1614">
        <v>48368.895312500004</v>
      </c>
      <c r="P1614">
        <v>4.83688953125E-2</v>
      </c>
      <c r="Q1614" t="s">
        <v>734</v>
      </c>
      <c r="R1614" s="141">
        <v>0.61250000000000004</v>
      </c>
    </row>
    <row r="1615" spans="1:18" x14ac:dyDescent="0.3">
      <c r="A1615" t="s">
        <v>126</v>
      </c>
      <c r="B1615" t="s">
        <v>125</v>
      </c>
      <c r="C1615" t="s">
        <v>472</v>
      </c>
      <c r="D1615" t="s">
        <v>472</v>
      </c>
      <c r="E1615">
        <v>5916</v>
      </c>
      <c r="F1615" t="s">
        <v>124</v>
      </c>
      <c r="G1615">
        <v>1670</v>
      </c>
      <c r="H1615" t="s">
        <v>157</v>
      </c>
      <c r="I1615">
        <v>2021</v>
      </c>
      <c r="J1615">
        <v>2021</v>
      </c>
      <c r="K1615" t="s">
        <v>143</v>
      </c>
      <c r="L1615">
        <v>201543</v>
      </c>
      <c r="O1615">
        <v>108014.45156250001</v>
      </c>
      <c r="P1615">
        <v>0.1080144515625</v>
      </c>
      <c r="Q1615" t="s">
        <v>735</v>
      </c>
      <c r="R1615" s="141">
        <v>0.61250000000000004</v>
      </c>
    </row>
    <row r="1616" spans="1:18" x14ac:dyDescent="0.3">
      <c r="A1616" t="s">
        <v>126</v>
      </c>
      <c r="B1616" t="s">
        <v>125</v>
      </c>
      <c r="C1616" t="s">
        <v>472</v>
      </c>
      <c r="D1616" t="s">
        <v>472</v>
      </c>
      <c r="E1616">
        <v>5516</v>
      </c>
      <c r="F1616" t="s">
        <v>128</v>
      </c>
      <c r="G1616">
        <v>1601</v>
      </c>
      <c r="H1616" t="s">
        <v>119</v>
      </c>
      <c r="I1616">
        <v>2021</v>
      </c>
      <c r="J1616">
        <v>2021</v>
      </c>
      <c r="K1616" t="s">
        <v>143</v>
      </c>
      <c r="L1616">
        <v>9082819</v>
      </c>
      <c r="O1616">
        <v>3905612.17</v>
      </c>
      <c r="P1616">
        <v>3.9056121699999999</v>
      </c>
      <c r="Q1616" t="s">
        <v>736</v>
      </c>
      <c r="R1616" s="141">
        <v>0.43</v>
      </c>
    </row>
    <row r="1617" spans="1:18" x14ac:dyDescent="0.3">
      <c r="A1617" t="s">
        <v>126</v>
      </c>
      <c r="B1617" t="s">
        <v>125</v>
      </c>
      <c r="C1617" t="s">
        <v>472</v>
      </c>
      <c r="D1617" t="s">
        <v>472</v>
      </c>
      <c r="E1617">
        <v>5616</v>
      </c>
      <c r="F1617" t="s">
        <v>127</v>
      </c>
      <c r="G1617">
        <v>1601</v>
      </c>
      <c r="H1617" t="s">
        <v>119</v>
      </c>
      <c r="I1617">
        <v>2021</v>
      </c>
      <c r="J1617">
        <v>2021</v>
      </c>
      <c r="L1617">
        <v>0</v>
      </c>
    </row>
    <row r="1618" spans="1:18" x14ac:dyDescent="0.3">
      <c r="A1618" t="s">
        <v>126</v>
      </c>
      <c r="B1618" t="s">
        <v>125</v>
      </c>
      <c r="C1618" t="s">
        <v>472</v>
      </c>
      <c r="D1618" t="s">
        <v>472</v>
      </c>
      <c r="E1618">
        <v>5916</v>
      </c>
      <c r="F1618" t="s">
        <v>124</v>
      </c>
      <c r="G1618">
        <v>1601</v>
      </c>
      <c r="H1618" t="s">
        <v>119</v>
      </c>
      <c r="I1618">
        <v>2021</v>
      </c>
      <c r="J1618">
        <v>2021</v>
      </c>
      <c r="L1618">
        <v>0</v>
      </c>
    </row>
    <row r="1619" spans="1:18" x14ac:dyDescent="0.3">
      <c r="A1619" t="s">
        <v>126</v>
      </c>
      <c r="B1619" t="s">
        <v>125</v>
      </c>
      <c r="C1619" t="s">
        <v>472</v>
      </c>
      <c r="D1619" t="s">
        <v>472</v>
      </c>
      <c r="E1619">
        <v>5516</v>
      </c>
      <c r="F1619" t="s">
        <v>128</v>
      </c>
      <c r="G1619">
        <v>1604</v>
      </c>
      <c r="H1619" t="s">
        <v>118</v>
      </c>
      <c r="I1619">
        <v>2021</v>
      </c>
      <c r="J1619">
        <v>2021</v>
      </c>
      <c r="K1619" t="s">
        <v>143</v>
      </c>
      <c r="L1619">
        <v>28425278</v>
      </c>
      <c r="O1619">
        <v>19187062.650000002</v>
      </c>
      <c r="P1619">
        <v>19.187062650000001</v>
      </c>
      <c r="Q1619" t="s">
        <v>737</v>
      </c>
      <c r="R1619" s="141">
        <v>0.67500000000000004</v>
      </c>
    </row>
    <row r="1620" spans="1:18" x14ac:dyDescent="0.3">
      <c r="A1620" t="s">
        <v>126</v>
      </c>
      <c r="B1620" t="s">
        <v>125</v>
      </c>
      <c r="C1620" t="s">
        <v>472</v>
      </c>
      <c r="D1620" t="s">
        <v>472</v>
      </c>
      <c r="E1620">
        <v>5616</v>
      </c>
      <c r="F1620" t="s">
        <v>127</v>
      </c>
      <c r="G1620">
        <v>1604</v>
      </c>
      <c r="H1620" t="s">
        <v>118</v>
      </c>
      <c r="I1620">
        <v>2021</v>
      </c>
      <c r="J1620">
        <v>2021</v>
      </c>
      <c r="L1620">
        <v>0</v>
      </c>
    </row>
    <row r="1621" spans="1:18" x14ac:dyDescent="0.3">
      <c r="A1621" t="s">
        <v>126</v>
      </c>
      <c r="B1621" t="s">
        <v>125</v>
      </c>
      <c r="C1621" t="s">
        <v>472</v>
      </c>
      <c r="D1621" t="s">
        <v>472</v>
      </c>
      <c r="E1621">
        <v>5916</v>
      </c>
      <c r="F1621" t="s">
        <v>124</v>
      </c>
      <c r="G1621">
        <v>1604</v>
      </c>
      <c r="H1621" t="s">
        <v>118</v>
      </c>
      <c r="I1621">
        <v>2021</v>
      </c>
      <c r="J1621">
        <v>2021</v>
      </c>
      <c r="L1621">
        <v>0</v>
      </c>
    </row>
    <row r="1622" spans="1:18" x14ac:dyDescent="0.3">
      <c r="A1622" t="s">
        <v>126</v>
      </c>
      <c r="B1622" t="s">
        <v>125</v>
      </c>
      <c r="C1622" t="s">
        <v>472</v>
      </c>
      <c r="D1622" t="s">
        <v>472</v>
      </c>
      <c r="E1622">
        <v>5516</v>
      </c>
      <c r="F1622" t="s">
        <v>128</v>
      </c>
      <c r="G1622">
        <v>1602</v>
      </c>
      <c r="H1622" t="s">
        <v>156</v>
      </c>
      <c r="I1622">
        <v>2021</v>
      </c>
      <c r="J1622">
        <v>2021</v>
      </c>
      <c r="K1622" t="s">
        <v>143</v>
      </c>
      <c r="L1622">
        <v>2599168</v>
      </c>
      <c r="O1622">
        <v>1169625.6000000001</v>
      </c>
      <c r="P1622">
        <v>1.1696256</v>
      </c>
      <c r="Q1622" t="s">
        <v>738</v>
      </c>
      <c r="R1622" s="141">
        <v>0.45</v>
      </c>
    </row>
    <row r="1623" spans="1:18" x14ac:dyDescent="0.3">
      <c r="A1623" t="s">
        <v>126</v>
      </c>
      <c r="B1623" t="s">
        <v>125</v>
      </c>
      <c r="C1623" t="s">
        <v>472</v>
      </c>
      <c r="D1623" t="s">
        <v>472</v>
      </c>
      <c r="E1623">
        <v>5516</v>
      </c>
      <c r="F1623" t="s">
        <v>128</v>
      </c>
      <c r="G1623">
        <v>1603</v>
      </c>
      <c r="H1623" t="s">
        <v>155</v>
      </c>
      <c r="I1623">
        <v>2021</v>
      </c>
      <c r="J1623">
        <v>2021</v>
      </c>
      <c r="K1623" t="s">
        <v>143</v>
      </c>
      <c r="L1623">
        <v>8934799</v>
      </c>
      <c r="O1623">
        <v>4914139.45</v>
      </c>
      <c r="P1623">
        <v>4.9141394499999995</v>
      </c>
      <c r="Q1623" t="s">
        <v>739</v>
      </c>
      <c r="R1623" s="141">
        <v>0.55000000000000004</v>
      </c>
    </row>
    <row r="1624" spans="1:18" x14ac:dyDescent="0.3">
      <c r="A1624" t="s">
        <v>126</v>
      </c>
      <c r="B1624" t="s">
        <v>125</v>
      </c>
      <c r="C1624" t="s">
        <v>472</v>
      </c>
      <c r="D1624" t="s">
        <v>472</v>
      </c>
      <c r="E1624">
        <v>5516</v>
      </c>
      <c r="F1624" t="s">
        <v>128</v>
      </c>
      <c r="G1624">
        <v>1614</v>
      </c>
      <c r="H1624" t="s">
        <v>154</v>
      </c>
      <c r="I1624">
        <v>2021</v>
      </c>
      <c r="J1624">
        <v>2021</v>
      </c>
      <c r="L1624">
        <v>0</v>
      </c>
    </row>
    <row r="1625" spans="1:18" x14ac:dyDescent="0.3">
      <c r="A1625" t="s">
        <v>126</v>
      </c>
      <c r="B1625" t="s">
        <v>125</v>
      </c>
      <c r="C1625" t="s">
        <v>472</v>
      </c>
      <c r="D1625" t="s">
        <v>472</v>
      </c>
      <c r="E1625">
        <v>5616</v>
      </c>
      <c r="F1625" t="s">
        <v>127</v>
      </c>
      <c r="G1625">
        <v>1614</v>
      </c>
      <c r="H1625" t="s">
        <v>154</v>
      </c>
      <c r="I1625">
        <v>2021</v>
      </c>
      <c r="J1625">
        <v>2021</v>
      </c>
      <c r="L1625">
        <v>0</v>
      </c>
    </row>
    <row r="1626" spans="1:18" x14ac:dyDescent="0.3">
      <c r="A1626" t="s">
        <v>126</v>
      </c>
      <c r="B1626" t="s">
        <v>125</v>
      </c>
      <c r="C1626" t="s">
        <v>472</v>
      </c>
      <c r="D1626" t="s">
        <v>472</v>
      </c>
      <c r="E1626">
        <v>5916</v>
      </c>
      <c r="F1626" t="s">
        <v>124</v>
      </c>
      <c r="G1626">
        <v>1614</v>
      </c>
      <c r="H1626" t="s">
        <v>154</v>
      </c>
      <c r="I1626">
        <v>2021</v>
      </c>
      <c r="J1626">
        <v>2021</v>
      </c>
      <c r="L1626">
        <v>0</v>
      </c>
    </row>
    <row r="1627" spans="1:18" x14ac:dyDescent="0.3">
      <c r="A1627" t="s">
        <v>126</v>
      </c>
      <c r="B1627" t="s">
        <v>125</v>
      </c>
      <c r="C1627" t="s">
        <v>472</v>
      </c>
      <c r="D1627" t="s">
        <v>472</v>
      </c>
      <c r="E1627">
        <v>5516</v>
      </c>
      <c r="F1627" t="s">
        <v>128</v>
      </c>
      <c r="G1627">
        <v>1608</v>
      </c>
      <c r="H1627" t="s">
        <v>153</v>
      </c>
      <c r="I1627">
        <v>2021</v>
      </c>
      <c r="J1627">
        <v>2021</v>
      </c>
      <c r="L1627">
        <v>0</v>
      </c>
    </row>
    <row r="1628" spans="1:18" x14ac:dyDescent="0.3">
      <c r="A1628" t="s">
        <v>126</v>
      </c>
      <c r="B1628" t="s">
        <v>125</v>
      </c>
      <c r="C1628" t="s">
        <v>472</v>
      </c>
      <c r="D1628" t="s">
        <v>472</v>
      </c>
      <c r="E1628">
        <v>5516</v>
      </c>
      <c r="F1628" t="s">
        <v>128</v>
      </c>
      <c r="G1628">
        <v>1611</v>
      </c>
      <c r="H1628" t="s">
        <v>152</v>
      </c>
      <c r="I1628">
        <v>2021</v>
      </c>
      <c r="J1628">
        <v>2021</v>
      </c>
      <c r="L1628">
        <v>0</v>
      </c>
    </row>
    <row r="1629" spans="1:18" x14ac:dyDescent="0.3">
      <c r="A1629" t="s">
        <v>126</v>
      </c>
      <c r="B1629" t="s">
        <v>125</v>
      </c>
      <c r="C1629" t="s">
        <v>472</v>
      </c>
      <c r="D1629" t="s">
        <v>472</v>
      </c>
      <c r="E1629">
        <v>5516</v>
      </c>
      <c r="F1629" t="s">
        <v>128</v>
      </c>
      <c r="G1629">
        <v>1623</v>
      </c>
      <c r="H1629" t="s">
        <v>151</v>
      </c>
      <c r="I1629">
        <v>2021</v>
      </c>
      <c r="J1629">
        <v>2021</v>
      </c>
      <c r="K1629" t="s">
        <v>143</v>
      </c>
      <c r="L1629">
        <v>501356</v>
      </c>
      <c r="O1629">
        <v>220596.64</v>
      </c>
      <c r="P1629">
        <v>0.22059664000000001</v>
      </c>
      <c r="Q1629" t="s">
        <v>740</v>
      </c>
      <c r="R1629" s="141">
        <v>0.44</v>
      </c>
    </row>
    <row r="1630" spans="1:18" x14ac:dyDescent="0.3">
      <c r="A1630" t="s">
        <v>126</v>
      </c>
      <c r="B1630" t="s">
        <v>125</v>
      </c>
      <c r="C1630" t="s">
        <v>472</v>
      </c>
      <c r="D1630" t="s">
        <v>472</v>
      </c>
      <c r="E1630">
        <v>5516</v>
      </c>
      <c r="F1630" t="s">
        <v>128</v>
      </c>
      <c r="G1630">
        <v>1626</v>
      </c>
      <c r="H1630" t="s">
        <v>150</v>
      </c>
      <c r="I1630">
        <v>2021</v>
      </c>
      <c r="J1630">
        <v>2021</v>
      </c>
      <c r="K1630" t="s">
        <v>143</v>
      </c>
      <c r="L1630">
        <v>26448864</v>
      </c>
      <c r="O1630">
        <v>16199929.200000001</v>
      </c>
      <c r="P1630">
        <v>16.1999292</v>
      </c>
      <c r="Q1630" t="s">
        <v>741</v>
      </c>
      <c r="R1630" s="141">
        <v>0.61250000000000004</v>
      </c>
    </row>
    <row r="1631" spans="1:18" x14ac:dyDescent="0.3">
      <c r="A1631" t="s">
        <v>126</v>
      </c>
      <c r="B1631" t="s">
        <v>125</v>
      </c>
      <c r="C1631" t="s">
        <v>472</v>
      </c>
      <c r="D1631" t="s">
        <v>472</v>
      </c>
      <c r="E1631">
        <v>5616</v>
      </c>
      <c r="F1631" t="s">
        <v>127</v>
      </c>
      <c r="G1631">
        <v>1625</v>
      </c>
      <c r="H1631" t="s">
        <v>149</v>
      </c>
      <c r="I1631">
        <v>2021</v>
      </c>
      <c r="J1631">
        <v>2021</v>
      </c>
      <c r="L1631">
        <v>0</v>
      </c>
    </row>
    <row r="1632" spans="1:18" x14ac:dyDescent="0.3">
      <c r="A1632" t="s">
        <v>126</v>
      </c>
      <c r="B1632" t="s">
        <v>125</v>
      </c>
      <c r="C1632" t="s">
        <v>472</v>
      </c>
      <c r="D1632" t="s">
        <v>472</v>
      </c>
      <c r="E1632">
        <v>5916</v>
      </c>
      <c r="F1632" t="s">
        <v>124</v>
      </c>
      <c r="G1632">
        <v>1625</v>
      </c>
      <c r="H1632" t="s">
        <v>149</v>
      </c>
      <c r="I1632">
        <v>2021</v>
      </c>
      <c r="J1632">
        <v>2021</v>
      </c>
      <c r="L1632">
        <v>0</v>
      </c>
    </row>
    <row r="1633" spans="1:18" x14ac:dyDescent="0.3">
      <c r="A1633" t="s">
        <v>126</v>
      </c>
      <c r="B1633" t="s">
        <v>125</v>
      </c>
      <c r="C1633" t="s">
        <v>472</v>
      </c>
      <c r="D1633" t="s">
        <v>472</v>
      </c>
      <c r="E1633">
        <v>5510</v>
      </c>
      <c r="F1633" t="s">
        <v>128</v>
      </c>
      <c r="G1633">
        <v>1630</v>
      </c>
      <c r="H1633" t="s">
        <v>117</v>
      </c>
      <c r="I1633">
        <v>2021</v>
      </c>
      <c r="J1633">
        <v>2021</v>
      </c>
      <c r="K1633" t="s">
        <v>339</v>
      </c>
      <c r="L1633">
        <v>32802221</v>
      </c>
      <c r="O1633">
        <v>31654143.265000001</v>
      </c>
      <c r="P1633">
        <v>31.654143264999998</v>
      </c>
      <c r="Q1633" t="s">
        <v>742</v>
      </c>
      <c r="R1633" s="141">
        <v>0.96499999999999997</v>
      </c>
    </row>
    <row r="1634" spans="1:18" x14ac:dyDescent="0.3">
      <c r="A1634" t="s">
        <v>126</v>
      </c>
      <c r="B1634" t="s">
        <v>125</v>
      </c>
      <c r="C1634" t="s">
        <v>472</v>
      </c>
      <c r="D1634" t="s">
        <v>472</v>
      </c>
      <c r="E1634">
        <v>5510</v>
      </c>
      <c r="F1634" t="s">
        <v>128</v>
      </c>
      <c r="G1634">
        <v>1694</v>
      </c>
      <c r="H1634" t="s">
        <v>348</v>
      </c>
      <c r="I1634">
        <v>2021</v>
      </c>
      <c r="J1634">
        <v>2021</v>
      </c>
      <c r="K1634" t="s">
        <v>339</v>
      </c>
      <c r="L1634">
        <v>27000</v>
      </c>
      <c r="O1634">
        <v>24975</v>
      </c>
      <c r="P1634">
        <v>2.4974999999999997E-2</v>
      </c>
      <c r="Q1634" t="s">
        <v>743</v>
      </c>
      <c r="R1634" s="141">
        <v>0.92500000000000004</v>
      </c>
    </row>
    <row r="1635" spans="1:18" x14ac:dyDescent="0.3">
      <c r="A1635" t="s">
        <v>126</v>
      </c>
      <c r="B1635" t="s">
        <v>125</v>
      </c>
      <c r="C1635" t="s">
        <v>472</v>
      </c>
      <c r="D1635" t="s">
        <v>472</v>
      </c>
      <c r="E1635">
        <v>5610</v>
      </c>
      <c r="F1635" t="s">
        <v>127</v>
      </c>
      <c r="G1635">
        <v>1630</v>
      </c>
      <c r="H1635" t="s">
        <v>117</v>
      </c>
      <c r="I1635">
        <v>2021</v>
      </c>
      <c r="J1635">
        <v>2021</v>
      </c>
      <c r="K1635" t="s">
        <v>339</v>
      </c>
      <c r="L1635">
        <v>121517.85999999999</v>
      </c>
      <c r="O1635">
        <v>102606.64303749998</v>
      </c>
      <c r="P1635">
        <v>0.10260664303749997</v>
      </c>
      <c r="Q1635" t="s">
        <v>744</v>
      </c>
      <c r="R1635" s="141">
        <v>0.96499999999999997</v>
      </c>
    </row>
    <row r="1636" spans="1:18" x14ac:dyDescent="0.3">
      <c r="A1636" t="s">
        <v>126</v>
      </c>
      <c r="B1636" t="s">
        <v>125</v>
      </c>
      <c r="C1636" t="s">
        <v>472</v>
      </c>
      <c r="D1636" t="s">
        <v>472</v>
      </c>
      <c r="E1636">
        <v>5610</v>
      </c>
      <c r="F1636" t="s">
        <v>127</v>
      </c>
      <c r="G1636">
        <v>1694</v>
      </c>
      <c r="H1636" t="s">
        <v>348</v>
      </c>
      <c r="I1636">
        <v>2021</v>
      </c>
      <c r="J1636">
        <v>2021</v>
      </c>
      <c r="K1636" t="s">
        <v>339</v>
      </c>
      <c r="L1636">
        <v>18506.060000000001</v>
      </c>
      <c r="O1636">
        <v>14978.342312500001</v>
      </c>
      <c r="P1636">
        <v>1.49783423125E-2</v>
      </c>
      <c r="Q1636" t="s">
        <v>745</v>
      </c>
      <c r="R1636" s="141">
        <v>0.92500000000000004</v>
      </c>
    </row>
    <row r="1637" spans="1:18" x14ac:dyDescent="0.3">
      <c r="A1637" t="s">
        <v>126</v>
      </c>
      <c r="B1637" t="s">
        <v>125</v>
      </c>
      <c r="C1637" t="s">
        <v>472</v>
      </c>
      <c r="D1637" t="s">
        <v>472</v>
      </c>
      <c r="E1637">
        <v>5910</v>
      </c>
      <c r="F1637" t="s">
        <v>124</v>
      </c>
      <c r="G1637">
        <v>1630</v>
      </c>
      <c r="H1637" t="s">
        <v>117</v>
      </c>
      <c r="I1637">
        <v>2021</v>
      </c>
      <c r="J1637">
        <v>2021</v>
      </c>
      <c r="K1637" t="s">
        <v>339</v>
      </c>
      <c r="L1637">
        <v>405702.56</v>
      </c>
      <c r="O1637">
        <v>342565.09909999999</v>
      </c>
      <c r="P1637">
        <v>0.34256509909999999</v>
      </c>
      <c r="Q1637" t="s">
        <v>746</v>
      </c>
      <c r="R1637" s="141">
        <v>0.96499999999999997</v>
      </c>
    </row>
    <row r="1638" spans="1:18" x14ac:dyDescent="0.3">
      <c r="A1638" t="s">
        <v>126</v>
      </c>
      <c r="B1638" t="s">
        <v>125</v>
      </c>
      <c r="C1638" t="s">
        <v>472</v>
      </c>
      <c r="D1638" t="s">
        <v>472</v>
      </c>
      <c r="E1638">
        <v>5910</v>
      </c>
      <c r="F1638" t="s">
        <v>124</v>
      </c>
      <c r="G1638">
        <v>1694</v>
      </c>
      <c r="H1638" t="s">
        <v>348</v>
      </c>
      <c r="I1638">
        <v>2021</v>
      </c>
      <c r="J1638">
        <v>2021</v>
      </c>
      <c r="K1638" t="s">
        <v>339</v>
      </c>
      <c r="L1638">
        <v>10310.530000000001</v>
      </c>
      <c r="O1638">
        <v>8345.0852187500004</v>
      </c>
      <c r="P1638">
        <v>8.3450852187499994E-3</v>
      </c>
      <c r="Q1638" t="s">
        <v>747</v>
      </c>
      <c r="R1638" s="141">
        <v>0.92500000000000004</v>
      </c>
    </row>
    <row r="1639" spans="1:18" x14ac:dyDescent="0.3">
      <c r="A1639" t="s">
        <v>126</v>
      </c>
      <c r="B1639" t="s">
        <v>125</v>
      </c>
      <c r="C1639" t="s">
        <v>472</v>
      </c>
      <c r="D1639" t="s">
        <v>472</v>
      </c>
      <c r="E1639">
        <v>5516</v>
      </c>
      <c r="F1639" t="s">
        <v>128</v>
      </c>
      <c r="G1639">
        <v>1619</v>
      </c>
      <c r="H1639" t="s">
        <v>92</v>
      </c>
      <c r="I1639">
        <v>2021</v>
      </c>
      <c r="J1639">
        <v>2021</v>
      </c>
      <c r="K1639" t="s">
        <v>143</v>
      </c>
      <c r="L1639">
        <v>2034506</v>
      </c>
      <c r="O1639">
        <v>833813.93442622956</v>
      </c>
      <c r="P1639">
        <v>0.83381393442622953</v>
      </c>
      <c r="Q1639" t="s">
        <v>748</v>
      </c>
      <c r="R1639" s="141">
        <v>0.4098360655737705</v>
      </c>
    </row>
    <row r="1640" spans="1:18" x14ac:dyDescent="0.3">
      <c r="A1640" t="s">
        <v>126</v>
      </c>
      <c r="B1640" t="s">
        <v>125</v>
      </c>
      <c r="C1640" t="s">
        <v>472</v>
      </c>
      <c r="D1640" t="s">
        <v>472</v>
      </c>
      <c r="E1640">
        <v>5616</v>
      </c>
      <c r="F1640" t="s">
        <v>127</v>
      </c>
      <c r="G1640">
        <v>1619</v>
      </c>
      <c r="H1640" t="s">
        <v>92</v>
      </c>
      <c r="I1640">
        <v>2021</v>
      </c>
      <c r="J1640">
        <v>2021</v>
      </c>
      <c r="K1640" t="s">
        <v>143</v>
      </c>
      <c r="L1640">
        <v>48193.060000000005</v>
      </c>
      <c r="O1640">
        <v>17282.347336065577</v>
      </c>
      <c r="P1640">
        <v>1.7282347336065575E-2</v>
      </c>
      <c r="Q1640" t="s">
        <v>749</v>
      </c>
      <c r="R1640" s="141">
        <v>0.4098360655737705</v>
      </c>
    </row>
    <row r="1641" spans="1:18" x14ac:dyDescent="0.3">
      <c r="A1641" t="s">
        <v>126</v>
      </c>
      <c r="B1641" t="s">
        <v>125</v>
      </c>
      <c r="C1641" t="s">
        <v>472</v>
      </c>
      <c r="D1641" t="s">
        <v>472</v>
      </c>
      <c r="E1641">
        <v>5916</v>
      </c>
      <c r="F1641" t="s">
        <v>124</v>
      </c>
      <c r="G1641">
        <v>1619</v>
      </c>
      <c r="H1641" t="s">
        <v>92</v>
      </c>
      <c r="I1641">
        <v>2021</v>
      </c>
      <c r="J1641">
        <v>2021</v>
      </c>
      <c r="K1641" t="s">
        <v>143</v>
      </c>
      <c r="L1641">
        <v>2059924.51</v>
      </c>
      <c r="O1641">
        <v>738702.43698770495</v>
      </c>
      <c r="P1641">
        <v>0.73870243698770488</v>
      </c>
      <c r="Q1641" t="s">
        <v>750</v>
      </c>
      <c r="R1641" s="141">
        <v>0.4098360655737705</v>
      </c>
    </row>
    <row r="1642" spans="1:18" x14ac:dyDescent="0.3">
      <c r="A1642" t="s">
        <v>126</v>
      </c>
      <c r="B1642" t="s">
        <v>125</v>
      </c>
      <c r="C1642" t="s">
        <v>472</v>
      </c>
      <c r="D1642" t="s">
        <v>472</v>
      </c>
      <c r="E1642">
        <v>5516</v>
      </c>
      <c r="F1642" t="s">
        <v>128</v>
      </c>
      <c r="G1642">
        <v>1620</v>
      </c>
      <c r="H1642" t="s">
        <v>115</v>
      </c>
      <c r="I1642">
        <v>2021</v>
      </c>
      <c r="J1642">
        <v>2021</v>
      </c>
      <c r="K1642" t="s">
        <v>143</v>
      </c>
      <c r="L1642">
        <v>1495381</v>
      </c>
      <c r="O1642">
        <v>640420.12847965746</v>
      </c>
      <c r="P1642">
        <v>0.64042012847965746</v>
      </c>
      <c r="Q1642" t="s">
        <v>751</v>
      </c>
      <c r="R1642" s="141">
        <v>0.42826552462526768</v>
      </c>
    </row>
    <row r="1643" spans="1:18" x14ac:dyDescent="0.3">
      <c r="A1643" t="s">
        <v>126</v>
      </c>
      <c r="B1643" t="s">
        <v>125</v>
      </c>
      <c r="C1643" t="s">
        <v>472</v>
      </c>
      <c r="D1643" t="s">
        <v>472</v>
      </c>
      <c r="E1643">
        <v>5616</v>
      </c>
      <c r="F1643" t="s">
        <v>127</v>
      </c>
      <c r="G1643">
        <v>1620</v>
      </c>
      <c r="H1643" t="s">
        <v>115</v>
      </c>
      <c r="I1643">
        <v>2021</v>
      </c>
      <c r="J1643">
        <v>2021</v>
      </c>
      <c r="K1643" t="s">
        <v>143</v>
      </c>
      <c r="L1643">
        <v>12120.760000000002</v>
      </c>
      <c r="O1643">
        <v>4542.0406852248398</v>
      </c>
      <c r="P1643">
        <v>4.5420406852248393E-3</v>
      </c>
      <c r="Q1643" t="s">
        <v>752</v>
      </c>
      <c r="R1643" s="141">
        <v>0.42826552462526768</v>
      </c>
    </row>
    <row r="1644" spans="1:18" x14ac:dyDescent="0.3">
      <c r="A1644" t="s">
        <v>126</v>
      </c>
      <c r="B1644" t="s">
        <v>125</v>
      </c>
      <c r="C1644" t="s">
        <v>472</v>
      </c>
      <c r="D1644" t="s">
        <v>472</v>
      </c>
      <c r="E1644">
        <v>5916</v>
      </c>
      <c r="F1644" t="s">
        <v>124</v>
      </c>
      <c r="G1644">
        <v>1620</v>
      </c>
      <c r="H1644" t="s">
        <v>115</v>
      </c>
      <c r="I1644">
        <v>2021</v>
      </c>
      <c r="J1644">
        <v>2021</v>
      </c>
      <c r="K1644" t="s">
        <v>143</v>
      </c>
      <c r="L1644">
        <v>32377.919999999998</v>
      </c>
      <c r="O1644">
        <v>12133.053533190578</v>
      </c>
      <c r="P1644">
        <v>1.2133053533190576E-2</v>
      </c>
      <c r="Q1644" t="s">
        <v>753</v>
      </c>
      <c r="R1644" s="141">
        <v>0.42826552462526768</v>
      </c>
    </row>
    <row r="1645" spans="1:18" x14ac:dyDescent="0.3">
      <c r="A1645" t="s">
        <v>126</v>
      </c>
      <c r="B1645" t="s">
        <v>125</v>
      </c>
      <c r="C1645" t="s">
        <v>472</v>
      </c>
      <c r="D1645" t="s">
        <v>472</v>
      </c>
      <c r="E1645">
        <v>5510</v>
      </c>
      <c r="F1645" t="s">
        <v>128</v>
      </c>
      <c r="G1645">
        <v>1600</v>
      </c>
      <c r="H1645" t="s">
        <v>148</v>
      </c>
      <c r="I1645">
        <v>2021</v>
      </c>
      <c r="J1645">
        <v>2021</v>
      </c>
      <c r="L1645">
        <v>0</v>
      </c>
      <c r="O1645">
        <v>0</v>
      </c>
      <c r="P1645">
        <v>0</v>
      </c>
      <c r="Q1645" t="s">
        <v>754</v>
      </c>
      <c r="R1645" s="141">
        <v>0.77500000000000002</v>
      </c>
    </row>
    <row r="1646" spans="1:18" x14ac:dyDescent="0.3">
      <c r="A1646" t="s">
        <v>126</v>
      </c>
      <c r="B1646" t="s">
        <v>125</v>
      </c>
      <c r="C1646" t="s">
        <v>472</v>
      </c>
      <c r="D1646" t="s">
        <v>472</v>
      </c>
      <c r="E1646">
        <v>5610</v>
      </c>
      <c r="F1646" t="s">
        <v>127</v>
      </c>
      <c r="G1646">
        <v>1600</v>
      </c>
      <c r="H1646" t="s">
        <v>148</v>
      </c>
      <c r="I1646">
        <v>2021</v>
      </c>
      <c r="J1646">
        <v>2021</v>
      </c>
      <c r="K1646" t="s">
        <v>339</v>
      </c>
      <c r="L1646">
        <v>0</v>
      </c>
      <c r="O1646">
        <v>0</v>
      </c>
      <c r="P1646">
        <v>0</v>
      </c>
      <c r="Q1646" t="s">
        <v>755</v>
      </c>
      <c r="R1646" s="141">
        <v>0.77500000000000002</v>
      </c>
    </row>
    <row r="1647" spans="1:18" x14ac:dyDescent="0.3">
      <c r="A1647" t="s">
        <v>126</v>
      </c>
      <c r="B1647" t="s">
        <v>125</v>
      </c>
      <c r="C1647" t="s">
        <v>472</v>
      </c>
      <c r="D1647" t="s">
        <v>472</v>
      </c>
      <c r="E1647">
        <v>5910</v>
      </c>
      <c r="F1647" t="s">
        <v>124</v>
      </c>
      <c r="G1647">
        <v>1600</v>
      </c>
      <c r="H1647" t="s">
        <v>148</v>
      </c>
      <c r="I1647">
        <v>2021</v>
      </c>
      <c r="J1647">
        <v>2021</v>
      </c>
      <c r="L1647">
        <v>0</v>
      </c>
      <c r="O1647">
        <v>0</v>
      </c>
      <c r="P1647">
        <v>0</v>
      </c>
      <c r="Q1647" t="s">
        <v>756</v>
      </c>
      <c r="R1647" s="141">
        <v>0.77500000000000002</v>
      </c>
    </row>
    <row r="1648" spans="1:18" x14ac:dyDescent="0.3">
      <c r="A1648" t="s">
        <v>126</v>
      </c>
      <c r="B1648" t="s">
        <v>125</v>
      </c>
      <c r="C1648" t="s">
        <v>472</v>
      </c>
      <c r="D1648" t="s">
        <v>472</v>
      </c>
      <c r="E1648">
        <v>5510</v>
      </c>
      <c r="F1648" t="s">
        <v>128</v>
      </c>
      <c r="G1648">
        <v>1693</v>
      </c>
      <c r="H1648" t="s">
        <v>114</v>
      </c>
      <c r="I1648">
        <v>2021</v>
      </c>
      <c r="J1648">
        <v>2021</v>
      </c>
      <c r="K1648" t="s">
        <v>339</v>
      </c>
      <c r="L1648">
        <v>34000</v>
      </c>
      <c r="O1648">
        <v>31450</v>
      </c>
      <c r="P1648">
        <v>3.1449999999999999E-2</v>
      </c>
      <c r="Q1648" t="s">
        <v>757</v>
      </c>
      <c r="R1648" s="141">
        <v>0.92500000000000004</v>
      </c>
    </row>
    <row r="1649" spans="1:18" x14ac:dyDescent="0.3">
      <c r="A1649" t="s">
        <v>126</v>
      </c>
      <c r="B1649" t="s">
        <v>125</v>
      </c>
      <c r="C1649" t="s">
        <v>472</v>
      </c>
      <c r="D1649" t="s">
        <v>472</v>
      </c>
      <c r="E1649">
        <v>5610</v>
      </c>
      <c r="F1649" t="s">
        <v>127</v>
      </c>
      <c r="G1649">
        <v>1693</v>
      </c>
      <c r="H1649" t="s">
        <v>114</v>
      </c>
      <c r="I1649">
        <v>2021</v>
      </c>
      <c r="J1649">
        <v>2021</v>
      </c>
      <c r="K1649" t="s">
        <v>339</v>
      </c>
      <c r="L1649">
        <v>2673.54</v>
      </c>
      <c r="O1649">
        <v>2163.8964375</v>
      </c>
      <c r="P1649">
        <v>2.1638964375E-3</v>
      </c>
      <c r="Q1649" t="s">
        <v>758</v>
      </c>
      <c r="R1649" s="141">
        <v>0.92500000000000004</v>
      </c>
    </row>
    <row r="1650" spans="1:18" x14ac:dyDescent="0.3">
      <c r="A1650" t="s">
        <v>126</v>
      </c>
      <c r="B1650" t="s">
        <v>125</v>
      </c>
      <c r="C1650" t="s">
        <v>472</v>
      </c>
      <c r="D1650" t="s">
        <v>472</v>
      </c>
      <c r="E1650">
        <v>5910</v>
      </c>
      <c r="F1650" t="s">
        <v>124</v>
      </c>
      <c r="G1650">
        <v>1693</v>
      </c>
      <c r="H1650" t="s">
        <v>114</v>
      </c>
      <c r="I1650">
        <v>2021</v>
      </c>
      <c r="J1650">
        <v>2021</v>
      </c>
      <c r="K1650" t="s">
        <v>339</v>
      </c>
      <c r="L1650">
        <v>2364.46</v>
      </c>
      <c r="O1650">
        <v>1913.7348125000001</v>
      </c>
      <c r="P1650">
        <v>1.9137348125000001E-3</v>
      </c>
      <c r="Q1650" t="s">
        <v>759</v>
      </c>
      <c r="R1650" s="141">
        <v>0.92500000000000004</v>
      </c>
    </row>
    <row r="1651" spans="1:18" x14ac:dyDescent="0.3">
      <c r="A1651" t="s">
        <v>126</v>
      </c>
      <c r="B1651" t="s">
        <v>125</v>
      </c>
      <c r="C1651" t="s">
        <v>472</v>
      </c>
      <c r="D1651" t="s">
        <v>472</v>
      </c>
      <c r="E1651">
        <v>5516</v>
      </c>
      <c r="F1651" t="s">
        <v>128</v>
      </c>
      <c r="G1651">
        <v>1632</v>
      </c>
      <c r="H1651" t="s">
        <v>110</v>
      </c>
      <c r="I1651">
        <v>2021</v>
      </c>
      <c r="J1651">
        <v>2021</v>
      </c>
      <c r="K1651" t="s">
        <v>143</v>
      </c>
      <c r="L1651">
        <v>3315329</v>
      </c>
      <c r="O1651">
        <v>1247392.5362499999</v>
      </c>
      <c r="P1651">
        <v>1.2473925362499998</v>
      </c>
      <c r="Q1651" t="s">
        <v>760</v>
      </c>
      <c r="R1651" s="141">
        <v>0.37624999999999997</v>
      </c>
    </row>
    <row r="1652" spans="1:18" x14ac:dyDescent="0.3">
      <c r="A1652" t="s">
        <v>126</v>
      </c>
      <c r="B1652" t="s">
        <v>125</v>
      </c>
      <c r="C1652" t="s">
        <v>472</v>
      </c>
      <c r="D1652" t="s">
        <v>472</v>
      </c>
      <c r="E1652">
        <v>5616</v>
      </c>
      <c r="F1652" t="s">
        <v>127</v>
      </c>
      <c r="G1652">
        <v>1632</v>
      </c>
      <c r="H1652" t="s">
        <v>110</v>
      </c>
      <c r="I1652">
        <v>2021</v>
      </c>
      <c r="J1652">
        <v>2021</v>
      </c>
      <c r="K1652" t="s">
        <v>143</v>
      </c>
      <c r="L1652">
        <v>740569</v>
      </c>
      <c r="O1652">
        <v>243809.20046875</v>
      </c>
      <c r="P1652">
        <v>0.24380920046874999</v>
      </c>
      <c r="Q1652" t="s">
        <v>761</v>
      </c>
      <c r="R1652" s="141">
        <v>0.37624999999999997</v>
      </c>
    </row>
    <row r="1653" spans="1:18" x14ac:dyDescent="0.3">
      <c r="A1653" t="s">
        <v>126</v>
      </c>
      <c r="B1653" t="s">
        <v>125</v>
      </c>
      <c r="C1653" t="s">
        <v>472</v>
      </c>
      <c r="D1653" t="s">
        <v>472</v>
      </c>
      <c r="E1653">
        <v>5916</v>
      </c>
      <c r="F1653" t="s">
        <v>124</v>
      </c>
      <c r="G1653">
        <v>1632</v>
      </c>
      <c r="H1653" t="s">
        <v>110</v>
      </c>
      <c r="I1653">
        <v>2021</v>
      </c>
      <c r="J1653">
        <v>2021</v>
      </c>
      <c r="K1653" t="s">
        <v>143</v>
      </c>
      <c r="L1653">
        <v>650755</v>
      </c>
      <c r="O1653">
        <v>214240.74765624997</v>
      </c>
      <c r="P1653">
        <v>0.21424074765624995</v>
      </c>
      <c r="Q1653" t="s">
        <v>762</v>
      </c>
      <c r="R1653" s="141">
        <v>0.37624999999999997</v>
      </c>
    </row>
    <row r="1654" spans="1:18" x14ac:dyDescent="0.3">
      <c r="A1654" t="s">
        <v>126</v>
      </c>
      <c r="B1654" t="s">
        <v>125</v>
      </c>
      <c r="C1654" t="s">
        <v>472</v>
      </c>
      <c r="D1654" t="s">
        <v>472</v>
      </c>
      <c r="E1654">
        <v>5516</v>
      </c>
      <c r="F1654" t="s">
        <v>128</v>
      </c>
      <c r="G1654">
        <v>1633</v>
      </c>
      <c r="H1654" t="s">
        <v>109</v>
      </c>
      <c r="I1654">
        <v>2021</v>
      </c>
      <c r="J1654">
        <v>2021</v>
      </c>
      <c r="K1654" t="s">
        <v>143</v>
      </c>
      <c r="L1654">
        <v>7864460</v>
      </c>
      <c r="O1654">
        <v>4798401.9632499991</v>
      </c>
      <c r="P1654">
        <v>4.798401963249999</v>
      </c>
      <c r="Q1654" t="s">
        <v>763</v>
      </c>
      <c r="R1654" s="141">
        <v>0.61013749999999989</v>
      </c>
    </row>
    <row r="1655" spans="1:18" x14ac:dyDescent="0.3">
      <c r="A1655" t="s">
        <v>126</v>
      </c>
      <c r="B1655" t="s">
        <v>125</v>
      </c>
      <c r="C1655" t="s">
        <v>472</v>
      </c>
      <c r="D1655" t="s">
        <v>472</v>
      </c>
      <c r="E1655">
        <v>5616</v>
      </c>
      <c r="F1655" t="s">
        <v>127</v>
      </c>
      <c r="G1655">
        <v>1633</v>
      </c>
      <c r="H1655" t="s">
        <v>109</v>
      </c>
      <c r="I1655">
        <v>2021</v>
      </c>
      <c r="J1655">
        <v>2021</v>
      </c>
      <c r="K1655" t="s">
        <v>143</v>
      </c>
      <c r="L1655">
        <v>496649</v>
      </c>
      <c r="O1655">
        <v>265146.15683281247</v>
      </c>
      <c r="P1655">
        <v>0.26514615683281245</v>
      </c>
      <c r="Q1655" t="s">
        <v>764</v>
      </c>
      <c r="R1655" s="141">
        <v>0.61013749999999989</v>
      </c>
    </row>
    <row r="1656" spans="1:18" x14ac:dyDescent="0.3">
      <c r="A1656" t="s">
        <v>126</v>
      </c>
      <c r="B1656" t="s">
        <v>125</v>
      </c>
      <c r="C1656" t="s">
        <v>472</v>
      </c>
      <c r="D1656" t="s">
        <v>472</v>
      </c>
      <c r="E1656">
        <v>5916</v>
      </c>
      <c r="F1656" t="s">
        <v>124</v>
      </c>
      <c r="G1656">
        <v>1633</v>
      </c>
      <c r="H1656" t="s">
        <v>109</v>
      </c>
      <c r="I1656">
        <v>2021</v>
      </c>
      <c r="J1656">
        <v>2021</v>
      </c>
      <c r="K1656" t="s">
        <v>143</v>
      </c>
      <c r="L1656">
        <v>2930596</v>
      </c>
      <c r="O1656">
        <v>1564558.2023312496</v>
      </c>
      <c r="P1656">
        <v>1.5645582023312494</v>
      </c>
      <c r="Q1656" t="s">
        <v>765</v>
      </c>
      <c r="R1656" s="141">
        <v>0.61013749999999989</v>
      </c>
    </row>
    <row r="1657" spans="1:18" x14ac:dyDescent="0.3">
      <c r="A1657" t="s">
        <v>126</v>
      </c>
      <c r="B1657" t="s">
        <v>125</v>
      </c>
      <c r="C1657" t="s">
        <v>472</v>
      </c>
      <c r="D1657" t="s">
        <v>472</v>
      </c>
      <c r="E1657">
        <v>5516</v>
      </c>
      <c r="F1657" t="s">
        <v>128</v>
      </c>
      <c r="G1657">
        <v>1634</v>
      </c>
      <c r="H1657" t="s">
        <v>108</v>
      </c>
      <c r="I1657">
        <v>2021</v>
      </c>
      <c r="J1657">
        <v>2021</v>
      </c>
      <c r="K1657" t="s">
        <v>143</v>
      </c>
      <c r="L1657">
        <v>1315490</v>
      </c>
      <c r="O1657">
        <v>668097.90629999992</v>
      </c>
      <c r="P1657">
        <v>0.66809790629999988</v>
      </c>
      <c r="Q1657" t="s">
        <v>766</v>
      </c>
      <c r="R1657" s="141">
        <v>0.50786999999999993</v>
      </c>
    </row>
    <row r="1658" spans="1:18" x14ac:dyDescent="0.3">
      <c r="A1658" t="s">
        <v>126</v>
      </c>
      <c r="B1658" t="s">
        <v>125</v>
      </c>
      <c r="C1658" t="s">
        <v>472</v>
      </c>
      <c r="D1658" t="s">
        <v>472</v>
      </c>
      <c r="E1658">
        <v>5616</v>
      </c>
      <c r="F1658" t="s">
        <v>127</v>
      </c>
      <c r="G1658">
        <v>1634</v>
      </c>
      <c r="H1658" t="s">
        <v>108</v>
      </c>
      <c r="I1658">
        <v>2021</v>
      </c>
      <c r="J1658">
        <v>2021</v>
      </c>
      <c r="K1658" t="s">
        <v>143</v>
      </c>
      <c r="L1658">
        <v>11928</v>
      </c>
      <c r="O1658">
        <v>5300.6391899999999</v>
      </c>
      <c r="P1658">
        <v>5.3006391899999995E-3</v>
      </c>
      <c r="Q1658" t="s">
        <v>767</v>
      </c>
      <c r="R1658" s="141">
        <v>0.50786999999999993</v>
      </c>
    </row>
    <row r="1659" spans="1:18" x14ac:dyDescent="0.3">
      <c r="A1659" t="s">
        <v>126</v>
      </c>
      <c r="B1659" t="s">
        <v>125</v>
      </c>
      <c r="C1659" t="s">
        <v>472</v>
      </c>
      <c r="D1659" t="s">
        <v>472</v>
      </c>
      <c r="E1659">
        <v>5916</v>
      </c>
      <c r="F1659" t="s">
        <v>124</v>
      </c>
      <c r="G1659">
        <v>1634</v>
      </c>
      <c r="H1659" t="s">
        <v>108</v>
      </c>
      <c r="I1659">
        <v>2021</v>
      </c>
      <c r="J1659">
        <v>2021</v>
      </c>
      <c r="K1659" t="s">
        <v>143</v>
      </c>
      <c r="L1659">
        <v>475222</v>
      </c>
      <c r="O1659">
        <v>211182.12249749998</v>
      </c>
      <c r="P1659">
        <v>0.21118212249749996</v>
      </c>
      <c r="Q1659" t="s">
        <v>768</v>
      </c>
      <c r="R1659" s="141">
        <v>0.50786999999999993</v>
      </c>
    </row>
    <row r="1660" spans="1:18" x14ac:dyDescent="0.3">
      <c r="A1660" t="s">
        <v>126</v>
      </c>
      <c r="B1660" t="s">
        <v>125</v>
      </c>
      <c r="C1660" t="s">
        <v>472</v>
      </c>
      <c r="D1660" t="s">
        <v>472</v>
      </c>
      <c r="E1660">
        <v>5516</v>
      </c>
      <c r="F1660" t="s">
        <v>128</v>
      </c>
      <c r="G1660">
        <v>1640</v>
      </c>
      <c r="H1660" t="s">
        <v>104</v>
      </c>
      <c r="I1660">
        <v>2021</v>
      </c>
      <c r="J1660">
        <v>2021</v>
      </c>
      <c r="K1660" t="s">
        <v>143</v>
      </c>
      <c r="L1660">
        <v>1089287</v>
      </c>
      <c r="O1660">
        <v>553216.18868999998</v>
      </c>
      <c r="P1660">
        <v>0.55321618869</v>
      </c>
      <c r="Q1660" t="s">
        <v>769</v>
      </c>
      <c r="R1660" s="141">
        <v>0.50786999999999993</v>
      </c>
    </row>
    <row r="1661" spans="1:18" x14ac:dyDescent="0.3">
      <c r="A1661" t="s">
        <v>126</v>
      </c>
      <c r="B1661" t="s">
        <v>125</v>
      </c>
      <c r="C1661" t="s">
        <v>472</v>
      </c>
      <c r="D1661" t="s">
        <v>472</v>
      </c>
      <c r="E1661">
        <v>5616</v>
      </c>
      <c r="F1661" t="s">
        <v>127</v>
      </c>
      <c r="G1661">
        <v>1640</v>
      </c>
      <c r="H1661" t="s">
        <v>104</v>
      </c>
      <c r="I1661">
        <v>2021</v>
      </c>
      <c r="J1661">
        <v>2021</v>
      </c>
      <c r="K1661" t="s">
        <v>143</v>
      </c>
      <c r="L1661">
        <v>858175</v>
      </c>
      <c r="O1661">
        <v>381361.17009374994</v>
      </c>
      <c r="P1661">
        <v>0.38136117009374992</v>
      </c>
      <c r="Q1661" t="s">
        <v>770</v>
      </c>
      <c r="R1661" s="141">
        <v>0.50786999999999993</v>
      </c>
    </row>
    <row r="1662" spans="1:18" x14ac:dyDescent="0.3">
      <c r="A1662" t="s">
        <v>126</v>
      </c>
      <c r="B1662" t="s">
        <v>125</v>
      </c>
      <c r="C1662" t="s">
        <v>472</v>
      </c>
      <c r="D1662" t="s">
        <v>472</v>
      </c>
      <c r="E1662">
        <v>5916</v>
      </c>
      <c r="F1662" t="s">
        <v>124</v>
      </c>
      <c r="G1662">
        <v>1640</v>
      </c>
      <c r="H1662" t="s">
        <v>104</v>
      </c>
      <c r="I1662">
        <v>2021</v>
      </c>
      <c r="J1662">
        <v>2021</v>
      </c>
      <c r="K1662" t="s">
        <v>143</v>
      </c>
      <c r="L1662">
        <v>324068</v>
      </c>
      <c r="O1662">
        <v>144011.36326499999</v>
      </c>
      <c r="P1662">
        <v>0.144011363265</v>
      </c>
      <c r="Q1662" t="s">
        <v>771</v>
      </c>
      <c r="R1662" s="141">
        <v>0.50786999999999993</v>
      </c>
    </row>
    <row r="1663" spans="1:18" x14ac:dyDescent="0.3">
      <c r="A1663" t="s">
        <v>126</v>
      </c>
      <c r="B1663" t="s">
        <v>125</v>
      </c>
      <c r="C1663" t="s">
        <v>472</v>
      </c>
      <c r="D1663" t="s">
        <v>472</v>
      </c>
      <c r="E1663">
        <v>5516</v>
      </c>
      <c r="F1663" t="s">
        <v>128</v>
      </c>
      <c r="G1663">
        <v>1646</v>
      </c>
      <c r="H1663" t="s">
        <v>147</v>
      </c>
      <c r="I1663">
        <v>2021</v>
      </c>
      <c r="J1663">
        <v>2021</v>
      </c>
      <c r="L1663">
        <v>0</v>
      </c>
    </row>
    <row r="1664" spans="1:18" x14ac:dyDescent="0.3">
      <c r="A1664" t="s">
        <v>126</v>
      </c>
      <c r="B1664" t="s">
        <v>125</v>
      </c>
      <c r="C1664" t="s">
        <v>472</v>
      </c>
      <c r="D1664" t="s">
        <v>472</v>
      </c>
      <c r="E1664">
        <v>5616</v>
      </c>
      <c r="F1664" t="s">
        <v>127</v>
      </c>
      <c r="G1664">
        <v>1646</v>
      </c>
      <c r="H1664" t="s">
        <v>147</v>
      </c>
      <c r="I1664">
        <v>2021</v>
      </c>
      <c r="J1664">
        <v>2021</v>
      </c>
      <c r="L1664">
        <v>0</v>
      </c>
    </row>
    <row r="1665" spans="1:18" x14ac:dyDescent="0.3">
      <c r="A1665" t="s">
        <v>126</v>
      </c>
      <c r="B1665" t="s">
        <v>125</v>
      </c>
      <c r="C1665" t="s">
        <v>472</v>
      </c>
      <c r="D1665" t="s">
        <v>472</v>
      </c>
      <c r="E1665">
        <v>5916</v>
      </c>
      <c r="F1665" t="s">
        <v>124</v>
      </c>
      <c r="G1665">
        <v>1646</v>
      </c>
      <c r="H1665" t="s">
        <v>147</v>
      </c>
      <c r="I1665">
        <v>2021</v>
      </c>
      <c r="J1665">
        <v>2021</v>
      </c>
      <c r="L1665">
        <v>0</v>
      </c>
    </row>
    <row r="1666" spans="1:18" x14ac:dyDescent="0.3">
      <c r="A1666" t="s">
        <v>126</v>
      </c>
      <c r="B1666" t="s">
        <v>125</v>
      </c>
      <c r="C1666" t="s">
        <v>472</v>
      </c>
      <c r="D1666" t="s">
        <v>472</v>
      </c>
      <c r="E1666">
        <v>5516</v>
      </c>
      <c r="F1666" t="s">
        <v>128</v>
      </c>
      <c r="G1666">
        <v>1697</v>
      </c>
      <c r="H1666" t="s">
        <v>103</v>
      </c>
      <c r="I1666">
        <v>2021</v>
      </c>
      <c r="J1666">
        <v>2021</v>
      </c>
      <c r="K1666" t="s">
        <v>143</v>
      </c>
      <c r="L1666">
        <v>1220911</v>
      </c>
      <c r="O1666">
        <v>672026.4293207936</v>
      </c>
      <c r="P1666">
        <v>0.67202642932079359</v>
      </c>
      <c r="Q1666" t="s">
        <v>772</v>
      </c>
      <c r="R1666" s="141">
        <v>0.55043031746031745</v>
      </c>
    </row>
    <row r="1667" spans="1:18" x14ac:dyDescent="0.3">
      <c r="A1667" t="s">
        <v>126</v>
      </c>
      <c r="B1667" t="s">
        <v>125</v>
      </c>
      <c r="C1667" t="s">
        <v>472</v>
      </c>
      <c r="D1667" t="s">
        <v>472</v>
      </c>
      <c r="E1667">
        <v>5616</v>
      </c>
      <c r="F1667" t="s">
        <v>127</v>
      </c>
      <c r="G1667">
        <v>1697</v>
      </c>
      <c r="H1667" t="s">
        <v>103</v>
      </c>
      <c r="I1667">
        <v>2021</v>
      </c>
      <c r="J1667">
        <v>2021</v>
      </c>
      <c r="K1667" t="s">
        <v>143</v>
      </c>
      <c r="L1667">
        <v>257157.35</v>
      </c>
      <c r="O1667">
        <v>123853.80157303473</v>
      </c>
      <c r="P1667">
        <v>0.12385380157303472</v>
      </c>
      <c r="Q1667" t="s">
        <v>773</v>
      </c>
      <c r="R1667" s="141">
        <v>0.55043031746031745</v>
      </c>
    </row>
    <row r="1668" spans="1:18" x14ac:dyDescent="0.3">
      <c r="A1668" t="s">
        <v>126</v>
      </c>
      <c r="B1668" t="s">
        <v>125</v>
      </c>
      <c r="C1668" t="s">
        <v>472</v>
      </c>
      <c r="D1668" t="s">
        <v>472</v>
      </c>
      <c r="E1668">
        <v>5916</v>
      </c>
      <c r="F1668" t="s">
        <v>124</v>
      </c>
      <c r="G1668">
        <v>1697</v>
      </c>
      <c r="H1668" t="s">
        <v>103</v>
      </c>
      <c r="I1668">
        <v>2021</v>
      </c>
      <c r="J1668">
        <v>2021</v>
      </c>
      <c r="K1668" t="s">
        <v>143</v>
      </c>
      <c r="L1668">
        <v>166000.17000000001</v>
      </c>
      <c r="O1668">
        <v>79950.085487620847</v>
      </c>
      <c r="P1668">
        <v>7.9950085487620837E-2</v>
      </c>
      <c r="Q1668" t="s">
        <v>774</v>
      </c>
      <c r="R1668" s="141">
        <v>0.55043031746031745</v>
      </c>
    </row>
    <row r="1669" spans="1:18" x14ac:dyDescent="0.3">
      <c r="A1669" t="s">
        <v>126</v>
      </c>
      <c r="B1669" t="s">
        <v>125</v>
      </c>
      <c r="C1669" t="s">
        <v>472</v>
      </c>
      <c r="D1669" t="s">
        <v>472</v>
      </c>
      <c r="E1669">
        <v>5516</v>
      </c>
      <c r="F1669" t="s">
        <v>128</v>
      </c>
      <c r="G1669">
        <v>1606</v>
      </c>
      <c r="H1669" t="s">
        <v>102</v>
      </c>
      <c r="I1669">
        <v>2021</v>
      </c>
      <c r="J1669">
        <v>2021</v>
      </c>
      <c r="K1669" t="s">
        <v>143</v>
      </c>
      <c r="L1669">
        <v>0</v>
      </c>
      <c r="O1669">
        <v>0</v>
      </c>
      <c r="P1669">
        <v>0</v>
      </c>
      <c r="Q1669" t="s">
        <v>775</v>
      </c>
      <c r="R1669" s="141">
        <v>0.5418977142857142</v>
      </c>
    </row>
    <row r="1670" spans="1:18" x14ac:dyDescent="0.3">
      <c r="A1670" t="s">
        <v>126</v>
      </c>
      <c r="B1670" t="s">
        <v>125</v>
      </c>
      <c r="C1670" t="s">
        <v>472</v>
      </c>
      <c r="D1670" t="s">
        <v>472</v>
      </c>
      <c r="E1670">
        <v>5616</v>
      </c>
      <c r="F1670" t="s">
        <v>127</v>
      </c>
      <c r="G1670">
        <v>1606</v>
      </c>
      <c r="H1670" t="s">
        <v>102</v>
      </c>
      <c r="I1670">
        <v>2021</v>
      </c>
      <c r="J1670">
        <v>2021</v>
      </c>
      <c r="K1670" t="s">
        <v>143</v>
      </c>
      <c r="L1670">
        <v>15845.090000000002</v>
      </c>
      <c r="O1670">
        <v>7513.1157969449996</v>
      </c>
      <c r="P1670">
        <v>7.5131157969449995E-3</v>
      </c>
      <c r="Q1670" t="s">
        <v>776</v>
      </c>
      <c r="R1670" s="141">
        <v>0.5418977142857142</v>
      </c>
    </row>
    <row r="1671" spans="1:18" x14ac:dyDescent="0.3">
      <c r="A1671" t="s">
        <v>126</v>
      </c>
      <c r="B1671" t="s">
        <v>125</v>
      </c>
      <c r="C1671" t="s">
        <v>472</v>
      </c>
      <c r="D1671" t="s">
        <v>472</v>
      </c>
      <c r="E1671">
        <v>5916</v>
      </c>
      <c r="F1671" t="s">
        <v>124</v>
      </c>
      <c r="G1671">
        <v>1606</v>
      </c>
      <c r="H1671" t="s">
        <v>102</v>
      </c>
      <c r="I1671">
        <v>2021</v>
      </c>
      <c r="J1671">
        <v>2021</v>
      </c>
      <c r="K1671" t="s">
        <v>143</v>
      </c>
      <c r="L1671">
        <v>1166.68</v>
      </c>
      <c r="O1671">
        <v>553.1935721399999</v>
      </c>
      <c r="P1671">
        <v>5.5319357213999987E-4</v>
      </c>
      <c r="Q1671" t="s">
        <v>777</v>
      </c>
      <c r="R1671" s="141">
        <v>0.5418977142857142</v>
      </c>
    </row>
    <row r="1672" spans="1:18" x14ac:dyDescent="0.3">
      <c r="A1672" t="s">
        <v>126</v>
      </c>
      <c r="B1672" t="s">
        <v>125</v>
      </c>
      <c r="C1672" t="s">
        <v>472</v>
      </c>
      <c r="D1672" t="s">
        <v>472</v>
      </c>
      <c r="E1672">
        <v>5516</v>
      </c>
      <c r="F1672" t="s">
        <v>128</v>
      </c>
      <c r="G1672">
        <v>1647</v>
      </c>
      <c r="H1672" t="s">
        <v>146</v>
      </c>
      <c r="I1672">
        <v>2021</v>
      </c>
      <c r="J1672">
        <v>2021</v>
      </c>
      <c r="K1672" t="s">
        <v>143</v>
      </c>
      <c r="L1672">
        <v>142200</v>
      </c>
      <c r="O1672">
        <v>111705.00685714287</v>
      </c>
      <c r="P1672">
        <v>0.11170500685714287</v>
      </c>
      <c r="Q1672" t="s">
        <v>778</v>
      </c>
      <c r="R1672" s="141">
        <v>0.78554857142857148</v>
      </c>
    </row>
    <row r="1673" spans="1:18" x14ac:dyDescent="0.3">
      <c r="A1673" t="s">
        <v>126</v>
      </c>
      <c r="B1673" t="s">
        <v>125</v>
      </c>
      <c r="C1673" t="s">
        <v>472</v>
      </c>
      <c r="D1673" t="s">
        <v>472</v>
      </c>
      <c r="E1673">
        <v>5616</v>
      </c>
      <c r="F1673" t="s">
        <v>127</v>
      </c>
      <c r="G1673">
        <v>1647</v>
      </c>
      <c r="H1673" t="s">
        <v>146</v>
      </c>
      <c r="I1673">
        <v>2021</v>
      </c>
      <c r="J1673">
        <v>2021</v>
      </c>
      <c r="K1673" t="s">
        <v>143</v>
      </c>
      <c r="L1673">
        <v>104356.73000000001</v>
      </c>
      <c r="O1673">
        <v>71730.120149150011</v>
      </c>
      <c r="P1673">
        <v>7.1730120149150006E-2</v>
      </c>
      <c r="Q1673" t="s">
        <v>779</v>
      </c>
      <c r="R1673" s="141">
        <v>0.78554857142857148</v>
      </c>
    </row>
    <row r="1674" spans="1:18" x14ac:dyDescent="0.3">
      <c r="A1674" t="s">
        <v>126</v>
      </c>
      <c r="B1674" t="s">
        <v>125</v>
      </c>
      <c r="C1674" t="s">
        <v>472</v>
      </c>
      <c r="D1674" t="s">
        <v>472</v>
      </c>
      <c r="E1674">
        <v>5916</v>
      </c>
      <c r="F1674" t="s">
        <v>124</v>
      </c>
      <c r="G1674">
        <v>1647</v>
      </c>
      <c r="H1674" t="s">
        <v>146</v>
      </c>
      <c r="I1674">
        <v>2021</v>
      </c>
      <c r="J1674">
        <v>2021</v>
      </c>
      <c r="K1674" t="s">
        <v>143</v>
      </c>
      <c r="L1674">
        <v>14175.550000000001</v>
      </c>
      <c r="O1674">
        <v>9743.6351702500015</v>
      </c>
      <c r="P1674">
        <v>9.7436351702500004E-3</v>
      </c>
      <c r="Q1674" t="s">
        <v>780</v>
      </c>
      <c r="R1674" s="141">
        <v>0.78554857142857148</v>
      </c>
    </row>
    <row r="1675" spans="1:18" x14ac:dyDescent="0.3">
      <c r="A1675" t="s">
        <v>126</v>
      </c>
      <c r="B1675" t="s">
        <v>125</v>
      </c>
      <c r="C1675" t="s">
        <v>472</v>
      </c>
      <c r="D1675" t="s">
        <v>472</v>
      </c>
      <c r="E1675">
        <v>5516</v>
      </c>
      <c r="F1675" t="s">
        <v>128</v>
      </c>
      <c r="G1675">
        <v>1648</v>
      </c>
      <c r="H1675" t="s">
        <v>145</v>
      </c>
      <c r="I1675">
        <v>2021</v>
      </c>
      <c r="J1675">
        <v>2021</v>
      </c>
      <c r="K1675" t="s">
        <v>143</v>
      </c>
      <c r="L1675">
        <v>299400</v>
      </c>
      <c r="O1675">
        <v>192592.41061224492</v>
      </c>
      <c r="P1675">
        <v>0.19259241061224491</v>
      </c>
      <c r="Q1675" t="s">
        <v>781</v>
      </c>
      <c r="R1675" s="141">
        <v>0.64326122448979595</v>
      </c>
    </row>
    <row r="1676" spans="1:18" x14ac:dyDescent="0.3">
      <c r="A1676" t="s">
        <v>126</v>
      </c>
      <c r="B1676" t="s">
        <v>125</v>
      </c>
      <c r="C1676" t="s">
        <v>472</v>
      </c>
      <c r="D1676" t="s">
        <v>472</v>
      </c>
      <c r="E1676">
        <v>5616</v>
      </c>
      <c r="F1676" t="s">
        <v>127</v>
      </c>
      <c r="G1676">
        <v>1648</v>
      </c>
      <c r="H1676" t="s">
        <v>145</v>
      </c>
      <c r="I1676">
        <v>2021</v>
      </c>
      <c r="J1676">
        <v>2021</v>
      </c>
      <c r="K1676" t="s">
        <v>143</v>
      </c>
      <c r="L1676">
        <v>649991.56999999995</v>
      </c>
      <c r="O1676">
        <v>365850.07657296426</v>
      </c>
      <c r="P1676">
        <v>0.36585007657296426</v>
      </c>
      <c r="Q1676" t="s">
        <v>782</v>
      </c>
      <c r="R1676" s="141">
        <v>0.64326122448979595</v>
      </c>
    </row>
    <row r="1677" spans="1:18" x14ac:dyDescent="0.3">
      <c r="A1677" t="s">
        <v>126</v>
      </c>
      <c r="B1677" t="s">
        <v>125</v>
      </c>
      <c r="C1677" t="s">
        <v>472</v>
      </c>
      <c r="D1677" t="s">
        <v>472</v>
      </c>
      <c r="E1677">
        <v>5916</v>
      </c>
      <c r="F1677" t="s">
        <v>124</v>
      </c>
      <c r="G1677">
        <v>1648</v>
      </c>
      <c r="H1677" t="s">
        <v>145</v>
      </c>
      <c r="I1677">
        <v>2021</v>
      </c>
      <c r="J1677">
        <v>2021</v>
      </c>
      <c r="K1677" t="s">
        <v>143</v>
      </c>
      <c r="L1677">
        <v>76401.509999999995</v>
      </c>
      <c r="O1677">
        <v>43002.862766035716</v>
      </c>
      <c r="P1677">
        <v>4.3002862766035717E-2</v>
      </c>
      <c r="Q1677" t="s">
        <v>783</v>
      </c>
      <c r="R1677" s="141">
        <v>0.64326122448979595</v>
      </c>
    </row>
    <row r="1678" spans="1:18" x14ac:dyDescent="0.3">
      <c r="A1678" t="s">
        <v>126</v>
      </c>
      <c r="B1678" t="s">
        <v>125</v>
      </c>
      <c r="C1678" t="s">
        <v>472</v>
      </c>
      <c r="D1678" t="s">
        <v>472</v>
      </c>
      <c r="E1678">
        <v>5516</v>
      </c>
      <c r="F1678" t="s">
        <v>128</v>
      </c>
      <c r="G1678">
        <v>1650</v>
      </c>
      <c r="H1678" t="s">
        <v>144</v>
      </c>
      <c r="I1678">
        <v>2021</v>
      </c>
      <c r="J1678">
        <v>2021</v>
      </c>
      <c r="K1678" t="s">
        <v>143</v>
      </c>
      <c r="L1678">
        <v>0</v>
      </c>
      <c r="O1678">
        <v>0</v>
      </c>
      <c r="P1678">
        <v>0</v>
      </c>
      <c r="Q1678" t="s">
        <v>784</v>
      </c>
      <c r="R1678" s="141">
        <v>0.24401250000000002</v>
      </c>
    </row>
    <row r="1679" spans="1:18" x14ac:dyDescent="0.3">
      <c r="A1679" t="s">
        <v>126</v>
      </c>
      <c r="B1679" t="s">
        <v>125</v>
      </c>
      <c r="C1679" t="s">
        <v>472</v>
      </c>
      <c r="D1679" t="s">
        <v>472</v>
      </c>
      <c r="E1679">
        <v>5616</v>
      </c>
      <c r="F1679" t="s">
        <v>127</v>
      </c>
      <c r="G1679">
        <v>1650</v>
      </c>
      <c r="H1679" t="s">
        <v>144</v>
      </c>
      <c r="I1679">
        <v>2021</v>
      </c>
      <c r="J1679">
        <v>2021</v>
      </c>
      <c r="K1679" t="s">
        <v>143</v>
      </c>
      <c r="L1679">
        <v>46516.060000000005</v>
      </c>
      <c r="O1679">
        <v>9931.6875794062507</v>
      </c>
      <c r="P1679">
        <v>9.9316875794062502E-3</v>
      </c>
      <c r="Q1679" t="s">
        <v>785</v>
      </c>
      <c r="R1679" s="141">
        <v>0.24401250000000002</v>
      </c>
    </row>
    <row r="1680" spans="1:18" x14ac:dyDescent="0.3">
      <c r="A1680" t="s">
        <v>126</v>
      </c>
      <c r="B1680" t="s">
        <v>125</v>
      </c>
      <c r="C1680" t="s">
        <v>472</v>
      </c>
      <c r="D1680" t="s">
        <v>472</v>
      </c>
      <c r="E1680">
        <v>5916</v>
      </c>
      <c r="F1680" t="s">
        <v>124</v>
      </c>
      <c r="G1680">
        <v>1650</v>
      </c>
      <c r="H1680" t="s">
        <v>144</v>
      </c>
      <c r="I1680">
        <v>2021</v>
      </c>
      <c r="J1680">
        <v>2021</v>
      </c>
      <c r="K1680" t="s">
        <v>143</v>
      </c>
      <c r="L1680">
        <v>8113.62</v>
      </c>
      <c r="O1680">
        <v>1732.3466127187503</v>
      </c>
      <c r="P1680">
        <v>1.7323466127187501E-3</v>
      </c>
      <c r="Q1680" t="s">
        <v>786</v>
      </c>
      <c r="R1680" s="141">
        <v>0.24401250000000002</v>
      </c>
    </row>
    <row r="1681" spans="1:18" x14ac:dyDescent="0.3">
      <c r="A1681" t="s">
        <v>126</v>
      </c>
      <c r="B1681" t="s">
        <v>125</v>
      </c>
      <c r="C1681" t="s">
        <v>472</v>
      </c>
      <c r="D1681" t="s">
        <v>472</v>
      </c>
      <c r="E1681">
        <v>5516</v>
      </c>
      <c r="F1681" t="s">
        <v>128</v>
      </c>
      <c r="G1681">
        <v>1649</v>
      </c>
      <c r="H1681" t="s">
        <v>142</v>
      </c>
      <c r="I1681">
        <v>2021</v>
      </c>
      <c r="J1681">
        <v>2021</v>
      </c>
      <c r="L1681">
        <v>0</v>
      </c>
    </row>
    <row r="1682" spans="1:18" x14ac:dyDescent="0.3">
      <c r="A1682" t="s">
        <v>126</v>
      </c>
      <c r="B1682" t="s">
        <v>125</v>
      </c>
      <c r="C1682" t="s">
        <v>472</v>
      </c>
      <c r="D1682" t="s">
        <v>472</v>
      </c>
      <c r="E1682">
        <v>5616</v>
      </c>
      <c r="F1682" t="s">
        <v>127</v>
      </c>
      <c r="G1682">
        <v>1649</v>
      </c>
      <c r="H1682" t="s">
        <v>142</v>
      </c>
      <c r="I1682">
        <v>2021</v>
      </c>
      <c r="J1682">
        <v>2021</v>
      </c>
      <c r="L1682">
        <v>0</v>
      </c>
    </row>
    <row r="1683" spans="1:18" x14ac:dyDescent="0.3">
      <c r="A1683" t="s">
        <v>126</v>
      </c>
      <c r="B1683" t="s">
        <v>125</v>
      </c>
      <c r="C1683" t="s">
        <v>472</v>
      </c>
      <c r="D1683" t="s">
        <v>472</v>
      </c>
      <c r="E1683">
        <v>5916</v>
      </c>
      <c r="F1683" t="s">
        <v>124</v>
      </c>
      <c r="G1683">
        <v>1649</v>
      </c>
      <c r="H1683" t="s">
        <v>142</v>
      </c>
      <c r="I1683">
        <v>2021</v>
      </c>
      <c r="J1683">
        <v>2021</v>
      </c>
      <c r="L1683">
        <v>0</v>
      </c>
    </row>
    <row r="1684" spans="1:18" x14ac:dyDescent="0.3">
      <c r="A1684" t="s">
        <v>126</v>
      </c>
      <c r="B1684" t="s">
        <v>125</v>
      </c>
      <c r="C1684" t="s">
        <v>472</v>
      </c>
      <c r="D1684" t="s">
        <v>472</v>
      </c>
      <c r="E1684">
        <v>5510</v>
      </c>
      <c r="F1684" t="s">
        <v>128</v>
      </c>
      <c r="G1684">
        <v>1685</v>
      </c>
      <c r="H1684" t="s">
        <v>98</v>
      </c>
      <c r="I1684">
        <v>2021</v>
      </c>
      <c r="J1684">
        <v>2021</v>
      </c>
      <c r="K1684" t="s">
        <v>339</v>
      </c>
      <c r="L1684">
        <v>273416</v>
      </c>
      <c r="O1684">
        <v>246074.4</v>
      </c>
      <c r="P1684">
        <v>0.24607439999999997</v>
      </c>
      <c r="Q1684" t="s">
        <v>787</v>
      </c>
      <c r="R1684" s="141">
        <v>0.9</v>
      </c>
    </row>
    <row r="1685" spans="1:18" x14ac:dyDescent="0.3">
      <c r="A1685" t="s">
        <v>126</v>
      </c>
      <c r="B1685" t="s">
        <v>125</v>
      </c>
      <c r="C1685" t="s">
        <v>472</v>
      </c>
      <c r="D1685" t="s">
        <v>472</v>
      </c>
      <c r="E1685">
        <v>5610</v>
      </c>
      <c r="F1685" t="s">
        <v>127</v>
      </c>
      <c r="G1685">
        <v>1685</v>
      </c>
      <c r="H1685" t="s">
        <v>98</v>
      </c>
      <c r="I1685">
        <v>2021</v>
      </c>
      <c r="J1685">
        <v>2021</v>
      </c>
      <c r="K1685" t="s">
        <v>339</v>
      </c>
      <c r="L1685">
        <v>10654.97</v>
      </c>
      <c r="O1685">
        <v>8390.7888750000002</v>
      </c>
      <c r="P1685">
        <v>8.3907888749999993E-3</v>
      </c>
      <c r="Q1685" t="s">
        <v>788</v>
      </c>
      <c r="R1685" s="141">
        <v>0.9</v>
      </c>
    </row>
    <row r="1686" spans="1:18" x14ac:dyDescent="0.3">
      <c r="A1686" t="s">
        <v>126</v>
      </c>
      <c r="B1686" t="s">
        <v>125</v>
      </c>
      <c r="C1686" t="s">
        <v>472</v>
      </c>
      <c r="D1686" t="s">
        <v>472</v>
      </c>
      <c r="E1686">
        <v>5910</v>
      </c>
      <c r="F1686" t="s">
        <v>124</v>
      </c>
      <c r="G1686">
        <v>1685</v>
      </c>
      <c r="H1686" t="s">
        <v>98</v>
      </c>
      <c r="I1686">
        <v>2021</v>
      </c>
      <c r="J1686">
        <v>2021</v>
      </c>
      <c r="K1686" t="s">
        <v>339</v>
      </c>
      <c r="L1686">
        <v>1101.0899999999999</v>
      </c>
      <c r="O1686">
        <v>867.10837500000002</v>
      </c>
      <c r="P1686">
        <v>8.6710837500000003E-4</v>
      </c>
      <c r="Q1686" t="s">
        <v>789</v>
      </c>
      <c r="R1686" s="141">
        <v>0.9</v>
      </c>
    </row>
    <row r="1687" spans="1:18" x14ac:dyDescent="0.3">
      <c r="A1687" t="s">
        <v>126</v>
      </c>
      <c r="B1687" t="s">
        <v>125</v>
      </c>
      <c r="C1687" t="s">
        <v>472</v>
      </c>
      <c r="D1687" t="s">
        <v>472</v>
      </c>
      <c r="E1687">
        <v>5510</v>
      </c>
      <c r="F1687" t="s">
        <v>128</v>
      </c>
      <c r="G1687">
        <v>1654</v>
      </c>
      <c r="H1687" t="s">
        <v>141</v>
      </c>
      <c r="I1687">
        <v>2021</v>
      </c>
      <c r="J1687">
        <v>2021</v>
      </c>
      <c r="L1687">
        <v>0</v>
      </c>
    </row>
    <row r="1688" spans="1:18" x14ac:dyDescent="0.3">
      <c r="A1688" t="s">
        <v>126</v>
      </c>
      <c r="B1688" t="s">
        <v>125</v>
      </c>
      <c r="C1688" t="s">
        <v>472</v>
      </c>
      <c r="D1688" t="s">
        <v>472</v>
      </c>
      <c r="E1688">
        <v>5610</v>
      </c>
      <c r="F1688" t="s">
        <v>127</v>
      </c>
      <c r="G1688">
        <v>1654</v>
      </c>
      <c r="H1688" t="s">
        <v>141</v>
      </c>
      <c r="I1688">
        <v>2021</v>
      </c>
      <c r="J1688">
        <v>2021</v>
      </c>
      <c r="L1688">
        <v>0</v>
      </c>
    </row>
    <row r="1689" spans="1:18" x14ac:dyDescent="0.3">
      <c r="A1689" t="s">
        <v>126</v>
      </c>
      <c r="B1689" t="s">
        <v>125</v>
      </c>
      <c r="C1689" t="s">
        <v>472</v>
      </c>
      <c r="D1689" t="s">
        <v>472</v>
      </c>
      <c r="E1689">
        <v>5910</v>
      </c>
      <c r="F1689" t="s">
        <v>124</v>
      </c>
      <c r="G1689">
        <v>1654</v>
      </c>
      <c r="H1689" t="s">
        <v>141</v>
      </c>
      <c r="I1689">
        <v>2021</v>
      </c>
      <c r="J1689">
        <v>2021</v>
      </c>
      <c r="L1689">
        <v>0</v>
      </c>
    </row>
    <row r="1690" spans="1:18" x14ac:dyDescent="0.3">
      <c r="A1690" t="s">
        <v>126</v>
      </c>
      <c r="B1690" t="s">
        <v>125</v>
      </c>
      <c r="C1690" t="s">
        <v>472</v>
      </c>
      <c r="D1690" t="s">
        <v>472</v>
      </c>
      <c r="E1690">
        <v>5510</v>
      </c>
      <c r="F1690" t="s">
        <v>128</v>
      </c>
      <c r="G1690">
        <v>1655</v>
      </c>
      <c r="H1690" t="s">
        <v>140</v>
      </c>
      <c r="I1690">
        <v>2021</v>
      </c>
      <c r="J1690">
        <v>2021</v>
      </c>
      <c r="L1690">
        <v>0</v>
      </c>
    </row>
    <row r="1691" spans="1:18" x14ac:dyDescent="0.3">
      <c r="A1691" t="s">
        <v>126</v>
      </c>
      <c r="B1691" t="s">
        <v>125</v>
      </c>
      <c r="C1691" t="s">
        <v>472</v>
      </c>
      <c r="D1691" t="s">
        <v>472</v>
      </c>
      <c r="E1691">
        <v>5610</v>
      </c>
      <c r="F1691" t="s">
        <v>127</v>
      </c>
      <c r="G1691">
        <v>1655</v>
      </c>
      <c r="H1691" t="s">
        <v>140</v>
      </c>
      <c r="I1691">
        <v>2021</v>
      </c>
      <c r="J1691">
        <v>2021</v>
      </c>
      <c r="L1691">
        <v>0</v>
      </c>
    </row>
    <row r="1692" spans="1:18" x14ac:dyDescent="0.3">
      <c r="A1692" t="s">
        <v>126</v>
      </c>
      <c r="B1692" t="s">
        <v>125</v>
      </c>
      <c r="C1692" t="s">
        <v>472</v>
      </c>
      <c r="D1692" t="s">
        <v>472</v>
      </c>
      <c r="E1692">
        <v>5910</v>
      </c>
      <c r="F1692" t="s">
        <v>124</v>
      </c>
      <c r="G1692">
        <v>1655</v>
      </c>
      <c r="H1692" t="s">
        <v>140</v>
      </c>
      <c r="I1692">
        <v>2021</v>
      </c>
      <c r="J1692">
        <v>2021</v>
      </c>
      <c r="L1692">
        <v>0</v>
      </c>
    </row>
    <row r="1693" spans="1:18" x14ac:dyDescent="0.3">
      <c r="A1693" t="s">
        <v>126</v>
      </c>
      <c r="B1693" t="s">
        <v>125</v>
      </c>
      <c r="C1693" t="s">
        <v>472</v>
      </c>
      <c r="D1693" t="s">
        <v>472</v>
      </c>
      <c r="E1693">
        <v>5510</v>
      </c>
      <c r="F1693" t="s">
        <v>128</v>
      </c>
      <c r="G1693">
        <v>1656</v>
      </c>
      <c r="H1693" t="s">
        <v>97</v>
      </c>
      <c r="I1693">
        <v>2021</v>
      </c>
      <c r="J1693">
        <v>2021</v>
      </c>
      <c r="K1693" t="s">
        <v>339</v>
      </c>
      <c r="L1693">
        <v>802500</v>
      </c>
      <c r="O1693">
        <v>722250</v>
      </c>
      <c r="P1693">
        <v>0.72224999999999995</v>
      </c>
      <c r="Q1693" t="s">
        <v>790</v>
      </c>
      <c r="R1693" s="141">
        <v>0.9</v>
      </c>
    </row>
    <row r="1694" spans="1:18" x14ac:dyDescent="0.3">
      <c r="A1694" t="s">
        <v>126</v>
      </c>
      <c r="B1694" t="s">
        <v>125</v>
      </c>
      <c r="C1694" t="s">
        <v>472</v>
      </c>
      <c r="D1694" t="s">
        <v>472</v>
      </c>
      <c r="E1694">
        <v>5610</v>
      </c>
      <c r="F1694" t="s">
        <v>127</v>
      </c>
      <c r="G1694">
        <v>1656</v>
      </c>
      <c r="H1694" t="s">
        <v>97</v>
      </c>
      <c r="I1694">
        <v>2021</v>
      </c>
      <c r="J1694">
        <v>2021</v>
      </c>
      <c r="K1694" t="s">
        <v>339</v>
      </c>
      <c r="L1694">
        <v>268305.81000000006</v>
      </c>
      <c r="O1694">
        <v>211290.82537500004</v>
      </c>
      <c r="P1694">
        <v>0.21129082537500005</v>
      </c>
      <c r="Q1694" t="s">
        <v>791</v>
      </c>
      <c r="R1694" s="141">
        <v>0.9</v>
      </c>
    </row>
    <row r="1695" spans="1:18" x14ac:dyDescent="0.3">
      <c r="A1695" t="s">
        <v>126</v>
      </c>
      <c r="B1695" t="s">
        <v>125</v>
      </c>
      <c r="C1695" t="s">
        <v>472</v>
      </c>
      <c r="D1695" t="s">
        <v>472</v>
      </c>
      <c r="E1695">
        <v>5910</v>
      </c>
      <c r="F1695" t="s">
        <v>124</v>
      </c>
      <c r="G1695">
        <v>1656</v>
      </c>
      <c r="H1695" t="s">
        <v>97</v>
      </c>
      <c r="I1695">
        <v>2021</v>
      </c>
      <c r="J1695">
        <v>2021</v>
      </c>
      <c r="K1695" t="s">
        <v>339</v>
      </c>
      <c r="L1695">
        <v>54267.430000000008</v>
      </c>
      <c r="O1695">
        <v>42735.601125000001</v>
      </c>
      <c r="P1695">
        <v>4.2735601125000001E-2</v>
      </c>
      <c r="Q1695" t="s">
        <v>792</v>
      </c>
      <c r="R1695" s="141">
        <v>0.9</v>
      </c>
    </row>
    <row r="1696" spans="1:18" x14ac:dyDescent="0.3">
      <c r="A1696" t="s">
        <v>126</v>
      </c>
      <c r="B1696" t="s">
        <v>125</v>
      </c>
      <c r="C1696" t="s">
        <v>472</v>
      </c>
      <c r="D1696" t="s">
        <v>472</v>
      </c>
      <c r="E1696">
        <v>5510</v>
      </c>
      <c r="F1696" t="s">
        <v>128</v>
      </c>
      <c r="G1696">
        <v>1662</v>
      </c>
      <c r="H1696" t="s">
        <v>139</v>
      </c>
      <c r="I1696">
        <v>2021</v>
      </c>
      <c r="J1696">
        <v>2021</v>
      </c>
      <c r="K1696" t="s">
        <v>339</v>
      </c>
      <c r="L1696">
        <v>285500</v>
      </c>
    </row>
    <row r="1697" spans="1:18" x14ac:dyDescent="0.3">
      <c r="A1697" t="s">
        <v>126</v>
      </c>
      <c r="B1697" t="s">
        <v>125</v>
      </c>
      <c r="C1697" t="s">
        <v>472</v>
      </c>
      <c r="D1697" t="s">
        <v>472</v>
      </c>
      <c r="E1697">
        <v>5610</v>
      </c>
      <c r="F1697" t="s">
        <v>127</v>
      </c>
      <c r="G1697">
        <v>1662</v>
      </c>
      <c r="H1697" t="s">
        <v>139</v>
      </c>
      <c r="I1697">
        <v>2021</v>
      </c>
      <c r="J1697">
        <v>2021</v>
      </c>
      <c r="K1697" t="s">
        <v>339</v>
      </c>
      <c r="L1697">
        <v>24548.36</v>
      </c>
    </row>
    <row r="1698" spans="1:18" x14ac:dyDescent="0.3">
      <c r="A1698" t="s">
        <v>126</v>
      </c>
      <c r="B1698" t="s">
        <v>125</v>
      </c>
      <c r="C1698" t="s">
        <v>472</v>
      </c>
      <c r="D1698" t="s">
        <v>472</v>
      </c>
      <c r="E1698">
        <v>5910</v>
      </c>
      <c r="F1698" t="s">
        <v>124</v>
      </c>
      <c r="G1698">
        <v>1662</v>
      </c>
      <c r="H1698" t="s">
        <v>139</v>
      </c>
      <c r="I1698">
        <v>2021</v>
      </c>
      <c r="J1698">
        <v>2021</v>
      </c>
      <c r="K1698" t="s">
        <v>339</v>
      </c>
      <c r="L1698">
        <v>4225.5</v>
      </c>
    </row>
    <row r="1699" spans="1:18" x14ac:dyDescent="0.3">
      <c r="A1699" t="s">
        <v>126</v>
      </c>
      <c r="B1699" t="s">
        <v>125</v>
      </c>
      <c r="C1699" t="s">
        <v>472</v>
      </c>
      <c r="D1699" t="s">
        <v>472</v>
      </c>
      <c r="E1699">
        <v>5510</v>
      </c>
      <c r="F1699" t="s">
        <v>128</v>
      </c>
      <c r="G1699">
        <v>1663</v>
      </c>
      <c r="H1699" t="s">
        <v>138</v>
      </c>
      <c r="I1699">
        <v>2021</v>
      </c>
      <c r="J1699">
        <v>2021</v>
      </c>
      <c r="K1699" t="s">
        <v>339</v>
      </c>
      <c r="L1699">
        <v>517000</v>
      </c>
    </row>
    <row r="1700" spans="1:18" x14ac:dyDescent="0.3">
      <c r="A1700" t="s">
        <v>126</v>
      </c>
      <c r="B1700" t="s">
        <v>125</v>
      </c>
      <c r="C1700" t="s">
        <v>472</v>
      </c>
      <c r="D1700" t="s">
        <v>472</v>
      </c>
      <c r="E1700">
        <v>5610</v>
      </c>
      <c r="F1700" t="s">
        <v>127</v>
      </c>
      <c r="G1700">
        <v>1663</v>
      </c>
      <c r="H1700" t="s">
        <v>138</v>
      </c>
      <c r="I1700">
        <v>2021</v>
      </c>
      <c r="J1700">
        <v>2021</v>
      </c>
      <c r="K1700" t="s">
        <v>339</v>
      </c>
      <c r="L1700">
        <v>237932.36000000002</v>
      </c>
    </row>
    <row r="1701" spans="1:18" x14ac:dyDescent="0.3">
      <c r="A1701" t="s">
        <v>126</v>
      </c>
      <c r="B1701" t="s">
        <v>125</v>
      </c>
      <c r="C1701" t="s">
        <v>472</v>
      </c>
      <c r="D1701" t="s">
        <v>472</v>
      </c>
      <c r="E1701">
        <v>5910</v>
      </c>
      <c r="F1701" t="s">
        <v>124</v>
      </c>
      <c r="G1701">
        <v>1663</v>
      </c>
      <c r="H1701" t="s">
        <v>138</v>
      </c>
      <c r="I1701">
        <v>2021</v>
      </c>
      <c r="J1701">
        <v>2021</v>
      </c>
      <c r="K1701" t="s">
        <v>339</v>
      </c>
      <c r="L1701">
        <v>49984.43</v>
      </c>
    </row>
    <row r="1702" spans="1:18" x14ac:dyDescent="0.3">
      <c r="A1702" t="s">
        <v>126</v>
      </c>
      <c r="B1702" t="s">
        <v>125</v>
      </c>
      <c r="C1702" t="s">
        <v>472</v>
      </c>
      <c r="D1702" t="s">
        <v>472</v>
      </c>
      <c r="E1702">
        <v>5510</v>
      </c>
      <c r="F1702" t="s">
        <v>128</v>
      </c>
      <c r="G1702">
        <v>1686</v>
      </c>
      <c r="H1702" t="s">
        <v>137</v>
      </c>
      <c r="I1702">
        <v>2021</v>
      </c>
      <c r="J1702">
        <v>2021</v>
      </c>
      <c r="K1702" t="s">
        <v>339</v>
      </c>
      <c r="L1702">
        <v>0</v>
      </c>
    </row>
    <row r="1703" spans="1:18" x14ac:dyDescent="0.3">
      <c r="A1703" t="s">
        <v>126</v>
      </c>
      <c r="B1703" t="s">
        <v>125</v>
      </c>
      <c r="C1703" t="s">
        <v>472</v>
      </c>
      <c r="D1703" t="s">
        <v>472</v>
      </c>
      <c r="E1703">
        <v>5610</v>
      </c>
      <c r="F1703" t="s">
        <v>127</v>
      </c>
      <c r="G1703">
        <v>1686</v>
      </c>
      <c r="H1703" t="s">
        <v>137</v>
      </c>
      <c r="I1703">
        <v>2021</v>
      </c>
      <c r="J1703">
        <v>2021</v>
      </c>
      <c r="K1703" t="s">
        <v>339</v>
      </c>
      <c r="L1703">
        <v>5789.13</v>
      </c>
    </row>
    <row r="1704" spans="1:18" x14ac:dyDescent="0.3">
      <c r="A1704" t="s">
        <v>126</v>
      </c>
      <c r="B1704" t="s">
        <v>125</v>
      </c>
      <c r="C1704" t="s">
        <v>472</v>
      </c>
      <c r="D1704" t="s">
        <v>472</v>
      </c>
      <c r="E1704">
        <v>5910</v>
      </c>
      <c r="F1704" t="s">
        <v>124</v>
      </c>
      <c r="G1704">
        <v>1686</v>
      </c>
      <c r="H1704" t="s">
        <v>137</v>
      </c>
      <c r="I1704">
        <v>2021</v>
      </c>
      <c r="J1704">
        <v>2021</v>
      </c>
      <c r="K1704" t="s">
        <v>339</v>
      </c>
      <c r="L1704">
        <v>3.5</v>
      </c>
    </row>
    <row r="1705" spans="1:18" x14ac:dyDescent="0.3">
      <c r="A1705" t="s">
        <v>126</v>
      </c>
      <c r="B1705" t="s">
        <v>125</v>
      </c>
      <c r="C1705" t="s">
        <v>472</v>
      </c>
      <c r="D1705" t="s">
        <v>472</v>
      </c>
      <c r="E1705">
        <v>5510</v>
      </c>
      <c r="F1705" t="s">
        <v>128</v>
      </c>
      <c r="G1705">
        <v>1660</v>
      </c>
      <c r="H1705" t="s">
        <v>136</v>
      </c>
      <c r="I1705">
        <v>2021</v>
      </c>
      <c r="J1705">
        <v>2021</v>
      </c>
      <c r="L1705">
        <v>0</v>
      </c>
    </row>
    <row r="1706" spans="1:18" x14ac:dyDescent="0.3">
      <c r="A1706" t="s">
        <v>126</v>
      </c>
      <c r="B1706" t="s">
        <v>125</v>
      </c>
      <c r="C1706" t="s">
        <v>472</v>
      </c>
      <c r="D1706" t="s">
        <v>472</v>
      </c>
      <c r="E1706">
        <v>5610</v>
      </c>
      <c r="F1706" t="s">
        <v>127</v>
      </c>
      <c r="G1706">
        <v>1660</v>
      </c>
      <c r="H1706" t="s">
        <v>136</v>
      </c>
      <c r="I1706">
        <v>2021</v>
      </c>
      <c r="J1706">
        <v>2021</v>
      </c>
      <c r="L1706">
        <v>0</v>
      </c>
    </row>
    <row r="1707" spans="1:18" x14ac:dyDescent="0.3">
      <c r="A1707" t="s">
        <v>126</v>
      </c>
      <c r="B1707" t="s">
        <v>125</v>
      </c>
      <c r="C1707" t="s">
        <v>472</v>
      </c>
      <c r="D1707" t="s">
        <v>472</v>
      </c>
      <c r="E1707">
        <v>5910</v>
      </c>
      <c r="F1707" t="s">
        <v>124</v>
      </c>
      <c r="G1707">
        <v>1660</v>
      </c>
      <c r="H1707" t="s">
        <v>136</v>
      </c>
      <c r="I1707">
        <v>2021</v>
      </c>
      <c r="J1707">
        <v>2021</v>
      </c>
      <c r="L1707">
        <v>0</v>
      </c>
    </row>
    <row r="1708" spans="1:18" x14ac:dyDescent="0.3">
      <c r="A1708" t="s">
        <v>126</v>
      </c>
      <c r="B1708" t="s">
        <v>125</v>
      </c>
      <c r="C1708" t="s">
        <v>472</v>
      </c>
      <c r="D1708" t="s">
        <v>472</v>
      </c>
      <c r="E1708">
        <v>5510</v>
      </c>
      <c r="F1708" t="s">
        <v>128</v>
      </c>
      <c r="G1708">
        <v>1661</v>
      </c>
      <c r="H1708" t="s">
        <v>135</v>
      </c>
      <c r="I1708">
        <v>2021</v>
      </c>
      <c r="J1708">
        <v>2021</v>
      </c>
      <c r="L1708">
        <v>0</v>
      </c>
    </row>
    <row r="1709" spans="1:18" x14ac:dyDescent="0.3">
      <c r="A1709" t="s">
        <v>126</v>
      </c>
      <c r="B1709" t="s">
        <v>125</v>
      </c>
      <c r="C1709" t="s">
        <v>472</v>
      </c>
      <c r="D1709" t="s">
        <v>472</v>
      </c>
      <c r="E1709">
        <v>5610</v>
      </c>
      <c r="F1709" t="s">
        <v>127</v>
      </c>
      <c r="G1709">
        <v>1661</v>
      </c>
      <c r="H1709" t="s">
        <v>135</v>
      </c>
      <c r="I1709">
        <v>2021</v>
      </c>
      <c r="J1709">
        <v>2021</v>
      </c>
      <c r="L1709">
        <v>0</v>
      </c>
    </row>
    <row r="1710" spans="1:18" x14ac:dyDescent="0.3">
      <c r="A1710" t="s">
        <v>126</v>
      </c>
      <c r="B1710" t="s">
        <v>125</v>
      </c>
      <c r="C1710" t="s">
        <v>472</v>
      </c>
      <c r="D1710" t="s">
        <v>472</v>
      </c>
      <c r="E1710">
        <v>5910</v>
      </c>
      <c r="F1710" t="s">
        <v>124</v>
      </c>
      <c r="G1710">
        <v>1661</v>
      </c>
      <c r="H1710" t="s">
        <v>135</v>
      </c>
      <c r="I1710">
        <v>2021</v>
      </c>
      <c r="J1710">
        <v>2021</v>
      </c>
      <c r="L1710">
        <v>0</v>
      </c>
    </row>
    <row r="1711" spans="1:18" x14ac:dyDescent="0.3">
      <c r="A1711" t="s">
        <v>126</v>
      </c>
      <c r="B1711" t="s">
        <v>125</v>
      </c>
      <c r="C1711" t="s">
        <v>472</v>
      </c>
      <c r="D1711" t="s">
        <v>472</v>
      </c>
      <c r="E1711">
        <v>5510</v>
      </c>
      <c r="F1711" t="s">
        <v>128</v>
      </c>
      <c r="G1711">
        <v>1667</v>
      </c>
      <c r="H1711" t="s">
        <v>96</v>
      </c>
      <c r="I1711">
        <v>2021</v>
      </c>
      <c r="J1711">
        <v>2021</v>
      </c>
      <c r="K1711" t="s">
        <v>339</v>
      </c>
      <c r="L1711">
        <v>997470</v>
      </c>
      <c r="O1711">
        <v>897723</v>
      </c>
      <c r="P1711">
        <v>0.89772299999999994</v>
      </c>
      <c r="Q1711" t="s">
        <v>793</v>
      </c>
      <c r="R1711" s="141">
        <v>0.9</v>
      </c>
    </row>
    <row r="1712" spans="1:18" x14ac:dyDescent="0.3">
      <c r="A1712" t="s">
        <v>126</v>
      </c>
      <c r="B1712" t="s">
        <v>125</v>
      </c>
      <c r="C1712" t="s">
        <v>472</v>
      </c>
      <c r="D1712" t="s">
        <v>472</v>
      </c>
      <c r="E1712">
        <v>5610</v>
      </c>
      <c r="F1712" t="s">
        <v>127</v>
      </c>
      <c r="G1712">
        <v>1667</v>
      </c>
      <c r="H1712" t="s">
        <v>96</v>
      </c>
      <c r="I1712">
        <v>2021</v>
      </c>
      <c r="J1712">
        <v>2021</v>
      </c>
      <c r="K1712" t="s">
        <v>339</v>
      </c>
      <c r="L1712">
        <v>3725.99</v>
      </c>
      <c r="O1712">
        <v>2934.2171250000001</v>
      </c>
      <c r="P1712">
        <v>2.9342171250000002E-3</v>
      </c>
      <c r="Q1712" t="s">
        <v>794</v>
      </c>
      <c r="R1712" s="141">
        <v>0.9</v>
      </c>
    </row>
    <row r="1713" spans="1:18" x14ac:dyDescent="0.3">
      <c r="A1713" t="s">
        <v>126</v>
      </c>
      <c r="B1713" t="s">
        <v>125</v>
      </c>
      <c r="C1713" t="s">
        <v>472</v>
      </c>
      <c r="D1713" t="s">
        <v>472</v>
      </c>
      <c r="E1713">
        <v>5910</v>
      </c>
      <c r="F1713" t="s">
        <v>124</v>
      </c>
      <c r="G1713">
        <v>1667</v>
      </c>
      <c r="H1713" t="s">
        <v>96</v>
      </c>
      <c r="I1713">
        <v>2021</v>
      </c>
      <c r="J1713">
        <v>2021</v>
      </c>
      <c r="K1713" t="s">
        <v>339</v>
      </c>
      <c r="L1713">
        <v>932014.48</v>
      </c>
      <c r="O1713">
        <v>733961.40300000005</v>
      </c>
      <c r="P1713">
        <v>0.73396140300000001</v>
      </c>
      <c r="Q1713" t="s">
        <v>795</v>
      </c>
      <c r="R1713" s="141">
        <v>0.9</v>
      </c>
    </row>
    <row r="1714" spans="1:18" x14ac:dyDescent="0.3">
      <c r="A1714" t="s">
        <v>126</v>
      </c>
      <c r="B1714" t="s">
        <v>125</v>
      </c>
      <c r="C1714" t="s">
        <v>472</v>
      </c>
      <c r="D1714" t="s">
        <v>472</v>
      </c>
      <c r="E1714">
        <v>5510</v>
      </c>
      <c r="F1714" t="s">
        <v>128</v>
      </c>
      <c r="G1714">
        <v>1668</v>
      </c>
      <c r="H1714" t="s">
        <v>95</v>
      </c>
      <c r="I1714">
        <v>2021</v>
      </c>
      <c r="J1714">
        <v>2021</v>
      </c>
      <c r="K1714" t="s">
        <v>339</v>
      </c>
      <c r="L1714">
        <v>52400</v>
      </c>
      <c r="O1714">
        <v>47160</v>
      </c>
      <c r="P1714">
        <v>4.7160000000000001E-2</v>
      </c>
      <c r="Q1714" t="s">
        <v>796</v>
      </c>
      <c r="R1714" s="141">
        <v>0.9</v>
      </c>
    </row>
    <row r="1715" spans="1:18" x14ac:dyDescent="0.3">
      <c r="A1715" t="s">
        <v>126</v>
      </c>
      <c r="B1715" t="s">
        <v>125</v>
      </c>
      <c r="C1715" t="s">
        <v>472</v>
      </c>
      <c r="D1715" t="s">
        <v>472</v>
      </c>
      <c r="E1715">
        <v>5610</v>
      </c>
      <c r="F1715" t="s">
        <v>127</v>
      </c>
      <c r="G1715">
        <v>1668</v>
      </c>
      <c r="H1715" t="s">
        <v>95</v>
      </c>
      <c r="I1715">
        <v>2021</v>
      </c>
      <c r="J1715">
        <v>2021</v>
      </c>
      <c r="K1715" t="s">
        <v>339</v>
      </c>
      <c r="L1715">
        <v>5448.07</v>
      </c>
      <c r="O1715">
        <v>4290.355125</v>
      </c>
      <c r="P1715">
        <v>4.290355125E-3</v>
      </c>
      <c r="Q1715" t="s">
        <v>797</v>
      </c>
      <c r="R1715" s="141">
        <v>0.9</v>
      </c>
    </row>
    <row r="1716" spans="1:18" x14ac:dyDescent="0.3">
      <c r="A1716" t="s">
        <v>126</v>
      </c>
      <c r="B1716" t="s">
        <v>125</v>
      </c>
      <c r="C1716" t="s">
        <v>472</v>
      </c>
      <c r="D1716" t="s">
        <v>472</v>
      </c>
      <c r="E1716">
        <v>5910</v>
      </c>
      <c r="F1716" t="s">
        <v>124</v>
      </c>
      <c r="G1716">
        <v>1668</v>
      </c>
      <c r="H1716" t="s">
        <v>95</v>
      </c>
      <c r="I1716">
        <v>2021</v>
      </c>
      <c r="J1716">
        <v>2021</v>
      </c>
      <c r="K1716" t="s">
        <v>339</v>
      </c>
      <c r="L1716">
        <v>947.85</v>
      </c>
      <c r="O1716">
        <v>746.43187499999999</v>
      </c>
      <c r="P1716">
        <v>7.4643187499999996E-4</v>
      </c>
      <c r="Q1716" t="s">
        <v>798</v>
      </c>
      <c r="R1716" s="141">
        <v>0.9</v>
      </c>
    </row>
    <row r="1717" spans="1:18" x14ac:dyDescent="0.3">
      <c r="A1717" t="s">
        <v>126</v>
      </c>
      <c r="B1717" t="s">
        <v>125</v>
      </c>
      <c r="C1717" t="s">
        <v>472</v>
      </c>
      <c r="D1717" t="s">
        <v>472</v>
      </c>
      <c r="E1717">
        <v>5510</v>
      </c>
      <c r="F1717" t="s">
        <v>128</v>
      </c>
      <c r="G1717">
        <v>1609</v>
      </c>
      <c r="H1717" t="s">
        <v>94</v>
      </c>
      <c r="I1717">
        <v>2021</v>
      </c>
      <c r="J1717">
        <v>2021</v>
      </c>
      <c r="L1717">
        <v>0</v>
      </c>
      <c r="O1717">
        <v>0</v>
      </c>
      <c r="P1717">
        <v>0</v>
      </c>
      <c r="Q1717" t="s">
        <v>799</v>
      </c>
      <c r="R1717" s="141">
        <v>0.9</v>
      </c>
    </row>
    <row r="1718" spans="1:18" x14ac:dyDescent="0.3">
      <c r="A1718" t="s">
        <v>126</v>
      </c>
      <c r="B1718" t="s">
        <v>125</v>
      </c>
      <c r="C1718" t="s">
        <v>472</v>
      </c>
      <c r="D1718" t="s">
        <v>472</v>
      </c>
      <c r="E1718">
        <v>5610</v>
      </c>
      <c r="F1718" t="s">
        <v>127</v>
      </c>
      <c r="G1718">
        <v>1609</v>
      </c>
      <c r="H1718" t="s">
        <v>94</v>
      </c>
      <c r="I1718">
        <v>2021</v>
      </c>
      <c r="J1718">
        <v>2021</v>
      </c>
      <c r="K1718" t="s">
        <v>339</v>
      </c>
      <c r="L1718">
        <v>19318.829999999994</v>
      </c>
      <c r="O1718">
        <v>15213.578624999996</v>
      </c>
      <c r="P1718">
        <v>1.5213578624999996E-2</v>
      </c>
      <c r="Q1718" t="s">
        <v>800</v>
      </c>
      <c r="R1718" s="141">
        <v>0.9</v>
      </c>
    </row>
    <row r="1719" spans="1:18" x14ac:dyDescent="0.3">
      <c r="A1719" t="s">
        <v>126</v>
      </c>
      <c r="B1719" t="s">
        <v>125</v>
      </c>
      <c r="C1719" t="s">
        <v>472</v>
      </c>
      <c r="D1719" t="s">
        <v>472</v>
      </c>
      <c r="E1719">
        <v>5910</v>
      </c>
      <c r="F1719" t="s">
        <v>124</v>
      </c>
      <c r="G1719">
        <v>1609</v>
      </c>
      <c r="H1719" t="s">
        <v>94</v>
      </c>
      <c r="I1719">
        <v>2021</v>
      </c>
      <c r="J1719">
        <v>2021</v>
      </c>
      <c r="K1719" t="s">
        <v>339</v>
      </c>
      <c r="L1719">
        <v>8712.619999999999</v>
      </c>
      <c r="O1719">
        <v>6861.1882499999992</v>
      </c>
      <c r="P1719">
        <v>6.8611882499999988E-3</v>
      </c>
      <c r="Q1719" t="s">
        <v>801</v>
      </c>
      <c r="R1719" s="141">
        <v>0.9</v>
      </c>
    </row>
    <row r="1720" spans="1:18" x14ac:dyDescent="0.3">
      <c r="A1720" t="s">
        <v>126</v>
      </c>
      <c r="B1720" t="s">
        <v>125</v>
      </c>
      <c r="C1720" t="s">
        <v>472</v>
      </c>
      <c r="D1720" t="s">
        <v>472</v>
      </c>
      <c r="E1720">
        <v>5510</v>
      </c>
      <c r="F1720" t="s">
        <v>128</v>
      </c>
      <c r="G1720">
        <v>1669</v>
      </c>
      <c r="H1720" t="s">
        <v>134</v>
      </c>
      <c r="I1720">
        <v>2021</v>
      </c>
      <c r="J1720">
        <v>2021</v>
      </c>
      <c r="K1720" t="s">
        <v>339</v>
      </c>
      <c r="L1720">
        <v>1495570</v>
      </c>
      <c r="O1720">
        <v>1308623.75</v>
      </c>
      <c r="P1720">
        <v>1.30862375</v>
      </c>
      <c r="Q1720" t="s">
        <v>802</v>
      </c>
      <c r="R1720" s="141">
        <v>0.875</v>
      </c>
    </row>
    <row r="1721" spans="1:18" x14ac:dyDescent="0.3">
      <c r="A1721" t="s">
        <v>126</v>
      </c>
      <c r="B1721" t="s">
        <v>125</v>
      </c>
      <c r="C1721" t="s">
        <v>472</v>
      </c>
      <c r="D1721" t="s">
        <v>472</v>
      </c>
      <c r="E1721">
        <v>5610</v>
      </c>
      <c r="F1721" t="s">
        <v>127</v>
      </c>
      <c r="G1721">
        <v>1669</v>
      </c>
      <c r="H1721" t="s">
        <v>134</v>
      </c>
      <c r="I1721">
        <v>2021</v>
      </c>
      <c r="J1721">
        <v>2021</v>
      </c>
      <c r="K1721" t="s">
        <v>339</v>
      </c>
      <c r="L1721">
        <v>112288.16</v>
      </c>
      <c r="O1721">
        <v>85970.622499999998</v>
      </c>
      <c r="P1721">
        <v>8.5970622499999996E-2</v>
      </c>
      <c r="Q1721" t="s">
        <v>803</v>
      </c>
      <c r="R1721" s="141">
        <v>0.875</v>
      </c>
    </row>
    <row r="1722" spans="1:18" x14ac:dyDescent="0.3">
      <c r="A1722" t="s">
        <v>126</v>
      </c>
      <c r="B1722" t="s">
        <v>125</v>
      </c>
      <c r="C1722" t="s">
        <v>472</v>
      </c>
      <c r="D1722" t="s">
        <v>472</v>
      </c>
      <c r="E1722">
        <v>5910</v>
      </c>
      <c r="F1722" t="s">
        <v>124</v>
      </c>
      <c r="G1722">
        <v>1669</v>
      </c>
      <c r="H1722" t="s">
        <v>134</v>
      </c>
      <c r="I1722">
        <v>2021</v>
      </c>
      <c r="J1722">
        <v>2021</v>
      </c>
      <c r="K1722" t="s">
        <v>339</v>
      </c>
      <c r="L1722">
        <v>229012.49</v>
      </c>
      <c r="O1722">
        <v>175337.68765625</v>
      </c>
      <c r="P1722">
        <v>0.17533768765624999</v>
      </c>
      <c r="Q1722" t="s">
        <v>804</v>
      </c>
      <c r="R1722" s="141">
        <v>0.875</v>
      </c>
    </row>
    <row r="1723" spans="1:18" x14ac:dyDescent="0.3">
      <c r="A1723" t="s">
        <v>126</v>
      </c>
      <c r="B1723" t="s">
        <v>125</v>
      </c>
      <c r="C1723" t="s">
        <v>472</v>
      </c>
      <c r="D1723" t="s">
        <v>472</v>
      </c>
      <c r="E1723">
        <v>5510</v>
      </c>
      <c r="F1723" t="s">
        <v>128</v>
      </c>
      <c r="G1723">
        <v>1671</v>
      </c>
      <c r="H1723" t="s">
        <v>89</v>
      </c>
      <c r="I1723">
        <v>2021</v>
      </c>
      <c r="J1723">
        <v>2021</v>
      </c>
      <c r="K1723" t="s">
        <v>339</v>
      </c>
      <c r="L1723">
        <v>127238</v>
      </c>
      <c r="O1723">
        <v>120876.09999999999</v>
      </c>
      <c r="P1723">
        <v>0.12087609999999999</v>
      </c>
      <c r="Q1723" t="s">
        <v>805</v>
      </c>
      <c r="R1723" s="141">
        <v>0.95</v>
      </c>
    </row>
    <row r="1724" spans="1:18" x14ac:dyDescent="0.3">
      <c r="A1724" t="s">
        <v>126</v>
      </c>
      <c r="B1724" t="s">
        <v>125</v>
      </c>
      <c r="C1724" t="s">
        <v>472</v>
      </c>
      <c r="D1724" t="s">
        <v>472</v>
      </c>
      <c r="E1724">
        <v>5610</v>
      </c>
      <c r="F1724" t="s">
        <v>127</v>
      </c>
      <c r="G1724">
        <v>1671</v>
      </c>
      <c r="H1724" t="s">
        <v>89</v>
      </c>
      <c r="I1724">
        <v>2021</v>
      </c>
      <c r="J1724">
        <v>2021</v>
      </c>
      <c r="K1724" t="s">
        <v>339</v>
      </c>
      <c r="L1724">
        <v>152053.18000000002</v>
      </c>
      <c r="O1724">
        <v>126394.20587500001</v>
      </c>
      <c r="P1724">
        <v>0.126394205875</v>
      </c>
      <c r="Q1724" t="s">
        <v>806</v>
      </c>
      <c r="R1724" s="141">
        <v>0.95</v>
      </c>
    </row>
    <row r="1725" spans="1:18" x14ac:dyDescent="0.3">
      <c r="A1725" t="s">
        <v>126</v>
      </c>
      <c r="B1725" t="s">
        <v>125</v>
      </c>
      <c r="C1725" t="s">
        <v>472</v>
      </c>
      <c r="D1725" t="s">
        <v>472</v>
      </c>
      <c r="E1725">
        <v>5910</v>
      </c>
      <c r="F1725" t="s">
        <v>124</v>
      </c>
      <c r="G1725">
        <v>1671</v>
      </c>
      <c r="H1725" t="s">
        <v>89</v>
      </c>
      <c r="I1725">
        <v>2021</v>
      </c>
      <c r="J1725">
        <v>2021</v>
      </c>
      <c r="K1725" t="s">
        <v>339</v>
      </c>
      <c r="L1725">
        <v>18911.969999999998</v>
      </c>
      <c r="O1725">
        <v>15720.575062499998</v>
      </c>
      <c r="P1725">
        <v>1.5720575062499999E-2</v>
      </c>
      <c r="Q1725" t="s">
        <v>807</v>
      </c>
      <c r="R1725" s="141">
        <v>0.95</v>
      </c>
    </row>
    <row r="1726" spans="1:18" x14ac:dyDescent="0.3">
      <c r="A1726" t="s">
        <v>126</v>
      </c>
      <c r="B1726" t="s">
        <v>125</v>
      </c>
      <c r="C1726" t="s">
        <v>472</v>
      </c>
      <c r="D1726" t="s">
        <v>472</v>
      </c>
      <c r="E1726">
        <v>5510</v>
      </c>
      <c r="F1726" t="s">
        <v>128</v>
      </c>
      <c r="G1726">
        <v>1674</v>
      </c>
      <c r="H1726" t="s">
        <v>88</v>
      </c>
      <c r="I1726">
        <v>2021</v>
      </c>
      <c r="J1726">
        <v>2021</v>
      </c>
      <c r="K1726" t="s">
        <v>339</v>
      </c>
      <c r="L1726">
        <v>400400</v>
      </c>
      <c r="O1726">
        <v>380380</v>
      </c>
      <c r="P1726">
        <v>0.38038</v>
      </c>
      <c r="Q1726" t="s">
        <v>808</v>
      </c>
      <c r="R1726" s="141">
        <v>0.95</v>
      </c>
    </row>
    <row r="1727" spans="1:18" x14ac:dyDescent="0.3">
      <c r="A1727" t="s">
        <v>126</v>
      </c>
      <c r="B1727" t="s">
        <v>125</v>
      </c>
      <c r="C1727" t="s">
        <v>472</v>
      </c>
      <c r="D1727" t="s">
        <v>472</v>
      </c>
      <c r="E1727">
        <v>5610</v>
      </c>
      <c r="F1727" t="s">
        <v>127</v>
      </c>
      <c r="G1727">
        <v>1674</v>
      </c>
      <c r="H1727" t="s">
        <v>88</v>
      </c>
      <c r="I1727">
        <v>2021</v>
      </c>
      <c r="J1727">
        <v>2021</v>
      </c>
      <c r="K1727" t="s">
        <v>339</v>
      </c>
      <c r="L1727">
        <v>1405496.9599999997</v>
      </c>
      <c r="O1727">
        <v>1168319.3479999998</v>
      </c>
      <c r="P1727">
        <v>1.1683193479999998</v>
      </c>
      <c r="Q1727" t="s">
        <v>809</v>
      </c>
      <c r="R1727" s="141">
        <v>0.95</v>
      </c>
    </row>
    <row r="1728" spans="1:18" x14ac:dyDescent="0.3">
      <c r="A1728" t="s">
        <v>126</v>
      </c>
      <c r="B1728" t="s">
        <v>125</v>
      </c>
      <c r="C1728" t="s">
        <v>472</v>
      </c>
      <c r="D1728" t="s">
        <v>472</v>
      </c>
      <c r="E1728">
        <v>5910</v>
      </c>
      <c r="F1728" t="s">
        <v>124</v>
      </c>
      <c r="G1728">
        <v>1674</v>
      </c>
      <c r="H1728" t="s">
        <v>88</v>
      </c>
      <c r="I1728">
        <v>2021</v>
      </c>
      <c r="J1728">
        <v>2021</v>
      </c>
      <c r="K1728" t="s">
        <v>339</v>
      </c>
      <c r="L1728">
        <v>116730.5</v>
      </c>
      <c r="O1728">
        <v>97032.228124999994</v>
      </c>
      <c r="P1728">
        <v>9.7032228124999995E-2</v>
      </c>
      <c r="Q1728" t="s">
        <v>810</v>
      </c>
      <c r="R1728" s="141">
        <v>0.95</v>
      </c>
    </row>
    <row r="1729" spans="1:18" x14ac:dyDescent="0.3">
      <c r="A1729" t="s">
        <v>126</v>
      </c>
      <c r="B1729" t="s">
        <v>125</v>
      </c>
      <c r="C1729" t="s">
        <v>472</v>
      </c>
      <c r="D1729" t="s">
        <v>472</v>
      </c>
      <c r="E1729">
        <v>5510</v>
      </c>
      <c r="F1729" t="s">
        <v>128</v>
      </c>
      <c r="G1729">
        <v>1612</v>
      </c>
      <c r="H1729" t="s">
        <v>133</v>
      </c>
      <c r="I1729">
        <v>2021</v>
      </c>
      <c r="J1729">
        <v>2021</v>
      </c>
      <c r="K1729" t="s">
        <v>339</v>
      </c>
      <c r="L1729">
        <v>16000</v>
      </c>
    </row>
    <row r="1730" spans="1:18" x14ac:dyDescent="0.3">
      <c r="A1730" t="s">
        <v>126</v>
      </c>
      <c r="B1730" t="s">
        <v>125</v>
      </c>
      <c r="C1730" t="s">
        <v>472</v>
      </c>
      <c r="D1730" t="s">
        <v>472</v>
      </c>
      <c r="E1730">
        <v>5610</v>
      </c>
      <c r="F1730" t="s">
        <v>127</v>
      </c>
      <c r="G1730">
        <v>1612</v>
      </c>
      <c r="H1730" t="s">
        <v>133</v>
      </c>
      <c r="I1730">
        <v>2021</v>
      </c>
      <c r="J1730">
        <v>2021</v>
      </c>
      <c r="K1730" t="s">
        <v>339</v>
      </c>
      <c r="L1730">
        <v>107161.76000000001</v>
      </c>
    </row>
    <row r="1731" spans="1:18" x14ac:dyDescent="0.3">
      <c r="A1731" t="s">
        <v>126</v>
      </c>
      <c r="B1731" t="s">
        <v>125</v>
      </c>
      <c r="C1731" t="s">
        <v>472</v>
      </c>
      <c r="D1731" t="s">
        <v>472</v>
      </c>
      <c r="E1731">
        <v>5910</v>
      </c>
      <c r="F1731" t="s">
        <v>124</v>
      </c>
      <c r="G1731">
        <v>1612</v>
      </c>
      <c r="H1731" t="s">
        <v>133</v>
      </c>
      <c r="I1731">
        <v>2021</v>
      </c>
      <c r="J1731">
        <v>2021</v>
      </c>
      <c r="K1731" t="s">
        <v>339</v>
      </c>
      <c r="L1731">
        <v>10781.43</v>
      </c>
    </row>
    <row r="1732" spans="1:18" x14ac:dyDescent="0.3">
      <c r="A1732" t="s">
        <v>126</v>
      </c>
      <c r="B1732" t="s">
        <v>125</v>
      </c>
      <c r="C1732" t="s">
        <v>472</v>
      </c>
      <c r="D1732" t="s">
        <v>472</v>
      </c>
      <c r="E1732">
        <v>5510</v>
      </c>
      <c r="F1732" t="s">
        <v>128</v>
      </c>
      <c r="G1732">
        <v>1615</v>
      </c>
      <c r="H1732" t="s">
        <v>132</v>
      </c>
      <c r="I1732">
        <v>2021</v>
      </c>
      <c r="J1732">
        <v>2021</v>
      </c>
      <c r="K1732" t="s">
        <v>339</v>
      </c>
      <c r="L1732">
        <v>367400</v>
      </c>
    </row>
    <row r="1733" spans="1:18" x14ac:dyDescent="0.3">
      <c r="A1733" t="s">
        <v>126</v>
      </c>
      <c r="B1733" t="s">
        <v>125</v>
      </c>
      <c r="C1733" t="s">
        <v>472</v>
      </c>
      <c r="D1733" t="s">
        <v>472</v>
      </c>
      <c r="E1733">
        <v>5610</v>
      </c>
      <c r="F1733" t="s">
        <v>127</v>
      </c>
      <c r="G1733">
        <v>1615</v>
      </c>
      <c r="H1733" t="s">
        <v>132</v>
      </c>
      <c r="I1733">
        <v>2021</v>
      </c>
      <c r="J1733">
        <v>2021</v>
      </c>
      <c r="K1733" t="s">
        <v>339</v>
      </c>
      <c r="L1733">
        <v>957936.21</v>
      </c>
    </row>
    <row r="1734" spans="1:18" x14ac:dyDescent="0.3">
      <c r="A1734" t="s">
        <v>126</v>
      </c>
      <c r="B1734" t="s">
        <v>125</v>
      </c>
      <c r="C1734" t="s">
        <v>472</v>
      </c>
      <c r="D1734" t="s">
        <v>472</v>
      </c>
      <c r="E1734">
        <v>5910</v>
      </c>
      <c r="F1734" t="s">
        <v>124</v>
      </c>
      <c r="G1734">
        <v>1615</v>
      </c>
      <c r="H1734" t="s">
        <v>132</v>
      </c>
      <c r="I1734">
        <v>2021</v>
      </c>
      <c r="J1734">
        <v>2021</v>
      </c>
      <c r="K1734" t="s">
        <v>339</v>
      </c>
      <c r="L1734">
        <v>89518.82</v>
      </c>
    </row>
    <row r="1735" spans="1:18" x14ac:dyDescent="0.3">
      <c r="A1735" t="s">
        <v>126</v>
      </c>
      <c r="B1735" t="s">
        <v>125</v>
      </c>
      <c r="C1735" t="s">
        <v>472</v>
      </c>
      <c r="D1735" t="s">
        <v>472</v>
      </c>
      <c r="E1735">
        <v>5510</v>
      </c>
      <c r="F1735" t="s">
        <v>128</v>
      </c>
      <c r="G1735">
        <v>1616</v>
      </c>
      <c r="H1735" t="s">
        <v>131</v>
      </c>
      <c r="I1735">
        <v>2021</v>
      </c>
      <c r="J1735">
        <v>2021</v>
      </c>
      <c r="K1735" t="s">
        <v>339</v>
      </c>
      <c r="L1735">
        <v>16000</v>
      </c>
    </row>
    <row r="1736" spans="1:18" x14ac:dyDescent="0.3">
      <c r="A1736" t="s">
        <v>126</v>
      </c>
      <c r="B1736" t="s">
        <v>125</v>
      </c>
      <c r="C1736" t="s">
        <v>472</v>
      </c>
      <c r="D1736" t="s">
        <v>472</v>
      </c>
      <c r="E1736">
        <v>5610</v>
      </c>
      <c r="F1736" t="s">
        <v>127</v>
      </c>
      <c r="G1736">
        <v>1616</v>
      </c>
      <c r="H1736" t="s">
        <v>131</v>
      </c>
      <c r="I1736">
        <v>2021</v>
      </c>
      <c r="J1736">
        <v>2021</v>
      </c>
      <c r="K1736" t="s">
        <v>339</v>
      </c>
      <c r="L1736">
        <v>336849.0199999999</v>
      </c>
    </row>
    <row r="1737" spans="1:18" x14ac:dyDescent="0.3">
      <c r="A1737" t="s">
        <v>126</v>
      </c>
      <c r="B1737" t="s">
        <v>125</v>
      </c>
      <c r="C1737" t="s">
        <v>472</v>
      </c>
      <c r="D1737" t="s">
        <v>472</v>
      </c>
      <c r="E1737">
        <v>5910</v>
      </c>
      <c r="F1737" t="s">
        <v>124</v>
      </c>
      <c r="G1737">
        <v>1616</v>
      </c>
      <c r="H1737" t="s">
        <v>131</v>
      </c>
      <c r="I1737">
        <v>2021</v>
      </c>
      <c r="J1737">
        <v>2021</v>
      </c>
      <c r="K1737" t="s">
        <v>339</v>
      </c>
      <c r="L1737">
        <v>16423.27</v>
      </c>
    </row>
    <row r="1738" spans="1:18" x14ac:dyDescent="0.3">
      <c r="A1738" t="s">
        <v>126</v>
      </c>
      <c r="B1738" t="s">
        <v>125</v>
      </c>
      <c r="C1738" t="s">
        <v>472</v>
      </c>
      <c r="D1738" t="s">
        <v>472</v>
      </c>
      <c r="E1738">
        <v>5510</v>
      </c>
      <c r="F1738" t="s">
        <v>128</v>
      </c>
      <c r="G1738">
        <v>1675</v>
      </c>
      <c r="H1738" t="s">
        <v>87</v>
      </c>
      <c r="I1738">
        <v>2021</v>
      </c>
      <c r="J1738">
        <v>2021</v>
      </c>
      <c r="K1738" t="s">
        <v>339</v>
      </c>
      <c r="L1738">
        <v>1504353</v>
      </c>
    </row>
    <row r="1739" spans="1:18" x14ac:dyDescent="0.3">
      <c r="A1739" t="s">
        <v>126</v>
      </c>
      <c r="B1739" t="s">
        <v>125</v>
      </c>
      <c r="C1739" t="s">
        <v>472</v>
      </c>
      <c r="D1739" t="s">
        <v>472</v>
      </c>
      <c r="E1739">
        <v>5610</v>
      </c>
      <c r="F1739" t="s">
        <v>127</v>
      </c>
      <c r="G1739">
        <v>1675</v>
      </c>
      <c r="H1739" t="s">
        <v>87</v>
      </c>
      <c r="I1739">
        <v>2021</v>
      </c>
      <c r="J1739">
        <v>2021</v>
      </c>
      <c r="K1739" t="s">
        <v>339</v>
      </c>
      <c r="L1739">
        <v>1519433.9500000002</v>
      </c>
    </row>
    <row r="1740" spans="1:18" x14ac:dyDescent="0.3">
      <c r="A1740" t="s">
        <v>126</v>
      </c>
      <c r="B1740" t="s">
        <v>125</v>
      </c>
      <c r="C1740" t="s">
        <v>472</v>
      </c>
      <c r="D1740" t="s">
        <v>472</v>
      </c>
      <c r="E1740">
        <v>5910</v>
      </c>
      <c r="F1740" t="s">
        <v>124</v>
      </c>
      <c r="G1740">
        <v>1675</v>
      </c>
      <c r="H1740" t="s">
        <v>87</v>
      </c>
      <c r="I1740">
        <v>2021</v>
      </c>
      <c r="J1740">
        <v>2021</v>
      </c>
      <c r="K1740" t="s">
        <v>339</v>
      </c>
      <c r="L1740">
        <v>398077.49</v>
      </c>
    </row>
    <row r="1741" spans="1:18" x14ac:dyDescent="0.3">
      <c r="A1741" t="s">
        <v>126</v>
      </c>
      <c r="B1741" t="s">
        <v>125</v>
      </c>
      <c r="C1741" t="s">
        <v>472</v>
      </c>
      <c r="D1741" t="s">
        <v>472</v>
      </c>
      <c r="E1741">
        <v>5510</v>
      </c>
      <c r="F1741" t="s">
        <v>128</v>
      </c>
      <c r="G1741">
        <v>1676</v>
      </c>
      <c r="H1741" t="s">
        <v>86</v>
      </c>
      <c r="I1741">
        <v>2021</v>
      </c>
      <c r="J1741">
        <v>2021</v>
      </c>
      <c r="K1741" t="s">
        <v>339</v>
      </c>
      <c r="L1741">
        <v>169695</v>
      </c>
      <c r="O1741">
        <v>161210.25</v>
      </c>
      <c r="P1741">
        <v>0.16121025</v>
      </c>
      <c r="Q1741" t="s">
        <v>811</v>
      </c>
      <c r="R1741" s="141">
        <v>0.95</v>
      </c>
    </row>
    <row r="1742" spans="1:18" x14ac:dyDescent="0.3">
      <c r="A1742" t="s">
        <v>126</v>
      </c>
      <c r="B1742" t="s">
        <v>125</v>
      </c>
      <c r="C1742" t="s">
        <v>472</v>
      </c>
      <c r="D1742" t="s">
        <v>472</v>
      </c>
      <c r="E1742">
        <v>5610</v>
      </c>
      <c r="F1742" t="s">
        <v>127</v>
      </c>
      <c r="G1742">
        <v>1676</v>
      </c>
      <c r="H1742" t="s">
        <v>86</v>
      </c>
      <c r="I1742">
        <v>2021</v>
      </c>
      <c r="J1742">
        <v>2021</v>
      </c>
      <c r="K1742" t="s">
        <v>339</v>
      </c>
      <c r="L1742">
        <v>138377.59999999998</v>
      </c>
      <c r="O1742">
        <v>115026.37999999998</v>
      </c>
      <c r="P1742">
        <v>0.11502637999999997</v>
      </c>
      <c r="Q1742" t="s">
        <v>812</v>
      </c>
      <c r="R1742" s="141">
        <v>0.95</v>
      </c>
    </row>
    <row r="1743" spans="1:18" x14ac:dyDescent="0.3">
      <c r="A1743" t="s">
        <v>126</v>
      </c>
      <c r="B1743" t="s">
        <v>125</v>
      </c>
      <c r="C1743" t="s">
        <v>472</v>
      </c>
      <c r="D1743" t="s">
        <v>472</v>
      </c>
      <c r="E1743">
        <v>5910</v>
      </c>
      <c r="F1743" t="s">
        <v>124</v>
      </c>
      <c r="G1743">
        <v>1676</v>
      </c>
      <c r="H1743" t="s">
        <v>86</v>
      </c>
      <c r="I1743">
        <v>2021</v>
      </c>
      <c r="J1743">
        <v>2021</v>
      </c>
      <c r="K1743" t="s">
        <v>339</v>
      </c>
      <c r="L1743">
        <v>22244.29</v>
      </c>
      <c r="O1743">
        <v>18490.566062499998</v>
      </c>
      <c r="P1743">
        <v>1.8490566062499998E-2</v>
      </c>
      <c r="Q1743" t="s">
        <v>813</v>
      </c>
      <c r="R1743" s="141">
        <v>0.95</v>
      </c>
    </row>
    <row r="1744" spans="1:18" x14ac:dyDescent="0.3">
      <c r="A1744" t="s">
        <v>126</v>
      </c>
      <c r="B1744" t="s">
        <v>125</v>
      </c>
      <c r="C1744" t="s">
        <v>472</v>
      </c>
      <c r="D1744" t="s">
        <v>472</v>
      </c>
      <c r="E1744">
        <v>5510</v>
      </c>
      <c r="F1744" t="s">
        <v>128</v>
      </c>
      <c r="G1744">
        <v>1681</v>
      </c>
      <c r="H1744" t="s">
        <v>130</v>
      </c>
      <c r="I1744">
        <v>2021</v>
      </c>
      <c r="J1744">
        <v>2021</v>
      </c>
      <c r="L1744">
        <v>0</v>
      </c>
    </row>
    <row r="1745" spans="1:18" x14ac:dyDescent="0.3">
      <c r="A1745" t="s">
        <v>126</v>
      </c>
      <c r="B1745" t="s">
        <v>125</v>
      </c>
      <c r="C1745" t="s">
        <v>472</v>
      </c>
      <c r="D1745" t="s">
        <v>472</v>
      </c>
      <c r="E1745">
        <v>5610</v>
      </c>
      <c r="F1745" t="s">
        <v>127</v>
      </c>
      <c r="G1745">
        <v>1681</v>
      </c>
      <c r="H1745" t="s">
        <v>130</v>
      </c>
      <c r="I1745">
        <v>2021</v>
      </c>
      <c r="J1745">
        <v>2021</v>
      </c>
      <c r="L1745">
        <v>0</v>
      </c>
    </row>
    <row r="1746" spans="1:18" x14ac:dyDescent="0.3">
      <c r="A1746" t="s">
        <v>126</v>
      </c>
      <c r="B1746" t="s">
        <v>125</v>
      </c>
      <c r="C1746" t="s">
        <v>472</v>
      </c>
      <c r="D1746" t="s">
        <v>472</v>
      </c>
      <c r="E1746">
        <v>5910</v>
      </c>
      <c r="F1746" t="s">
        <v>124</v>
      </c>
      <c r="G1746">
        <v>1681</v>
      </c>
      <c r="H1746" t="s">
        <v>130</v>
      </c>
      <c r="I1746">
        <v>2021</v>
      </c>
      <c r="J1746">
        <v>2021</v>
      </c>
      <c r="L1746">
        <v>0</v>
      </c>
    </row>
    <row r="1747" spans="1:18" x14ac:dyDescent="0.3">
      <c r="A1747" t="s">
        <v>126</v>
      </c>
      <c r="B1747" t="s">
        <v>125</v>
      </c>
      <c r="C1747" t="s">
        <v>472</v>
      </c>
      <c r="D1747" t="s">
        <v>472</v>
      </c>
      <c r="E1747">
        <v>5510</v>
      </c>
      <c r="F1747" t="s">
        <v>128</v>
      </c>
      <c r="G1747">
        <v>1617</v>
      </c>
      <c r="H1747" t="s">
        <v>85</v>
      </c>
      <c r="I1747">
        <v>2021</v>
      </c>
      <c r="J1747">
        <v>2021</v>
      </c>
      <c r="K1747" t="s">
        <v>339</v>
      </c>
      <c r="L1747">
        <v>1180640</v>
      </c>
      <c r="O1747">
        <v>1121608</v>
      </c>
      <c r="P1747">
        <v>1.1216079999999999</v>
      </c>
      <c r="Q1747" t="s">
        <v>814</v>
      </c>
      <c r="R1747" s="141">
        <v>0.95</v>
      </c>
    </row>
    <row r="1748" spans="1:18" x14ac:dyDescent="0.3">
      <c r="A1748" t="s">
        <v>126</v>
      </c>
      <c r="B1748" t="s">
        <v>125</v>
      </c>
      <c r="C1748" t="s">
        <v>472</v>
      </c>
      <c r="D1748" t="s">
        <v>472</v>
      </c>
      <c r="E1748">
        <v>5610</v>
      </c>
      <c r="F1748" t="s">
        <v>127</v>
      </c>
      <c r="G1748">
        <v>1617</v>
      </c>
      <c r="H1748" t="s">
        <v>85</v>
      </c>
      <c r="I1748">
        <v>2021</v>
      </c>
      <c r="J1748">
        <v>2021</v>
      </c>
      <c r="K1748" t="s">
        <v>339</v>
      </c>
      <c r="L1748">
        <v>678930.85000000009</v>
      </c>
      <c r="O1748">
        <v>564361.2690625001</v>
      </c>
      <c r="P1748">
        <v>0.56436126906250006</v>
      </c>
      <c r="Q1748" t="s">
        <v>815</v>
      </c>
      <c r="R1748" s="141">
        <v>0.95</v>
      </c>
    </row>
    <row r="1749" spans="1:18" x14ac:dyDescent="0.3">
      <c r="A1749" t="s">
        <v>126</v>
      </c>
      <c r="B1749" t="s">
        <v>125</v>
      </c>
      <c r="C1749" t="s">
        <v>472</v>
      </c>
      <c r="D1749" t="s">
        <v>472</v>
      </c>
      <c r="E1749">
        <v>5910</v>
      </c>
      <c r="F1749" t="s">
        <v>124</v>
      </c>
      <c r="G1749">
        <v>1617</v>
      </c>
      <c r="H1749" t="s">
        <v>85</v>
      </c>
      <c r="I1749">
        <v>2021</v>
      </c>
      <c r="J1749">
        <v>2021</v>
      </c>
      <c r="K1749" t="s">
        <v>339</v>
      </c>
      <c r="L1749">
        <v>306511.43</v>
      </c>
      <c r="O1749">
        <v>254787.62618749996</v>
      </c>
      <c r="P1749">
        <v>0.25478762618749995</v>
      </c>
      <c r="Q1749" t="s">
        <v>816</v>
      </c>
      <c r="R1749" s="141">
        <v>0.95</v>
      </c>
    </row>
    <row r="1750" spans="1:18" x14ac:dyDescent="0.3">
      <c r="A1750" t="s">
        <v>126</v>
      </c>
      <c r="B1750" t="s">
        <v>125</v>
      </c>
      <c r="C1750" t="s">
        <v>472</v>
      </c>
      <c r="D1750" t="s">
        <v>472</v>
      </c>
      <c r="E1750">
        <v>5510</v>
      </c>
      <c r="F1750" t="s">
        <v>128</v>
      </c>
      <c r="G1750">
        <v>1618</v>
      </c>
      <c r="H1750" t="s">
        <v>84</v>
      </c>
      <c r="I1750">
        <v>2021</v>
      </c>
      <c r="J1750">
        <v>2021</v>
      </c>
      <c r="K1750" t="s">
        <v>339</v>
      </c>
      <c r="L1750">
        <v>33785</v>
      </c>
      <c r="O1750">
        <v>32095.75</v>
      </c>
      <c r="P1750">
        <v>3.2095749999999999E-2</v>
      </c>
      <c r="Q1750" t="s">
        <v>817</v>
      </c>
      <c r="R1750" s="141">
        <v>0.95</v>
      </c>
    </row>
    <row r="1751" spans="1:18" x14ac:dyDescent="0.3">
      <c r="A1751" t="s">
        <v>126</v>
      </c>
      <c r="B1751" t="s">
        <v>125</v>
      </c>
      <c r="C1751" t="s">
        <v>472</v>
      </c>
      <c r="D1751" t="s">
        <v>472</v>
      </c>
      <c r="E1751">
        <v>5610</v>
      </c>
      <c r="F1751" t="s">
        <v>127</v>
      </c>
      <c r="G1751">
        <v>1618</v>
      </c>
      <c r="H1751" t="s">
        <v>84</v>
      </c>
      <c r="I1751">
        <v>2021</v>
      </c>
      <c r="J1751">
        <v>2021</v>
      </c>
      <c r="K1751" t="s">
        <v>339</v>
      </c>
      <c r="L1751">
        <v>323591.28000000003</v>
      </c>
      <c r="O1751">
        <v>268985.25150000001</v>
      </c>
      <c r="P1751">
        <v>0.26898525150000002</v>
      </c>
      <c r="Q1751" t="s">
        <v>818</v>
      </c>
      <c r="R1751" s="141">
        <v>0.95</v>
      </c>
    </row>
    <row r="1752" spans="1:18" x14ac:dyDescent="0.3">
      <c r="A1752" t="s">
        <v>126</v>
      </c>
      <c r="B1752" t="s">
        <v>125</v>
      </c>
      <c r="C1752" t="s">
        <v>472</v>
      </c>
      <c r="D1752" t="s">
        <v>472</v>
      </c>
      <c r="E1752">
        <v>5910</v>
      </c>
      <c r="F1752" t="s">
        <v>124</v>
      </c>
      <c r="G1752">
        <v>1618</v>
      </c>
      <c r="H1752" t="s">
        <v>84</v>
      </c>
      <c r="I1752">
        <v>2021</v>
      </c>
      <c r="J1752">
        <v>2021</v>
      </c>
      <c r="K1752" t="s">
        <v>339</v>
      </c>
      <c r="L1752">
        <v>24084.6</v>
      </c>
      <c r="O1752">
        <v>20020.32375</v>
      </c>
      <c r="P1752">
        <v>2.0020323749999999E-2</v>
      </c>
      <c r="Q1752" t="s">
        <v>819</v>
      </c>
      <c r="R1752" s="141">
        <v>0.95</v>
      </c>
    </row>
    <row r="1753" spans="1:18" x14ac:dyDescent="0.3">
      <c r="A1753" t="s">
        <v>126</v>
      </c>
      <c r="B1753" t="s">
        <v>125</v>
      </c>
      <c r="C1753" t="s">
        <v>472</v>
      </c>
      <c r="D1753" t="s">
        <v>472</v>
      </c>
      <c r="E1753">
        <v>5510</v>
      </c>
      <c r="F1753" t="s">
        <v>128</v>
      </c>
      <c r="G1753">
        <v>1621</v>
      </c>
      <c r="H1753" t="s">
        <v>129</v>
      </c>
      <c r="I1753">
        <v>2021</v>
      </c>
      <c r="J1753">
        <v>2021</v>
      </c>
      <c r="K1753" t="s">
        <v>339</v>
      </c>
      <c r="L1753">
        <v>53258</v>
      </c>
      <c r="O1753">
        <v>50595.1</v>
      </c>
      <c r="P1753">
        <v>5.0595099999999997E-2</v>
      </c>
      <c r="Q1753" t="s">
        <v>820</v>
      </c>
      <c r="R1753" s="141">
        <v>0.95</v>
      </c>
    </row>
    <row r="1754" spans="1:18" x14ac:dyDescent="0.3">
      <c r="A1754" t="s">
        <v>126</v>
      </c>
      <c r="B1754" t="s">
        <v>125</v>
      </c>
      <c r="C1754" t="s">
        <v>472</v>
      </c>
      <c r="D1754" t="s">
        <v>472</v>
      </c>
      <c r="E1754">
        <v>5610</v>
      </c>
      <c r="F1754" t="s">
        <v>127</v>
      </c>
      <c r="G1754">
        <v>1621</v>
      </c>
      <c r="H1754" t="s">
        <v>129</v>
      </c>
      <c r="I1754">
        <v>2021</v>
      </c>
      <c r="J1754">
        <v>2021</v>
      </c>
      <c r="K1754" t="s">
        <v>339</v>
      </c>
      <c r="L1754">
        <v>321770.96999999997</v>
      </c>
      <c r="O1754">
        <v>267472.11881249992</v>
      </c>
      <c r="P1754">
        <v>0.26747211881249988</v>
      </c>
      <c r="Q1754" t="s">
        <v>821</v>
      </c>
      <c r="R1754" s="141">
        <v>0.95</v>
      </c>
    </row>
    <row r="1755" spans="1:18" x14ac:dyDescent="0.3">
      <c r="A1755" t="s">
        <v>126</v>
      </c>
      <c r="B1755" t="s">
        <v>125</v>
      </c>
      <c r="C1755" t="s">
        <v>472</v>
      </c>
      <c r="D1755" t="s">
        <v>472</v>
      </c>
      <c r="E1755">
        <v>5910</v>
      </c>
      <c r="F1755" t="s">
        <v>124</v>
      </c>
      <c r="G1755">
        <v>1621</v>
      </c>
      <c r="H1755" t="s">
        <v>129</v>
      </c>
      <c r="I1755">
        <v>2021</v>
      </c>
      <c r="J1755">
        <v>2021</v>
      </c>
      <c r="K1755" t="s">
        <v>339</v>
      </c>
      <c r="L1755">
        <v>40622.93</v>
      </c>
      <c r="O1755">
        <v>33767.810562499995</v>
      </c>
      <c r="P1755">
        <v>3.3767810562499993E-2</v>
      </c>
      <c r="Q1755" t="s">
        <v>822</v>
      </c>
      <c r="R1755" s="141">
        <v>0.95</v>
      </c>
    </row>
    <row r="1756" spans="1:18" x14ac:dyDescent="0.3">
      <c r="A1756" t="s">
        <v>126</v>
      </c>
      <c r="B1756" t="s">
        <v>125</v>
      </c>
      <c r="C1756" t="s">
        <v>472</v>
      </c>
      <c r="D1756" t="s">
        <v>472</v>
      </c>
      <c r="E1756">
        <v>5510</v>
      </c>
      <c r="F1756" t="s">
        <v>128</v>
      </c>
      <c r="G1756">
        <v>1622</v>
      </c>
      <c r="H1756" t="s">
        <v>83</v>
      </c>
      <c r="I1756">
        <v>2021</v>
      </c>
      <c r="J1756">
        <v>2021</v>
      </c>
      <c r="K1756" t="s">
        <v>339</v>
      </c>
      <c r="L1756">
        <v>11816</v>
      </c>
      <c r="O1756">
        <v>11225.199999999999</v>
      </c>
      <c r="P1756">
        <v>1.1225199999999998E-2</v>
      </c>
      <c r="Q1756" t="s">
        <v>823</v>
      </c>
      <c r="R1756" s="141">
        <v>0.95</v>
      </c>
    </row>
    <row r="1757" spans="1:18" x14ac:dyDescent="0.3">
      <c r="A1757" t="s">
        <v>126</v>
      </c>
      <c r="B1757" t="s">
        <v>125</v>
      </c>
      <c r="C1757" t="s">
        <v>472</v>
      </c>
      <c r="D1757" t="s">
        <v>472</v>
      </c>
      <c r="E1757">
        <v>5610</v>
      </c>
      <c r="F1757" t="s">
        <v>127</v>
      </c>
      <c r="G1757">
        <v>1622</v>
      </c>
      <c r="H1757" t="s">
        <v>83</v>
      </c>
      <c r="I1757">
        <v>2021</v>
      </c>
      <c r="J1757">
        <v>2021</v>
      </c>
      <c r="K1757" t="s">
        <v>339</v>
      </c>
      <c r="L1757">
        <v>15507.16</v>
      </c>
      <c r="O1757">
        <v>12890.32675</v>
      </c>
      <c r="P1757">
        <v>1.289032675E-2</v>
      </c>
      <c r="Q1757" t="s">
        <v>824</v>
      </c>
      <c r="R1757" s="141">
        <v>0.95</v>
      </c>
    </row>
    <row r="1758" spans="1:18" x14ac:dyDescent="0.3">
      <c r="A1758" t="s">
        <v>126</v>
      </c>
      <c r="B1758" t="s">
        <v>125</v>
      </c>
      <c r="C1758" t="s">
        <v>472</v>
      </c>
      <c r="D1758" t="s">
        <v>472</v>
      </c>
      <c r="E1758">
        <v>5910</v>
      </c>
      <c r="F1758" t="s">
        <v>124</v>
      </c>
      <c r="G1758">
        <v>1622</v>
      </c>
      <c r="H1758" t="s">
        <v>83</v>
      </c>
      <c r="I1758">
        <v>2021</v>
      </c>
      <c r="J1758">
        <v>2021</v>
      </c>
      <c r="K1758" t="s">
        <v>339</v>
      </c>
      <c r="L1758">
        <v>649.29</v>
      </c>
      <c r="O1758">
        <v>539.72231249999993</v>
      </c>
      <c r="P1758">
        <v>5.3972231249999991E-4</v>
      </c>
      <c r="Q1758" t="s">
        <v>825</v>
      </c>
      <c r="R1758" s="141">
        <v>0.95</v>
      </c>
    </row>
    <row r="1759" spans="1:18" x14ac:dyDescent="0.3">
      <c r="A1759" t="s">
        <v>126</v>
      </c>
      <c r="B1759" t="s">
        <v>125</v>
      </c>
      <c r="C1759" t="s">
        <v>472</v>
      </c>
      <c r="D1759" t="s">
        <v>472</v>
      </c>
      <c r="E1759">
        <v>5510</v>
      </c>
      <c r="F1759" t="s">
        <v>128</v>
      </c>
      <c r="G1759">
        <v>1683</v>
      </c>
      <c r="H1759" t="s">
        <v>123</v>
      </c>
      <c r="I1759">
        <v>2021</v>
      </c>
      <c r="J1759">
        <v>2021</v>
      </c>
      <c r="K1759" t="s">
        <v>339</v>
      </c>
      <c r="L1759">
        <v>37159</v>
      </c>
      <c r="O1759">
        <v>35301.049999999996</v>
      </c>
      <c r="P1759">
        <v>3.5301049999999994E-2</v>
      </c>
      <c r="Q1759" t="s">
        <v>826</v>
      </c>
      <c r="R1759" s="141">
        <v>0.95</v>
      </c>
    </row>
    <row r="1760" spans="1:18" x14ac:dyDescent="0.3">
      <c r="A1760" t="s">
        <v>126</v>
      </c>
      <c r="B1760" t="s">
        <v>125</v>
      </c>
      <c r="C1760" t="s">
        <v>472</v>
      </c>
      <c r="D1760" t="s">
        <v>472</v>
      </c>
      <c r="E1760">
        <v>5610</v>
      </c>
      <c r="F1760" t="s">
        <v>127</v>
      </c>
      <c r="G1760">
        <v>1683</v>
      </c>
      <c r="H1760" t="s">
        <v>123</v>
      </c>
      <c r="I1760">
        <v>2021</v>
      </c>
      <c r="J1760">
        <v>2021</v>
      </c>
      <c r="K1760" t="s">
        <v>339</v>
      </c>
      <c r="L1760">
        <v>36839.15</v>
      </c>
      <c r="O1760">
        <v>30622.543437499997</v>
      </c>
      <c r="P1760">
        <v>3.0622543437499997E-2</v>
      </c>
      <c r="Q1760" t="s">
        <v>827</v>
      </c>
      <c r="R1760" s="141">
        <v>0.95</v>
      </c>
    </row>
    <row r="1761" spans="1:18" x14ac:dyDescent="0.3">
      <c r="A1761" t="s">
        <v>126</v>
      </c>
      <c r="B1761" t="s">
        <v>125</v>
      </c>
      <c r="C1761" t="s">
        <v>472</v>
      </c>
      <c r="D1761" t="s">
        <v>472</v>
      </c>
      <c r="E1761">
        <v>5910</v>
      </c>
      <c r="F1761" t="s">
        <v>124</v>
      </c>
      <c r="G1761">
        <v>1683</v>
      </c>
      <c r="H1761" t="s">
        <v>123</v>
      </c>
      <c r="I1761">
        <v>2021</v>
      </c>
      <c r="J1761">
        <v>2021</v>
      </c>
      <c r="K1761" t="s">
        <v>339</v>
      </c>
      <c r="L1761">
        <v>3963.92</v>
      </c>
      <c r="O1761">
        <v>3295.0084999999999</v>
      </c>
      <c r="P1761">
        <v>3.2950084999999996E-3</v>
      </c>
      <c r="Q1761" t="s">
        <v>828</v>
      </c>
      <c r="R1761" s="141">
        <v>0.95</v>
      </c>
    </row>
    <row r="1762" spans="1:18" x14ac:dyDescent="0.3">
      <c r="A1762" t="s">
        <v>126</v>
      </c>
      <c r="B1762" t="s">
        <v>125</v>
      </c>
      <c r="C1762" t="s">
        <v>473</v>
      </c>
      <c r="D1762" t="s">
        <v>837</v>
      </c>
      <c r="E1762">
        <v>5516</v>
      </c>
      <c r="F1762" t="s">
        <v>128</v>
      </c>
      <c r="G1762">
        <v>1627</v>
      </c>
      <c r="H1762" t="s">
        <v>121</v>
      </c>
      <c r="I1762">
        <v>2021</v>
      </c>
      <c r="J1762">
        <v>2021</v>
      </c>
      <c r="K1762" t="s">
        <v>143</v>
      </c>
      <c r="L1762">
        <v>33759552</v>
      </c>
      <c r="M1762" t="s">
        <v>399</v>
      </c>
      <c r="N1762" t="s">
        <v>400</v>
      </c>
      <c r="O1762">
        <v>14423768.592</v>
      </c>
      <c r="P1762">
        <v>14.423768592</v>
      </c>
      <c r="Q1762" t="s">
        <v>724</v>
      </c>
      <c r="R1762" s="141">
        <v>0.42725000000000002</v>
      </c>
    </row>
    <row r="1763" spans="1:18" x14ac:dyDescent="0.3">
      <c r="A1763" t="s">
        <v>126</v>
      </c>
      <c r="B1763" t="s">
        <v>125</v>
      </c>
      <c r="C1763" t="s">
        <v>473</v>
      </c>
      <c r="D1763" t="s">
        <v>837</v>
      </c>
      <c r="E1763">
        <v>5616</v>
      </c>
      <c r="F1763" t="s">
        <v>127</v>
      </c>
      <c r="G1763">
        <v>1627</v>
      </c>
      <c r="H1763" t="s">
        <v>121</v>
      </c>
      <c r="I1763">
        <v>2021</v>
      </c>
      <c r="J1763">
        <v>2021</v>
      </c>
      <c r="K1763" t="s">
        <v>143</v>
      </c>
      <c r="L1763">
        <v>34126</v>
      </c>
      <c r="M1763" t="s">
        <v>399</v>
      </c>
      <c r="N1763" t="s">
        <v>400</v>
      </c>
      <c r="O1763">
        <v>14580.333500000001</v>
      </c>
      <c r="P1763">
        <v>1.4580333500000001E-2</v>
      </c>
      <c r="Q1763" t="s">
        <v>725</v>
      </c>
      <c r="R1763" s="141">
        <v>0.42725000000000002</v>
      </c>
    </row>
    <row r="1764" spans="1:18" x14ac:dyDescent="0.3">
      <c r="A1764" t="s">
        <v>126</v>
      </c>
      <c r="B1764" t="s">
        <v>125</v>
      </c>
      <c r="C1764" t="s">
        <v>473</v>
      </c>
      <c r="D1764" t="s">
        <v>837</v>
      </c>
      <c r="E1764">
        <v>5916</v>
      </c>
      <c r="F1764" t="s">
        <v>124</v>
      </c>
      <c r="G1764">
        <v>1627</v>
      </c>
      <c r="H1764" t="s">
        <v>121</v>
      </c>
      <c r="I1764">
        <v>2021</v>
      </c>
      <c r="J1764">
        <v>2021</v>
      </c>
      <c r="K1764" t="s">
        <v>143</v>
      </c>
      <c r="L1764">
        <v>461</v>
      </c>
      <c r="M1764" t="s">
        <v>399</v>
      </c>
      <c r="N1764" t="s">
        <v>400</v>
      </c>
      <c r="O1764">
        <v>196.96225000000001</v>
      </c>
      <c r="P1764">
        <v>1.9696224999999999E-4</v>
      </c>
      <c r="Q1764" t="s">
        <v>726</v>
      </c>
      <c r="R1764" s="141">
        <v>0.42725000000000002</v>
      </c>
    </row>
    <row r="1765" spans="1:18" x14ac:dyDescent="0.3">
      <c r="A1765" t="s">
        <v>126</v>
      </c>
      <c r="B1765" t="s">
        <v>125</v>
      </c>
      <c r="C1765" t="s">
        <v>473</v>
      </c>
      <c r="D1765" t="s">
        <v>837</v>
      </c>
      <c r="E1765">
        <v>5516</v>
      </c>
      <c r="F1765" t="s">
        <v>128</v>
      </c>
      <c r="G1765">
        <v>1628</v>
      </c>
      <c r="H1765" t="s">
        <v>120</v>
      </c>
      <c r="I1765">
        <v>2021</v>
      </c>
      <c r="J1765">
        <v>2021</v>
      </c>
      <c r="K1765" t="s">
        <v>143</v>
      </c>
      <c r="L1765">
        <v>37350989</v>
      </c>
      <c r="M1765" t="s">
        <v>399</v>
      </c>
      <c r="N1765" t="s">
        <v>400</v>
      </c>
      <c r="O1765">
        <v>22040445.099010002</v>
      </c>
      <c r="P1765">
        <v>22.04044509901</v>
      </c>
      <c r="Q1765" t="s">
        <v>727</v>
      </c>
      <c r="R1765" s="141">
        <v>0.59009</v>
      </c>
    </row>
    <row r="1766" spans="1:18" x14ac:dyDescent="0.3">
      <c r="A1766" t="s">
        <v>126</v>
      </c>
      <c r="B1766" t="s">
        <v>125</v>
      </c>
      <c r="C1766" t="s">
        <v>473</v>
      </c>
      <c r="D1766" t="s">
        <v>837</v>
      </c>
      <c r="E1766">
        <v>5616</v>
      </c>
      <c r="F1766" t="s">
        <v>127</v>
      </c>
      <c r="G1766">
        <v>1628</v>
      </c>
      <c r="H1766" t="s">
        <v>120</v>
      </c>
      <c r="I1766">
        <v>2021</v>
      </c>
      <c r="J1766">
        <v>2021</v>
      </c>
      <c r="K1766" t="s">
        <v>143</v>
      </c>
      <c r="L1766">
        <v>91990</v>
      </c>
      <c r="M1766" t="s">
        <v>399</v>
      </c>
      <c r="N1766" t="s">
        <v>400</v>
      </c>
      <c r="O1766">
        <v>54282.379099999998</v>
      </c>
      <c r="P1766">
        <v>5.4282379099999993E-2</v>
      </c>
      <c r="Q1766" t="s">
        <v>728</v>
      </c>
      <c r="R1766" s="141">
        <v>0.59009</v>
      </c>
    </row>
    <row r="1767" spans="1:18" x14ac:dyDescent="0.3">
      <c r="A1767" t="s">
        <v>126</v>
      </c>
      <c r="B1767" t="s">
        <v>125</v>
      </c>
      <c r="C1767" t="s">
        <v>473</v>
      </c>
      <c r="D1767" t="s">
        <v>837</v>
      </c>
      <c r="E1767">
        <v>5916</v>
      </c>
      <c r="F1767" t="s">
        <v>124</v>
      </c>
      <c r="G1767">
        <v>1628</v>
      </c>
      <c r="H1767" t="s">
        <v>120</v>
      </c>
      <c r="I1767">
        <v>2021</v>
      </c>
      <c r="J1767">
        <v>2021</v>
      </c>
      <c r="K1767" t="s">
        <v>143</v>
      </c>
      <c r="L1767">
        <v>394</v>
      </c>
      <c r="M1767" t="s">
        <v>399</v>
      </c>
      <c r="N1767" t="s">
        <v>400</v>
      </c>
      <c r="O1767">
        <v>232.49546000000001</v>
      </c>
      <c r="P1767">
        <v>2.3249545999999999E-4</v>
      </c>
      <c r="Q1767" t="s">
        <v>729</v>
      </c>
      <c r="R1767" s="141">
        <v>0.59009</v>
      </c>
    </row>
    <row r="1768" spans="1:18" x14ac:dyDescent="0.3">
      <c r="A1768" t="s">
        <v>126</v>
      </c>
      <c r="B1768" t="s">
        <v>125</v>
      </c>
      <c r="C1768" t="s">
        <v>473</v>
      </c>
      <c r="D1768" t="s">
        <v>837</v>
      </c>
      <c r="E1768">
        <v>5616</v>
      </c>
      <c r="F1768" t="s">
        <v>127</v>
      </c>
      <c r="G1768">
        <v>1629</v>
      </c>
      <c r="H1768" t="s">
        <v>160</v>
      </c>
      <c r="I1768">
        <v>2021</v>
      </c>
      <c r="J1768">
        <v>2021</v>
      </c>
    </row>
    <row r="1769" spans="1:18" x14ac:dyDescent="0.3">
      <c r="A1769" t="s">
        <v>126</v>
      </c>
      <c r="B1769" t="s">
        <v>125</v>
      </c>
      <c r="C1769" t="s">
        <v>473</v>
      </c>
      <c r="D1769" t="s">
        <v>837</v>
      </c>
      <c r="E1769">
        <v>5916</v>
      </c>
      <c r="F1769" t="s">
        <v>124</v>
      </c>
      <c r="G1769">
        <v>1629</v>
      </c>
      <c r="H1769" t="s">
        <v>160</v>
      </c>
      <c r="I1769">
        <v>2021</v>
      </c>
      <c r="J1769">
        <v>2021</v>
      </c>
    </row>
    <row r="1770" spans="1:18" x14ac:dyDescent="0.3">
      <c r="A1770" t="s">
        <v>126</v>
      </c>
      <c r="B1770" t="s">
        <v>125</v>
      </c>
      <c r="C1770" t="s">
        <v>473</v>
      </c>
      <c r="D1770" t="s">
        <v>837</v>
      </c>
      <c r="E1770">
        <v>5616</v>
      </c>
      <c r="F1770" t="s">
        <v>127</v>
      </c>
      <c r="G1770">
        <v>1651</v>
      </c>
      <c r="H1770" t="s">
        <v>159</v>
      </c>
      <c r="I1770">
        <v>2021</v>
      </c>
      <c r="J1770">
        <v>2021</v>
      </c>
      <c r="K1770" t="s">
        <v>143</v>
      </c>
      <c r="L1770">
        <v>483810</v>
      </c>
      <c r="M1770" t="s">
        <v>399</v>
      </c>
      <c r="N1770" t="s">
        <v>400</v>
      </c>
      <c r="O1770">
        <v>214811.64</v>
      </c>
      <c r="P1770">
        <v>0.21481164</v>
      </c>
      <c r="Q1770" t="s">
        <v>730</v>
      </c>
      <c r="R1770" s="141">
        <v>0.44400000000000001</v>
      </c>
    </row>
    <row r="1771" spans="1:18" x14ac:dyDescent="0.3">
      <c r="A1771" t="s">
        <v>126</v>
      </c>
      <c r="B1771" t="s">
        <v>125</v>
      </c>
      <c r="C1771" t="s">
        <v>473</v>
      </c>
      <c r="D1771" t="s">
        <v>837</v>
      </c>
      <c r="E1771">
        <v>5916</v>
      </c>
      <c r="F1771" t="s">
        <v>124</v>
      </c>
      <c r="G1771">
        <v>1651</v>
      </c>
      <c r="H1771" t="s">
        <v>159</v>
      </c>
      <c r="I1771">
        <v>2021</v>
      </c>
      <c r="J1771">
        <v>2021</v>
      </c>
      <c r="K1771" t="s">
        <v>143</v>
      </c>
      <c r="L1771">
        <v>7279850</v>
      </c>
      <c r="M1771" t="s">
        <v>399</v>
      </c>
      <c r="N1771" t="s">
        <v>400</v>
      </c>
      <c r="O1771">
        <v>3232253.4</v>
      </c>
      <c r="P1771">
        <v>3.2322533999999998</v>
      </c>
      <c r="Q1771" t="s">
        <v>731</v>
      </c>
      <c r="R1771" s="141">
        <v>0.44400000000000001</v>
      </c>
    </row>
    <row r="1772" spans="1:18" x14ac:dyDescent="0.3">
      <c r="A1772" t="s">
        <v>126</v>
      </c>
      <c r="B1772" t="s">
        <v>125</v>
      </c>
      <c r="C1772" t="s">
        <v>473</v>
      </c>
      <c r="D1772" t="s">
        <v>837</v>
      </c>
      <c r="E1772">
        <v>5616</v>
      </c>
      <c r="F1772" t="s">
        <v>127</v>
      </c>
      <c r="G1772">
        <v>1657</v>
      </c>
      <c r="H1772" t="s">
        <v>158</v>
      </c>
      <c r="I1772">
        <v>2021</v>
      </c>
      <c r="J1772">
        <v>2021</v>
      </c>
      <c r="K1772" t="s">
        <v>143</v>
      </c>
      <c r="L1772">
        <v>3387</v>
      </c>
      <c r="M1772" t="s">
        <v>832</v>
      </c>
      <c r="N1772" t="s">
        <v>833</v>
      </c>
      <c r="O1772">
        <v>1806.6822500000003</v>
      </c>
      <c r="P1772">
        <v>1.8066822500000003E-3</v>
      </c>
      <c r="Q1772" t="s">
        <v>732</v>
      </c>
      <c r="R1772" s="141">
        <v>0.53341666666666676</v>
      </c>
    </row>
    <row r="1773" spans="1:18" x14ac:dyDescent="0.3">
      <c r="A1773" t="s">
        <v>126</v>
      </c>
      <c r="B1773" t="s">
        <v>125</v>
      </c>
      <c r="C1773" t="s">
        <v>473</v>
      </c>
      <c r="D1773" t="s">
        <v>837</v>
      </c>
      <c r="E1773">
        <v>5916</v>
      </c>
      <c r="F1773" t="s">
        <v>124</v>
      </c>
      <c r="G1773">
        <v>1657</v>
      </c>
      <c r="H1773" t="s">
        <v>158</v>
      </c>
      <c r="I1773">
        <v>2021</v>
      </c>
      <c r="J1773">
        <v>2021</v>
      </c>
      <c r="K1773" t="s">
        <v>143</v>
      </c>
      <c r="L1773">
        <v>3379</v>
      </c>
      <c r="M1773" t="s">
        <v>832</v>
      </c>
      <c r="N1773" t="s">
        <v>833</v>
      </c>
      <c r="O1773">
        <v>1802.4149166666671</v>
      </c>
      <c r="P1773">
        <v>1.8024149166666671E-3</v>
      </c>
      <c r="Q1773" t="s">
        <v>733</v>
      </c>
      <c r="R1773" s="141">
        <v>0.53341666666666676</v>
      </c>
    </row>
    <row r="1774" spans="1:18" x14ac:dyDescent="0.3">
      <c r="A1774" t="s">
        <v>126</v>
      </c>
      <c r="B1774" t="s">
        <v>125</v>
      </c>
      <c r="C1774" t="s">
        <v>473</v>
      </c>
      <c r="D1774" t="s">
        <v>837</v>
      </c>
      <c r="E1774">
        <v>5616</v>
      </c>
      <c r="F1774" t="s">
        <v>127</v>
      </c>
      <c r="G1774">
        <v>1670</v>
      </c>
      <c r="H1774" t="s">
        <v>157</v>
      </c>
      <c r="I1774">
        <v>2021</v>
      </c>
      <c r="J1774">
        <v>2021</v>
      </c>
      <c r="K1774" t="s">
        <v>143</v>
      </c>
      <c r="L1774">
        <v>284713</v>
      </c>
      <c r="M1774" t="s">
        <v>829</v>
      </c>
      <c r="N1774" t="s">
        <v>830</v>
      </c>
      <c r="O1774">
        <v>151870.65941666669</v>
      </c>
      <c r="P1774">
        <v>0.15187065941666669</v>
      </c>
      <c r="Q1774" t="s">
        <v>734</v>
      </c>
      <c r="R1774" s="141">
        <v>0.53341666666666676</v>
      </c>
    </row>
    <row r="1775" spans="1:18" x14ac:dyDescent="0.3">
      <c r="A1775" t="s">
        <v>126</v>
      </c>
      <c r="B1775" t="s">
        <v>125</v>
      </c>
      <c r="C1775" t="s">
        <v>473</v>
      </c>
      <c r="D1775" t="s">
        <v>837</v>
      </c>
      <c r="E1775">
        <v>5916</v>
      </c>
      <c r="F1775" t="s">
        <v>124</v>
      </c>
      <c r="G1775">
        <v>1670</v>
      </c>
      <c r="H1775" t="s">
        <v>157</v>
      </c>
      <c r="I1775">
        <v>2021</v>
      </c>
      <c r="J1775">
        <v>2021</v>
      </c>
      <c r="K1775" t="s">
        <v>143</v>
      </c>
      <c r="L1775">
        <v>2131381</v>
      </c>
      <c r="M1775" t="s">
        <v>829</v>
      </c>
      <c r="N1775" t="s">
        <v>830</v>
      </c>
      <c r="O1775">
        <v>1136914.1484166668</v>
      </c>
      <c r="P1775">
        <v>1.1369141484166667</v>
      </c>
      <c r="Q1775" t="s">
        <v>735</v>
      </c>
      <c r="R1775" s="141">
        <v>0.53341666666666676</v>
      </c>
    </row>
    <row r="1776" spans="1:18" x14ac:dyDescent="0.3">
      <c r="A1776" t="s">
        <v>126</v>
      </c>
      <c r="B1776" t="s">
        <v>125</v>
      </c>
      <c r="C1776" t="s">
        <v>473</v>
      </c>
      <c r="D1776" t="s">
        <v>837</v>
      </c>
      <c r="E1776">
        <v>5516</v>
      </c>
      <c r="F1776" t="s">
        <v>128</v>
      </c>
      <c r="G1776">
        <v>1601</v>
      </c>
      <c r="H1776" t="s">
        <v>119</v>
      </c>
      <c r="I1776">
        <v>2021</v>
      </c>
      <c r="J1776">
        <v>2021</v>
      </c>
      <c r="K1776" t="s">
        <v>143</v>
      </c>
      <c r="L1776">
        <v>150701600</v>
      </c>
      <c r="M1776" t="s">
        <v>399</v>
      </c>
      <c r="N1776" t="s">
        <v>400</v>
      </c>
      <c r="O1776">
        <v>68569228</v>
      </c>
      <c r="P1776">
        <v>68.569227999999995</v>
      </c>
      <c r="Q1776" t="s">
        <v>736</v>
      </c>
      <c r="R1776" s="141">
        <v>0.45500000000000002</v>
      </c>
    </row>
    <row r="1777" spans="1:18" x14ac:dyDescent="0.3">
      <c r="A1777" t="s">
        <v>126</v>
      </c>
      <c r="B1777" t="s">
        <v>125</v>
      </c>
      <c r="C1777" t="s">
        <v>473</v>
      </c>
      <c r="D1777" t="s">
        <v>837</v>
      </c>
      <c r="E1777">
        <v>5616</v>
      </c>
      <c r="F1777" t="s">
        <v>127</v>
      </c>
      <c r="G1777">
        <v>1601</v>
      </c>
      <c r="H1777" t="s">
        <v>119</v>
      </c>
      <c r="I1777">
        <v>2021</v>
      </c>
      <c r="J1777">
        <v>2021</v>
      </c>
    </row>
    <row r="1778" spans="1:18" x14ac:dyDescent="0.3">
      <c r="A1778" t="s">
        <v>126</v>
      </c>
      <c r="B1778" t="s">
        <v>125</v>
      </c>
      <c r="C1778" t="s">
        <v>473</v>
      </c>
      <c r="D1778" t="s">
        <v>837</v>
      </c>
      <c r="E1778">
        <v>5916</v>
      </c>
      <c r="F1778" t="s">
        <v>124</v>
      </c>
      <c r="G1778">
        <v>1601</v>
      </c>
      <c r="H1778" t="s">
        <v>119</v>
      </c>
      <c r="I1778">
        <v>2021</v>
      </c>
      <c r="J1778">
        <v>2021</v>
      </c>
    </row>
    <row r="1779" spans="1:18" x14ac:dyDescent="0.3">
      <c r="A1779" t="s">
        <v>126</v>
      </c>
      <c r="B1779" t="s">
        <v>125</v>
      </c>
      <c r="C1779" t="s">
        <v>473</v>
      </c>
      <c r="D1779" t="s">
        <v>837</v>
      </c>
      <c r="E1779">
        <v>5516</v>
      </c>
      <c r="F1779" t="s">
        <v>128</v>
      </c>
      <c r="G1779">
        <v>1604</v>
      </c>
      <c r="H1779" t="s">
        <v>118</v>
      </c>
      <c r="I1779">
        <v>2021</v>
      </c>
      <c r="J1779">
        <v>2021</v>
      </c>
      <c r="K1779" t="s">
        <v>143</v>
      </c>
      <c r="L1779">
        <v>32770900</v>
      </c>
      <c r="M1779" t="s">
        <v>399</v>
      </c>
      <c r="N1779" t="s">
        <v>400</v>
      </c>
      <c r="O1779">
        <v>17270264.300000001</v>
      </c>
      <c r="P1779">
        <v>17.270264300000001</v>
      </c>
      <c r="Q1779" t="s">
        <v>737</v>
      </c>
      <c r="R1779" s="141">
        <v>0.52700000000000002</v>
      </c>
    </row>
    <row r="1780" spans="1:18" x14ac:dyDescent="0.3">
      <c r="A1780" t="s">
        <v>126</v>
      </c>
      <c r="B1780" t="s">
        <v>125</v>
      </c>
      <c r="C1780" t="s">
        <v>473</v>
      </c>
      <c r="D1780" t="s">
        <v>837</v>
      </c>
      <c r="E1780">
        <v>5616</v>
      </c>
      <c r="F1780" t="s">
        <v>127</v>
      </c>
      <c r="G1780">
        <v>1604</v>
      </c>
      <c r="H1780" t="s">
        <v>118</v>
      </c>
      <c r="I1780">
        <v>2021</v>
      </c>
      <c r="J1780">
        <v>2021</v>
      </c>
    </row>
    <row r="1781" spans="1:18" x14ac:dyDescent="0.3">
      <c r="A1781" t="s">
        <v>126</v>
      </c>
      <c r="B1781" t="s">
        <v>125</v>
      </c>
      <c r="C1781" t="s">
        <v>473</v>
      </c>
      <c r="D1781" t="s">
        <v>837</v>
      </c>
      <c r="E1781">
        <v>5916</v>
      </c>
      <c r="F1781" t="s">
        <v>124</v>
      </c>
      <c r="G1781">
        <v>1604</v>
      </c>
      <c r="H1781" t="s">
        <v>118</v>
      </c>
      <c r="I1781">
        <v>2021</v>
      </c>
      <c r="J1781">
        <v>2021</v>
      </c>
    </row>
    <row r="1782" spans="1:18" x14ac:dyDescent="0.3">
      <c r="A1782" t="s">
        <v>126</v>
      </c>
      <c r="B1782" t="s">
        <v>125</v>
      </c>
      <c r="C1782" t="s">
        <v>473</v>
      </c>
      <c r="D1782" t="s">
        <v>837</v>
      </c>
      <c r="E1782">
        <v>5516</v>
      </c>
      <c r="F1782" t="s">
        <v>128</v>
      </c>
      <c r="G1782">
        <v>1602</v>
      </c>
      <c r="H1782" t="s">
        <v>156</v>
      </c>
      <c r="I1782">
        <v>2021</v>
      </c>
      <c r="J1782">
        <v>2021</v>
      </c>
      <c r="K1782" t="s">
        <v>143</v>
      </c>
      <c r="L1782">
        <v>143462000</v>
      </c>
      <c r="M1782" t="s">
        <v>399</v>
      </c>
      <c r="N1782" t="s">
        <v>400</v>
      </c>
      <c r="O1782">
        <v>62119046</v>
      </c>
      <c r="P1782">
        <v>62.119045999999997</v>
      </c>
      <c r="Q1782" t="s">
        <v>738</v>
      </c>
      <c r="R1782" s="141">
        <v>0.433</v>
      </c>
    </row>
    <row r="1783" spans="1:18" x14ac:dyDescent="0.3">
      <c r="A1783" t="s">
        <v>126</v>
      </c>
      <c r="B1783" t="s">
        <v>125</v>
      </c>
      <c r="C1783" t="s">
        <v>473</v>
      </c>
      <c r="D1783" t="s">
        <v>837</v>
      </c>
      <c r="E1783">
        <v>5516</v>
      </c>
      <c r="F1783" t="s">
        <v>128</v>
      </c>
      <c r="G1783">
        <v>1603</v>
      </c>
      <c r="H1783" t="s">
        <v>155</v>
      </c>
      <c r="I1783">
        <v>2021</v>
      </c>
      <c r="J1783">
        <v>2021</v>
      </c>
      <c r="K1783" t="s">
        <v>143</v>
      </c>
      <c r="L1783">
        <v>42272000</v>
      </c>
      <c r="M1783" t="s">
        <v>399</v>
      </c>
      <c r="N1783" t="s">
        <v>400</v>
      </c>
      <c r="O1783">
        <v>22819834.666666668</v>
      </c>
      <c r="P1783">
        <v>22.819834666666665</v>
      </c>
      <c r="Q1783" t="s">
        <v>739</v>
      </c>
      <c r="R1783" s="141">
        <v>0.53983333333333339</v>
      </c>
    </row>
    <row r="1784" spans="1:18" x14ac:dyDescent="0.3">
      <c r="A1784" t="s">
        <v>126</v>
      </c>
      <c r="B1784" t="s">
        <v>125</v>
      </c>
      <c r="C1784" t="s">
        <v>473</v>
      </c>
      <c r="D1784" t="s">
        <v>837</v>
      </c>
      <c r="E1784">
        <v>5516</v>
      </c>
      <c r="F1784" t="s">
        <v>128</v>
      </c>
      <c r="G1784">
        <v>1614</v>
      </c>
      <c r="H1784" t="s">
        <v>154</v>
      </c>
      <c r="I1784">
        <v>2021</v>
      </c>
      <c r="J1784">
        <v>2021</v>
      </c>
    </row>
    <row r="1785" spans="1:18" x14ac:dyDescent="0.3">
      <c r="A1785" t="s">
        <v>126</v>
      </c>
      <c r="B1785" t="s">
        <v>125</v>
      </c>
      <c r="C1785" t="s">
        <v>473</v>
      </c>
      <c r="D1785" t="s">
        <v>837</v>
      </c>
      <c r="E1785">
        <v>5616</v>
      </c>
      <c r="F1785" t="s">
        <v>127</v>
      </c>
      <c r="G1785">
        <v>1614</v>
      </c>
      <c r="H1785" t="s">
        <v>154</v>
      </c>
      <c r="I1785">
        <v>2021</v>
      </c>
      <c r="J1785">
        <v>2021</v>
      </c>
    </row>
    <row r="1786" spans="1:18" x14ac:dyDescent="0.3">
      <c r="A1786" t="s">
        <v>126</v>
      </c>
      <c r="B1786" t="s">
        <v>125</v>
      </c>
      <c r="C1786" t="s">
        <v>473</v>
      </c>
      <c r="D1786" t="s">
        <v>837</v>
      </c>
      <c r="E1786">
        <v>5916</v>
      </c>
      <c r="F1786" t="s">
        <v>124</v>
      </c>
      <c r="G1786">
        <v>1614</v>
      </c>
      <c r="H1786" t="s">
        <v>154</v>
      </c>
      <c r="I1786">
        <v>2021</v>
      </c>
      <c r="J1786">
        <v>2021</v>
      </c>
    </row>
    <row r="1787" spans="1:18" x14ac:dyDescent="0.3">
      <c r="A1787" t="s">
        <v>126</v>
      </c>
      <c r="B1787" t="s">
        <v>125</v>
      </c>
      <c r="C1787" t="s">
        <v>473</v>
      </c>
      <c r="D1787" t="s">
        <v>837</v>
      </c>
      <c r="E1787">
        <v>5516</v>
      </c>
      <c r="F1787" t="s">
        <v>128</v>
      </c>
      <c r="G1787">
        <v>1608</v>
      </c>
      <c r="H1787" t="s">
        <v>153</v>
      </c>
      <c r="I1787">
        <v>2021</v>
      </c>
      <c r="J1787">
        <v>2021</v>
      </c>
    </row>
    <row r="1788" spans="1:18" x14ac:dyDescent="0.3">
      <c r="A1788" t="s">
        <v>126</v>
      </c>
      <c r="B1788" t="s">
        <v>125</v>
      </c>
      <c r="C1788" t="s">
        <v>473</v>
      </c>
      <c r="D1788" t="s">
        <v>837</v>
      </c>
      <c r="E1788">
        <v>5516</v>
      </c>
      <c r="F1788" t="s">
        <v>128</v>
      </c>
      <c r="G1788">
        <v>1611</v>
      </c>
      <c r="H1788" t="s">
        <v>152</v>
      </c>
      <c r="I1788">
        <v>2021</v>
      </c>
      <c r="J1788">
        <v>2021</v>
      </c>
    </row>
    <row r="1789" spans="1:18" x14ac:dyDescent="0.3">
      <c r="A1789" t="s">
        <v>126</v>
      </c>
      <c r="B1789" t="s">
        <v>125</v>
      </c>
      <c r="C1789" t="s">
        <v>473</v>
      </c>
      <c r="D1789" t="s">
        <v>837</v>
      </c>
      <c r="E1789">
        <v>5516</v>
      </c>
      <c r="F1789" t="s">
        <v>128</v>
      </c>
      <c r="G1789">
        <v>1623</v>
      </c>
      <c r="H1789" t="s">
        <v>151</v>
      </c>
      <c r="I1789">
        <v>2021</v>
      </c>
      <c r="J1789">
        <v>2021</v>
      </c>
      <c r="K1789" t="s">
        <v>143</v>
      </c>
      <c r="L1789">
        <v>12100096</v>
      </c>
      <c r="M1789" t="s">
        <v>399</v>
      </c>
      <c r="N1789" t="s">
        <v>400</v>
      </c>
      <c r="O1789">
        <v>5372442.6239999998</v>
      </c>
      <c r="P1789">
        <v>5.3724426239999996</v>
      </c>
      <c r="Q1789" t="s">
        <v>740</v>
      </c>
      <c r="R1789" s="141">
        <v>0.44400000000000001</v>
      </c>
    </row>
    <row r="1790" spans="1:18" x14ac:dyDescent="0.3">
      <c r="A1790" t="s">
        <v>126</v>
      </c>
      <c r="B1790" t="s">
        <v>125</v>
      </c>
      <c r="C1790" t="s">
        <v>473</v>
      </c>
      <c r="D1790" t="s">
        <v>837</v>
      </c>
      <c r="E1790">
        <v>5516</v>
      </c>
      <c r="F1790" t="s">
        <v>128</v>
      </c>
      <c r="G1790">
        <v>1626</v>
      </c>
      <c r="H1790" t="s">
        <v>150</v>
      </c>
      <c r="I1790">
        <v>2021</v>
      </c>
      <c r="J1790">
        <v>2021</v>
      </c>
      <c r="K1790" t="s">
        <v>143</v>
      </c>
      <c r="L1790">
        <v>1649131</v>
      </c>
      <c r="M1790" t="s">
        <v>399</v>
      </c>
      <c r="N1790" t="s">
        <v>400</v>
      </c>
      <c r="O1790">
        <v>879673.96091666678</v>
      </c>
      <c r="P1790">
        <v>0.87967396091666672</v>
      </c>
      <c r="Q1790" t="s">
        <v>741</v>
      </c>
      <c r="R1790" s="141">
        <v>0.53341666666666676</v>
      </c>
    </row>
    <row r="1791" spans="1:18" x14ac:dyDescent="0.3">
      <c r="A1791" t="s">
        <v>126</v>
      </c>
      <c r="B1791" t="s">
        <v>125</v>
      </c>
      <c r="C1791" t="s">
        <v>473</v>
      </c>
      <c r="D1791" t="s">
        <v>837</v>
      </c>
      <c r="E1791">
        <v>5616</v>
      </c>
      <c r="F1791" t="s">
        <v>127</v>
      </c>
      <c r="G1791">
        <v>1625</v>
      </c>
      <c r="H1791" t="s">
        <v>149</v>
      </c>
      <c r="I1791">
        <v>2021</v>
      </c>
      <c r="J1791">
        <v>2021</v>
      </c>
    </row>
    <row r="1792" spans="1:18" x14ac:dyDescent="0.3">
      <c r="A1792" t="s">
        <v>126</v>
      </c>
      <c r="B1792" t="s">
        <v>125</v>
      </c>
      <c r="C1792" t="s">
        <v>473</v>
      </c>
      <c r="D1792" t="s">
        <v>837</v>
      </c>
      <c r="E1792">
        <v>5916</v>
      </c>
      <c r="F1792" t="s">
        <v>124</v>
      </c>
      <c r="G1792">
        <v>1625</v>
      </c>
      <c r="H1792" t="s">
        <v>149</v>
      </c>
      <c r="I1792">
        <v>2021</v>
      </c>
      <c r="J1792">
        <v>2021</v>
      </c>
    </row>
    <row r="1793" spans="1:18" x14ac:dyDescent="0.3">
      <c r="A1793" t="s">
        <v>126</v>
      </c>
      <c r="B1793" t="s">
        <v>125</v>
      </c>
      <c r="C1793" t="s">
        <v>473</v>
      </c>
      <c r="D1793" t="s">
        <v>837</v>
      </c>
      <c r="E1793">
        <v>5510</v>
      </c>
      <c r="F1793" t="s">
        <v>128</v>
      </c>
      <c r="G1793">
        <v>1630</v>
      </c>
      <c r="H1793" t="s">
        <v>117</v>
      </c>
      <c r="I1793">
        <v>2021</v>
      </c>
      <c r="J1793">
        <v>2021</v>
      </c>
      <c r="K1793" t="s">
        <v>339</v>
      </c>
      <c r="L1793">
        <v>852000</v>
      </c>
      <c r="M1793" t="s">
        <v>397</v>
      </c>
      <c r="N1793" t="s">
        <v>398</v>
      </c>
      <c r="O1793">
        <v>822180</v>
      </c>
      <c r="P1793">
        <v>0.82217999999999991</v>
      </c>
      <c r="Q1793" t="s">
        <v>742</v>
      </c>
      <c r="R1793" s="141">
        <v>0.96499999999999997</v>
      </c>
    </row>
    <row r="1794" spans="1:18" x14ac:dyDescent="0.3">
      <c r="A1794" t="s">
        <v>126</v>
      </c>
      <c r="B1794" t="s">
        <v>125</v>
      </c>
      <c r="C1794" t="s">
        <v>473</v>
      </c>
      <c r="D1794" t="s">
        <v>837</v>
      </c>
      <c r="E1794">
        <v>5510</v>
      </c>
      <c r="F1794" t="s">
        <v>128</v>
      </c>
      <c r="G1794">
        <v>1694</v>
      </c>
      <c r="H1794" t="s">
        <v>348</v>
      </c>
      <c r="I1794">
        <v>2021</v>
      </c>
      <c r="J1794">
        <v>2021</v>
      </c>
      <c r="K1794" t="s">
        <v>339</v>
      </c>
      <c r="L1794">
        <v>111584</v>
      </c>
      <c r="M1794" t="s">
        <v>397</v>
      </c>
      <c r="N1794" t="s">
        <v>398</v>
      </c>
      <c r="O1794">
        <v>103215.20000000001</v>
      </c>
      <c r="P1794">
        <v>0.10321520000000001</v>
      </c>
      <c r="Q1794" t="s">
        <v>743</v>
      </c>
      <c r="R1794" s="141">
        <v>0.92500000000000004</v>
      </c>
    </row>
    <row r="1795" spans="1:18" x14ac:dyDescent="0.3">
      <c r="A1795" t="s">
        <v>126</v>
      </c>
      <c r="B1795" t="s">
        <v>125</v>
      </c>
      <c r="C1795" t="s">
        <v>473</v>
      </c>
      <c r="D1795" t="s">
        <v>837</v>
      </c>
      <c r="E1795">
        <v>5610</v>
      </c>
      <c r="F1795" t="s">
        <v>127</v>
      </c>
      <c r="G1795">
        <v>1630</v>
      </c>
      <c r="H1795" t="s">
        <v>117</v>
      </c>
      <c r="I1795">
        <v>2021</v>
      </c>
      <c r="J1795">
        <v>2021</v>
      </c>
      <c r="K1795" t="s">
        <v>339</v>
      </c>
      <c r="L1795">
        <v>183010</v>
      </c>
      <c r="M1795" t="s">
        <v>399</v>
      </c>
      <c r="N1795" t="s">
        <v>400</v>
      </c>
      <c r="O1795">
        <v>176604.65</v>
      </c>
      <c r="P1795">
        <v>0.17660464999999997</v>
      </c>
      <c r="Q1795" t="s">
        <v>744</v>
      </c>
      <c r="R1795" s="141">
        <v>0.96499999999999997</v>
      </c>
    </row>
    <row r="1796" spans="1:18" x14ac:dyDescent="0.3">
      <c r="A1796" t="s">
        <v>126</v>
      </c>
      <c r="B1796" t="s">
        <v>125</v>
      </c>
      <c r="C1796" t="s">
        <v>473</v>
      </c>
      <c r="D1796" t="s">
        <v>837</v>
      </c>
      <c r="E1796">
        <v>5610</v>
      </c>
      <c r="F1796" t="s">
        <v>127</v>
      </c>
      <c r="G1796">
        <v>1694</v>
      </c>
      <c r="H1796" t="s">
        <v>348</v>
      </c>
      <c r="I1796">
        <v>2021</v>
      </c>
      <c r="J1796">
        <v>2021</v>
      </c>
      <c r="K1796" t="s">
        <v>339</v>
      </c>
      <c r="L1796">
        <v>166887</v>
      </c>
      <c r="M1796" t="s">
        <v>399</v>
      </c>
      <c r="N1796" t="s">
        <v>400</v>
      </c>
      <c r="O1796">
        <v>154370.47500000001</v>
      </c>
      <c r="P1796">
        <v>0.15437047500000001</v>
      </c>
      <c r="Q1796" t="s">
        <v>745</v>
      </c>
      <c r="R1796" s="141">
        <v>0.92500000000000004</v>
      </c>
    </row>
    <row r="1797" spans="1:18" x14ac:dyDescent="0.3">
      <c r="A1797" t="s">
        <v>126</v>
      </c>
      <c r="B1797" t="s">
        <v>125</v>
      </c>
      <c r="C1797" t="s">
        <v>473</v>
      </c>
      <c r="D1797" t="s">
        <v>837</v>
      </c>
      <c r="E1797">
        <v>5910</v>
      </c>
      <c r="F1797" t="s">
        <v>124</v>
      </c>
      <c r="G1797">
        <v>1630</v>
      </c>
      <c r="H1797" t="s">
        <v>117</v>
      </c>
      <c r="I1797">
        <v>2021</v>
      </c>
      <c r="J1797">
        <v>2021</v>
      </c>
      <c r="K1797" t="s">
        <v>339</v>
      </c>
      <c r="L1797">
        <v>27690</v>
      </c>
      <c r="M1797" t="s">
        <v>399</v>
      </c>
      <c r="N1797" t="s">
        <v>400</v>
      </c>
      <c r="O1797">
        <v>26720.85</v>
      </c>
      <c r="P1797">
        <v>2.6720849999999997E-2</v>
      </c>
      <c r="Q1797" t="s">
        <v>746</v>
      </c>
      <c r="R1797" s="141">
        <v>0.96499999999999997</v>
      </c>
    </row>
    <row r="1798" spans="1:18" x14ac:dyDescent="0.3">
      <c r="A1798" t="s">
        <v>126</v>
      </c>
      <c r="B1798" t="s">
        <v>125</v>
      </c>
      <c r="C1798" t="s">
        <v>473</v>
      </c>
      <c r="D1798" t="s">
        <v>837</v>
      </c>
      <c r="E1798">
        <v>5910</v>
      </c>
      <c r="F1798" t="s">
        <v>124</v>
      </c>
      <c r="G1798">
        <v>1694</v>
      </c>
      <c r="H1798" t="s">
        <v>348</v>
      </c>
      <c r="I1798">
        <v>2021</v>
      </c>
      <c r="J1798">
        <v>2021</v>
      </c>
      <c r="K1798" t="s">
        <v>339</v>
      </c>
      <c r="L1798">
        <v>12736</v>
      </c>
      <c r="M1798" t="s">
        <v>399</v>
      </c>
      <c r="N1798" t="s">
        <v>400</v>
      </c>
      <c r="O1798">
        <v>11780.800000000001</v>
      </c>
      <c r="P1798">
        <v>1.1780800000000001E-2</v>
      </c>
      <c r="Q1798" t="s">
        <v>747</v>
      </c>
      <c r="R1798" s="141">
        <v>0.92500000000000004</v>
      </c>
    </row>
    <row r="1799" spans="1:18" x14ac:dyDescent="0.3">
      <c r="A1799" t="s">
        <v>126</v>
      </c>
      <c r="B1799" t="s">
        <v>125</v>
      </c>
      <c r="C1799" t="s">
        <v>473</v>
      </c>
      <c r="D1799" t="s">
        <v>837</v>
      </c>
      <c r="E1799">
        <v>5516</v>
      </c>
      <c r="F1799" t="s">
        <v>128</v>
      </c>
      <c r="G1799">
        <v>1619</v>
      </c>
      <c r="H1799" t="s">
        <v>92</v>
      </c>
      <c r="I1799">
        <v>2021</v>
      </c>
      <c r="J1799">
        <v>2021</v>
      </c>
      <c r="K1799" t="s">
        <v>143</v>
      </c>
      <c r="L1799">
        <v>44209209</v>
      </c>
      <c r="M1799" t="s">
        <v>399</v>
      </c>
      <c r="N1799" t="s">
        <v>400</v>
      </c>
      <c r="O1799">
        <v>19138185.714285713</v>
      </c>
      <c r="P1799">
        <v>19.138185714285711</v>
      </c>
      <c r="Q1799" t="s">
        <v>748</v>
      </c>
      <c r="R1799" s="141">
        <v>0.4329004329004329</v>
      </c>
    </row>
    <row r="1800" spans="1:18" x14ac:dyDescent="0.3">
      <c r="A1800" t="s">
        <v>126</v>
      </c>
      <c r="B1800" t="s">
        <v>125</v>
      </c>
      <c r="C1800" t="s">
        <v>473</v>
      </c>
      <c r="D1800" t="s">
        <v>837</v>
      </c>
      <c r="E1800">
        <v>5616</v>
      </c>
      <c r="F1800" t="s">
        <v>127</v>
      </c>
      <c r="G1800">
        <v>1619</v>
      </c>
      <c r="H1800" t="s">
        <v>92</v>
      </c>
      <c r="I1800">
        <v>2021</v>
      </c>
      <c r="J1800">
        <v>2021</v>
      </c>
      <c r="K1800" t="s">
        <v>143</v>
      </c>
      <c r="L1800">
        <v>79920</v>
      </c>
      <c r="M1800" t="s">
        <v>399</v>
      </c>
      <c r="N1800" t="s">
        <v>400</v>
      </c>
      <c r="O1800">
        <v>34597.402597402594</v>
      </c>
      <c r="P1800">
        <v>3.4597402597402592E-2</v>
      </c>
      <c r="Q1800" t="s">
        <v>749</v>
      </c>
      <c r="R1800" s="141">
        <v>0.4329004329004329</v>
      </c>
    </row>
    <row r="1801" spans="1:18" x14ac:dyDescent="0.3">
      <c r="A1801" t="s">
        <v>126</v>
      </c>
      <c r="B1801" t="s">
        <v>125</v>
      </c>
      <c r="C1801" t="s">
        <v>473</v>
      </c>
      <c r="D1801" t="s">
        <v>837</v>
      </c>
      <c r="E1801">
        <v>5916</v>
      </c>
      <c r="F1801" t="s">
        <v>124</v>
      </c>
      <c r="G1801">
        <v>1619</v>
      </c>
      <c r="H1801" t="s">
        <v>92</v>
      </c>
      <c r="I1801">
        <v>2021</v>
      </c>
      <c r="J1801">
        <v>2021</v>
      </c>
      <c r="K1801" t="s">
        <v>143</v>
      </c>
      <c r="L1801">
        <v>5772528</v>
      </c>
      <c r="M1801" t="s">
        <v>399</v>
      </c>
      <c r="N1801" t="s">
        <v>400</v>
      </c>
      <c r="O1801">
        <v>2498929.8701298703</v>
      </c>
      <c r="P1801">
        <v>2.4989298701298703</v>
      </c>
      <c r="Q1801" t="s">
        <v>750</v>
      </c>
      <c r="R1801" s="141">
        <v>0.4329004329004329</v>
      </c>
    </row>
    <row r="1802" spans="1:18" x14ac:dyDescent="0.3">
      <c r="A1802" t="s">
        <v>126</v>
      </c>
      <c r="B1802" t="s">
        <v>125</v>
      </c>
      <c r="C1802" t="s">
        <v>473</v>
      </c>
      <c r="D1802" t="s">
        <v>837</v>
      </c>
      <c r="E1802">
        <v>5516</v>
      </c>
      <c r="F1802" t="s">
        <v>128</v>
      </c>
      <c r="G1802">
        <v>1620</v>
      </c>
      <c r="H1802" t="s">
        <v>115</v>
      </c>
      <c r="I1802">
        <v>2021</v>
      </c>
      <c r="J1802">
        <v>2021</v>
      </c>
      <c r="K1802" t="s">
        <v>143</v>
      </c>
      <c r="L1802">
        <v>16276062</v>
      </c>
      <c r="M1802" t="s">
        <v>399</v>
      </c>
      <c r="N1802" t="s">
        <v>400</v>
      </c>
      <c r="O1802">
        <v>7045914.2857142854</v>
      </c>
      <c r="P1802">
        <v>7.0459142857142849</v>
      </c>
      <c r="Q1802" t="s">
        <v>751</v>
      </c>
      <c r="R1802" s="141">
        <v>0.4329004329004329</v>
      </c>
    </row>
    <row r="1803" spans="1:18" x14ac:dyDescent="0.3">
      <c r="A1803" t="s">
        <v>126</v>
      </c>
      <c r="B1803" t="s">
        <v>125</v>
      </c>
      <c r="C1803" t="s">
        <v>473</v>
      </c>
      <c r="D1803" t="s">
        <v>837</v>
      </c>
      <c r="E1803">
        <v>5616</v>
      </c>
      <c r="F1803" t="s">
        <v>127</v>
      </c>
      <c r="G1803">
        <v>1620</v>
      </c>
      <c r="H1803" t="s">
        <v>115</v>
      </c>
      <c r="I1803">
        <v>2021</v>
      </c>
      <c r="J1803">
        <v>2021</v>
      </c>
      <c r="K1803" t="s">
        <v>143</v>
      </c>
      <c r="L1803">
        <v>136482</v>
      </c>
      <c r="M1803" t="s">
        <v>399</v>
      </c>
      <c r="N1803" t="s">
        <v>400</v>
      </c>
      <c r="O1803">
        <v>59083.116883116883</v>
      </c>
      <c r="P1803">
        <v>5.9083116883116883E-2</v>
      </c>
      <c r="Q1803" t="s">
        <v>752</v>
      </c>
      <c r="R1803" s="141">
        <v>0.4329004329004329</v>
      </c>
    </row>
    <row r="1804" spans="1:18" x14ac:dyDescent="0.3">
      <c r="A1804" t="s">
        <v>126</v>
      </c>
      <c r="B1804" t="s">
        <v>125</v>
      </c>
      <c r="C1804" t="s">
        <v>473</v>
      </c>
      <c r="D1804" t="s">
        <v>837</v>
      </c>
      <c r="E1804">
        <v>5916</v>
      </c>
      <c r="F1804" t="s">
        <v>124</v>
      </c>
      <c r="G1804">
        <v>1620</v>
      </c>
      <c r="H1804" t="s">
        <v>115</v>
      </c>
      <c r="I1804">
        <v>2021</v>
      </c>
      <c r="J1804">
        <v>2021</v>
      </c>
      <c r="K1804" t="s">
        <v>143</v>
      </c>
      <c r="L1804">
        <v>21713</v>
      </c>
      <c r="M1804" t="s">
        <v>399</v>
      </c>
      <c r="N1804" t="s">
        <v>400</v>
      </c>
      <c r="O1804">
        <v>9399.5670995670989</v>
      </c>
      <c r="P1804">
        <v>9.3995670995670987E-3</v>
      </c>
      <c r="Q1804" t="s">
        <v>753</v>
      </c>
      <c r="R1804" s="141">
        <v>0.4329004329004329</v>
      </c>
    </row>
    <row r="1805" spans="1:18" x14ac:dyDescent="0.3">
      <c r="A1805" t="s">
        <v>126</v>
      </c>
      <c r="B1805" t="s">
        <v>125</v>
      </c>
      <c r="C1805" t="s">
        <v>473</v>
      </c>
      <c r="D1805" t="s">
        <v>837</v>
      </c>
      <c r="E1805">
        <v>5510</v>
      </c>
      <c r="F1805" t="s">
        <v>128</v>
      </c>
      <c r="G1805">
        <v>1600</v>
      </c>
      <c r="H1805" t="s">
        <v>148</v>
      </c>
      <c r="I1805">
        <v>2021</v>
      </c>
      <c r="J1805">
        <v>2021</v>
      </c>
      <c r="O1805">
        <v>0</v>
      </c>
      <c r="P1805">
        <v>0</v>
      </c>
      <c r="Q1805" t="s">
        <v>754</v>
      </c>
      <c r="R1805" s="141">
        <v>0.77500000000000002</v>
      </c>
    </row>
    <row r="1806" spans="1:18" x14ac:dyDescent="0.3">
      <c r="A1806" t="s">
        <v>126</v>
      </c>
      <c r="B1806" t="s">
        <v>125</v>
      </c>
      <c r="C1806" t="s">
        <v>473</v>
      </c>
      <c r="D1806" t="s">
        <v>837</v>
      </c>
      <c r="E1806">
        <v>5610</v>
      </c>
      <c r="F1806" t="s">
        <v>127</v>
      </c>
      <c r="G1806">
        <v>1600</v>
      </c>
      <c r="H1806" t="s">
        <v>148</v>
      </c>
      <c r="I1806">
        <v>2021</v>
      </c>
      <c r="J1806">
        <v>2021</v>
      </c>
      <c r="K1806" t="s">
        <v>339</v>
      </c>
      <c r="L1806">
        <v>9118</v>
      </c>
      <c r="M1806" t="s">
        <v>397</v>
      </c>
      <c r="N1806" t="s">
        <v>398</v>
      </c>
      <c r="O1806">
        <v>7066.45</v>
      </c>
      <c r="P1806">
        <v>7.0664499999999993E-3</v>
      </c>
      <c r="Q1806" t="s">
        <v>755</v>
      </c>
      <c r="R1806" s="141">
        <v>0.77500000000000002</v>
      </c>
    </row>
    <row r="1807" spans="1:18" x14ac:dyDescent="0.3">
      <c r="A1807" t="s">
        <v>126</v>
      </c>
      <c r="B1807" t="s">
        <v>125</v>
      </c>
      <c r="C1807" t="s">
        <v>473</v>
      </c>
      <c r="D1807" t="s">
        <v>837</v>
      </c>
      <c r="E1807">
        <v>5910</v>
      </c>
      <c r="F1807" t="s">
        <v>124</v>
      </c>
      <c r="G1807">
        <v>1600</v>
      </c>
      <c r="H1807" t="s">
        <v>148</v>
      </c>
      <c r="I1807">
        <v>2021</v>
      </c>
      <c r="J1807">
        <v>2021</v>
      </c>
      <c r="O1807">
        <v>0</v>
      </c>
      <c r="P1807">
        <v>0</v>
      </c>
      <c r="Q1807" t="s">
        <v>756</v>
      </c>
      <c r="R1807" s="141">
        <v>0.77500000000000002</v>
      </c>
    </row>
    <row r="1808" spans="1:18" x14ac:dyDescent="0.3">
      <c r="A1808" t="s">
        <v>126</v>
      </c>
      <c r="B1808" t="s">
        <v>125</v>
      </c>
      <c r="C1808" t="s">
        <v>473</v>
      </c>
      <c r="D1808" t="s">
        <v>837</v>
      </c>
      <c r="E1808">
        <v>5510</v>
      </c>
      <c r="F1808" t="s">
        <v>128</v>
      </c>
      <c r="G1808">
        <v>1693</v>
      </c>
      <c r="H1808" t="s">
        <v>114</v>
      </c>
      <c r="I1808">
        <v>2021</v>
      </c>
      <c r="J1808">
        <v>2021</v>
      </c>
      <c r="K1808" t="s">
        <v>339</v>
      </c>
      <c r="L1808">
        <v>8448597</v>
      </c>
      <c r="M1808" t="s">
        <v>399</v>
      </c>
      <c r="N1808" t="s">
        <v>400</v>
      </c>
      <c r="O1808">
        <v>7814952.2250000006</v>
      </c>
      <c r="P1808">
        <v>7.8149522249999999</v>
      </c>
      <c r="Q1808" t="s">
        <v>757</v>
      </c>
      <c r="R1808" s="141">
        <v>0.92500000000000004</v>
      </c>
    </row>
    <row r="1809" spans="1:18" x14ac:dyDescent="0.3">
      <c r="A1809" t="s">
        <v>126</v>
      </c>
      <c r="B1809" t="s">
        <v>125</v>
      </c>
      <c r="C1809" t="s">
        <v>473</v>
      </c>
      <c r="D1809" t="s">
        <v>837</v>
      </c>
      <c r="E1809">
        <v>5610</v>
      </c>
      <c r="F1809" t="s">
        <v>127</v>
      </c>
      <c r="G1809">
        <v>1693</v>
      </c>
      <c r="H1809" t="s">
        <v>114</v>
      </c>
      <c r="I1809">
        <v>2021</v>
      </c>
      <c r="J1809">
        <v>2021</v>
      </c>
      <c r="K1809" t="s">
        <v>339</v>
      </c>
      <c r="L1809">
        <v>195951</v>
      </c>
      <c r="M1809" t="s">
        <v>399</v>
      </c>
      <c r="N1809" t="s">
        <v>400</v>
      </c>
      <c r="O1809">
        <v>181254.67500000002</v>
      </c>
      <c r="P1809">
        <v>0.181254675</v>
      </c>
      <c r="Q1809" t="s">
        <v>758</v>
      </c>
      <c r="R1809" s="141">
        <v>0.92500000000000004</v>
      </c>
    </row>
    <row r="1810" spans="1:18" x14ac:dyDescent="0.3">
      <c r="A1810" t="s">
        <v>126</v>
      </c>
      <c r="B1810" t="s">
        <v>125</v>
      </c>
      <c r="C1810" t="s">
        <v>473</v>
      </c>
      <c r="D1810" t="s">
        <v>837</v>
      </c>
      <c r="E1810">
        <v>5910</v>
      </c>
      <c r="F1810" t="s">
        <v>124</v>
      </c>
      <c r="G1810">
        <v>1693</v>
      </c>
      <c r="H1810" t="s">
        <v>114</v>
      </c>
      <c r="I1810">
        <v>2021</v>
      </c>
      <c r="J1810">
        <v>2021</v>
      </c>
      <c r="K1810" t="s">
        <v>339</v>
      </c>
      <c r="L1810">
        <v>7522550</v>
      </c>
      <c r="M1810" t="s">
        <v>399</v>
      </c>
      <c r="N1810" t="s">
        <v>400</v>
      </c>
      <c r="O1810">
        <v>6958358.75</v>
      </c>
      <c r="P1810">
        <v>6.9583587499999995</v>
      </c>
      <c r="Q1810" t="s">
        <v>759</v>
      </c>
      <c r="R1810" s="141">
        <v>0.92500000000000004</v>
      </c>
    </row>
    <row r="1811" spans="1:18" x14ac:dyDescent="0.3">
      <c r="A1811" t="s">
        <v>126</v>
      </c>
      <c r="B1811" t="s">
        <v>125</v>
      </c>
      <c r="C1811" t="s">
        <v>473</v>
      </c>
      <c r="D1811" t="s">
        <v>837</v>
      </c>
      <c r="E1811">
        <v>5516</v>
      </c>
      <c r="F1811" t="s">
        <v>128</v>
      </c>
      <c r="G1811">
        <v>1632</v>
      </c>
      <c r="H1811" t="s">
        <v>110</v>
      </c>
      <c r="I1811">
        <v>2021</v>
      </c>
      <c r="J1811">
        <v>2021</v>
      </c>
      <c r="K1811" t="s">
        <v>143</v>
      </c>
      <c r="L1811">
        <v>63160100</v>
      </c>
      <c r="M1811" t="s">
        <v>399</v>
      </c>
      <c r="N1811" t="s">
        <v>400</v>
      </c>
      <c r="O1811">
        <v>32109015.837500002</v>
      </c>
      <c r="P1811">
        <v>32.109015837500003</v>
      </c>
      <c r="Q1811" t="s">
        <v>760</v>
      </c>
      <c r="R1811" s="141">
        <v>0.50837500000000002</v>
      </c>
    </row>
    <row r="1812" spans="1:18" x14ac:dyDescent="0.3">
      <c r="A1812" t="s">
        <v>126</v>
      </c>
      <c r="B1812" t="s">
        <v>125</v>
      </c>
      <c r="C1812" t="s">
        <v>473</v>
      </c>
      <c r="D1812" t="s">
        <v>837</v>
      </c>
      <c r="E1812">
        <v>5616</v>
      </c>
      <c r="F1812" t="s">
        <v>127</v>
      </c>
      <c r="G1812">
        <v>1632</v>
      </c>
      <c r="H1812" t="s">
        <v>110</v>
      </c>
      <c r="I1812">
        <v>2021</v>
      </c>
      <c r="J1812">
        <v>2021</v>
      </c>
      <c r="K1812" t="s">
        <v>143</v>
      </c>
      <c r="L1812">
        <v>26961905</v>
      </c>
      <c r="M1812" t="s">
        <v>832</v>
      </c>
      <c r="N1812" t="s">
        <v>833</v>
      </c>
      <c r="O1812">
        <v>13706758.454375001</v>
      </c>
      <c r="P1812">
        <v>13.706758454375001</v>
      </c>
      <c r="Q1812" t="s">
        <v>761</v>
      </c>
      <c r="R1812" s="141">
        <v>0.50837500000000002</v>
      </c>
    </row>
    <row r="1813" spans="1:18" x14ac:dyDescent="0.3">
      <c r="A1813" t="s">
        <v>126</v>
      </c>
      <c r="B1813" t="s">
        <v>125</v>
      </c>
      <c r="C1813" t="s">
        <v>473</v>
      </c>
      <c r="D1813" t="s">
        <v>837</v>
      </c>
      <c r="E1813">
        <v>5916</v>
      </c>
      <c r="F1813" t="s">
        <v>124</v>
      </c>
      <c r="G1813">
        <v>1632</v>
      </c>
      <c r="H1813" t="s">
        <v>110</v>
      </c>
      <c r="I1813">
        <v>2021</v>
      </c>
      <c r="J1813">
        <v>2021</v>
      </c>
      <c r="K1813" t="s">
        <v>143</v>
      </c>
      <c r="L1813">
        <v>2562394</v>
      </c>
      <c r="M1813" t="s">
        <v>832</v>
      </c>
      <c r="N1813" t="s">
        <v>833</v>
      </c>
      <c r="O1813">
        <v>1302657.04975</v>
      </c>
      <c r="P1813">
        <v>1.3026570497499999</v>
      </c>
      <c r="Q1813" t="s">
        <v>762</v>
      </c>
      <c r="R1813" s="141">
        <v>0.50837500000000002</v>
      </c>
    </row>
    <row r="1814" spans="1:18" x14ac:dyDescent="0.3">
      <c r="A1814" t="s">
        <v>126</v>
      </c>
      <c r="B1814" t="s">
        <v>125</v>
      </c>
      <c r="C1814" t="s">
        <v>473</v>
      </c>
      <c r="D1814" t="s">
        <v>837</v>
      </c>
      <c r="E1814">
        <v>5516</v>
      </c>
      <c r="F1814" t="s">
        <v>128</v>
      </c>
      <c r="G1814">
        <v>1633</v>
      </c>
      <c r="H1814" t="s">
        <v>109</v>
      </c>
      <c r="I1814">
        <v>2021</v>
      </c>
      <c r="J1814">
        <v>2021</v>
      </c>
      <c r="K1814" t="s">
        <v>143</v>
      </c>
      <c r="L1814">
        <v>17326293</v>
      </c>
      <c r="M1814" t="s">
        <v>399</v>
      </c>
      <c r="N1814" t="s">
        <v>400</v>
      </c>
      <c r="O1814">
        <v>10571421.095287498</v>
      </c>
      <c r="P1814">
        <v>10.571421095287498</v>
      </c>
      <c r="Q1814" t="s">
        <v>763</v>
      </c>
      <c r="R1814" s="141">
        <v>0.61013749999999989</v>
      </c>
    </row>
    <row r="1815" spans="1:18" x14ac:dyDescent="0.3">
      <c r="A1815" t="s">
        <v>126</v>
      </c>
      <c r="B1815" t="s">
        <v>125</v>
      </c>
      <c r="C1815" t="s">
        <v>473</v>
      </c>
      <c r="D1815" t="s">
        <v>837</v>
      </c>
      <c r="E1815">
        <v>5616</v>
      </c>
      <c r="F1815" t="s">
        <v>127</v>
      </c>
      <c r="G1815">
        <v>1633</v>
      </c>
      <c r="H1815" t="s">
        <v>109</v>
      </c>
      <c r="I1815">
        <v>2021</v>
      </c>
      <c r="J1815">
        <v>2021</v>
      </c>
      <c r="K1815" t="s">
        <v>143</v>
      </c>
      <c r="L1815">
        <v>716790</v>
      </c>
      <c r="M1815" t="s">
        <v>399</v>
      </c>
      <c r="N1815" t="s">
        <v>400</v>
      </c>
      <c r="O1815">
        <v>437340.45862499991</v>
      </c>
      <c r="P1815">
        <v>0.43734045862499987</v>
      </c>
      <c r="Q1815" t="s">
        <v>764</v>
      </c>
      <c r="R1815" s="141">
        <v>0.61013749999999989</v>
      </c>
    </row>
    <row r="1816" spans="1:18" x14ac:dyDescent="0.3">
      <c r="A1816" t="s">
        <v>126</v>
      </c>
      <c r="B1816" t="s">
        <v>125</v>
      </c>
      <c r="C1816" t="s">
        <v>473</v>
      </c>
      <c r="D1816" t="s">
        <v>837</v>
      </c>
      <c r="E1816">
        <v>5916</v>
      </c>
      <c r="F1816" t="s">
        <v>124</v>
      </c>
      <c r="G1816">
        <v>1633</v>
      </c>
      <c r="H1816" t="s">
        <v>109</v>
      </c>
      <c r="I1816">
        <v>2021</v>
      </c>
      <c r="J1816">
        <v>2021</v>
      </c>
      <c r="K1816" t="s">
        <v>143</v>
      </c>
      <c r="L1816">
        <v>3695190</v>
      </c>
      <c r="M1816" t="s">
        <v>399</v>
      </c>
      <c r="N1816" t="s">
        <v>400</v>
      </c>
      <c r="O1816">
        <v>2254573.9886249998</v>
      </c>
      <c r="P1816">
        <v>2.2545739886249998</v>
      </c>
      <c r="Q1816" t="s">
        <v>765</v>
      </c>
      <c r="R1816" s="141">
        <v>0.61013749999999989</v>
      </c>
    </row>
    <row r="1817" spans="1:18" x14ac:dyDescent="0.3">
      <c r="A1817" t="s">
        <v>126</v>
      </c>
      <c r="B1817" t="s">
        <v>125</v>
      </c>
      <c r="C1817" t="s">
        <v>473</v>
      </c>
      <c r="D1817" t="s">
        <v>837</v>
      </c>
      <c r="E1817">
        <v>5516</v>
      </c>
      <c r="F1817" t="s">
        <v>128</v>
      </c>
      <c r="G1817">
        <v>1634</v>
      </c>
      <c r="H1817" t="s">
        <v>108</v>
      </c>
      <c r="I1817">
        <v>2021</v>
      </c>
      <c r="J1817">
        <v>2021</v>
      </c>
      <c r="K1817" t="s">
        <v>143</v>
      </c>
      <c r="L1817">
        <v>2284022</v>
      </c>
      <c r="M1817" t="s">
        <v>829</v>
      </c>
      <c r="N1817" t="s">
        <v>830</v>
      </c>
      <c r="O1817">
        <v>1159986.2531399999</v>
      </c>
      <c r="P1817">
        <v>1.1599862531399998</v>
      </c>
      <c r="Q1817" t="s">
        <v>766</v>
      </c>
      <c r="R1817" s="141">
        <v>0.50786999999999993</v>
      </c>
    </row>
    <row r="1818" spans="1:18" x14ac:dyDescent="0.3">
      <c r="A1818" t="s">
        <v>126</v>
      </c>
      <c r="B1818" t="s">
        <v>125</v>
      </c>
      <c r="C1818" t="s">
        <v>473</v>
      </c>
      <c r="D1818" t="s">
        <v>837</v>
      </c>
      <c r="E1818">
        <v>5616</v>
      </c>
      <c r="F1818" t="s">
        <v>127</v>
      </c>
      <c r="G1818">
        <v>1634</v>
      </c>
      <c r="H1818" t="s">
        <v>108</v>
      </c>
      <c r="I1818">
        <v>2021</v>
      </c>
      <c r="J1818">
        <v>2021</v>
      </c>
      <c r="K1818" t="s">
        <v>143</v>
      </c>
      <c r="L1818">
        <v>671379</v>
      </c>
      <c r="M1818" t="s">
        <v>829</v>
      </c>
      <c r="N1818" t="s">
        <v>830</v>
      </c>
      <c r="O1818">
        <v>340973.25272999995</v>
      </c>
      <c r="P1818">
        <v>0.34097325272999995</v>
      </c>
      <c r="Q1818" t="s">
        <v>767</v>
      </c>
      <c r="R1818" s="141">
        <v>0.50786999999999993</v>
      </c>
    </row>
    <row r="1819" spans="1:18" x14ac:dyDescent="0.3">
      <c r="A1819" t="s">
        <v>126</v>
      </c>
      <c r="B1819" t="s">
        <v>125</v>
      </c>
      <c r="C1819" t="s">
        <v>473</v>
      </c>
      <c r="D1819" t="s">
        <v>837</v>
      </c>
      <c r="E1819">
        <v>5916</v>
      </c>
      <c r="F1819" t="s">
        <v>124</v>
      </c>
      <c r="G1819">
        <v>1634</v>
      </c>
      <c r="H1819" t="s">
        <v>108</v>
      </c>
      <c r="I1819">
        <v>2021</v>
      </c>
      <c r="J1819">
        <v>2021</v>
      </c>
      <c r="K1819" t="s">
        <v>143</v>
      </c>
      <c r="L1819">
        <v>280652</v>
      </c>
      <c r="M1819" t="s">
        <v>829</v>
      </c>
      <c r="N1819" t="s">
        <v>830</v>
      </c>
      <c r="O1819">
        <v>142534.73123999999</v>
      </c>
      <c r="P1819">
        <v>0.14253473123999999</v>
      </c>
      <c r="Q1819" t="s">
        <v>768</v>
      </c>
      <c r="R1819" s="141">
        <v>0.50786999999999993</v>
      </c>
    </row>
    <row r="1820" spans="1:18" x14ac:dyDescent="0.3">
      <c r="A1820" t="s">
        <v>126</v>
      </c>
      <c r="B1820" t="s">
        <v>125</v>
      </c>
      <c r="C1820" t="s">
        <v>473</v>
      </c>
      <c r="D1820" t="s">
        <v>837</v>
      </c>
      <c r="E1820">
        <v>5516</v>
      </c>
      <c r="F1820" t="s">
        <v>128</v>
      </c>
      <c r="G1820">
        <v>1640</v>
      </c>
      <c r="H1820" t="s">
        <v>104</v>
      </c>
      <c r="I1820">
        <v>2021</v>
      </c>
      <c r="J1820">
        <v>2021</v>
      </c>
      <c r="K1820" t="s">
        <v>143</v>
      </c>
      <c r="L1820">
        <v>9704858</v>
      </c>
      <c r="M1820" t="s">
        <v>829</v>
      </c>
      <c r="N1820" t="s">
        <v>830</v>
      </c>
      <c r="O1820">
        <v>4928806.2324599996</v>
      </c>
      <c r="P1820">
        <v>4.9288062324599995</v>
      </c>
      <c r="Q1820" t="s">
        <v>769</v>
      </c>
      <c r="R1820" s="141">
        <v>0.50786999999999993</v>
      </c>
    </row>
    <row r="1821" spans="1:18" x14ac:dyDescent="0.3">
      <c r="A1821" t="s">
        <v>126</v>
      </c>
      <c r="B1821" t="s">
        <v>125</v>
      </c>
      <c r="C1821" t="s">
        <v>473</v>
      </c>
      <c r="D1821" t="s">
        <v>837</v>
      </c>
      <c r="E1821">
        <v>5616</v>
      </c>
      <c r="F1821" t="s">
        <v>127</v>
      </c>
      <c r="G1821">
        <v>1640</v>
      </c>
      <c r="H1821" t="s">
        <v>104</v>
      </c>
      <c r="I1821">
        <v>2021</v>
      </c>
      <c r="J1821">
        <v>2021</v>
      </c>
      <c r="K1821" t="s">
        <v>143</v>
      </c>
      <c r="L1821">
        <v>8085550</v>
      </c>
      <c r="M1821" t="s">
        <v>829</v>
      </c>
      <c r="N1821" t="s">
        <v>830</v>
      </c>
      <c r="O1821">
        <v>4106408.2784999995</v>
      </c>
      <c r="P1821">
        <v>4.1064082784999991</v>
      </c>
      <c r="Q1821" t="s">
        <v>770</v>
      </c>
      <c r="R1821" s="141">
        <v>0.50786999999999993</v>
      </c>
    </row>
    <row r="1822" spans="1:18" x14ac:dyDescent="0.3">
      <c r="A1822" t="s">
        <v>126</v>
      </c>
      <c r="B1822" t="s">
        <v>125</v>
      </c>
      <c r="C1822" t="s">
        <v>473</v>
      </c>
      <c r="D1822" t="s">
        <v>837</v>
      </c>
      <c r="E1822">
        <v>5916</v>
      </c>
      <c r="F1822" t="s">
        <v>124</v>
      </c>
      <c r="G1822">
        <v>1640</v>
      </c>
      <c r="H1822" t="s">
        <v>104</v>
      </c>
      <c r="I1822">
        <v>2021</v>
      </c>
      <c r="J1822">
        <v>2021</v>
      </c>
      <c r="K1822" t="s">
        <v>143</v>
      </c>
      <c r="L1822">
        <v>758930</v>
      </c>
      <c r="M1822" t="s">
        <v>829</v>
      </c>
      <c r="N1822" t="s">
        <v>830</v>
      </c>
      <c r="O1822">
        <v>385437.77909999993</v>
      </c>
      <c r="P1822">
        <v>0.38543777909999993</v>
      </c>
      <c r="Q1822" t="s">
        <v>771</v>
      </c>
      <c r="R1822" s="141">
        <v>0.50786999999999993</v>
      </c>
    </row>
    <row r="1823" spans="1:18" x14ac:dyDescent="0.3">
      <c r="A1823" t="s">
        <v>126</v>
      </c>
      <c r="B1823" t="s">
        <v>125</v>
      </c>
      <c r="C1823" t="s">
        <v>473</v>
      </c>
      <c r="D1823" t="s">
        <v>837</v>
      </c>
      <c r="E1823">
        <v>5516</v>
      </c>
      <c r="F1823" t="s">
        <v>128</v>
      </c>
      <c r="G1823">
        <v>1646</v>
      </c>
      <c r="H1823" t="s">
        <v>147</v>
      </c>
      <c r="I1823">
        <v>2021</v>
      </c>
      <c r="J1823">
        <v>2021</v>
      </c>
    </row>
    <row r="1824" spans="1:18" x14ac:dyDescent="0.3">
      <c r="A1824" t="s">
        <v>126</v>
      </c>
      <c r="B1824" t="s">
        <v>125</v>
      </c>
      <c r="C1824" t="s">
        <v>473</v>
      </c>
      <c r="D1824" t="s">
        <v>837</v>
      </c>
      <c r="E1824">
        <v>5616</v>
      </c>
      <c r="F1824" t="s">
        <v>127</v>
      </c>
      <c r="G1824">
        <v>1646</v>
      </c>
      <c r="H1824" t="s">
        <v>147</v>
      </c>
      <c r="I1824">
        <v>2021</v>
      </c>
      <c r="J1824">
        <v>2021</v>
      </c>
    </row>
    <row r="1825" spans="1:18" x14ac:dyDescent="0.3">
      <c r="A1825" t="s">
        <v>126</v>
      </c>
      <c r="B1825" t="s">
        <v>125</v>
      </c>
      <c r="C1825" t="s">
        <v>473</v>
      </c>
      <c r="D1825" t="s">
        <v>837</v>
      </c>
      <c r="E1825">
        <v>5916</v>
      </c>
      <c r="F1825" t="s">
        <v>124</v>
      </c>
      <c r="G1825">
        <v>1646</v>
      </c>
      <c r="H1825" t="s">
        <v>147</v>
      </c>
      <c r="I1825">
        <v>2021</v>
      </c>
      <c r="J1825">
        <v>2021</v>
      </c>
    </row>
    <row r="1826" spans="1:18" x14ac:dyDescent="0.3">
      <c r="A1826" t="s">
        <v>126</v>
      </c>
      <c r="B1826" t="s">
        <v>125</v>
      </c>
      <c r="C1826" t="s">
        <v>473</v>
      </c>
      <c r="D1826" t="s">
        <v>837</v>
      </c>
      <c r="E1826">
        <v>5516</v>
      </c>
      <c r="F1826" t="s">
        <v>128</v>
      </c>
      <c r="G1826">
        <v>1697</v>
      </c>
      <c r="H1826" t="s">
        <v>103</v>
      </c>
      <c r="I1826">
        <v>2021</v>
      </c>
      <c r="J1826">
        <v>2021</v>
      </c>
      <c r="K1826" t="s">
        <v>143</v>
      </c>
      <c r="L1826">
        <v>4136077</v>
      </c>
      <c r="M1826" t="s">
        <v>829</v>
      </c>
      <c r="N1826" t="s">
        <v>830</v>
      </c>
      <c r="O1826">
        <v>2458956.8633142854</v>
      </c>
      <c r="P1826">
        <v>2.4589568633142851</v>
      </c>
      <c r="Q1826" t="s">
        <v>772</v>
      </c>
      <c r="R1826" s="141">
        <v>0.59451428571428566</v>
      </c>
    </row>
    <row r="1827" spans="1:18" x14ac:dyDescent="0.3">
      <c r="A1827" t="s">
        <v>126</v>
      </c>
      <c r="B1827" t="s">
        <v>125</v>
      </c>
      <c r="C1827" t="s">
        <v>473</v>
      </c>
      <c r="D1827" t="s">
        <v>837</v>
      </c>
      <c r="E1827">
        <v>5616</v>
      </c>
      <c r="F1827" t="s">
        <v>127</v>
      </c>
      <c r="G1827">
        <v>1697</v>
      </c>
      <c r="H1827" t="s">
        <v>103</v>
      </c>
      <c r="I1827">
        <v>2021</v>
      </c>
      <c r="J1827">
        <v>2021</v>
      </c>
      <c r="K1827" t="s">
        <v>143</v>
      </c>
      <c r="L1827">
        <v>1461890</v>
      </c>
      <c r="M1827" t="s">
        <v>829</v>
      </c>
      <c r="N1827" t="s">
        <v>830</v>
      </c>
      <c r="O1827">
        <v>869114.48914285703</v>
      </c>
      <c r="P1827">
        <v>0.86911448914285694</v>
      </c>
      <c r="Q1827" t="s">
        <v>773</v>
      </c>
      <c r="R1827" s="141">
        <v>0.59451428571428566</v>
      </c>
    </row>
    <row r="1828" spans="1:18" x14ac:dyDescent="0.3">
      <c r="A1828" t="s">
        <v>126</v>
      </c>
      <c r="B1828" t="s">
        <v>125</v>
      </c>
      <c r="C1828" t="s">
        <v>473</v>
      </c>
      <c r="D1828" t="s">
        <v>837</v>
      </c>
      <c r="E1828">
        <v>5916</v>
      </c>
      <c r="F1828" t="s">
        <v>124</v>
      </c>
      <c r="G1828">
        <v>1697</v>
      </c>
      <c r="H1828" t="s">
        <v>103</v>
      </c>
      <c r="I1828">
        <v>2021</v>
      </c>
      <c r="J1828">
        <v>2021</v>
      </c>
      <c r="K1828" t="s">
        <v>143</v>
      </c>
      <c r="L1828">
        <v>487650</v>
      </c>
      <c r="M1828" t="s">
        <v>829</v>
      </c>
      <c r="N1828" t="s">
        <v>830</v>
      </c>
      <c r="O1828">
        <v>289914.89142857143</v>
      </c>
      <c r="P1828">
        <v>0.28991489142857141</v>
      </c>
      <c r="Q1828" t="s">
        <v>774</v>
      </c>
      <c r="R1828" s="141">
        <v>0.59451428571428566</v>
      </c>
    </row>
    <row r="1829" spans="1:18" x14ac:dyDescent="0.3">
      <c r="A1829" t="s">
        <v>126</v>
      </c>
      <c r="B1829" t="s">
        <v>125</v>
      </c>
      <c r="C1829" t="s">
        <v>473</v>
      </c>
      <c r="D1829" t="s">
        <v>837</v>
      </c>
      <c r="E1829">
        <v>5516</v>
      </c>
      <c r="F1829" t="s">
        <v>128</v>
      </c>
      <c r="G1829">
        <v>1606</v>
      </c>
      <c r="H1829" t="s">
        <v>102</v>
      </c>
      <c r="I1829">
        <v>2021</v>
      </c>
      <c r="J1829">
        <v>2021</v>
      </c>
      <c r="K1829" t="s">
        <v>143</v>
      </c>
      <c r="L1829">
        <v>13838745</v>
      </c>
      <c r="M1829" t="s">
        <v>399</v>
      </c>
      <c r="N1829" t="s">
        <v>400</v>
      </c>
      <c r="O1829">
        <v>4972577.3926714277</v>
      </c>
      <c r="P1829">
        <v>4.9725773926714272</v>
      </c>
      <c r="Q1829" t="s">
        <v>775</v>
      </c>
      <c r="R1829" s="141">
        <v>0.35932285714285711</v>
      </c>
    </row>
    <row r="1830" spans="1:18" x14ac:dyDescent="0.3">
      <c r="A1830" t="s">
        <v>126</v>
      </c>
      <c r="B1830" t="s">
        <v>125</v>
      </c>
      <c r="C1830" t="s">
        <v>473</v>
      </c>
      <c r="D1830" t="s">
        <v>837</v>
      </c>
      <c r="E1830">
        <v>5616</v>
      </c>
      <c r="F1830" t="s">
        <v>127</v>
      </c>
      <c r="G1830">
        <v>1606</v>
      </c>
      <c r="H1830" t="s">
        <v>102</v>
      </c>
      <c r="I1830">
        <v>2021</v>
      </c>
      <c r="J1830">
        <v>2021</v>
      </c>
      <c r="K1830" t="s">
        <v>143</v>
      </c>
      <c r="L1830">
        <v>6128380</v>
      </c>
      <c r="M1830" t="s">
        <v>399</v>
      </c>
      <c r="N1830" t="s">
        <v>400</v>
      </c>
      <c r="O1830">
        <v>2202067.0112571428</v>
      </c>
      <c r="P1830">
        <v>2.2020670112571428</v>
      </c>
      <c r="Q1830" t="s">
        <v>776</v>
      </c>
      <c r="R1830" s="141">
        <v>0.35932285714285711</v>
      </c>
    </row>
    <row r="1831" spans="1:18" x14ac:dyDescent="0.3">
      <c r="A1831" t="s">
        <v>126</v>
      </c>
      <c r="B1831" t="s">
        <v>125</v>
      </c>
      <c r="C1831" t="s">
        <v>473</v>
      </c>
      <c r="D1831" t="s">
        <v>837</v>
      </c>
      <c r="E1831">
        <v>5916</v>
      </c>
      <c r="F1831" t="s">
        <v>124</v>
      </c>
      <c r="G1831">
        <v>1606</v>
      </c>
      <c r="H1831" t="s">
        <v>102</v>
      </c>
      <c r="I1831">
        <v>2021</v>
      </c>
      <c r="J1831">
        <v>2021</v>
      </c>
      <c r="K1831" t="s">
        <v>143</v>
      </c>
      <c r="L1831">
        <v>146100</v>
      </c>
      <c r="M1831" t="s">
        <v>399</v>
      </c>
      <c r="N1831" t="s">
        <v>400</v>
      </c>
      <c r="O1831">
        <v>52497.069428571427</v>
      </c>
      <c r="P1831">
        <v>5.2497069428571422E-2</v>
      </c>
      <c r="Q1831" t="s">
        <v>777</v>
      </c>
      <c r="R1831" s="141">
        <v>0.35932285714285711</v>
      </c>
    </row>
    <row r="1832" spans="1:18" x14ac:dyDescent="0.3">
      <c r="A1832" t="s">
        <v>126</v>
      </c>
      <c r="B1832" t="s">
        <v>125</v>
      </c>
      <c r="C1832" t="s">
        <v>473</v>
      </c>
      <c r="D1832" t="s">
        <v>837</v>
      </c>
      <c r="E1832">
        <v>5516</v>
      </c>
      <c r="F1832" t="s">
        <v>128</v>
      </c>
      <c r="G1832">
        <v>1647</v>
      </c>
      <c r="H1832" t="s">
        <v>146</v>
      </c>
      <c r="I1832">
        <v>2021</v>
      </c>
      <c r="J1832">
        <v>2021</v>
      </c>
      <c r="K1832" t="s">
        <v>143</v>
      </c>
      <c r="L1832">
        <v>211738</v>
      </c>
      <c r="M1832" t="s">
        <v>397</v>
      </c>
      <c r="N1832" t="s">
        <v>398</v>
      </c>
      <c r="O1832">
        <v>160243.31840000002</v>
      </c>
      <c r="P1832">
        <v>0.1602433184</v>
      </c>
      <c r="Q1832" t="s">
        <v>778</v>
      </c>
      <c r="R1832" s="141">
        <v>0.75680000000000003</v>
      </c>
    </row>
    <row r="1833" spans="1:18" x14ac:dyDescent="0.3">
      <c r="A1833" t="s">
        <v>126</v>
      </c>
      <c r="B1833" t="s">
        <v>125</v>
      </c>
      <c r="C1833" t="s">
        <v>473</v>
      </c>
      <c r="D1833" t="s">
        <v>837</v>
      </c>
      <c r="E1833">
        <v>5616</v>
      </c>
      <c r="F1833" t="s">
        <v>127</v>
      </c>
      <c r="G1833">
        <v>1647</v>
      </c>
      <c r="H1833" t="s">
        <v>146</v>
      </c>
      <c r="I1833">
        <v>2021</v>
      </c>
      <c r="J1833">
        <v>2021</v>
      </c>
      <c r="K1833" t="s">
        <v>143</v>
      </c>
      <c r="L1833">
        <v>243120</v>
      </c>
      <c r="M1833" t="s">
        <v>399</v>
      </c>
      <c r="N1833" t="s">
        <v>400</v>
      </c>
      <c r="O1833">
        <v>183993.21600000001</v>
      </c>
      <c r="P1833">
        <v>0.18399321600000001</v>
      </c>
      <c r="Q1833" t="s">
        <v>779</v>
      </c>
      <c r="R1833" s="141">
        <v>0.75680000000000003</v>
      </c>
    </row>
    <row r="1834" spans="1:18" x14ac:dyDescent="0.3">
      <c r="A1834" t="s">
        <v>126</v>
      </c>
      <c r="B1834" t="s">
        <v>125</v>
      </c>
      <c r="C1834" t="s">
        <v>473</v>
      </c>
      <c r="D1834" t="s">
        <v>837</v>
      </c>
      <c r="E1834">
        <v>5916</v>
      </c>
      <c r="F1834" t="s">
        <v>124</v>
      </c>
      <c r="G1834">
        <v>1647</v>
      </c>
      <c r="H1834" t="s">
        <v>146</v>
      </c>
      <c r="I1834">
        <v>2021</v>
      </c>
      <c r="J1834">
        <v>2021</v>
      </c>
      <c r="K1834" t="s">
        <v>143</v>
      </c>
      <c r="L1834">
        <v>255020</v>
      </c>
      <c r="M1834" t="s">
        <v>399</v>
      </c>
      <c r="N1834" t="s">
        <v>400</v>
      </c>
      <c r="O1834">
        <v>192999.136</v>
      </c>
      <c r="P1834">
        <v>0.19299913599999999</v>
      </c>
      <c r="Q1834" t="s">
        <v>780</v>
      </c>
      <c r="R1834" s="141">
        <v>0.75680000000000003</v>
      </c>
    </row>
    <row r="1835" spans="1:18" x14ac:dyDescent="0.3">
      <c r="A1835" t="s">
        <v>126</v>
      </c>
      <c r="B1835" t="s">
        <v>125</v>
      </c>
      <c r="C1835" t="s">
        <v>473</v>
      </c>
      <c r="D1835" t="s">
        <v>837</v>
      </c>
      <c r="E1835">
        <v>5516</v>
      </c>
      <c r="F1835" t="s">
        <v>128</v>
      </c>
      <c r="G1835">
        <v>1648</v>
      </c>
      <c r="H1835" t="s">
        <v>145</v>
      </c>
      <c r="I1835">
        <v>2021</v>
      </c>
      <c r="J1835">
        <v>2021</v>
      </c>
      <c r="K1835" t="s">
        <v>143</v>
      </c>
      <c r="L1835">
        <v>2667145</v>
      </c>
      <c r="M1835" t="s">
        <v>397</v>
      </c>
      <c r="N1835" t="s">
        <v>398</v>
      </c>
      <c r="O1835">
        <v>1569195.7097142858</v>
      </c>
      <c r="P1835">
        <v>1.5691957097142857</v>
      </c>
      <c r="Q1835" t="s">
        <v>781</v>
      </c>
      <c r="R1835" s="141">
        <v>0.58834285714285717</v>
      </c>
    </row>
    <row r="1836" spans="1:18" x14ac:dyDescent="0.3">
      <c r="A1836" t="s">
        <v>126</v>
      </c>
      <c r="B1836" t="s">
        <v>125</v>
      </c>
      <c r="C1836" t="s">
        <v>473</v>
      </c>
      <c r="D1836" t="s">
        <v>837</v>
      </c>
      <c r="E1836">
        <v>5616</v>
      </c>
      <c r="F1836" t="s">
        <v>127</v>
      </c>
      <c r="G1836">
        <v>1648</v>
      </c>
      <c r="H1836" t="s">
        <v>145</v>
      </c>
      <c r="I1836">
        <v>2021</v>
      </c>
      <c r="J1836">
        <v>2021</v>
      </c>
      <c r="K1836" t="s">
        <v>143</v>
      </c>
      <c r="L1836">
        <v>2498490</v>
      </c>
      <c r="M1836" t="s">
        <v>399</v>
      </c>
      <c r="N1836" t="s">
        <v>400</v>
      </c>
      <c r="O1836">
        <v>1469968.7451428573</v>
      </c>
      <c r="P1836">
        <v>1.4699687451428571</v>
      </c>
      <c r="Q1836" t="s">
        <v>782</v>
      </c>
      <c r="R1836" s="141">
        <v>0.58834285714285717</v>
      </c>
    </row>
    <row r="1837" spans="1:18" x14ac:dyDescent="0.3">
      <c r="A1837" t="s">
        <v>126</v>
      </c>
      <c r="B1837" t="s">
        <v>125</v>
      </c>
      <c r="C1837" t="s">
        <v>473</v>
      </c>
      <c r="D1837" t="s">
        <v>837</v>
      </c>
      <c r="E1837">
        <v>5916</v>
      </c>
      <c r="F1837" t="s">
        <v>124</v>
      </c>
      <c r="G1837">
        <v>1648</v>
      </c>
      <c r="H1837" t="s">
        <v>145</v>
      </c>
      <c r="I1837">
        <v>2021</v>
      </c>
      <c r="J1837">
        <v>2021</v>
      </c>
      <c r="K1837" t="s">
        <v>143</v>
      </c>
      <c r="L1837">
        <v>315310</v>
      </c>
      <c r="M1837" t="s">
        <v>399</v>
      </c>
      <c r="N1837" t="s">
        <v>400</v>
      </c>
      <c r="O1837">
        <v>185510.38628571428</v>
      </c>
      <c r="P1837">
        <v>0.18551038628571428</v>
      </c>
      <c r="Q1837" t="s">
        <v>783</v>
      </c>
      <c r="R1837" s="141">
        <v>0.58834285714285717</v>
      </c>
    </row>
    <row r="1838" spans="1:18" x14ac:dyDescent="0.3">
      <c r="A1838" t="s">
        <v>126</v>
      </c>
      <c r="B1838" t="s">
        <v>125</v>
      </c>
      <c r="C1838" t="s">
        <v>473</v>
      </c>
      <c r="D1838" t="s">
        <v>837</v>
      </c>
      <c r="E1838">
        <v>5516</v>
      </c>
      <c r="F1838" t="s">
        <v>128</v>
      </c>
      <c r="G1838">
        <v>1650</v>
      </c>
      <c r="H1838" t="s">
        <v>144</v>
      </c>
      <c r="I1838">
        <v>2021</v>
      </c>
      <c r="J1838">
        <v>2021</v>
      </c>
      <c r="K1838" t="s">
        <v>143</v>
      </c>
      <c r="L1838">
        <v>3179428</v>
      </c>
      <c r="M1838" t="s">
        <v>397</v>
      </c>
      <c r="N1838" t="s">
        <v>398</v>
      </c>
      <c r="O1838">
        <v>858445.56</v>
      </c>
      <c r="P1838">
        <v>0.85844556000000005</v>
      </c>
      <c r="Q1838" t="s">
        <v>784</v>
      </c>
      <c r="R1838" s="141">
        <v>0.27</v>
      </c>
    </row>
    <row r="1839" spans="1:18" x14ac:dyDescent="0.3">
      <c r="A1839" t="s">
        <v>126</v>
      </c>
      <c r="B1839" t="s">
        <v>125</v>
      </c>
      <c r="C1839" t="s">
        <v>473</v>
      </c>
      <c r="D1839" t="s">
        <v>837</v>
      </c>
      <c r="E1839">
        <v>5616</v>
      </c>
      <c r="F1839" t="s">
        <v>127</v>
      </c>
      <c r="G1839">
        <v>1650</v>
      </c>
      <c r="H1839" t="s">
        <v>144</v>
      </c>
      <c r="I1839">
        <v>2021</v>
      </c>
      <c r="J1839">
        <v>2021</v>
      </c>
      <c r="K1839" t="s">
        <v>143</v>
      </c>
      <c r="L1839">
        <v>203806</v>
      </c>
      <c r="M1839" t="s">
        <v>399</v>
      </c>
      <c r="N1839" t="s">
        <v>400</v>
      </c>
      <c r="O1839">
        <v>55027.62</v>
      </c>
      <c r="P1839">
        <v>5.5027619999999999E-2</v>
      </c>
      <c r="Q1839" t="s">
        <v>785</v>
      </c>
      <c r="R1839" s="141">
        <v>0.27</v>
      </c>
    </row>
    <row r="1840" spans="1:18" x14ac:dyDescent="0.3">
      <c r="A1840" t="s">
        <v>126</v>
      </c>
      <c r="B1840" t="s">
        <v>125</v>
      </c>
      <c r="C1840" t="s">
        <v>473</v>
      </c>
      <c r="D1840" t="s">
        <v>837</v>
      </c>
      <c r="E1840">
        <v>5916</v>
      </c>
      <c r="F1840" t="s">
        <v>124</v>
      </c>
      <c r="G1840">
        <v>1650</v>
      </c>
      <c r="H1840" t="s">
        <v>144</v>
      </c>
      <c r="I1840">
        <v>2021</v>
      </c>
      <c r="J1840">
        <v>2021</v>
      </c>
      <c r="K1840" t="s">
        <v>143</v>
      </c>
      <c r="L1840">
        <v>170930</v>
      </c>
      <c r="M1840" t="s">
        <v>399</v>
      </c>
      <c r="N1840" t="s">
        <v>400</v>
      </c>
      <c r="O1840">
        <v>46151.100000000006</v>
      </c>
      <c r="P1840">
        <v>4.61511E-2</v>
      </c>
      <c r="Q1840" t="s">
        <v>786</v>
      </c>
      <c r="R1840" s="141">
        <v>0.27</v>
      </c>
    </row>
    <row r="1841" spans="1:18" x14ac:dyDescent="0.3">
      <c r="A1841" t="s">
        <v>126</v>
      </c>
      <c r="B1841" t="s">
        <v>125</v>
      </c>
      <c r="C1841" t="s">
        <v>473</v>
      </c>
      <c r="D1841" t="s">
        <v>837</v>
      </c>
      <c r="E1841">
        <v>5516</v>
      </c>
      <c r="F1841" t="s">
        <v>128</v>
      </c>
      <c r="G1841">
        <v>1649</v>
      </c>
      <c r="H1841" t="s">
        <v>142</v>
      </c>
      <c r="I1841">
        <v>2021</v>
      </c>
      <c r="J1841">
        <v>2021</v>
      </c>
    </row>
    <row r="1842" spans="1:18" x14ac:dyDescent="0.3">
      <c r="A1842" t="s">
        <v>126</v>
      </c>
      <c r="B1842" t="s">
        <v>125</v>
      </c>
      <c r="C1842" t="s">
        <v>473</v>
      </c>
      <c r="D1842" t="s">
        <v>837</v>
      </c>
      <c r="E1842">
        <v>5616</v>
      </c>
      <c r="F1842" t="s">
        <v>127</v>
      </c>
      <c r="G1842">
        <v>1649</v>
      </c>
      <c r="H1842" t="s">
        <v>142</v>
      </c>
      <c r="I1842">
        <v>2021</v>
      </c>
      <c r="J1842">
        <v>2021</v>
      </c>
    </row>
    <row r="1843" spans="1:18" x14ac:dyDescent="0.3">
      <c r="A1843" t="s">
        <v>126</v>
      </c>
      <c r="B1843" t="s">
        <v>125</v>
      </c>
      <c r="C1843" t="s">
        <v>473</v>
      </c>
      <c r="D1843" t="s">
        <v>837</v>
      </c>
      <c r="E1843">
        <v>5916</v>
      </c>
      <c r="F1843" t="s">
        <v>124</v>
      </c>
      <c r="G1843">
        <v>1649</v>
      </c>
      <c r="H1843" t="s">
        <v>142</v>
      </c>
      <c r="I1843">
        <v>2021</v>
      </c>
      <c r="J1843">
        <v>2021</v>
      </c>
    </row>
    <row r="1844" spans="1:18" x14ac:dyDescent="0.3">
      <c r="A1844" t="s">
        <v>126</v>
      </c>
      <c r="B1844" t="s">
        <v>125</v>
      </c>
      <c r="C1844" t="s">
        <v>473</v>
      </c>
      <c r="D1844" t="s">
        <v>837</v>
      </c>
      <c r="E1844">
        <v>5510</v>
      </c>
      <c r="F1844" t="s">
        <v>128</v>
      </c>
      <c r="G1844">
        <v>1685</v>
      </c>
      <c r="H1844" t="s">
        <v>98</v>
      </c>
      <c r="I1844">
        <v>2021</v>
      </c>
      <c r="J1844">
        <v>2021</v>
      </c>
      <c r="K1844" t="s">
        <v>339</v>
      </c>
      <c r="L1844">
        <v>4046000</v>
      </c>
      <c r="M1844" t="s">
        <v>399</v>
      </c>
      <c r="N1844" t="s">
        <v>400</v>
      </c>
      <c r="O1844">
        <v>3641400</v>
      </c>
      <c r="P1844">
        <v>3.6414</v>
      </c>
      <c r="Q1844" t="s">
        <v>787</v>
      </c>
      <c r="R1844" s="141">
        <v>0.9</v>
      </c>
    </row>
    <row r="1845" spans="1:18" x14ac:dyDescent="0.3">
      <c r="A1845" t="s">
        <v>126</v>
      </c>
      <c r="B1845" t="s">
        <v>125</v>
      </c>
      <c r="C1845" t="s">
        <v>473</v>
      </c>
      <c r="D1845" t="s">
        <v>837</v>
      </c>
      <c r="E1845">
        <v>5610</v>
      </c>
      <c r="F1845" t="s">
        <v>127</v>
      </c>
      <c r="G1845">
        <v>1685</v>
      </c>
      <c r="H1845" t="s">
        <v>98</v>
      </c>
      <c r="I1845">
        <v>2021</v>
      </c>
      <c r="J1845">
        <v>2021</v>
      </c>
      <c r="K1845" t="s">
        <v>339</v>
      </c>
      <c r="L1845">
        <v>137040</v>
      </c>
      <c r="M1845" t="s">
        <v>399</v>
      </c>
      <c r="N1845" t="s">
        <v>400</v>
      </c>
      <c r="O1845">
        <v>123336</v>
      </c>
      <c r="P1845">
        <v>0.123336</v>
      </c>
      <c r="Q1845" t="s">
        <v>788</v>
      </c>
      <c r="R1845" s="141">
        <v>0.9</v>
      </c>
    </row>
    <row r="1846" spans="1:18" x14ac:dyDescent="0.3">
      <c r="A1846" t="s">
        <v>126</v>
      </c>
      <c r="B1846" t="s">
        <v>125</v>
      </c>
      <c r="C1846" t="s">
        <v>473</v>
      </c>
      <c r="D1846" t="s">
        <v>837</v>
      </c>
      <c r="E1846">
        <v>5910</v>
      </c>
      <c r="F1846" t="s">
        <v>124</v>
      </c>
      <c r="G1846">
        <v>1685</v>
      </c>
      <c r="H1846" t="s">
        <v>98</v>
      </c>
      <c r="I1846">
        <v>2021</v>
      </c>
      <c r="J1846">
        <v>2021</v>
      </c>
      <c r="K1846" t="s">
        <v>339</v>
      </c>
      <c r="L1846">
        <v>210540</v>
      </c>
      <c r="M1846" t="s">
        <v>399</v>
      </c>
      <c r="N1846" t="s">
        <v>400</v>
      </c>
      <c r="O1846">
        <v>189486</v>
      </c>
      <c r="P1846">
        <v>0.18948599999999999</v>
      </c>
      <c r="Q1846" t="s">
        <v>789</v>
      </c>
      <c r="R1846" s="141">
        <v>0.9</v>
      </c>
    </row>
    <row r="1847" spans="1:18" x14ac:dyDescent="0.3">
      <c r="A1847" t="s">
        <v>126</v>
      </c>
      <c r="B1847" t="s">
        <v>125</v>
      </c>
      <c r="C1847" t="s">
        <v>473</v>
      </c>
      <c r="D1847" t="s">
        <v>837</v>
      </c>
      <c r="E1847">
        <v>5510</v>
      </c>
      <c r="F1847" t="s">
        <v>128</v>
      </c>
      <c r="G1847">
        <v>1654</v>
      </c>
      <c r="H1847" t="s">
        <v>141</v>
      </c>
      <c r="I1847">
        <v>2021</v>
      </c>
      <c r="J1847">
        <v>2021</v>
      </c>
    </row>
    <row r="1848" spans="1:18" x14ac:dyDescent="0.3">
      <c r="A1848" t="s">
        <v>126</v>
      </c>
      <c r="B1848" t="s">
        <v>125</v>
      </c>
      <c r="C1848" t="s">
        <v>473</v>
      </c>
      <c r="D1848" t="s">
        <v>837</v>
      </c>
      <c r="E1848">
        <v>5610</v>
      </c>
      <c r="F1848" t="s">
        <v>127</v>
      </c>
      <c r="G1848">
        <v>1654</v>
      </c>
      <c r="H1848" t="s">
        <v>141</v>
      </c>
      <c r="I1848">
        <v>2021</v>
      </c>
      <c r="J1848">
        <v>2021</v>
      </c>
    </row>
    <row r="1849" spans="1:18" x14ac:dyDescent="0.3">
      <c r="A1849" t="s">
        <v>126</v>
      </c>
      <c r="B1849" t="s">
        <v>125</v>
      </c>
      <c r="C1849" t="s">
        <v>473</v>
      </c>
      <c r="D1849" t="s">
        <v>837</v>
      </c>
      <c r="E1849">
        <v>5910</v>
      </c>
      <c r="F1849" t="s">
        <v>124</v>
      </c>
      <c r="G1849">
        <v>1654</v>
      </c>
      <c r="H1849" t="s">
        <v>141</v>
      </c>
      <c r="I1849">
        <v>2021</v>
      </c>
      <c r="J1849">
        <v>2021</v>
      </c>
    </row>
    <row r="1850" spans="1:18" x14ac:dyDescent="0.3">
      <c r="A1850" t="s">
        <v>126</v>
      </c>
      <c r="B1850" t="s">
        <v>125</v>
      </c>
      <c r="C1850" t="s">
        <v>473</v>
      </c>
      <c r="D1850" t="s">
        <v>837</v>
      </c>
      <c r="E1850">
        <v>5510</v>
      </c>
      <c r="F1850" t="s">
        <v>128</v>
      </c>
      <c r="G1850">
        <v>1655</v>
      </c>
      <c r="H1850" t="s">
        <v>140</v>
      </c>
      <c r="I1850">
        <v>2021</v>
      </c>
      <c r="J1850">
        <v>2021</v>
      </c>
    </row>
    <row r="1851" spans="1:18" x14ac:dyDescent="0.3">
      <c r="A1851" t="s">
        <v>126</v>
      </c>
      <c r="B1851" t="s">
        <v>125</v>
      </c>
      <c r="C1851" t="s">
        <v>473</v>
      </c>
      <c r="D1851" t="s">
        <v>837</v>
      </c>
      <c r="E1851">
        <v>5610</v>
      </c>
      <c r="F1851" t="s">
        <v>127</v>
      </c>
      <c r="G1851">
        <v>1655</v>
      </c>
      <c r="H1851" t="s">
        <v>140</v>
      </c>
      <c r="I1851">
        <v>2021</v>
      </c>
      <c r="J1851">
        <v>2021</v>
      </c>
    </row>
    <row r="1852" spans="1:18" x14ac:dyDescent="0.3">
      <c r="A1852" t="s">
        <v>126</v>
      </c>
      <c r="B1852" t="s">
        <v>125</v>
      </c>
      <c r="C1852" t="s">
        <v>473</v>
      </c>
      <c r="D1852" t="s">
        <v>837</v>
      </c>
      <c r="E1852">
        <v>5910</v>
      </c>
      <c r="F1852" t="s">
        <v>124</v>
      </c>
      <c r="G1852">
        <v>1655</v>
      </c>
      <c r="H1852" t="s">
        <v>140</v>
      </c>
      <c r="I1852">
        <v>2021</v>
      </c>
      <c r="J1852">
        <v>2021</v>
      </c>
    </row>
    <row r="1853" spans="1:18" x14ac:dyDescent="0.3">
      <c r="A1853" t="s">
        <v>126</v>
      </c>
      <c r="B1853" t="s">
        <v>125</v>
      </c>
      <c r="C1853" t="s">
        <v>473</v>
      </c>
      <c r="D1853" t="s">
        <v>837</v>
      </c>
      <c r="E1853">
        <v>5510</v>
      </c>
      <c r="F1853" t="s">
        <v>128</v>
      </c>
      <c r="G1853">
        <v>1656</v>
      </c>
      <c r="H1853" t="s">
        <v>97</v>
      </c>
      <c r="I1853">
        <v>2021</v>
      </c>
      <c r="J1853">
        <v>2021</v>
      </c>
      <c r="K1853" t="s">
        <v>339</v>
      </c>
      <c r="L1853">
        <v>44411000</v>
      </c>
      <c r="M1853" t="s">
        <v>397</v>
      </c>
      <c r="N1853" t="s">
        <v>398</v>
      </c>
      <c r="O1853">
        <v>39969900</v>
      </c>
      <c r="P1853">
        <v>39.969899999999996</v>
      </c>
      <c r="Q1853" t="s">
        <v>790</v>
      </c>
      <c r="R1853" s="141">
        <v>0.9</v>
      </c>
    </row>
    <row r="1854" spans="1:18" x14ac:dyDescent="0.3">
      <c r="A1854" t="s">
        <v>126</v>
      </c>
      <c r="B1854" t="s">
        <v>125</v>
      </c>
      <c r="C1854" t="s">
        <v>473</v>
      </c>
      <c r="D1854" t="s">
        <v>837</v>
      </c>
      <c r="E1854">
        <v>5610</v>
      </c>
      <c r="F1854" t="s">
        <v>127</v>
      </c>
      <c r="G1854">
        <v>1656</v>
      </c>
      <c r="H1854" t="s">
        <v>97</v>
      </c>
      <c r="I1854">
        <v>2021</v>
      </c>
      <c r="J1854">
        <v>2021</v>
      </c>
      <c r="K1854" t="s">
        <v>339</v>
      </c>
      <c r="L1854">
        <v>5652340</v>
      </c>
      <c r="M1854" t="s">
        <v>397</v>
      </c>
      <c r="N1854" t="s">
        <v>398</v>
      </c>
      <c r="O1854">
        <v>5087106</v>
      </c>
      <c r="P1854">
        <v>5.0871059999999995</v>
      </c>
      <c r="Q1854" t="s">
        <v>791</v>
      </c>
      <c r="R1854" s="141">
        <v>0.9</v>
      </c>
    </row>
    <row r="1855" spans="1:18" x14ac:dyDescent="0.3">
      <c r="A1855" t="s">
        <v>126</v>
      </c>
      <c r="B1855" t="s">
        <v>125</v>
      </c>
      <c r="C1855" t="s">
        <v>473</v>
      </c>
      <c r="D1855" t="s">
        <v>837</v>
      </c>
      <c r="E1855">
        <v>5910</v>
      </c>
      <c r="F1855" t="s">
        <v>124</v>
      </c>
      <c r="G1855">
        <v>1656</v>
      </c>
      <c r="H1855" t="s">
        <v>97</v>
      </c>
      <c r="I1855">
        <v>2021</v>
      </c>
      <c r="J1855">
        <v>2021</v>
      </c>
      <c r="K1855" t="s">
        <v>339</v>
      </c>
      <c r="L1855">
        <v>6619890</v>
      </c>
      <c r="M1855" t="s">
        <v>397</v>
      </c>
      <c r="N1855" t="s">
        <v>398</v>
      </c>
      <c r="O1855">
        <v>5957901</v>
      </c>
      <c r="P1855">
        <v>5.9579009999999997</v>
      </c>
      <c r="Q1855" t="s">
        <v>792</v>
      </c>
      <c r="R1855" s="141">
        <v>0.9</v>
      </c>
    </row>
    <row r="1856" spans="1:18" x14ac:dyDescent="0.3">
      <c r="A1856" t="s">
        <v>126</v>
      </c>
      <c r="B1856" t="s">
        <v>125</v>
      </c>
      <c r="C1856" t="s">
        <v>473</v>
      </c>
      <c r="D1856" t="s">
        <v>837</v>
      </c>
      <c r="E1856">
        <v>5510</v>
      </c>
      <c r="F1856" t="s">
        <v>128</v>
      </c>
      <c r="G1856">
        <v>1662</v>
      </c>
      <c r="H1856" t="s">
        <v>139</v>
      </c>
      <c r="I1856">
        <v>2021</v>
      </c>
      <c r="J1856">
        <v>2021</v>
      </c>
      <c r="K1856" t="s">
        <v>339</v>
      </c>
      <c r="L1856">
        <v>23905000</v>
      </c>
      <c r="M1856" t="s">
        <v>829</v>
      </c>
      <c r="N1856" t="s">
        <v>830</v>
      </c>
    </row>
    <row r="1857" spans="1:18" x14ac:dyDescent="0.3">
      <c r="A1857" t="s">
        <v>126</v>
      </c>
      <c r="B1857" t="s">
        <v>125</v>
      </c>
      <c r="C1857" t="s">
        <v>473</v>
      </c>
      <c r="D1857" t="s">
        <v>837</v>
      </c>
      <c r="E1857">
        <v>5610</v>
      </c>
      <c r="F1857" t="s">
        <v>127</v>
      </c>
      <c r="G1857">
        <v>1662</v>
      </c>
      <c r="H1857" t="s">
        <v>139</v>
      </c>
      <c r="I1857">
        <v>2021</v>
      </c>
      <c r="J1857">
        <v>2021</v>
      </c>
      <c r="K1857" t="s">
        <v>339</v>
      </c>
      <c r="L1857">
        <v>143560</v>
      </c>
      <c r="M1857" t="s">
        <v>829</v>
      </c>
      <c r="N1857" t="s">
        <v>830</v>
      </c>
    </row>
    <row r="1858" spans="1:18" x14ac:dyDescent="0.3">
      <c r="A1858" t="s">
        <v>126</v>
      </c>
      <c r="B1858" t="s">
        <v>125</v>
      </c>
      <c r="C1858" t="s">
        <v>473</v>
      </c>
      <c r="D1858" t="s">
        <v>837</v>
      </c>
      <c r="E1858">
        <v>5910</v>
      </c>
      <c r="F1858" t="s">
        <v>124</v>
      </c>
      <c r="G1858">
        <v>1662</v>
      </c>
      <c r="H1858" t="s">
        <v>139</v>
      </c>
      <c r="I1858">
        <v>2021</v>
      </c>
      <c r="J1858">
        <v>2021</v>
      </c>
      <c r="K1858" t="s">
        <v>339</v>
      </c>
      <c r="L1858">
        <v>362130</v>
      </c>
      <c r="M1858" t="s">
        <v>829</v>
      </c>
      <c r="N1858" t="s">
        <v>830</v>
      </c>
    </row>
    <row r="1859" spans="1:18" x14ac:dyDescent="0.3">
      <c r="A1859" t="s">
        <v>126</v>
      </c>
      <c r="B1859" t="s">
        <v>125</v>
      </c>
      <c r="C1859" t="s">
        <v>473</v>
      </c>
      <c r="D1859" t="s">
        <v>837</v>
      </c>
      <c r="E1859">
        <v>5510</v>
      </c>
      <c r="F1859" t="s">
        <v>128</v>
      </c>
      <c r="G1859">
        <v>1663</v>
      </c>
      <c r="H1859" t="s">
        <v>138</v>
      </c>
      <c r="I1859">
        <v>2021</v>
      </c>
      <c r="J1859">
        <v>2021</v>
      </c>
      <c r="K1859" t="s">
        <v>339</v>
      </c>
      <c r="L1859">
        <v>20262000</v>
      </c>
      <c r="M1859" t="s">
        <v>399</v>
      </c>
      <c r="N1859" t="s">
        <v>400</v>
      </c>
    </row>
    <row r="1860" spans="1:18" x14ac:dyDescent="0.3">
      <c r="A1860" t="s">
        <v>126</v>
      </c>
      <c r="B1860" t="s">
        <v>125</v>
      </c>
      <c r="C1860" t="s">
        <v>473</v>
      </c>
      <c r="D1860" t="s">
        <v>837</v>
      </c>
      <c r="E1860">
        <v>5610</v>
      </c>
      <c r="F1860" t="s">
        <v>127</v>
      </c>
      <c r="G1860">
        <v>1663</v>
      </c>
      <c r="H1860" t="s">
        <v>138</v>
      </c>
      <c r="I1860">
        <v>2021</v>
      </c>
      <c r="J1860">
        <v>2021</v>
      </c>
      <c r="K1860" t="s">
        <v>339</v>
      </c>
      <c r="L1860">
        <v>5042720</v>
      </c>
      <c r="M1860" t="s">
        <v>399</v>
      </c>
      <c r="N1860" t="s">
        <v>400</v>
      </c>
    </row>
    <row r="1861" spans="1:18" x14ac:dyDescent="0.3">
      <c r="A1861" t="s">
        <v>126</v>
      </c>
      <c r="B1861" t="s">
        <v>125</v>
      </c>
      <c r="C1861" t="s">
        <v>473</v>
      </c>
      <c r="D1861" t="s">
        <v>837</v>
      </c>
      <c r="E1861">
        <v>5910</v>
      </c>
      <c r="F1861" t="s">
        <v>124</v>
      </c>
      <c r="G1861">
        <v>1663</v>
      </c>
      <c r="H1861" t="s">
        <v>138</v>
      </c>
      <c r="I1861">
        <v>2021</v>
      </c>
      <c r="J1861">
        <v>2021</v>
      </c>
      <c r="K1861" t="s">
        <v>339</v>
      </c>
      <c r="L1861">
        <v>6217770</v>
      </c>
      <c r="M1861" t="s">
        <v>399</v>
      </c>
      <c r="N1861" t="s">
        <v>400</v>
      </c>
    </row>
    <row r="1862" spans="1:18" x14ac:dyDescent="0.3">
      <c r="A1862" t="s">
        <v>126</v>
      </c>
      <c r="B1862" t="s">
        <v>125</v>
      </c>
      <c r="C1862" t="s">
        <v>473</v>
      </c>
      <c r="D1862" t="s">
        <v>837</v>
      </c>
      <c r="E1862">
        <v>5510</v>
      </c>
      <c r="F1862" t="s">
        <v>128</v>
      </c>
      <c r="G1862">
        <v>1686</v>
      </c>
      <c r="H1862" t="s">
        <v>137</v>
      </c>
      <c r="I1862">
        <v>2021</v>
      </c>
      <c r="J1862">
        <v>2021</v>
      </c>
      <c r="K1862" t="s">
        <v>339</v>
      </c>
      <c r="L1862">
        <v>244000</v>
      </c>
      <c r="M1862" t="s">
        <v>399</v>
      </c>
      <c r="N1862" t="s">
        <v>400</v>
      </c>
    </row>
    <row r="1863" spans="1:18" x14ac:dyDescent="0.3">
      <c r="A1863" t="s">
        <v>126</v>
      </c>
      <c r="B1863" t="s">
        <v>125</v>
      </c>
      <c r="C1863" t="s">
        <v>473</v>
      </c>
      <c r="D1863" t="s">
        <v>837</v>
      </c>
      <c r="E1863">
        <v>5610</v>
      </c>
      <c r="F1863" t="s">
        <v>127</v>
      </c>
      <c r="G1863">
        <v>1686</v>
      </c>
      <c r="H1863" t="s">
        <v>137</v>
      </c>
      <c r="I1863">
        <v>2021</v>
      </c>
      <c r="J1863">
        <v>2021</v>
      </c>
      <c r="K1863" t="s">
        <v>339</v>
      </c>
      <c r="L1863">
        <v>466060</v>
      </c>
      <c r="M1863" t="s">
        <v>399</v>
      </c>
      <c r="N1863" t="s">
        <v>400</v>
      </c>
    </row>
    <row r="1864" spans="1:18" x14ac:dyDescent="0.3">
      <c r="A1864" t="s">
        <v>126</v>
      </c>
      <c r="B1864" t="s">
        <v>125</v>
      </c>
      <c r="C1864" t="s">
        <v>473</v>
      </c>
      <c r="D1864" t="s">
        <v>837</v>
      </c>
      <c r="E1864">
        <v>5910</v>
      </c>
      <c r="F1864" t="s">
        <v>124</v>
      </c>
      <c r="G1864">
        <v>1686</v>
      </c>
      <c r="H1864" t="s">
        <v>137</v>
      </c>
      <c r="I1864">
        <v>2021</v>
      </c>
      <c r="J1864">
        <v>2021</v>
      </c>
      <c r="K1864" t="s">
        <v>339</v>
      </c>
      <c r="L1864">
        <v>39990</v>
      </c>
      <c r="M1864" t="s">
        <v>399</v>
      </c>
      <c r="N1864" t="s">
        <v>400</v>
      </c>
    </row>
    <row r="1865" spans="1:18" x14ac:dyDescent="0.3">
      <c r="A1865" t="s">
        <v>126</v>
      </c>
      <c r="B1865" t="s">
        <v>125</v>
      </c>
      <c r="C1865" t="s">
        <v>473</v>
      </c>
      <c r="D1865" t="s">
        <v>837</v>
      </c>
      <c r="E1865">
        <v>5510</v>
      </c>
      <c r="F1865" t="s">
        <v>128</v>
      </c>
      <c r="G1865">
        <v>1660</v>
      </c>
      <c r="H1865" t="s">
        <v>136</v>
      </c>
      <c r="I1865">
        <v>2021</v>
      </c>
      <c r="J1865">
        <v>2021</v>
      </c>
    </row>
    <row r="1866" spans="1:18" x14ac:dyDescent="0.3">
      <c r="A1866" t="s">
        <v>126</v>
      </c>
      <c r="B1866" t="s">
        <v>125</v>
      </c>
      <c r="C1866" t="s">
        <v>473</v>
      </c>
      <c r="D1866" t="s">
        <v>837</v>
      </c>
      <c r="E1866">
        <v>5610</v>
      </c>
      <c r="F1866" t="s">
        <v>127</v>
      </c>
      <c r="G1866">
        <v>1660</v>
      </c>
      <c r="H1866" t="s">
        <v>136</v>
      </c>
      <c r="I1866">
        <v>2021</v>
      </c>
      <c r="J1866">
        <v>2021</v>
      </c>
    </row>
    <row r="1867" spans="1:18" x14ac:dyDescent="0.3">
      <c r="A1867" t="s">
        <v>126</v>
      </c>
      <c r="B1867" t="s">
        <v>125</v>
      </c>
      <c r="C1867" t="s">
        <v>473</v>
      </c>
      <c r="D1867" t="s">
        <v>837</v>
      </c>
      <c r="E1867">
        <v>5910</v>
      </c>
      <c r="F1867" t="s">
        <v>124</v>
      </c>
      <c r="G1867">
        <v>1660</v>
      </c>
      <c r="H1867" t="s">
        <v>136</v>
      </c>
      <c r="I1867">
        <v>2021</v>
      </c>
      <c r="J1867">
        <v>2021</v>
      </c>
    </row>
    <row r="1868" spans="1:18" x14ac:dyDescent="0.3">
      <c r="A1868" t="s">
        <v>126</v>
      </c>
      <c r="B1868" t="s">
        <v>125</v>
      </c>
      <c r="C1868" t="s">
        <v>473</v>
      </c>
      <c r="D1868" t="s">
        <v>837</v>
      </c>
      <c r="E1868">
        <v>5510</v>
      </c>
      <c r="F1868" t="s">
        <v>128</v>
      </c>
      <c r="G1868">
        <v>1661</v>
      </c>
      <c r="H1868" t="s">
        <v>135</v>
      </c>
      <c r="I1868">
        <v>2021</v>
      </c>
      <c r="J1868">
        <v>2021</v>
      </c>
    </row>
    <row r="1869" spans="1:18" x14ac:dyDescent="0.3">
      <c r="A1869" t="s">
        <v>126</v>
      </c>
      <c r="B1869" t="s">
        <v>125</v>
      </c>
      <c r="C1869" t="s">
        <v>473</v>
      </c>
      <c r="D1869" t="s">
        <v>837</v>
      </c>
      <c r="E1869">
        <v>5610</v>
      </c>
      <c r="F1869" t="s">
        <v>127</v>
      </c>
      <c r="G1869">
        <v>1661</v>
      </c>
      <c r="H1869" t="s">
        <v>135</v>
      </c>
      <c r="I1869">
        <v>2021</v>
      </c>
      <c r="J1869">
        <v>2021</v>
      </c>
    </row>
    <row r="1870" spans="1:18" x14ac:dyDescent="0.3">
      <c r="A1870" t="s">
        <v>126</v>
      </c>
      <c r="B1870" t="s">
        <v>125</v>
      </c>
      <c r="C1870" t="s">
        <v>473</v>
      </c>
      <c r="D1870" t="s">
        <v>837</v>
      </c>
      <c r="E1870">
        <v>5910</v>
      </c>
      <c r="F1870" t="s">
        <v>124</v>
      </c>
      <c r="G1870">
        <v>1661</v>
      </c>
      <c r="H1870" t="s">
        <v>135</v>
      </c>
      <c r="I1870">
        <v>2021</v>
      </c>
      <c r="J1870">
        <v>2021</v>
      </c>
    </row>
    <row r="1871" spans="1:18" x14ac:dyDescent="0.3">
      <c r="A1871" t="s">
        <v>126</v>
      </c>
      <c r="B1871" t="s">
        <v>125</v>
      </c>
      <c r="C1871" t="s">
        <v>473</v>
      </c>
      <c r="D1871" t="s">
        <v>837</v>
      </c>
      <c r="E1871">
        <v>5510</v>
      </c>
      <c r="F1871" t="s">
        <v>128</v>
      </c>
      <c r="G1871">
        <v>1667</v>
      </c>
      <c r="H1871" t="s">
        <v>96</v>
      </c>
      <c r="I1871">
        <v>2021</v>
      </c>
      <c r="J1871">
        <v>2021</v>
      </c>
      <c r="K1871" t="s">
        <v>339</v>
      </c>
      <c r="L1871">
        <v>1228000</v>
      </c>
      <c r="M1871" t="s">
        <v>399</v>
      </c>
      <c r="N1871" t="s">
        <v>400</v>
      </c>
      <c r="O1871">
        <v>1105200</v>
      </c>
      <c r="P1871">
        <v>1.1052</v>
      </c>
      <c r="Q1871" t="s">
        <v>793</v>
      </c>
      <c r="R1871" s="141">
        <v>0.9</v>
      </c>
    </row>
    <row r="1872" spans="1:18" x14ac:dyDescent="0.3">
      <c r="A1872" t="s">
        <v>126</v>
      </c>
      <c r="B1872" t="s">
        <v>125</v>
      </c>
      <c r="C1872" t="s">
        <v>473</v>
      </c>
      <c r="D1872" t="s">
        <v>837</v>
      </c>
      <c r="E1872">
        <v>5610</v>
      </c>
      <c r="F1872" t="s">
        <v>127</v>
      </c>
      <c r="G1872">
        <v>1667</v>
      </c>
      <c r="H1872" t="s">
        <v>96</v>
      </c>
      <c r="I1872">
        <v>2021</v>
      </c>
      <c r="J1872">
        <v>2021</v>
      </c>
      <c r="K1872" t="s">
        <v>339</v>
      </c>
      <c r="L1872">
        <v>246900</v>
      </c>
      <c r="M1872" t="s">
        <v>399</v>
      </c>
      <c r="N1872" t="s">
        <v>400</v>
      </c>
      <c r="O1872">
        <v>222210</v>
      </c>
      <c r="P1872">
        <v>0.22220999999999999</v>
      </c>
      <c r="Q1872" t="s">
        <v>794</v>
      </c>
      <c r="R1872" s="141">
        <v>0.9</v>
      </c>
    </row>
    <row r="1873" spans="1:18" x14ac:dyDescent="0.3">
      <c r="A1873" t="s">
        <v>126</v>
      </c>
      <c r="B1873" t="s">
        <v>125</v>
      </c>
      <c r="C1873" t="s">
        <v>473</v>
      </c>
      <c r="D1873" t="s">
        <v>837</v>
      </c>
      <c r="E1873">
        <v>5910</v>
      </c>
      <c r="F1873" t="s">
        <v>124</v>
      </c>
      <c r="G1873">
        <v>1667</v>
      </c>
      <c r="H1873" t="s">
        <v>96</v>
      </c>
      <c r="I1873">
        <v>2021</v>
      </c>
      <c r="J1873">
        <v>2021</v>
      </c>
      <c r="K1873" t="s">
        <v>339</v>
      </c>
      <c r="L1873">
        <v>790480</v>
      </c>
      <c r="M1873" t="s">
        <v>399</v>
      </c>
      <c r="N1873" t="s">
        <v>400</v>
      </c>
      <c r="O1873">
        <v>711432</v>
      </c>
      <c r="P1873">
        <v>0.71143199999999995</v>
      </c>
      <c r="Q1873" t="s">
        <v>795</v>
      </c>
      <c r="R1873" s="141">
        <v>0.9</v>
      </c>
    </row>
    <row r="1874" spans="1:18" x14ac:dyDescent="0.3">
      <c r="A1874" t="s">
        <v>126</v>
      </c>
      <c r="B1874" t="s">
        <v>125</v>
      </c>
      <c r="C1874" t="s">
        <v>473</v>
      </c>
      <c r="D1874" t="s">
        <v>837</v>
      </c>
      <c r="E1874">
        <v>5510</v>
      </c>
      <c r="F1874" t="s">
        <v>128</v>
      </c>
      <c r="G1874">
        <v>1668</v>
      </c>
      <c r="H1874" t="s">
        <v>95</v>
      </c>
      <c r="I1874">
        <v>2021</v>
      </c>
      <c r="J1874">
        <v>2021</v>
      </c>
      <c r="K1874" t="s">
        <v>339</v>
      </c>
      <c r="L1874">
        <v>107980</v>
      </c>
      <c r="M1874" t="s">
        <v>399</v>
      </c>
      <c r="N1874" t="s">
        <v>400</v>
      </c>
      <c r="O1874">
        <v>97182</v>
      </c>
      <c r="P1874">
        <v>9.7181999999999991E-2</v>
      </c>
      <c r="Q1874" t="s">
        <v>796</v>
      </c>
      <c r="R1874" s="141">
        <v>0.9</v>
      </c>
    </row>
    <row r="1875" spans="1:18" x14ac:dyDescent="0.3">
      <c r="A1875" t="s">
        <v>126</v>
      </c>
      <c r="B1875" t="s">
        <v>125</v>
      </c>
      <c r="C1875" t="s">
        <v>473</v>
      </c>
      <c r="D1875" t="s">
        <v>837</v>
      </c>
      <c r="E1875">
        <v>5610</v>
      </c>
      <c r="F1875" t="s">
        <v>127</v>
      </c>
      <c r="G1875">
        <v>1668</v>
      </c>
      <c r="H1875" t="s">
        <v>95</v>
      </c>
      <c r="I1875">
        <v>2021</v>
      </c>
      <c r="J1875">
        <v>2021</v>
      </c>
      <c r="K1875" t="s">
        <v>339</v>
      </c>
      <c r="L1875">
        <v>13564</v>
      </c>
      <c r="M1875" t="s">
        <v>832</v>
      </c>
      <c r="N1875" t="s">
        <v>833</v>
      </c>
      <c r="O1875">
        <v>12207.6</v>
      </c>
      <c r="P1875">
        <v>1.2207599999999999E-2</v>
      </c>
      <c r="Q1875" t="s">
        <v>797</v>
      </c>
      <c r="R1875" s="141">
        <v>0.9</v>
      </c>
    </row>
    <row r="1876" spans="1:18" x14ac:dyDescent="0.3">
      <c r="A1876" t="s">
        <v>126</v>
      </c>
      <c r="B1876" t="s">
        <v>125</v>
      </c>
      <c r="C1876" t="s">
        <v>473</v>
      </c>
      <c r="D1876" t="s">
        <v>837</v>
      </c>
      <c r="E1876">
        <v>5910</v>
      </c>
      <c r="F1876" t="s">
        <v>124</v>
      </c>
      <c r="G1876">
        <v>1668</v>
      </c>
      <c r="H1876" t="s">
        <v>95</v>
      </c>
      <c r="I1876">
        <v>2021</v>
      </c>
      <c r="J1876">
        <v>2021</v>
      </c>
      <c r="K1876" t="s">
        <v>339</v>
      </c>
      <c r="L1876">
        <v>86630</v>
      </c>
      <c r="M1876" t="s">
        <v>399</v>
      </c>
      <c r="N1876" t="s">
        <v>400</v>
      </c>
      <c r="O1876">
        <v>77967</v>
      </c>
      <c r="P1876">
        <v>7.7966999999999995E-2</v>
      </c>
      <c r="Q1876" t="s">
        <v>798</v>
      </c>
      <c r="R1876" s="141">
        <v>0.9</v>
      </c>
    </row>
    <row r="1877" spans="1:18" x14ac:dyDescent="0.3">
      <c r="A1877" t="s">
        <v>126</v>
      </c>
      <c r="B1877" t="s">
        <v>125</v>
      </c>
      <c r="C1877" t="s">
        <v>473</v>
      </c>
      <c r="D1877" t="s">
        <v>837</v>
      </c>
      <c r="E1877">
        <v>5510</v>
      </c>
      <c r="F1877" t="s">
        <v>128</v>
      </c>
      <c r="G1877">
        <v>1609</v>
      </c>
      <c r="H1877" t="s">
        <v>94</v>
      </c>
      <c r="I1877">
        <v>2021</v>
      </c>
      <c r="J1877">
        <v>2021</v>
      </c>
      <c r="O1877">
        <v>0</v>
      </c>
      <c r="P1877">
        <v>0</v>
      </c>
      <c r="Q1877" t="s">
        <v>799</v>
      </c>
      <c r="R1877" s="141">
        <v>0.9</v>
      </c>
    </row>
    <row r="1878" spans="1:18" x14ac:dyDescent="0.3">
      <c r="A1878" t="s">
        <v>126</v>
      </c>
      <c r="B1878" t="s">
        <v>125</v>
      </c>
      <c r="C1878" t="s">
        <v>473</v>
      </c>
      <c r="D1878" t="s">
        <v>837</v>
      </c>
      <c r="E1878">
        <v>5610</v>
      </c>
      <c r="F1878" t="s">
        <v>127</v>
      </c>
      <c r="G1878">
        <v>1609</v>
      </c>
      <c r="H1878" t="s">
        <v>94</v>
      </c>
      <c r="I1878">
        <v>2021</v>
      </c>
      <c r="J1878">
        <v>2021</v>
      </c>
      <c r="K1878" t="s">
        <v>339</v>
      </c>
      <c r="L1878">
        <v>7966</v>
      </c>
      <c r="M1878" t="s">
        <v>832</v>
      </c>
      <c r="N1878" t="s">
        <v>833</v>
      </c>
      <c r="O1878">
        <v>7169.4000000000005</v>
      </c>
      <c r="P1878">
        <v>7.1694000000000003E-3</v>
      </c>
      <c r="Q1878" t="s">
        <v>800</v>
      </c>
      <c r="R1878" s="141">
        <v>0.9</v>
      </c>
    </row>
    <row r="1879" spans="1:18" x14ac:dyDescent="0.3">
      <c r="A1879" t="s">
        <v>126</v>
      </c>
      <c r="B1879" t="s">
        <v>125</v>
      </c>
      <c r="C1879" t="s">
        <v>473</v>
      </c>
      <c r="D1879" t="s">
        <v>837</v>
      </c>
      <c r="E1879">
        <v>5910</v>
      </c>
      <c r="F1879" t="s">
        <v>124</v>
      </c>
      <c r="G1879">
        <v>1609</v>
      </c>
      <c r="H1879" t="s">
        <v>94</v>
      </c>
      <c r="I1879">
        <v>2021</v>
      </c>
      <c r="J1879">
        <v>2021</v>
      </c>
      <c r="K1879" t="s">
        <v>339</v>
      </c>
      <c r="L1879">
        <v>429130</v>
      </c>
      <c r="M1879" t="s">
        <v>399</v>
      </c>
      <c r="N1879" t="s">
        <v>400</v>
      </c>
      <c r="O1879">
        <v>386217</v>
      </c>
      <c r="P1879">
        <v>0.38621699999999998</v>
      </c>
      <c r="Q1879" t="s">
        <v>801</v>
      </c>
      <c r="R1879" s="141">
        <v>0.9</v>
      </c>
    </row>
    <row r="1880" spans="1:18" x14ac:dyDescent="0.3">
      <c r="A1880" t="s">
        <v>126</v>
      </c>
      <c r="B1880" t="s">
        <v>125</v>
      </c>
      <c r="C1880" t="s">
        <v>473</v>
      </c>
      <c r="D1880" t="s">
        <v>837</v>
      </c>
      <c r="E1880">
        <v>5510</v>
      </c>
      <c r="F1880" t="s">
        <v>128</v>
      </c>
      <c r="G1880">
        <v>1669</v>
      </c>
      <c r="H1880" t="s">
        <v>134</v>
      </c>
      <c r="I1880">
        <v>2021</v>
      </c>
      <c r="J1880">
        <v>2021</v>
      </c>
      <c r="K1880" t="s">
        <v>339</v>
      </c>
      <c r="L1880">
        <v>45036992</v>
      </c>
      <c r="M1880" t="s">
        <v>399</v>
      </c>
      <c r="N1880" t="s">
        <v>400</v>
      </c>
      <c r="O1880">
        <v>39407368</v>
      </c>
      <c r="P1880">
        <v>39.407367999999998</v>
      </c>
      <c r="Q1880" t="s">
        <v>802</v>
      </c>
      <c r="R1880" s="141">
        <v>0.875</v>
      </c>
    </row>
    <row r="1881" spans="1:18" x14ac:dyDescent="0.3">
      <c r="A1881" t="s">
        <v>126</v>
      </c>
      <c r="B1881" t="s">
        <v>125</v>
      </c>
      <c r="C1881" t="s">
        <v>473</v>
      </c>
      <c r="D1881" t="s">
        <v>837</v>
      </c>
      <c r="E1881">
        <v>5610</v>
      </c>
      <c r="F1881" t="s">
        <v>127</v>
      </c>
      <c r="G1881">
        <v>1669</v>
      </c>
      <c r="H1881" t="s">
        <v>134</v>
      </c>
      <c r="I1881">
        <v>2021</v>
      </c>
      <c r="J1881">
        <v>2021</v>
      </c>
      <c r="K1881" t="s">
        <v>339</v>
      </c>
      <c r="L1881">
        <v>878060</v>
      </c>
      <c r="M1881" t="s">
        <v>399</v>
      </c>
      <c r="N1881" t="s">
        <v>400</v>
      </c>
      <c r="O1881">
        <v>768302.5</v>
      </c>
      <c r="P1881">
        <v>0.7683025</v>
      </c>
      <c r="Q1881" t="s">
        <v>803</v>
      </c>
      <c r="R1881" s="141">
        <v>0.875</v>
      </c>
    </row>
    <row r="1882" spans="1:18" x14ac:dyDescent="0.3">
      <c r="A1882" t="s">
        <v>126</v>
      </c>
      <c r="B1882" t="s">
        <v>125</v>
      </c>
      <c r="C1882" t="s">
        <v>473</v>
      </c>
      <c r="D1882" t="s">
        <v>837</v>
      </c>
      <c r="E1882">
        <v>5910</v>
      </c>
      <c r="F1882" t="s">
        <v>124</v>
      </c>
      <c r="G1882">
        <v>1669</v>
      </c>
      <c r="H1882" t="s">
        <v>134</v>
      </c>
      <c r="I1882">
        <v>2021</v>
      </c>
      <c r="J1882">
        <v>2021</v>
      </c>
      <c r="K1882" t="s">
        <v>339</v>
      </c>
      <c r="L1882">
        <v>16334460</v>
      </c>
      <c r="M1882" t="s">
        <v>399</v>
      </c>
      <c r="N1882" t="s">
        <v>400</v>
      </c>
      <c r="O1882">
        <v>14292652.5</v>
      </c>
      <c r="P1882">
        <v>14.292652499999999</v>
      </c>
      <c r="Q1882" t="s">
        <v>804</v>
      </c>
      <c r="R1882" s="141">
        <v>0.875</v>
      </c>
    </row>
    <row r="1883" spans="1:18" x14ac:dyDescent="0.3">
      <c r="A1883" t="s">
        <v>126</v>
      </c>
      <c r="B1883" t="s">
        <v>125</v>
      </c>
      <c r="C1883" t="s">
        <v>473</v>
      </c>
      <c r="D1883" t="s">
        <v>837</v>
      </c>
      <c r="E1883">
        <v>5510</v>
      </c>
      <c r="F1883" t="s">
        <v>128</v>
      </c>
      <c r="G1883">
        <v>1671</v>
      </c>
      <c r="H1883" t="s">
        <v>89</v>
      </c>
      <c r="I1883">
        <v>2021</v>
      </c>
      <c r="J1883">
        <v>2021</v>
      </c>
      <c r="K1883" t="s">
        <v>339</v>
      </c>
      <c r="L1883">
        <v>370131</v>
      </c>
      <c r="M1883" t="s">
        <v>399</v>
      </c>
      <c r="N1883" t="s">
        <v>400</v>
      </c>
      <c r="O1883">
        <v>351624.45</v>
      </c>
      <c r="P1883">
        <v>0.35162444999999998</v>
      </c>
      <c r="Q1883" t="s">
        <v>805</v>
      </c>
      <c r="R1883" s="141">
        <v>0.95</v>
      </c>
    </row>
    <row r="1884" spans="1:18" x14ac:dyDescent="0.3">
      <c r="A1884" t="s">
        <v>126</v>
      </c>
      <c r="B1884" t="s">
        <v>125</v>
      </c>
      <c r="C1884" t="s">
        <v>473</v>
      </c>
      <c r="D1884" t="s">
        <v>837</v>
      </c>
      <c r="E1884">
        <v>5610</v>
      </c>
      <c r="F1884" t="s">
        <v>127</v>
      </c>
      <c r="G1884">
        <v>1671</v>
      </c>
      <c r="H1884" t="s">
        <v>89</v>
      </c>
      <c r="I1884">
        <v>2021</v>
      </c>
      <c r="J1884">
        <v>2021</v>
      </c>
      <c r="K1884" t="s">
        <v>339</v>
      </c>
      <c r="L1884">
        <v>1064720</v>
      </c>
      <c r="M1884" t="s">
        <v>399</v>
      </c>
      <c r="N1884" t="s">
        <v>400</v>
      </c>
      <c r="O1884">
        <v>1011484</v>
      </c>
      <c r="P1884">
        <v>1.011484</v>
      </c>
      <c r="Q1884" t="s">
        <v>806</v>
      </c>
      <c r="R1884" s="141">
        <v>0.95</v>
      </c>
    </row>
    <row r="1885" spans="1:18" x14ac:dyDescent="0.3">
      <c r="A1885" t="s">
        <v>126</v>
      </c>
      <c r="B1885" t="s">
        <v>125</v>
      </c>
      <c r="C1885" t="s">
        <v>473</v>
      </c>
      <c r="D1885" t="s">
        <v>837</v>
      </c>
      <c r="E1885">
        <v>5910</v>
      </c>
      <c r="F1885" t="s">
        <v>124</v>
      </c>
      <c r="G1885">
        <v>1671</v>
      </c>
      <c r="H1885" t="s">
        <v>89</v>
      </c>
      <c r="I1885">
        <v>2021</v>
      </c>
      <c r="J1885">
        <v>2021</v>
      </c>
      <c r="K1885" t="s">
        <v>339</v>
      </c>
      <c r="L1885">
        <v>119900</v>
      </c>
      <c r="M1885" t="s">
        <v>399</v>
      </c>
      <c r="N1885" t="s">
        <v>400</v>
      </c>
      <c r="O1885">
        <v>113905</v>
      </c>
      <c r="P1885">
        <v>0.11390499999999999</v>
      </c>
      <c r="Q1885" t="s">
        <v>807</v>
      </c>
      <c r="R1885" s="141">
        <v>0.95</v>
      </c>
    </row>
    <row r="1886" spans="1:18" x14ac:dyDescent="0.3">
      <c r="A1886" t="s">
        <v>126</v>
      </c>
      <c r="B1886" t="s">
        <v>125</v>
      </c>
      <c r="C1886" t="s">
        <v>473</v>
      </c>
      <c r="D1886" t="s">
        <v>837</v>
      </c>
      <c r="E1886">
        <v>5510</v>
      </c>
      <c r="F1886" t="s">
        <v>128</v>
      </c>
      <c r="G1886">
        <v>1674</v>
      </c>
      <c r="H1886" t="s">
        <v>88</v>
      </c>
      <c r="I1886">
        <v>2021</v>
      </c>
      <c r="J1886">
        <v>2021</v>
      </c>
      <c r="K1886" t="s">
        <v>339</v>
      </c>
      <c r="L1886">
        <v>7926075</v>
      </c>
      <c r="M1886" t="s">
        <v>397</v>
      </c>
      <c r="N1886" t="s">
        <v>398</v>
      </c>
      <c r="O1886">
        <v>7529771.25</v>
      </c>
      <c r="P1886">
        <v>7.5297712499999996</v>
      </c>
      <c r="Q1886" t="s">
        <v>808</v>
      </c>
      <c r="R1886" s="141">
        <v>0.95</v>
      </c>
    </row>
    <row r="1887" spans="1:18" x14ac:dyDescent="0.3">
      <c r="A1887" t="s">
        <v>126</v>
      </c>
      <c r="B1887" t="s">
        <v>125</v>
      </c>
      <c r="C1887" t="s">
        <v>473</v>
      </c>
      <c r="D1887" t="s">
        <v>837</v>
      </c>
      <c r="E1887">
        <v>5610</v>
      </c>
      <c r="F1887" t="s">
        <v>127</v>
      </c>
      <c r="G1887">
        <v>1674</v>
      </c>
      <c r="H1887" t="s">
        <v>88</v>
      </c>
      <c r="I1887">
        <v>2021</v>
      </c>
      <c r="J1887">
        <v>2021</v>
      </c>
      <c r="K1887" t="s">
        <v>339</v>
      </c>
      <c r="L1887">
        <v>3544180</v>
      </c>
      <c r="M1887" t="s">
        <v>397</v>
      </c>
      <c r="N1887" t="s">
        <v>398</v>
      </c>
      <c r="O1887">
        <v>3366971</v>
      </c>
      <c r="P1887">
        <v>3.3669709999999999</v>
      </c>
      <c r="Q1887" t="s">
        <v>809</v>
      </c>
      <c r="R1887" s="141">
        <v>0.95</v>
      </c>
    </row>
    <row r="1888" spans="1:18" x14ac:dyDescent="0.3">
      <c r="A1888" t="s">
        <v>126</v>
      </c>
      <c r="B1888" t="s">
        <v>125</v>
      </c>
      <c r="C1888" t="s">
        <v>473</v>
      </c>
      <c r="D1888" t="s">
        <v>837</v>
      </c>
      <c r="E1888">
        <v>5910</v>
      </c>
      <c r="F1888" t="s">
        <v>124</v>
      </c>
      <c r="G1888">
        <v>1674</v>
      </c>
      <c r="H1888" t="s">
        <v>88</v>
      </c>
      <c r="I1888">
        <v>2021</v>
      </c>
      <c r="J1888">
        <v>2021</v>
      </c>
      <c r="K1888" t="s">
        <v>339</v>
      </c>
      <c r="L1888">
        <v>1163199</v>
      </c>
      <c r="M1888" t="s">
        <v>397</v>
      </c>
      <c r="N1888" t="s">
        <v>398</v>
      </c>
      <c r="O1888">
        <v>1105039.05</v>
      </c>
      <c r="P1888">
        <v>1.10503905</v>
      </c>
      <c r="Q1888" t="s">
        <v>810</v>
      </c>
      <c r="R1888" s="141">
        <v>0.95</v>
      </c>
    </row>
    <row r="1889" spans="1:18" x14ac:dyDescent="0.3">
      <c r="A1889" t="s">
        <v>126</v>
      </c>
      <c r="B1889" t="s">
        <v>125</v>
      </c>
      <c r="C1889" t="s">
        <v>473</v>
      </c>
      <c r="D1889" t="s">
        <v>837</v>
      </c>
      <c r="E1889">
        <v>5510</v>
      </c>
      <c r="F1889" t="s">
        <v>128</v>
      </c>
      <c r="G1889">
        <v>1612</v>
      </c>
      <c r="H1889" t="s">
        <v>133</v>
      </c>
      <c r="I1889">
        <v>2021</v>
      </c>
      <c r="J1889">
        <v>2021</v>
      </c>
      <c r="K1889" t="s">
        <v>339</v>
      </c>
      <c r="L1889">
        <v>394625</v>
      </c>
      <c r="M1889" t="s">
        <v>399</v>
      </c>
      <c r="N1889" t="s">
        <v>400</v>
      </c>
    </row>
    <row r="1890" spans="1:18" x14ac:dyDescent="0.3">
      <c r="A1890" t="s">
        <v>126</v>
      </c>
      <c r="B1890" t="s">
        <v>125</v>
      </c>
      <c r="C1890" t="s">
        <v>473</v>
      </c>
      <c r="D1890" t="s">
        <v>837</v>
      </c>
      <c r="E1890">
        <v>5610</v>
      </c>
      <c r="F1890" t="s">
        <v>127</v>
      </c>
      <c r="G1890">
        <v>1612</v>
      </c>
      <c r="H1890" t="s">
        <v>133</v>
      </c>
      <c r="I1890">
        <v>2021</v>
      </c>
      <c r="J1890">
        <v>2021</v>
      </c>
      <c r="K1890" t="s">
        <v>339</v>
      </c>
      <c r="L1890">
        <v>1194624</v>
      </c>
      <c r="M1890" t="s">
        <v>399</v>
      </c>
      <c r="N1890" t="s">
        <v>400</v>
      </c>
    </row>
    <row r="1891" spans="1:18" x14ac:dyDescent="0.3">
      <c r="A1891" t="s">
        <v>126</v>
      </c>
      <c r="B1891" t="s">
        <v>125</v>
      </c>
      <c r="C1891" t="s">
        <v>473</v>
      </c>
      <c r="D1891" t="s">
        <v>837</v>
      </c>
      <c r="E1891">
        <v>5910</v>
      </c>
      <c r="F1891" t="s">
        <v>124</v>
      </c>
      <c r="G1891">
        <v>1612</v>
      </c>
      <c r="H1891" t="s">
        <v>133</v>
      </c>
      <c r="I1891">
        <v>2021</v>
      </c>
      <c r="J1891">
        <v>2021</v>
      </c>
      <c r="K1891" t="s">
        <v>339</v>
      </c>
      <c r="L1891">
        <v>58559</v>
      </c>
      <c r="M1891" t="s">
        <v>399</v>
      </c>
      <c r="N1891" t="s">
        <v>400</v>
      </c>
    </row>
    <row r="1892" spans="1:18" x14ac:dyDescent="0.3">
      <c r="A1892" t="s">
        <v>126</v>
      </c>
      <c r="B1892" t="s">
        <v>125</v>
      </c>
      <c r="C1892" t="s">
        <v>473</v>
      </c>
      <c r="D1892" t="s">
        <v>837</v>
      </c>
      <c r="E1892">
        <v>5510</v>
      </c>
      <c r="F1892" t="s">
        <v>128</v>
      </c>
      <c r="G1892">
        <v>1615</v>
      </c>
      <c r="H1892" t="s">
        <v>132</v>
      </c>
      <c r="I1892">
        <v>2021</v>
      </c>
      <c r="J1892">
        <v>2021</v>
      </c>
      <c r="K1892" t="s">
        <v>339</v>
      </c>
      <c r="L1892">
        <v>4774515</v>
      </c>
      <c r="M1892" t="s">
        <v>399</v>
      </c>
      <c r="N1892" t="s">
        <v>400</v>
      </c>
    </row>
    <row r="1893" spans="1:18" x14ac:dyDescent="0.3">
      <c r="A1893" t="s">
        <v>126</v>
      </c>
      <c r="B1893" t="s">
        <v>125</v>
      </c>
      <c r="C1893" t="s">
        <v>473</v>
      </c>
      <c r="D1893" t="s">
        <v>837</v>
      </c>
      <c r="E1893">
        <v>5610</v>
      </c>
      <c r="F1893" t="s">
        <v>127</v>
      </c>
      <c r="G1893">
        <v>1615</v>
      </c>
      <c r="H1893" t="s">
        <v>132</v>
      </c>
      <c r="I1893">
        <v>2021</v>
      </c>
      <c r="J1893">
        <v>2021</v>
      </c>
      <c r="K1893" t="s">
        <v>339</v>
      </c>
      <c r="L1893">
        <v>986477</v>
      </c>
      <c r="M1893" t="s">
        <v>399</v>
      </c>
      <c r="N1893" t="s">
        <v>400</v>
      </c>
    </row>
    <row r="1894" spans="1:18" x14ac:dyDescent="0.3">
      <c r="A1894" t="s">
        <v>126</v>
      </c>
      <c r="B1894" t="s">
        <v>125</v>
      </c>
      <c r="C1894" t="s">
        <v>473</v>
      </c>
      <c r="D1894" t="s">
        <v>837</v>
      </c>
      <c r="E1894">
        <v>5910</v>
      </c>
      <c r="F1894" t="s">
        <v>124</v>
      </c>
      <c r="G1894">
        <v>1615</v>
      </c>
      <c r="H1894" t="s">
        <v>132</v>
      </c>
      <c r="I1894">
        <v>2021</v>
      </c>
      <c r="J1894">
        <v>2021</v>
      </c>
      <c r="K1894" t="s">
        <v>339</v>
      </c>
      <c r="L1894">
        <v>330741</v>
      </c>
      <c r="M1894" t="s">
        <v>399</v>
      </c>
      <c r="N1894" t="s">
        <v>400</v>
      </c>
    </row>
    <row r="1895" spans="1:18" x14ac:dyDescent="0.3">
      <c r="A1895" t="s">
        <v>126</v>
      </c>
      <c r="B1895" t="s">
        <v>125</v>
      </c>
      <c r="C1895" t="s">
        <v>473</v>
      </c>
      <c r="D1895" t="s">
        <v>837</v>
      </c>
      <c r="E1895">
        <v>5510</v>
      </c>
      <c r="F1895" t="s">
        <v>128</v>
      </c>
      <c r="G1895">
        <v>1616</v>
      </c>
      <c r="H1895" t="s">
        <v>131</v>
      </c>
      <c r="I1895">
        <v>2021</v>
      </c>
      <c r="J1895">
        <v>2021</v>
      </c>
      <c r="K1895" t="s">
        <v>339</v>
      </c>
      <c r="L1895">
        <v>2756935</v>
      </c>
      <c r="M1895" t="s">
        <v>399</v>
      </c>
      <c r="N1895" t="s">
        <v>400</v>
      </c>
    </row>
    <row r="1896" spans="1:18" x14ac:dyDescent="0.3">
      <c r="A1896" t="s">
        <v>126</v>
      </c>
      <c r="B1896" t="s">
        <v>125</v>
      </c>
      <c r="C1896" t="s">
        <v>473</v>
      </c>
      <c r="D1896" t="s">
        <v>837</v>
      </c>
      <c r="E1896">
        <v>5610</v>
      </c>
      <c r="F1896" t="s">
        <v>127</v>
      </c>
      <c r="G1896">
        <v>1616</v>
      </c>
      <c r="H1896" t="s">
        <v>131</v>
      </c>
      <c r="I1896">
        <v>2021</v>
      </c>
      <c r="J1896">
        <v>2021</v>
      </c>
      <c r="K1896" t="s">
        <v>339</v>
      </c>
      <c r="L1896">
        <v>1363079</v>
      </c>
      <c r="M1896" t="s">
        <v>399</v>
      </c>
      <c r="N1896" t="s">
        <v>400</v>
      </c>
    </row>
    <row r="1897" spans="1:18" x14ac:dyDescent="0.3">
      <c r="A1897" t="s">
        <v>126</v>
      </c>
      <c r="B1897" t="s">
        <v>125</v>
      </c>
      <c r="C1897" t="s">
        <v>473</v>
      </c>
      <c r="D1897" t="s">
        <v>837</v>
      </c>
      <c r="E1897">
        <v>5910</v>
      </c>
      <c r="F1897" t="s">
        <v>124</v>
      </c>
      <c r="G1897">
        <v>1616</v>
      </c>
      <c r="H1897" t="s">
        <v>131</v>
      </c>
      <c r="I1897">
        <v>2021</v>
      </c>
      <c r="J1897">
        <v>2021</v>
      </c>
      <c r="K1897" t="s">
        <v>339</v>
      </c>
      <c r="L1897">
        <v>773899</v>
      </c>
      <c r="M1897" t="s">
        <v>399</v>
      </c>
      <c r="N1897" t="s">
        <v>400</v>
      </c>
    </row>
    <row r="1898" spans="1:18" x14ac:dyDescent="0.3">
      <c r="A1898" t="s">
        <v>126</v>
      </c>
      <c r="B1898" t="s">
        <v>125</v>
      </c>
      <c r="C1898" t="s">
        <v>473</v>
      </c>
      <c r="D1898" t="s">
        <v>837</v>
      </c>
      <c r="E1898">
        <v>5510</v>
      </c>
      <c r="F1898" t="s">
        <v>128</v>
      </c>
      <c r="G1898">
        <v>1675</v>
      </c>
      <c r="H1898" t="s">
        <v>87</v>
      </c>
      <c r="I1898">
        <v>2021</v>
      </c>
      <c r="J1898">
        <v>2021</v>
      </c>
      <c r="K1898" t="s">
        <v>339</v>
      </c>
      <c r="L1898">
        <v>59179307</v>
      </c>
      <c r="M1898" t="s">
        <v>397</v>
      </c>
      <c r="N1898" t="s">
        <v>398</v>
      </c>
    </row>
    <row r="1899" spans="1:18" x14ac:dyDescent="0.3">
      <c r="A1899" t="s">
        <v>126</v>
      </c>
      <c r="B1899" t="s">
        <v>125</v>
      </c>
      <c r="C1899" t="s">
        <v>473</v>
      </c>
      <c r="D1899" t="s">
        <v>837</v>
      </c>
      <c r="E1899">
        <v>5610</v>
      </c>
      <c r="F1899" t="s">
        <v>127</v>
      </c>
      <c r="G1899">
        <v>1675</v>
      </c>
      <c r="H1899" t="s">
        <v>87</v>
      </c>
      <c r="I1899">
        <v>2021</v>
      </c>
      <c r="J1899">
        <v>2021</v>
      </c>
      <c r="K1899" t="s">
        <v>339</v>
      </c>
      <c r="L1899">
        <v>3614067</v>
      </c>
      <c r="M1899" t="s">
        <v>397</v>
      </c>
      <c r="N1899" t="s">
        <v>398</v>
      </c>
    </row>
    <row r="1900" spans="1:18" x14ac:dyDescent="0.3">
      <c r="A1900" t="s">
        <v>126</v>
      </c>
      <c r="B1900" t="s">
        <v>125</v>
      </c>
      <c r="C1900" t="s">
        <v>473</v>
      </c>
      <c r="D1900" t="s">
        <v>837</v>
      </c>
      <c r="E1900">
        <v>5910</v>
      </c>
      <c r="F1900" t="s">
        <v>124</v>
      </c>
      <c r="G1900">
        <v>1675</v>
      </c>
      <c r="H1900" t="s">
        <v>87</v>
      </c>
      <c r="I1900">
        <v>2021</v>
      </c>
      <c r="J1900">
        <v>2021</v>
      </c>
      <c r="K1900" t="s">
        <v>339</v>
      </c>
      <c r="L1900">
        <v>8793766</v>
      </c>
      <c r="M1900" t="s">
        <v>397</v>
      </c>
      <c r="N1900" t="s">
        <v>398</v>
      </c>
    </row>
    <row r="1901" spans="1:18" x14ac:dyDescent="0.3">
      <c r="A1901" t="s">
        <v>126</v>
      </c>
      <c r="B1901" t="s">
        <v>125</v>
      </c>
      <c r="C1901" t="s">
        <v>473</v>
      </c>
      <c r="D1901" t="s">
        <v>837</v>
      </c>
      <c r="E1901">
        <v>5510</v>
      </c>
      <c r="F1901" t="s">
        <v>128</v>
      </c>
      <c r="G1901">
        <v>1676</v>
      </c>
      <c r="H1901" t="s">
        <v>86</v>
      </c>
      <c r="I1901">
        <v>2021</v>
      </c>
      <c r="J1901">
        <v>2021</v>
      </c>
      <c r="K1901" t="s">
        <v>339</v>
      </c>
      <c r="L1901">
        <v>6928172</v>
      </c>
      <c r="M1901" t="s">
        <v>399</v>
      </c>
      <c r="N1901" t="s">
        <v>400</v>
      </c>
      <c r="O1901">
        <v>6581763.3999999994</v>
      </c>
      <c r="P1901">
        <v>6.5817633999999989</v>
      </c>
      <c r="Q1901" t="s">
        <v>811</v>
      </c>
      <c r="R1901" s="141">
        <v>0.95</v>
      </c>
    </row>
    <row r="1902" spans="1:18" x14ac:dyDescent="0.3">
      <c r="A1902" t="s">
        <v>126</v>
      </c>
      <c r="B1902" t="s">
        <v>125</v>
      </c>
      <c r="C1902" t="s">
        <v>473</v>
      </c>
      <c r="D1902" t="s">
        <v>837</v>
      </c>
      <c r="E1902">
        <v>5610</v>
      </c>
      <c r="F1902" t="s">
        <v>127</v>
      </c>
      <c r="G1902">
        <v>1676</v>
      </c>
      <c r="H1902" t="s">
        <v>86</v>
      </c>
      <c r="I1902">
        <v>2021</v>
      </c>
      <c r="J1902">
        <v>2021</v>
      </c>
      <c r="K1902" t="s">
        <v>339</v>
      </c>
      <c r="L1902">
        <v>274593</v>
      </c>
      <c r="M1902" t="s">
        <v>399</v>
      </c>
      <c r="N1902" t="s">
        <v>400</v>
      </c>
      <c r="O1902">
        <v>260863.34999999998</v>
      </c>
      <c r="P1902">
        <v>0.26086334999999994</v>
      </c>
      <c r="Q1902" t="s">
        <v>812</v>
      </c>
      <c r="R1902" s="141">
        <v>0.95</v>
      </c>
    </row>
    <row r="1903" spans="1:18" x14ac:dyDescent="0.3">
      <c r="A1903" t="s">
        <v>126</v>
      </c>
      <c r="B1903" t="s">
        <v>125</v>
      </c>
      <c r="C1903" t="s">
        <v>473</v>
      </c>
      <c r="D1903" t="s">
        <v>837</v>
      </c>
      <c r="E1903">
        <v>5910</v>
      </c>
      <c r="F1903" t="s">
        <v>124</v>
      </c>
      <c r="G1903">
        <v>1676</v>
      </c>
      <c r="H1903" t="s">
        <v>86</v>
      </c>
      <c r="I1903">
        <v>2021</v>
      </c>
      <c r="J1903">
        <v>2021</v>
      </c>
      <c r="K1903" t="s">
        <v>339</v>
      </c>
      <c r="L1903">
        <v>172096</v>
      </c>
      <c r="M1903" t="s">
        <v>399</v>
      </c>
      <c r="N1903" t="s">
        <v>400</v>
      </c>
      <c r="O1903">
        <v>163491.19999999998</v>
      </c>
      <c r="P1903">
        <v>0.16349119999999998</v>
      </c>
      <c r="Q1903" t="s">
        <v>813</v>
      </c>
      <c r="R1903" s="141">
        <v>0.95</v>
      </c>
    </row>
    <row r="1904" spans="1:18" x14ac:dyDescent="0.3">
      <c r="A1904" t="s">
        <v>126</v>
      </c>
      <c r="B1904" t="s">
        <v>125</v>
      </c>
      <c r="C1904" t="s">
        <v>473</v>
      </c>
      <c r="D1904" t="s">
        <v>837</v>
      </c>
      <c r="E1904">
        <v>5510</v>
      </c>
      <c r="F1904" t="s">
        <v>128</v>
      </c>
      <c r="G1904">
        <v>1681</v>
      </c>
      <c r="H1904" t="s">
        <v>130</v>
      </c>
      <c r="I1904">
        <v>2021</v>
      </c>
      <c r="J1904">
        <v>2021</v>
      </c>
    </row>
    <row r="1905" spans="1:18" x14ac:dyDescent="0.3">
      <c r="A1905" t="s">
        <v>126</v>
      </c>
      <c r="B1905" t="s">
        <v>125</v>
      </c>
      <c r="C1905" t="s">
        <v>473</v>
      </c>
      <c r="D1905" t="s">
        <v>837</v>
      </c>
      <c r="E1905">
        <v>5610</v>
      </c>
      <c r="F1905" t="s">
        <v>127</v>
      </c>
      <c r="G1905">
        <v>1681</v>
      </c>
      <c r="H1905" t="s">
        <v>130</v>
      </c>
      <c r="I1905">
        <v>2021</v>
      </c>
      <c r="J1905">
        <v>2021</v>
      </c>
    </row>
    <row r="1906" spans="1:18" x14ac:dyDescent="0.3">
      <c r="A1906" t="s">
        <v>126</v>
      </c>
      <c r="B1906" t="s">
        <v>125</v>
      </c>
      <c r="C1906" t="s">
        <v>473</v>
      </c>
      <c r="D1906" t="s">
        <v>837</v>
      </c>
      <c r="E1906">
        <v>5910</v>
      </c>
      <c r="F1906" t="s">
        <v>124</v>
      </c>
      <c r="G1906">
        <v>1681</v>
      </c>
      <c r="H1906" t="s">
        <v>130</v>
      </c>
      <c r="I1906">
        <v>2021</v>
      </c>
      <c r="J1906">
        <v>2021</v>
      </c>
    </row>
    <row r="1907" spans="1:18" x14ac:dyDescent="0.3">
      <c r="A1907" t="s">
        <v>126</v>
      </c>
      <c r="B1907" t="s">
        <v>125</v>
      </c>
      <c r="C1907" t="s">
        <v>473</v>
      </c>
      <c r="D1907" t="s">
        <v>837</v>
      </c>
      <c r="E1907">
        <v>5510</v>
      </c>
      <c r="F1907" t="s">
        <v>128</v>
      </c>
      <c r="G1907">
        <v>1617</v>
      </c>
      <c r="H1907" t="s">
        <v>85</v>
      </c>
      <c r="I1907">
        <v>2021</v>
      </c>
      <c r="J1907">
        <v>2021</v>
      </c>
      <c r="K1907" t="s">
        <v>339</v>
      </c>
      <c r="L1907">
        <v>36169466</v>
      </c>
      <c r="M1907" t="s">
        <v>399</v>
      </c>
      <c r="N1907" t="s">
        <v>400</v>
      </c>
      <c r="O1907">
        <v>34360992.699999996</v>
      </c>
      <c r="P1907">
        <v>34.360992699999997</v>
      </c>
      <c r="Q1907" t="s">
        <v>814</v>
      </c>
      <c r="R1907" s="141">
        <v>0.95</v>
      </c>
    </row>
    <row r="1908" spans="1:18" x14ac:dyDescent="0.3">
      <c r="A1908" t="s">
        <v>126</v>
      </c>
      <c r="B1908" t="s">
        <v>125</v>
      </c>
      <c r="C1908" t="s">
        <v>473</v>
      </c>
      <c r="D1908" t="s">
        <v>837</v>
      </c>
      <c r="E1908">
        <v>5610</v>
      </c>
      <c r="F1908" t="s">
        <v>127</v>
      </c>
      <c r="G1908">
        <v>1617</v>
      </c>
      <c r="H1908" t="s">
        <v>85</v>
      </c>
      <c r="I1908">
        <v>2021</v>
      </c>
      <c r="J1908">
        <v>2021</v>
      </c>
      <c r="K1908" t="s">
        <v>339</v>
      </c>
      <c r="L1908">
        <v>1358068</v>
      </c>
      <c r="M1908" t="s">
        <v>399</v>
      </c>
      <c r="N1908" t="s">
        <v>400</v>
      </c>
      <c r="O1908">
        <v>1290164.5999999999</v>
      </c>
      <c r="P1908">
        <v>1.2901645999999998</v>
      </c>
      <c r="Q1908" t="s">
        <v>815</v>
      </c>
      <c r="R1908" s="141">
        <v>0.95</v>
      </c>
    </row>
    <row r="1909" spans="1:18" x14ac:dyDescent="0.3">
      <c r="A1909" t="s">
        <v>126</v>
      </c>
      <c r="B1909" t="s">
        <v>125</v>
      </c>
      <c r="C1909" t="s">
        <v>473</v>
      </c>
      <c r="D1909" t="s">
        <v>837</v>
      </c>
      <c r="E1909">
        <v>5910</v>
      </c>
      <c r="F1909" t="s">
        <v>124</v>
      </c>
      <c r="G1909">
        <v>1617</v>
      </c>
      <c r="H1909" t="s">
        <v>85</v>
      </c>
      <c r="I1909">
        <v>2021</v>
      </c>
      <c r="J1909">
        <v>2021</v>
      </c>
      <c r="K1909" t="s">
        <v>339</v>
      </c>
      <c r="L1909">
        <v>5029097</v>
      </c>
      <c r="M1909" t="s">
        <v>399</v>
      </c>
      <c r="N1909" t="s">
        <v>400</v>
      </c>
      <c r="O1909">
        <v>4777642.1499999994</v>
      </c>
      <c r="P1909">
        <v>4.7776421499999993</v>
      </c>
      <c r="Q1909" t="s">
        <v>816</v>
      </c>
      <c r="R1909" s="141">
        <v>0.95</v>
      </c>
    </row>
    <row r="1910" spans="1:18" x14ac:dyDescent="0.3">
      <c r="A1910" t="s">
        <v>126</v>
      </c>
      <c r="B1910" t="s">
        <v>125</v>
      </c>
      <c r="C1910" t="s">
        <v>473</v>
      </c>
      <c r="D1910" t="s">
        <v>837</v>
      </c>
      <c r="E1910">
        <v>5510</v>
      </c>
      <c r="F1910" t="s">
        <v>128</v>
      </c>
      <c r="G1910">
        <v>1618</v>
      </c>
      <c r="H1910" t="s">
        <v>84</v>
      </c>
      <c r="I1910">
        <v>2021</v>
      </c>
      <c r="J1910">
        <v>2021</v>
      </c>
      <c r="K1910" t="s">
        <v>339</v>
      </c>
      <c r="L1910">
        <v>8482180</v>
      </c>
      <c r="M1910" t="s">
        <v>399</v>
      </c>
      <c r="N1910" t="s">
        <v>400</v>
      </c>
      <c r="O1910">
        <v>8058071</v>
      </c>
      <c r="P1910">
        <v>8.058071</v>
      </c>
      <c r="Q1910" t="s">
        <v>817</v>
      </c>
      <c r="R1910" s="141">
        <v>0.95</v>
      </c>
    </row>
    <row r="1911" spans="1:18" x14ac:dyDescent="0.3">
      <c r="A1911" t="s">
        <v>126</v>
      </c>
      <c r="B1911" t="s">
        <v>125</v>
      </c>
      <c r="C1911" t="s">
        <v>473</v>
      </c>
      <c r="D1911" t="s">
        <v>837</v>
      </c>
      <c r="E1911">
        <v>5610</v>
      </c>
      <c r="F1911" t="s">
        <v>127</v>
      </c>
      <c r="G1911">
        <v>1618</v>
      </c>
      <c r="H1911" t="s">
        <v>84</v>
      </c>
      <c r="I1911">
        <v>2021</v>
      </c>
      <c r="J1911">
        <v>2021</v>
      </c>
      <c r="K1911" t="s">
        <v>339</v>
      </c>
      <c r="L1911">
        <v>1267495</v>
      </c>
      <c r="M1911" t="s">
        <v>399</v>
      </c>
      <c r="N1911" t="s">
        <v>400</v>
      </c>
      <c r="O1911">
        <v>1204120.25</v>
      </c>
      <c r="P1911">
        <v>1.2041202499999999</v>
      </c>
      <c r="Q1911" t="s">
        <v>818</v>
      </c>
      <c r="R1911" s="141">
        <v>0.95</v>
      </c>
    </row>
    <row r="1912" spans="1:18" x14ac:dyDescent="0.3">
      <c r="A1912" t="s">
        <v>126</v>
      </c>
      <c r="B1912" t="s">
        <v>125</v>
      </c>
      <c r="C1912" t="s">
        <v>473</v>
      </c>
      <c r="D1912" t="s">
        <v>837</v>
      </c>
      <c r="E1912">
        <v>5910</v>
      </c>
      <c r="F1912" t="s">
        <v>124</v>
      </c>
      <c r="G1912">
        <v>1618</v>
      </c>
      <c r="H1912" t="s">
        <v>84</v>
      </c>
      <c r="I1912">
        <v>2021</v>
      </c>
      <c r="J1912">
        <v>2021</v>
      </c>
      <c r="K1912" t="s">
        <v>339</v>
      </c>
      <c r="L1912">
        <v>2104197</v>
      </c>
      <c r="M1912" t="s">
        <v>399</v>
      </c>
      <c r="N1912" t="s">
        <v>400</v>
      </c>
      <c r="O1912">
        <v>1998987.15</v>
      </c>
      <c r="P1912">
        <v>1.9989871499999998</v>
      </c>
      <c r="Q1912" t="s">
        <v>819</v>
      </c>
      <c r="R1912" s="141">
        <v>0.95</v>
      </c>
    </row>
    <row r="1913" spans="1:18" x14ac:dyDescent="0.3">
      <c r="A1913" t="s">
        <v>126</v>
      </c>
      <c r="B1913" t="s">
        <v>125</v>
      </c>
      <c r="C1913" t="s">
        <v>473</v>
      </c>
      <c r="D1913" t="s">
        <v>837</v>
      </c>
      <c r="E1913">
        <v>5510</v>
      </c>
      <c r="F1913" t="s">
        <v>128</v>
      </c>
      <c r="G1913">
        <v>1621</v>
      </c>
      <c r="H1913" t="s">
        <v>129</v>
      </c>
      <c r="I1913">
        <v>2021</v>
      </c>
      <c r="J1913">
        <v>2021</v>
      </c>
      <c r="K1913" t="s">
        <v>339</v>
      </c>
      <c r="L1913">
        <v>2541932</v>
      </c>
      <c r="M1913" t="s">
        <v>399</v>
      </c>
      <c r="N1913" t="s">
        <v>400</v>
      </c>
      <c r="O1913">
        <v>2414835.4</v>
      </c>
      <c r="P1913">
        <v>2.4148353999999999</v>
      </c>
      <c r="Q1913" t="s">
        <v>820</v>
      </c>
      <c r="R1913" s="141">
        <v>0.95</v>
      </c>
    </row>
    <row r="1914" spans="1:18" x14ac:dyDescent="0.3">
      <c r="A1914" t="s">
        <v>126</v>
      </c>
      <c r="B1914" t="s">
        <v>125</v>
      </c>
      <c r="C1914" t="s">
        <v>473</v>
      </c>
      <c r="D1914" t="s">
        <v>837</v>
      </c>
      <c r="E1914">
        <v>5610</v>
      </c>
      <c r="F1914" t="s">
        <v>127</v>
      </c>
      <c r="G1914">
        <v>1621</v>
      </c>
      <c r="H1914" t="s">
        <v>129</v>
      </c>
      <c r="I1914">
        <v>2021</v>
      </c>
      <c r="J1914">
        <v>2021</v>
      </c>
      <c r="K1914" t="s">
        <v>339</v>
      </c>
      <c r="L1914">
        <v>546578</v>
      </c>
      <c r="M1914" t="s">
        <v>399</v>
      </c>
      <c r="N1914" t="s">
        <v>400</v>
      </c>
      <c r="O1914">
        <v>519249.1</v>
      </c>
      <c r="P1914">
        <v>0.51924909999999991</v>
      </c>
      <c r="Q1914" t="s">
        <v>821</v>
      </c>
      <c r="R1914" s="141">
        <v>0.95</v>
      </c>
    </row>
    <row r="1915" spans="1:18" x14ac:dyDescent="0.3">
      <c r="A1915" t="s">
        <v>126</v>
      </c>
      <c r="B1915" t="s">
        <v>125</v>
      </c>
      <c r="C1915" t="s">
        <v>473</v>
      </c>
      <c r="D1915" t="s">
        <v>837</v>
      </c>
      <c r="E1915">
        <v>5910</v>
      </c>
      <c r="F1915" t="s">
        <v>124</v>
      </c>
      <c r="G1915">
        <v>1621</v>
      </c>
      <c r="H1915" t="s">
        <v>129</v>
      </c>
      <c r="I1915">
        <v>2021</v>
      </c>
      <c r="J1915">
        <v>2021</v>
      </c>
      <c r="K1915" t="s">
        <v>339</v>
      </c>
      <c r="L1915">
        <v>1090058</v>
      </c>
      <c r="M1915" t="s">
        <v>399</v>
      </c>
      <c r="N1915" t="s">
        <v>400</v>
      </c>
      <c r="O1915">
        <v>1035555.1</v>
      </c>
      <c r="P1915">
        <v>1.0355550999999998</v>
      </c>
      <c r="Q1915" t="s">
        <v>822</v>
      </c>
      <c r="R1915" s="141">
        <v>0.95</v>
      </c>
    </row>
    <row r="1916" spans="1:18" x14ac:dyDescent="0.3">
      <c r="A1916" t="s">
        <v>126</v>
      </c>
      <c r="B1916" t="s">
        <v>125</v>
      </c>
      <c r="C1916" t="s">
        <v>473</v>
      </c>
      <c r="D1916" t="s">
        <v>837</v>
      </c>
      <c r="E1916">
        <v>5510</v>
      </c>
      <c r="F1916" t="s">
        <v>128</v>
      </c>
      <c r="G1916">
        <v>1622</v>
      </c>
      <c r="H1916" t="s">
        <v>83</v>
      </c>
      <c r="I1916">
        <v>2021</v>
      </c>
      <c r="J1916">
        <v>2021</v>
      </c>
      <c r="K1916" t="s">
        <v>339</v>
      </c>
      <c r="L1916">
        <v>3754839</v>
      </c>
      <c r="M1916" t="s">
        <v>399</v>
      </c>
      <c r="N1916" t="s">
        <v>400</v>
      </c>
      <c r="O1916">
        <v>3567097.05</v>
      </c>
      <c r="P1916">
        <v>3.5670970499999997</v>
      </c>
      <c r="Q1916" t="s">
        <v>823</v>
      </c>
      <c r="R1916" s="141">
        <v>0.95</v>
      </c>
    </row>
    <row r="1917" spans="1:18" x14ac:dyDescent="0.3">
      <c r="A1917" t="s">
        <v>126</v>
      </c>
      <c r="B1917" t="s">
        <v>125</v>
      </c>
      <c r="C1917" t="s">
        <v>473</v>
      </c>
      <c r="D1917" t="s">
        <v>837</v>
      </c>
      <c r="E1917">
        <v>5610</v>
      </c>
      <c r="F1917" t="s">
        <v>127</v>
      </c>
      <c r="G1917">
        <v>1622</v>
      </c>
      <c r="H1917" t="s">
        <v>83</v>
      </c>
      <c r="I1917">
        <v>2021</v>
      </c>
      <c r="J1917">
        <v>2021</v>
      </c>
      <c r="K1917" t="s">
        <v>339</v>
      </c>
      <c r="L1917">
        <v>111946</v>
      </c>
      <c r="M1917" t="s">
        <v>399</v>
      </c>
      <c r="N1917" t="s">
        <v>400</v>
      </c>
      <c r="O1917">
        <v>106348.7</v>
      </c>
      <c r="P1917">
        <v>0.10634869999999999</v>
      </c>
      <c r="Q1917" t="s">
        <v>824</v>
      </c>
      <c r="R1917" s="141">
        <v>0.95</v>
      </c>
    </row>
    <row r="1918" spans="1:18" x14ac:dyDescent="0.3">
      <c r="A1918" t="s">
        <v>126</v>
      </c>
      <c r="B1918" t="s">
        <v>125</v>
      </c>
      <c r="C1918" t="s">
        <v>473</v>
      </c>
      <c r="D1918" t="s">
        <v>837</v>
      </c>
      <c r="E1918">
        <v>5910</v>
      </c>
      <c r="F1918" t="s">
        <v>124</v>
      </c>
      <c r="G1918">
        <v>1622</v>
      </c>
      <c r="H1918" t="s">
        <v>83</v>
      </c>
      <c r="I1918">
        <v>2021</v>
      </c>
      <c r="J1918">
        <v>2021</v>
      </c>
      <c r="K1918" t="s">
        <v>339</v>
      </c>
      <c r="L1918">
        <v>92175</v>
      </c>
      <c r="M1918" t="s">
        <v>399</v>
      </c>
      <c r="N1918" t="s">
        <v>400</v>
      </c>
      <c r="O1918">
        <v>87566.25</v>
      </c>
      <c r="P1918">
        <v>8.7566249999999998E-2</v>
      </c>
      <c r="Q1918" t="s">
        <v>825</v>
      </c>
      <c r="R1918" s="141">
        <v>0.95</v>
      </c>
    </row>
    <row r="1919" spans="1:18" x14ac:dyDescent="0.3">
      <c r="A1919" t="s">
        <v>126</v>
      </c>
      <c r="B1919" t="s">
        <v>125</v>
      </c>
      <c r="C1919" t="s">
        <v>473</v>
      </c>
      <c r="D1919" t="s">
        <v>837</v>
      </c>
      <c r="E1919">
        <v>5510</v>
      </c>
      <c r="F1919" t="s">
        <v>128</v>
      </c>
      <c r="G1919">
        <v>1683</v>
      </c>
      <c r="H1919" t="s">
        <v>123</v>
      </c>
      <c r="I1919">
        <v>2021</v>
      </c>
      <c r="J1919">
        <v>2021</v>
      </c>
      <c r="K1919" t="s">
        <v>339</v>
      </c>
      <c r="L1919">
        <v>1302718</v>
      </c>
      <c r="M1919" t="s">
        <v>399</v>
      </c>
      <c r="N1919" t="s">
        <v>400</v>
      </c>
      <c r="O1919">
        <v>1237582.0999999999</v>
      </c>
      <c r="P1919">
        <v>1.2375820999999998</v>
      </c>
      <c r="Q1919" t="s">
        <v>826</v>
      </c>
      <c r="R1919" s="141">
        <v>0.95</v>
      </c>
    </row>
    <row r="1920" spans="1:18" x14ac:dyDescent="0.3">
      <c r="A1920" t="s">
        <v>126</v>
      </c>
      <c r="B1920" t="s">
        <v>125</v>
      </c>
      <c r="C1920" t="s">
        <v>473</v>
      </c>
      <c r="D1920" t="s">
        <v>837</v>
      </c>
      <c r="E1920">
        <v>5610</v>
      </c>
      <c r="F1920" t="s">
        <v>127</v>
      </c>
      <c r="G1920">
        <v>1683</v>
      </c>
      <c r="H1920" t="s">
        <v>123</v>
      </c>
      <c r="I1920">
        <v>2021</v>
      </c>
      <c r="J1920">
        <v>2021</v>
      </c>
      <c r="K1920" t="s">
        <v>339</v>
      </c>
      <c r="L1920">
        <v>55387</v>
      </c>
      <c r="M1920" t="s">
        <v>399</v>
      </c>
      <c r="N1920" t="s">
        <v>400</v>
      </c>
      <c r="O1920">
        <v>52617.649999999994</v>
      </c>
      <c r="P1920">
        <v>5.2617649999999995E-2</v>
      </c>
      <c r="Q1920" t="s">
        <v>827</v>
      </c>
      <c r="R1920" s="141">
        <v>0.95</v>
      </c>
    </row>
    <row r="1921" spans="1:18" x14ac:dyDescent="0.3">
      <c r="A1921" t="s">
        <v>126</v>
      </c>
      <c r="B1921" t="s">
        <v>125</v>
      </c>
      <c r="C1921" t="s">
        <v>473</v>
      </c>
      <c r="D1921" t="s">
        <v>837</v>
      </c>
      <c r="E1921">
        <v>5910</v>
      </c>
      <c r="F1921" t="s">
        <v>124</v>
      </c>
      <c r="G1921">
        <v>1683</v>
      </c>
      <c r="H1921" t="s">
        <v>123</v>
      </c>
      <c r="I1921">
        <v>2021</v>
      </c>
      <c r="J1921">
        <v>2021</v>
      </c>
      <c r="K1921" t="s">
        <v>339</v>
      </c>
      <c r="L1921">
        <v>306143</v>
      </c>
      <c r="M1921" t="s">
        <v>399</v>
      </c>
      <c r="N1921" t="s">
        <v>400</v>
      </c>
      <c r="O1921">
        <v>290835.84999999998</v>
      </c>
      <c r="P1921">
        <v>0.29083584999999995</v>
      </c>
      <c r="Q1921" t="s">
        <v>828</v>
      </c>
      <c r="R1921" s="141">
        <v>0.95</v>
      </c>
    </row>
    <row r="1922" spans="1:18" x14ac:dyDescent="0.3">
      <c r="A1922" t="s">
        <v>126</v>
      </c>
      <c r="B1922" t="s">
        <v>125</v>
      </c>
      <c r="C1922" t="s">
        <v>395</v>
      </c>
      <c r="D1922" t="s">
        <v>396</v>
      </c>
      <c r="E1922">
        <v>5516</v>
      </c>
      <c r="F1922" t="s">
        <v>128</v>
      </c>
      <c r="G1922">
        <v>1627</v>
      </c>
      <c r="H1922" t="s">
        <v>121</v>
      </c>
      <c r="I1922">
        <v>2021</v>
      </c>
      <c r="J1922">
        <v>2021</v>
      </c>
      <c r="K1922" t="s">
        <v>143</v>
      </c>
      <c r="L1922">
        <v>238909780</v>
      </c>
      <c r="M1922" t="s">
        <v>397</v>
      </c>
      <c r="N1922" t="s">
        <v>398</v>
      </c>
      <c r="O1922">
        <f>O2+O162+O322+O482+O642+O802+O962+O1122+O1282+O1442+O1602+O1762</f>
        <v>102844472.25150004</v>
      </c>
      <c r="P1922">
        <f>Table3[[#This Row],[Value (odmt)]]*10^-6</f>
        <v>102.84447225150004</v>
      </c>
      <c r="Q1922" t="s">
        <v>724</v>
      </c>
      <c r="R1922" s="142">
        <f>Table3[[#This Row],[Value (odmt)]]/Table3[[#This Row],[Value]]</f>
        <v>0.43047409884810928</v>
      </c>
    </row>
    <row r="1923" spans="1:18" x14ac:dyDescent="0.3">
      <c r="A1923" t="s">
        <v>126</v>
      </c>
      <c r="B1923" t="s">
        <v>125</v>
      </c>
      <c r="C1923" t="s">
        <v>395</v>
      </c>
      <c r="D1923" t="s">
        <v>396</v>
      </c>
      <c r="E1923">
        <v>5616</v>
      </c>
      <c r="F1923" t="s">
        <v>127</v>
      </c>
      <c r="G1923">
        <v>1627</v>
      </c>
      <c r="H1923" t="s">
        <v>121</v>
      </c>
      <c r="I1923">
        <v>2021</v>
      </c>
      <c r="J1923">
        <v>2021</v>
      </c>
      <c r="K1923" t="s">
        <v>143</v>
      </c>
      <c r="L1923">
        <v>0</v>
      </c>
      <c r="M1923" t="s">
        <v>397</v>
      </c>
      <c r="N1923" t="s">
        <v>398</v>
      </c>
      <c r="O1923">
        <f t="shared" ref="O1923:O1986" si="0">O3+O163+O323+O483+O643+O803+O963+O1123+O1283+O1443+O1603+O1763</f>
        <v>467907.5348291875</v>
      </c>
      <c r="P1923">
        <f>Table3[[#This Row],[Value (odmt)]]*10^-6</f>
        <v>0.46790753482918745</v>
      </c>
      <c r="Q1923" t="s">
        <v>725</v>
      </c>
      <c r="R1923" s="142"/>
    </row>
    <row r="1924" spans="1:18" x14ac:dyDescent="0.3">
      <c r="A1924" t="s">
        <v>126</v>
      </c>
      <c r="B1924" t="s">
        <v>125</v>
      </c>
      <c r="C1924" t="s">
        <v>395</v>
      </c>
      <c r="D1924" t="s">
        <v>396</v>
      </c>
      <c r="E1924">
        <v>5916</v>
      </c>
      <c r="F1924" t="s">
        <v>124</v>
      </c>
      <c r="G1924">
        <v>1627</v>
      </c>
      <c r="H1924" t="s">
        <v>121</v>
      </c>
      <c r="I1924">
        <v>2021</v>
      </c>
      <c r="J1924">
        <v>2021</v>
      </c>
      <c r="K1924" t="s">
        <v>143</v>
      </c>
      <c r="L1924">
        <v>0</v>
      </c>
      <c r="M1924" t="s">
        <v>397</v>
      </c>
      <c r="N1924" t="s">
        <v>398</v>
      </c>
      <c r="O1924">
        <f t="shared" si="0"/>
        <v>648865.36037198745</v>
      </c>
      <c r="P1924">
        <f>Table3[[#This Row],[Value (odmt)]]*10^-6</f>
        <v>0.64886536037198739</v>
      </c>
      <c r="Q1924" t="s">
        <v>726</v>
      </c>
      <c r="R1924" s="142"/>
    </row>
    <row r="1925" spans="1:18" x14ac:dyDescent="0.3">
      <c r="A1925" t="s">
        <v>126</v>
      </c>
      <c r="B1925" t="s">
        <v>125</v>
      </c>
      <c r="C1925" t="s">
        <v>395</v>
      </c>
      <c r="D1925" t="s">
        <v>396</v>
      </c>
      <c r="E1925">
        <v>5516</v>
      </c>
      <c r="F1925" t="s">
        <v>128</v>
      </c>
      <c r="G1925">
        <v>1628</v>
      </c>
      <c r="H1925" t="s">
        <v>120</v>
      </c>
      <c r="I1925">
        <v>2021</v>
      </c>
      <c r="J1925">
        <v>2021</v>
      </c>
      <c r="K1925" t="s">
        <v>143</v>
      </c>
      <c r="L1925">
        <v>1715240404</v>
      </c>
      <c r="M1925" t="s">
        <v>397</v>
      </c>
      <c r="N1925" t="s">
        <v>398</v>
      </c>
      <c r="O1925">
        <f t="shared" si="0"/>
        <v>1150762977.19046</v>
      </c>
      <c r="P1925">
        <f>Table3[[#This Row],[Value (odmt)]]*10^-6</f>
        <v>1150.7629771904599</v>
      </c>
      <c r="Q1925" t="s">
        <v>727</v>
      </c>
      <c r="R1925" s="142">
        <f>Table3[[#This Row],[Value (odmt)]]/Table3[[#This Row],[Value]]</f>
        <v>0.67090477492650058</v>
      </c>
    </row>
    <row r="1926" spans="1:18" x14ac:dyDescent="0.3">
      <c r="A1926" t="s">
        <v>126</v>
      </c>
      <c r="B1926" t="s">
        <v>125</v>
      </c>
      <c r="C1926" t="s">
        <v>395</v>
      </c>
      <c r="D1926" t="s">
        <v>396</v>
      </c>
      <c r="E1926">
        <v>5616</v>
      </c>
      <c r="F1926" t="s">
        <v>127</v>
      </c>
      <c r="G1926">
        <v>1628</v>
      </c>
      <c r="H1926" t="s">
        <v>120</v>
      </c>
      <c r="I1926">
        <v>2021</v>
      </c>
      <c r="J1926">
        <v>2021</v>
      </c>
      <c r="K1926" t="s">
        <v>143</v>
      </c>
      <c r="L1926">
        <v>0</v>
      </c>
      <c r="M1926" t="s">
        <v>397</v>
      </c>
      <c r="N1926" t="s">
        <v>398</v>
      </c>
      <c r="O1926">
        <f t="shared" si="0"/>
        <v>1034278.3024311375</v>
      </c>
      <c r="P1926">
        <f>Table3[[#This Row],[Value (odmt)]]*10^-6</f>
        <v>1.0342783024311375</v>
      </c>
      <c r="Q1926" t="s">
        <v>728</v>
      </c>
      <c r="R1926" s="142"/>
    </row>
    <row r="1927" spans="1:18" x14ac:dyDescent="0.3">
      <c r="A1927" t="s">
        <v>126</v>
      </c>
      <c r="B1927" t="s">
        <v>125</v>
      </c>
      <c r="C1927" t="s">
        <v>395</v>
      </c>
      <c r="D1927" t="s">
        <v>396</v>
      </c>
      <c r="E1927">
        <v>5916</v>
      </c>
      <c r="F1927" t="s">
        <v>124</v>
      </c>
      <c r="G1927">
        <v>1628</v>
      </c>
      <c r="H1927" t="s">
        <v>120</v>
      </c>
      <c r="I1927">
        <v>2021</v>
      </c>
      <c r="J1927">
        <v>2021</v>
      </c>
      <c r="K1927" t="s">
        <v>143</v>
      </c>
      <c r="L1927">
        <v>0</v>
      </c>
      <c r="M1927" t="s">
        <v>397</v>
      </c>
      <c r="N1927" t="s">
        <v>398</v>
      </c>
      <c r="O1927">
        <f t="shared" si="0"/>
        <v>1614727.6194158248</v>
      </c>
      <c r="P1927">
        <f>Table3[[#This Row],[Value (odmt)]]*10^-6</f>
        <v>1.6147276194158247</v>
      </c>
      <c r="Q1927" t="s">
        <v>729</v>
      </c>
      <c r="R1927" s="142"/>
    </row>
    <row r="1928" spans="1:18" x14ac:dyDescent="0.3">
      <c r="A1928" t="s">
        <v>126</v>
      </c>
      <c r="B1928" t="s">
        <v>125</v>
      </c>
      <c r="C1928" t="s">
        <v>395</v>
      </c>
      <c r="D1928" t="s">
        <v>396</v>
      </c>
      <c r="E1928">
        <v>5616</v>
      </c>
      <c r="F1928" t="s">
        <v>127</v>
      </c>
      <c r="G1928">
        <v>1629</v>
      </c>
      <c r="H1928" t="s">
        <v>160</v>
      </c>
      <c r="I1928">
        <v>2021</v>
      </c>
      <c r="J1928">
        <v>2021</v>
      </c>
      <c r="R1928" s="142"/>
    </row>
    <row r="1929" spans="1:18" x14ac:dyDescent="0.3">
      <c r="A1929" t="s">
        <v>126</v>
      </c>
      <c r="B1929" t="s">
        <v>125</v>
      </c>
      <c r="C1929" t="s">
        <v>395</v>
      </c>
      <c r="D1929" t="s">
        <v>396</v>
      </c>
      <c r="E1929">
        <v>5916</v>
      </c>
      <c r="F1929" t="s">
        <v>124</v>
      </c>
      <c r="G1929">
        <v>1629</v>
      </c>
      <c r="H1929" t="s">
        <v>160</v>
      </c>
      <c r="I1929">
        <v>2021</v>
      </c>
      <c r="J1929">
        <v>2021</v>
      </c>
      <c r="R1929" s="142"/>
    </row>
    <row r="1930" spans="1:18" x14ac:dyDescent="0.3">
      <c r="A1930" t="s">
        <v>126</v>
      </c>
      <c r="B1930" t="s">
        <v>125</v>
      </c>
      <c r="C1930" t="s">
        <v>395</v>
      </c>
      <c r="D1930" t="s">
        <v>396</v>
      </c>
      <c r="E1930">
        <v>5616</v>
      </c>
      <c r="F1930" t="s">
        <v>127</v>
      </c>
      <c r="G1930">
        <v>1651</v>
      </c>
      <c r="H1930" t="s">
        <v>159</v>
      </c>
      <c r="I1930">
        <v>2021</v>
      </c>
      <c r="J1930">
        <v>2021</v>
      </c>
      <c r="K1930" t="s">
        <v>143</v>
      </c>
      <c r="L1930">
        <v>0</v>
      </c>
      <c r="M1930" t="s">
        <v>397</v>
      </c>
      <c r="N1930" t="s">
        <v>398</v>
      </c>
      <c r="O1930">
        <f t="shared" si="0"/>
        <v>30996417.129630003</v>
      </c>
      <c r="P1930">
        <f>Table3[[#This Row],[Value (odmt)]]*10^-6</f>
        <v>30.99641712963</v>
      </c>
      <c r="Q1930" t="s">
        <v>730</v>
      </c>
      <c r="R1930" s="142"/>
    </row>
    <row r="1931" spans="1:18" x14ac:dyDescent="0.3">
      <c r="A1931" t="s">
        <v>126</v>
      </c>
      <c r="B1931" t="s">
        <v>125</v>
      </c>
      <c r="C1931" t="s">
        <v>395</v>
      </c>
      <c r="D1931" t="s">
        <v>396</v>
      </c>
      <c r="E1931">
        <v>5916</v>
      </c>
      <c r="F1931" t="s">
        <v>124</v>
      </c>
      <c r="G1931">
        <v>1651</v>
      </c>
      <c r="H1931" t="s">
        <v>159</v>
      </c>
      <c r="I1931">
        <v>2021</v>
      </c>
      <c r="J1931">
        <v>2021</v>
      </c>
      <c r="K1931" t="s">
        <v>143</v>
      </c>
      <c r="L1931">
        <v>0</v>
      </c>
      <c r="M1931" t="s">
        <v>397</v>
      </c>
      <c r="N1931" t="s">
        <v>398</v>
      </c>
      <c r="O1931">
        <f t="shared" si="0"/>
        <v>29611707.483189989</v>
      </c>
      <c r="P1931">
        <f>Table3[[#This Row],[Value (odmt)]]*10^-6</f>
        <v>29.611707483189988</v>
      </c>
      <c r="Q1931" t="s">
        <v>731</v>
      </c>
      <c r="R1931" s="142"/>
    </row>
    <row r="1932" spans="1:18" x14ac:dyDescent="0.3">
      <c r="A1932" t="s">
        <v>126</v>
      </c>
      <c r="B1932" t="s">
        <v>125</v>
      </c>
      <c r="C1932" t="s">
        <v>395</v>
      </c>
      <c r="D1932" t="s">
        <v>396</v>
      </c>
      <c r="E1932">
        <v>5616</v>
      </c>
      <c r="F1932" t="s">
        <v>127</v>
      </c>
      <c r="G1932">
        <v>1657</v>
      </c>
      <c r="H1932" t="s">
        <v>158</v>
      </c>
      <c r="I1932">
        <v>2021</v>
      </c>
      <c r="J1932">
        <v>2021</v>
      </c>
      <c r="K1932" t="s">
        <v>143</v>
      </c>
      <c r="L1932">
        <v>0</v>
      </c>
      <c r="M1932" t="s">
        <v>397</v>
      </c>
      <c r="N1932" t="s">
        <v>398</v>
      </c>
      <c r="O1932">
        <f t="shared" si="0"/>
        <v>6004097.2825579774</v>
      </c>
      <c r="P1932">
        <f>Table3[[#This Row],[Value (odmt)]]*10^-6</f>
        <v>6.0040972825579768</v>
      </c>
      <c r="Q1932" t="s">
        <v>732</v>
      </c>
      <c r="R1932" s="142"/>
    </row>
    <row r="1933" spans="1:18" x14ac:dyDescent="0.3">
      <c r="A1933" t="s">
        <v>126</v>
      </c>
      <c r="B1933" t="s">
        <v>125</v>
      </c>
      <c r="C1933" t="s">
        <v>395</v>
      </c>
      <c r="D1933" t="s">
        <v>396</v>
      </c>
      <c r="E1933">
        <v>5916</v>
      </c>
      <c r="F1933" t="s">
        <v>124</v>
      </c>
      <c r="G1933">
        <v>1657</v>
      </c>
      <c r="H1933" t="s">
        <v>158</v>
      </c>
      <c r="I1933">
        <v>2021</v>
      </c>
      <c r="J1933">
        <v>2021</v>
      </c>
      <c r="K1933" t="s">
        <v>143</v>
      </c>
      <c r="L1933">
        <v>0</v>
      </c>
      <c r="M1933" t="s">
        <v>397</v>
      </c>
      <c r="N1933" t="s">
        <v>398</v>
      </c>
      <c r="O1933">
        <f t="shared" si="0"/>
        <v>5572016.6743321428</v>
      </c>
      <c r="P1933">
        <f>Table3[[#This Row],[Value (odmt)]]*10^-6</f>
        <v>5.5720166743321426</v>
      </c>
      <c r="Q1933" t="s">
        <v>733</v>
      </c>
      <c r="R1933" s="142"/>
    </row>
    <row r="1934" spans="1:18" x14ac:dyDescent="0.3">
      <c r="A1934" t="s">
        <v>126</v>
      </c>
      <c r="B1934" t="s">
        <v>125</v>
      </c>
      <c r="C1934" t="s">
        <v>395</v>
      </c>
      <c r="D1934" t="s">
        <v>396</v>
      </c>
      <c r="E1934">
        <v>5616</v>
      </c>
      <c r="F1934" t="s">
        <v>127</v>
      </c>
      <c r="G1934">
        <v>1670</v>
      </c>
      <c r="H1934" t="s">
        <v>157</v>
      </c>
      <c r="I1934">
        <v>2021</v>
      </c>
      <c r="J1934">
        <v>2021</v>
      </c>
      <c r="K1934" t="s">
        <v>143</v>
      </c>
      <c r="L1934">
        <v>0</v>
      </c>
      <c r="M1934" t="s">
        <v>397</v>
      </c>
      <c r="N1934" t="s">
        <v>398</v>
      </c>
      <c r="O1934">
        <f t="shared" si="0"/>
        <v>7787115.687856311</v>
      </c>
      <c r="P1934">
        <f>Table3[[#This Row],[Value (odmt)]]*10^-6</f>
        <v>7.7871156878563106</v>
      </c>
      <c r="Q1934" t="s">
        <v>734</v>
      </c>
      <c r="R1934" s="142"/>
    </row>
    <row r="1935" spans="1:18" x14ac:dyDescent="0.3">
      <c r="A1935" t="s">
        <v>126</v>
      </c>
      <c r="B1935" t="s">
        <v>125</v>
      </c>
      <c r="C1935" t="s">
        <v>395</v>
      </c>
      <c r="D1935" t="s">
        <v>396</v>
      </c>
      <c r="E1935">
        <v>5916</v>
      </c>
      <c r="F1935" t="s">
        <v>124</v>
      </c>
      <c r="G1935">
        <v>1670</v>
      </c>
      <c r="H1935" t="s">
        <v>157</v>
      </c>
      <c r="I1935">
        <v>2021</v>
      </c>
      <c r="J1935">
        <v>2021</v>
      </c>
      <c r="K1935" t="s">
        <v>143</v>
      </c>
      <c r="L1935">
        <v>0</v>
      </c>
      <c r="M1935" t="s">
        <v>397</v>
      </c>
      <c r="N1935" t="s">
        <v>398</v>
      </c>
      <c r="O1935">
        <f t="shared" si="0"/>
        <v>8046843.2183519043</v>
      </c>
      <c r="P1935">
        <f>Table3[[#This Row],[Value (odmt)]]*10^-6</f>
        <v>8.0468432183519045</v>
      </c>
      <c r="Q1935" t="s">
        <v>735</v>
      </c>
      <c r="R1935" s="142"/>
    </row>
    <row r="1936" spans="1:18" x14ac:dyDescent="0.3">
      <c r="A1936" t="s">
        <v>126</v>
      </c>
      <c r="B1936" t="s">
        <v>125</v>
      </c>
      <c r="C1936" t="s">
        <v>395</v>
      </c>
      <c r="D1936" t="s">
        <v>396</v>
      </c>
      <c r="E1936">
        <v>5516</v>
      </c>
      <c r="F1936" t="s">
        <v>128</v>
      </c>
      <c r="G1936">
        <v>1601</v>
      </c>
      <c r="H1936" t="s">
        <v>119</v>
      </c>
      <c r="I1936">
        <v>2021</v>
      </c>
      <c r="J1936">
        <v>2021</v>
      </c>
      <c r="K1936" t="s">
        <v>143</v>
      </c>
      <c r="L1936">
        <v>783367323</v>
      </c>
      <c r="M1936" t="s">
        <v>397</v>
      </c>
      <c r="N1936" t="s">
        <v>398</v>
      </c>
      <c r="O1936">
        <f t="shared" si="0"/>
        <v>332433097.08899999</v>
      </c>
      <c r="P1936">
        <f>Table3[[#This Row],[Value (odmt)]]*10^-6</f>
        <v>332.43309708899994</v>
      </c>
      <c r="Q1936" t="s">
        <v>736</v>
      </c>
      <c r="R1936" s="142">
        <f>Table3[[#This Row],[Value (odmt)]]/Table3[[#This Row],[Value]]</f>
        <v>0.42436426351804823</v>
      </c>
    </row>
    <row r="1937" spans="1:18" x14ac:dyDescent="0.3">
      <c r="A1937" t="s">
        <v>126</v>
      </c>
      <c r="B1937" t="s">
        <v>125</v>
      </c>
      <c r="C1937" t="s">
        <v>395</v>
      </c>
      <c r="D1937" t="s">
        <v>396</v>
      </c>
      <c r="E1937">
        <v>5616</v>
      </c>
      <c r="F1937" t="s">
        <v>127</v>
      </c>
      <c r="G1937">
        <v>1601</v>
      </c>
      <c r="H1937" t="s">
        <v>119</v>
      </c>
      <c r="I1937">
        <v>2021</v>
      </c>
      <c r="J1937">
        <v>2021</v>
      </c>
      <c r="R1937" s="142"/>
    </row>
    <row r="1938" spans="1:18" x14ac:dyDescent="0.3">
      <c r="A1938" t="s">
        <v>126</v>
      </c>
      <c r="B1938" t="s">
        <v>125</v>
      </c>
      <c r="C1938" t="s">
        <v>395</v>
      </c>
      <c r="D1938" t="s">
        <v>396</v>
      </c>
      <c r="E1938">
        <v>5916</v>
      </c>
      <c r="F1938" t="s">
        <v>124</v>
      </c>
      <c r="G1938">
        <v>1601</v>
      </c>
      <c r="H1938" t="s">
        <v>119</v>
      </c>
      <c r="I1938">
        <v>2021</v>
      </c>
      <c r="J1938">
        <v>2021</v>
      </c>
      <c r="R1938" s="142"/>
    </row>
    <row r="1939" spans="1:18" x14ac:dyDescent="0.3">
      <c r="A1939" t="s">
        <v>126</v>
      </c>
      <c r="B1939" t="s">
        <v>125</v>
      </c>
      <c r="C1939" t="s">
        <v>395</v>
      </c>
      <c r="D1939" t="s">
        <v>396</v>
      </c>
      <c r="E1939">
        <v>5516</v>
      </c>
      <c r="F1939" t="s">
        <v>128</v>
      </c>
      <c r="G1939">
        <v>1604</v>
      </c>
      <c r="H1939" t="s">
        <v>118</v>
      </c>
      <c r="I1939">
        <v>2021</v>
      </c>
      <c r="J1939">
        <v>2021</v>
      </c>
      <c r="K1939" t="s">
        <v>143</v>
      </c>
      <c r="L1939">
        <v>391378111</v>
      </c>
      <c r="M1939" t="s">
        <v>397</v>
      </c>
      <c r="N1939" t="s">
        <v>398</v>
      </c>
      <c r="O1939">
        <f t="shared" si="0"/>
        <v>234554511.15985715</v>
      </c>
      <c r="P1939">
        <f>Table3[[#This Row],[Value (odmt)]]*10^-6</f>
        <v>234.55451115985716</v>
      </c>
      <c r="Q1939" t="s">
        <v>737</v>
      </c>
      <c r="R1939" s="142">
        <f>Table3[[#This Row],[Value (odmt)]]/Table3[[#This Row],[Value]]</f>
        <v>0.59930411172089582</v>
      </c>
    </row>
    <row r="1940" spans="1:18" x14ac:dyDescent="0.3">
      <c r="A1940" t="s">
        <v>126</v>
      </c>
      <c r="B1940" t="s">
        <v>125</v>
      </c>
      <c r="C1940" t="s">
        <v>395</v>
      </c>
      <c r="D1940" t="s">
        <v>396</v>
      </c>
      <c r="E1940">
        <v>5616</v>
      </c>
      <c r="F1940" t="s">
        <v>127</v>
      </c>
      <c r="G1940">
        <v>1604</v>
      </c>
      <c r="H1940" t="s">
        <v>118</v>
      </c>
      <c r="I1940">
        <v>2021</v>
      </c>
      <c r="J1940">
        <v>2021</v>
      </c>
      <c r="R1940" s="142"/>
    </row>
    <row r="1941" spans="1:18" x14ac:dyDescent="0.3">
      <c r="A1941" t="s">
        <v>126</v>
      </c>
      <c r="B1941" t="s">
        <v>125</v>
      </c>
      <c r="C1941" t="s">
        <v>395</v>
      </c>
      <c r="D1941" t="s">
        <v>396</v>
      </c>
      <c r="E1941">
        <v>5916</v>
      </c>
      <c r="F1941" t="s">
        <v>124</v>
      </c>
      <c r="G1941">
        <v>1604</v>
      </c>
      <c r="H1941" t="s">
        <v>118</v>
      </c>
      <c r="I1941">
        <v>2021</v>
      </c>
      <c r="J1941">
        <v>2021</v>
      </c>
      <c r="R1941" s="142"/>
    </row>
    <row r="1942" spans="1:18" x14ac:dyDescent="0.3">
      <c r="A1942" t="s">
        <v>126</v>
      </c>
      <c r="B1942" t="s">
        <v>125</v>
      </c>
      <c r="C1942" t="s">
        <v>395</v>
      </c>
      <c r="D1942" t="s">
        <v>396</v>
      </c>
      <c r="E1942">
        <v>5516</v>
      </c>
      <c r="F1942" t="s">
        <v>128</v>
      </c>
      <c r="G1942">
        <v>1602</v>
      </c>
      <c r="H1942" t="s">
        <v>156</v>
      </c>
      <c r="I1942">
        <v>2021</v>
      </c>
      <c r="J1942">
        <v>2021</v>
      </c>
      <c r="K1942" t="s">
        <v>143</v>
      </c>
      <c r="L1942">
        <v>364348520</v>
      </c>
      <c r="M1942" t="s">
        <v>397</v>
      </c>
      <c r="N1942" t="s">
        <v>398</v>
      </c>
      <c r="O1942">
        <f t="shared" si="0"/>
        <v>150632696.93099999</v>
      </c>
      <c r="P1942">
        <f>Table3[[#This Row],[Value (odmt)]]*10^-6</f>
        <v>150.632696931</v>
      </c>
      <c r="Q1942" t="s">
        <v>738</v>
      </c>
      <c r="R1942" s="142">
        <f>Table3[[#This Row],[Value (odmt)]]/Table3[[#This Row],[Value]]</f>
        <v>0.41343024237068399</v>
      </c>
    </row>
    <row r="1943" spans="1:18" x14ac:dyDescent="0.3">
      <c r="A1943" t="s">
        <v>126</v>
      </c>
      <c r="B1943" t="s">
        <v>125</v>
      </c>
      <c r="C1943" t="s">
        <v>395</v>
      </c>
      <c r="D1943" t="s">
        <v>396</v>
      </c>
      <c r="E1943">
        <v>5516</v>
      </c>
      <c r="F1943" t="s">
        <v>128</v>
      </c>
      <c r="G1943">
        <v>1603</v>
      </c>
      <c r="H1943" t="s">
        <v>155</v>
      </c>
      <c r="I1943">
        <v>2021</v>
      </c>
      <c r="J1943">
        <v>2021</v>
      </c>
      <c r="K1943" t="s">
        <v>143</v>
      </c>
      <c r="L1943">
        <v>349073702</v>
      </c>
      <c r="M1943" t="s">
        <v>397</v>
      </c>
      <c r="N1943" t="s">
        <v>398</v>
      </c>
      <c r="O1943">
        <f t="shared" si="0"/>
        <v>178552805.48749998</v>
      </c>
      <c r="P1943">
        <f>Table3[[#This Row],[Value (odmt)]]*10^-6</f>
        <v>178.55280548749997</v>
      </c>
      <c r="Q1943" t="s">
        <v>739</v>
      </c>
      <c r="R1943" s="142">
        <f>Table3[[#This Row],[Value (odmt)]]/Table3[[#This Row],[Value]]</f>
        <v>0.5115046033674</v>
      </c>
    </row>
    <row r="1944" spans="1:18" x14ac:dyDescent="0.3">
      <c r="A1944" t="s">
        <v>126</v>
      </c>
      <c r="B1944" t="s">
        <v>125</v>
      </c>
      <c r="C1944" t="s">
        <v>395</v>
      </c>
      <c r="D1944" t="s">
        <v>396</v>
      </c>
      <c r="E1944">
        <v>5516</v>
      </c>
      <c r="F1944" t="s">
        <v>128</v>
      </c>
      <c r="G1944">
        <v>1614</v>
      </c>
      <c r="H1944" t="s">
        <v>154</v>
      </c>
      <c r="I1944">
        <v>2021</v>
      </c>
      <c r="J1944">
        <v>2021</v>
      </c>
      <c r="O1944">
        <f t="shared" si="0"/>
        <v>0</v>
      </c>
      <c r="P1944">
        <f>Table3[[#This Row],[Value (odmt)]]*10^-6</f>
        <v>0</v>
      </c>
      <c r="R1944" s="142"/>
    </row>
    <row r="1945" spans="1:18" x14ac:dyDescent="0.3">
      <c r="A1945" t="s">
        <v>126</v>
      </c>
      <c r="B1945" t="s">
        <v>125</v>
      </c>
      <c r="C1945" t="s">
        <v>395</v>
      </c>
      <c r="D1945" t="s">
        <v>396</v>
      </c>
      <c r="E1945">
        <v>5616</v>
      </c>
      <c r="F1945" t="s">
        <v>127</v>
      </c>
      <c r="G1945">
        <v>1614</v>
      </c>
      <c r="H1945" t="s">
        <v>154</v>
      </c>
      <c r="I1945">
        <v>2021</v>
      </c>
      <c r="J1945">
        <v>2021</v>
      </c>
      <c r="R1945" s="142"/>
    </row>
    <row r="1946" spans="1:18" x14ac:dyDescent="0.3">
      <c r="A1946" t="s">
        <v>126</v>
      </c>
      <c r="B1946" t="s">
        <v>125</v>
      </c>
      <c r="C1946" t="s">
        <v>395</v>
      </c>
      <c r="D1946" t="s">
        <v>396</v>
      </c>
      <c r="E1946">
        <v>5916</v>
      </c>
      <c r="F1946" t="s">
        <v>124</v>
      </c>
      <c r="G1946">
        <v>1614</v>
      </c>
      <c r="H1946" t="s">
        <v>154</v>
      </c>
      <c r="I1946">
        <v>2021</v>
      </c>
      <c r="J1946">
        <v>2021</v>
      </c>
      <c r="R1946" s="142"/>
    </row>
    <row r="1947" spans="1:18" x14ac:dyDescent="0.3">
      <c r="A1947" t="s">
        <v>126</v>
      </c>
      <c r="B1947" t="s">
        <v>125</v>
      </c>
      <c r="C1947" t="s">
        <v>395</v>
      </c>
      <c r="D1947" t="s">
        <v>396</v>
      </c>
      <c r="E1947">
        <v>5516</v>
      </c>
      <c r="F1947" t="s">
        <v>128</v>
      </c>
      <c r="G1947">
        <v>1608</v>
      </c>
      <c r="H1947" t="s">
        <v>153</v>
      </c>
      <c r="I1947">
        <v>2021</v>
      </c>
      <c r="J1947">
        <v>2021</v>
      </c>
      <c r="O1947">
        <f t="shared" si="0"/>
        <v>0</v>
      </c>
      <c r="P1947">
        <f>Table3[[#This Row],[Value (odmt)]]*10^-6</f>
        <v>0</v>
      </c>
      <c r="R1947" s="142"/>
    </row>
    <row r="1948" spans="1:18" x14ac:dyDescent="0.3">
      <c r="A1948" t="s">
        <v>126</v>
      </c>
      <c r="B1948" t="s">
        <v>125</v>
      </c>
      <c r="C1948" t="s">
        <v>395</v>
      </c>
      <c r="D1948" t="s">
        <v>396</v>
      </c>
      <c r="E1948">
        <v>5516</v>
      </c>
      <c r="F1948" t="s">
        <v>128</v>
      </c>
      <c r="G1948">
        <v>1611</v>
      </c>
      <c r="H1948" t="s">
        <v>152</v>
      </c>
      <c r="I1948">
        <v>2021</v>
      </c>
      <c r="J1948">
        <v>2021</v>
      </c>
      <c r="O1948">
        <f t="shared" si="0"/>
        <v>0</v>
      </c>
      <c r="P1948">
        <f>Table3[[#This Row],[Value (odmt)]]*10^-6</f>
        <v>0</v>
      </c>
      <c r="R1948" s="142"/>
    </row>
    <row r="1949" spans="1:18" x14ac:dyDescent="0.3">
      <c r="A1949" t="s">
        <v>126</v>
      </c>
      <c r="B1949" t="s">
        <v>125</v>
      </c>
      <c r="C1949" t="s">
        <v>395</v>
      </c>
      <c r="D1949" t="s">
        <v>396</v>
      </c>
      <c r="E1949">
        <v>5516</v>
      </c>
      <c r="F1949" t="s">
        <v>128</v>
      </c>
      <c r="G1949">
        <v>1623</v>
      </c>
      <c r="H1949" t="s">
        <v>151</v>
      </c>
      <c r="I1949">
        <v>2021</v>
      </c>
      <c r="J1949">
        <v>2021</v>
      </c>
      <c r="K1949" t="s">
        <v>143</v>
      </c>
      <c r="L1949">
        <v>44409974</v>
      </c>
      <c r="M1949" t="s">
        <v>397</v>
      </c>
      <c r="N1949" t="s">
        <v>398</v>
      </c>
      <c r="O1949">
        <f t="shared" si="0"/>
        <v>18830889.724999998</v>
      </c>
      <c r="P1949">
        <f>Table3[[#This Row],[Value (odmt)]]*10^-6</f>
        <v>18.830889724999995</v>
      </c>
      <c r="Q1949" t="s">
        <v>740</v>
      </c>
      <c r="R1949" s="142">
        <f>Table3[[#This Row],[Value (odmt)]]/Table3[[#This Row],[Value]]</f>
        <v>0.42402388537764057</v>
      </c>
    </row>
    <row r="1950" spans="1:18" x14ac:dyDescent="0.3">
      <c r="A1950" t="s">
        <v>126</v>
      </c>
      <c r="B1950" t="s">
        <v>125</v>
      </c>
      <c r="C1950" t="s">
        <v>395</v>
      </c>
      <c r="D1950" t="s">
        <v>396</v>
      </c>
      <c r="E1950">
        <v>5516</v>
      </c>
      <c r="F1950" t="s">
        <v>128</v>
      </c>
      <c r="G1950">
        <v>1626</v>
      </c>
      <c r="H1950" t="s">
        <v>150</v>
      </c>
      <c r="I1950">
        <v>2021</v>
      </c>
      <c r="J1950">
        <v>2021</v>
      </c>
      <c r="K1950" t="s">
        <v>143</v>
      </c>
      <c r="L1950">
        <v>116116075</v>
      </c>
      <c r="M1950" t="s">
        <v>397</v>
      </c>
      <c r="N1950" t="s">
        <v>398</v>
      </c>
      <c r="O1950">
        <f t="shared" si="0"/>
        <v>65035985.64567858</v>
      </c>
      <c r="P1950">
        <f>Table3[[#This Row],[Value (odmt)]]*10^-6</f>
        <v>65.035985645678579</v>
      </c>
      <c r="Q1950" t="s">
        <v>741</v>
      </c>
      <c r="R1950" s="142">
        <f>Table3[[#This Row],[Value (odmt)]]/Table3[[#This Row],[Value]]</f>
        <v>0.56009459194757127</v>
      </c>
    </row>
    <row r="1951" spans="1:18" x14ac:dyDescent="0.3">
      <c r="A1951" t="s">
        <v>126</v>
      </c>
      <c r="B1951" t="s">
        <v>125</v>
      </c>
      <c r="C1951" t="s">
        <v>395</v>
      </c>
      <c r="D1951" t="s">
        <v>396</v>
      </c>
      <c r="E1951">
        <v>5616</v>
      </c>
      <c r="F1951" t="s">
        <v>127</v>
      </c>
      <c r="G1951">
        <v>1625</v>
      </c>
      <c r="H1951" t="s">
        <v>149</v>
      </c>
      <c r="I1951">
        <v>2021</v>
      </c>
      <c r="J1951">
        <v>2021</v>
      </c>
      <c r="R1951" s="142"/>
    </row>
    <row r="1952" spans="1:18" x14ac:dyDescent="0.3">
      <c r="A1952" t="s">
        <v>126</v>
      </c>
      <c r="B1952" t="s">
        <v>125</v>
      </c>
      <c r="C1952" t="s">
        <v>395</v>
      </c>
      <c r="D1952" t="s">
        <v>396</v>
      </c>
      <c r="E1952">
        <v>5916</v>
      </c>
      <c r="F1952" t="s">
        <v>124</v>
      </c>
      <c r="G1952">
        <v>1625</v>
      </c>
      <c r="H1952" t="s">
        <v>149</v>
      </c>
      <c r="I1952">
        <v>2021</v>
      </c>
      <c r="J1952">
        <v>2021</v>
      </c>
      <c r="R1952" s="142"/>
    </row>
    <row r="1953" spans="1:18" x14ac:dyDescent="0.3">
      <c r="A1953" t="s">
        <v>126</v>
      </c>
      <c r="B1953" t="s">
        <v>125</v>
      </c>
      <c r="C1953" t="s">
        <v>395</v>
      </c>
      <c r="D1953" t="s">
        <v>396</v>
      </c>
      <c r="E1953">
        <v>5510</v>
      </c>
      <c r="F1953" t="s">
        <v>128</v>
      </c>
      <c r="G1953">
        <v>1630</v>
      </c>
      <c r="H1953" t="s">
        <v>117</v>
      </c>
      <c r="I1953">
        <v>2021</v>
      </c>
      <c r="J1953">
        <v>2021</v>
      </c>
      <c r="K1953" t="s">
        <v>339</v>
      </c>
      <c r="L1953">
        <v>54765019</v>
      </c>
      <c r="M1953" t="s">
        <v>397</v>
      </c>
      <c r="N1953" t="s">
        <v>398</v>
      </c>
      <c r="O1953">
        <f t="shared" si="0"/>
        <v>52092591.399999999</v>
      </c>
      <c r="P1953">
        <f>Table3[[#This Row],[Value (odmt)]]*10^-6</f>
        <v>52.092591399999996</v>
      </c>
      <c r="Q1953" t="s">
        <v>742</v>
      </c>
      <c r="R1953" s="142">
        <f>Table3[[#This Row],[Value (odmt)]]/Table3[[#This Row],[Value]]</f>
        <v>0.95120192325688768</v>
      </c>
    </row>
    <row r="1954" spans="1:18" x14ac:dyDescent="0.3">
      <c r="A1954" t="s">
        <v>126</v>
      </c>
      <c r="B1954" t="s">
        <v>125</v>
      </c>
      <c r="C1954" t="s">
        <v>395</v>
      </c>
      <c r="D1954" t="s">
        <v>396</v>
      </c>
      <c r="E1954">
        <v>5510</v>
      </c>
      <c r="F1954" t="s">
        <v>128</v>
      </c>
      <c r="G1954">
        <v>1694</v>
      </c>
      <c r="H1954" t="s">
        <v>348</v>
      </c>
      <c r="I1954">
        <v>2021</v>
      </c>
      <c r="J1954">
        <v>2021</v>
      </c>
      <c r="K1954" t="s">
        <v>339</v>
      </c>
      <c r="L1954">
        <v>6883766</v>
      </c>
      <c r="M1954" t="s">
        <v>397</v>
      </c>
      <c r="N1954" t="s">
        <v>398</v>
      </c>
      <c r="O1954">
        <f t="shared" si="0"/>
        <v>6372313.9000000004</v>
      </c>
      <c r="P1954">
        <f>Table3[[#This Row],[Value (odmt)]]*10^-6</f>
        <v>6.3723139</v>
      </c>
      <c r="Q1954" t="s">
        <v>743</v>
      </c>
      <c r="R1954" s="142">
        <f>Table3[[#This Row],[Value (odmt)]]/Table3[[#This Row],[Value]]</f>
        <v>0.92570170165575072</v>
      </c>
    </row>
    <row r="1955" spans="1:18" x14ac:dyDescent="0.3">
      <c r="A1955" t="s">
        <v>126</v>
      </c>
      <c r="B1955" t="s">
        <v>125</v>
      </c>
      <c r="C1955" t="s">
        <v>395</v>
      </c>
      <c r="D1955" t="s">
        <v>396</v>
      </c>
      <c r="E1955">
        <v>5610</v>
      </c>
      <c r="F1955" t="s">
        <v>127</v>
      </c>
      <c r="G1955">
        <v>1630</v>
      </c>
      <c r="H1955" t="s">
        <v>117</v>
      </c>
      <c r="I1955">
        <v>2021</v>
      </c>
      <c r="J1955">
        <v>2021</v>
      </c>
      <c r="K1955" t="s">
        <v>339</v>
      </c>
      <c r="L1955">
        <v>0</v>
      </c>
      <c r="M1955" t="s">
        <v>397</v>
      </c>
      <c r="N1955" t="s">
        <v>398</v>
      </c>
      <c r="O1955">
        <f t="shared" si="0"/>
        <v>2083753.6600804999</v>
      </c>
      <c r="P1955">
        <f>Table3[[#This Row],[Value (odmt)]]*10^-6</f>
        <v>2.0837536600804998</v>
      </c>
      <c r="Q1955" t="s">
        <v>744</v>
      </c>
      <c r="R1955" s="142"/>
    </row>
    <row r="1956" spans="1:18" x14ac:dyDescent="0.3">
      <c r="A1956" t="s">
        <v>126</v>
      </c>
      <c r="B1956" t="s">
        <v>125</v>
      </c>
      <c r="C1956" t="s">
        <v>395</v>
      </c>
      <c r="D1956" t="s">
        <v>396</v>
      </c>
      <c r="E1956">
        <v>5610</v>
      </c>
      <c r="F1956" t="s">
        <v>127</v>
      </c>
      <c r="G1956">
        <v>1694</v>
      </c>
      <c r="H1956" t="s">
        <v>348</v>
      </c>
      <c r="I1956">
        <v>2021</v>
      </c>
      <c r="J1956">
        <v>2021</v>
      </c>
      <c r="K1956" t="s">
        <v>339</v>
      </c>
      <c r="L1956">
        <v>0</v>
      </c>
      <c r="M1956" t="s">
        <v>397</v>
      </c>
      <c r="N1956" t="s">
        <v>398</v>
      </c>
      <c r="O1956">
        <f t="shared" si="0"/>
        <v>961218.13667374989</v>
      </c>
      <c r="P1956">
        <f>Table3[[#This Row],[Value (odmt)]]*10^-6</f>
        <v>0.96121813667374989</v>
      </c>
      <c r="Q1956" t="s">
        <v>745</v>
      </c>
      <c r="R1956" s="142"/>
    </row>
    <row r="1957" spans="1:18" x14ac:dyDescent="0.3">
      <c r="A1957" t="s">
        <v>126</v>
      </c>
      <c r="B1957" t="s">
        <v>125</v>
      </c>
      <c r="C1957" t="s">
        <v>395</v>
      </c>
      <c r="D1957" t="s">
        <v>396</v>
      </c>
      <c r="E1957">
        <v>5910</v>
      </c>
      <c r="F1957" t="s">
        <v>124</v>
      </c>
      <c r="G1957">
        <v>1630</v>
      </c>
      <c r="H1957" t="s">
        <v>117</v>
      </c>
      <c r="I1957">
        <v>2021</v>
      </c>
      <c r="J1957">
        <v>2021</v>
      </c>
      <c r="K1957" t="s">
        <v>339</v>
      </c>
      <c r="L1957">
        <v>0</v>
      </c>
      <c r="M1957" t="s">
        <v>397</v>
      </c>
      <c r="N1957" t="s">
        <v>398</v>
      </c>
      <c r="O1957">
        <f t="shared" si="0"/>
        <v>1931540.9899237501</v>
      </c>
      <c r="P1957">
        <f>Table3[[#This Row],[Value (odmt)]]*10^-6</f>
        <v>1.9315409899237499</v>
      </c>
      <c r="Q1957" t="s">
        <v>746</v>
      </c>
      <c r="R1957" s="142"/>
    </row>
    <row r="1958" spans="1:18" x14ac:dyDescent="0.3">
      <c r="A1958" t="s">
        <v>126</v>
      </c>
      <c r="B1958" t="s">
        <v>125</v>
      </c>
      <c r="C1958" t="s">
        <v>395</v>
      </c>
      <c r="D1958" t="s">
        <v>396</v>
      </c>
      <c r="E1958">
        <v>5910</v>
      </c>
      <c r="F1958" t="s">
        <v>124</v>
      </c>
      <c r="G1958">
        <v>1694</v>
      </c>
      <c r="H1958" t="s">
        <v>348</v>
      </c>
      <c r="I1958">
        <v>2021</v>
      </c>
      <c r="J1958">
        <v>2021</v>
      </c>
      <c r="K1958" t="s">
        <v>339</v>
      </c>
      <c r="L1958">
        <v>0</v>
      </c>
      <c r="M1958" t="s">
        <v>397</v>
      </c>
      <c r="N1958" t="s">
        <v>398</v>
      </c>
      <c r="O1958">
        <f t="shared" si="0"/>
        <v>1134072.9794975</v>
      </c>
      <c r="P1958">
        <f>Table3[[#This Row],[Value (odmt)]]*10^-6</f>
        <v>1.1340729794975</v>
      </c>
      <c r="Q1958" t="s">
        <v>747</v>
      </c>
      <c r="R1958" s="142"/>
    </row>
    <row r="1959" spans="1:18" x14ac:dyDescent="0.3">
      <c r="A1959" t="s">
        <v>126</v>
      </c>
      <c r="B1959" t="s">
        <v>125</v>
      </c>
      <c r="C1959" t="s">
        <v>395</v>
      </c>
      <c r="D1959" t="s">
        <v>396</v>
      </c>
      <c r="E1959">
        <v>5516</v>
      </c>
      <c r="F1959" t="s">
        <v>128</v>
      </c>
      <c r="G1959">
        <v>1619</v>
      </c>
      <c r="H1959" t="s">
        <v>92</v>
      </c>
      <c r="I1959">
        <v>2021</v>
      </c>
      <c r="J1959">
        <v>2021</v>
      </c>
      <c r="K1959" t="s">
        <v>143</v>
      </c>
      <c r="L1959">
        <v>268553562</v>
      </c>
      <c r="M1959" t="s">
        <v>397</v>
      </c>
      <c r="N1959" t="s">
        <v>398</v>
      </c>
      <c r="O1959">
        <f t="shared" si="0"/>
        <v>114600843.34646653</v>
      </c>
      <c r="P1959">
        <f>Table3[[#This Row],[Value (odmt)]]*10^-6</f>
        <v>114.60084334646652</v>
      </c>
      <c r="Q1959" t="s">
        <v>748</v>
      </c>
      <c r="R1959" s="142">
        <f>Table3[[#This Row],[Value (odmt)]]/Table3[[#This Row],[Value]]</f>
        <v>0.42673365600887664</v>
      </c>
    </row>
    <row r="1960" spans="1:18" x14ac:dyDescent="0.3">
      <c r="A1960" t="s">
        <v>126</v>
      </c>
      <c r="B1960" t="s">
        <v>125</v>
      </c>
      <c r="C1960" t="s">
        <v>395</v>
      </c>
      <c r="D1960" t="s">
        <v>396</v>
      </c>
      <c r="E1960">
        <v>5616</v>
      </c>
      <c r="F1960" t="s">
        <v>127</v>
      </c>
      <c r="G1960">
        <v>1619</v>
      </c>
      <c r="H1960" t="s">
        <v>92</v>
      </c>
      <c r="I1960">
        <v>2021</v>
      </c>
      <c r="J1960">
        <v>2021</v>
      </c>
      <c r="K1960" t="s">
        <v>143</v>
      </c>
      <c r="L1960">
        <v>0</v>
      </c>
      <c r="M1960" t="s">
        <v>397</v>
      </c>
      <c r="N1960" t="s">
        <v>398</v>
      </c>
      <c r="O1960">
        <f t="shared" si="0"/>
        <v>19514770.35538321</v>
      </c>
      <c r="P1960">
        <f>Table3[[#This Row],[Value (odmt)]]*10^-6</f>
        <v>19.514770355383209</v>
      </c>
      <c r="Q1960" t="s">
        <v>749</v>
      </c>
      <c r="R1960" s="142"/>
    </row>
    <row r="1961" spans="1:18" x14ac:dyDescent="0.3">
      <c r="A1961" t="s">
        <v>126</v>
      </c>
      <c r="B1961" t="s">
        <v>125</v>
      </c>
      <c r="C1961" t="s">
        <v>395</v>
      </c>
      <c r="D1961" t="s">
        <v>396</v>
      </c>
      <c r="E1961">
        <v>5916</v>
      </c>
      <c r="F1961" t="s">
        <v>124</v>
      </c>
      <c r="G1961">
        <v>1619</v>
      </c>
      <c r="H1961" t="s">
        <v>92</v>
      </c>
      <c r="I1961">
        <v>2021</v>
      </c>
      <c r="J1961">
        <v>2021</v>
      </c>
      <c r="K1961" t="s">
        <v>143</v>
      </c>
      <c r="L1961">
        <v>0</v>
      </c>
      <c r="M1961" t="s">
        <v>397</v>
      </c>
      <c r="N1961" t="s">
        <v>398</v>
      </c>
      <c r="O1961">
        <f t="shared" si="0"/>
        <v>21172314.907428078</v>
      </c>
      <c r="P1961">
        <f>Table3[[#This Row],[Value (odmt)]]*10^-6</f>
        <v>21.172314907428078</v>
      </c>
      <c r="Q1961" t="s">
        <v>750</v>
      </c>
      <c r="R1961" s="142"/>
    </row>
    <row r="1962" spans="1:18" x14ac:dyDescent="0.3">
      <c r="A1962" t="s">
        <v>126</v>
      </c>
      <c r="B1962" t="s">
        <v>125</v>
      </c>
      <c r="C1962" t="s">
        <v>395</v>
      </c>
      <c r="D1962" t="s">
        <v>396</v>
      </c>
      <c r="E1962">
        <v>5516</v>
      </c>
      <c r="F1962" t="s">
        <v>128</v>
      </c>
      <c r="G1962">
        <v>1620</v>
      </c>
      <c r="H1962" t="s">
        <v>115</v>
      </c>
      <c r="I1962">
        <v>2021</v>
      </c>
      <c r="J1962">
        <v>2021</v>
      </c>
      <c r="K1962" t="s">
        <v>143</v>
      </c>
      <c r="L1962">
        <v>238815812</v>
      </c>
      <c r="M1962" t="s">
        <v>397</v>
      </c>
      <c r="N1962" t="s">
        <v>398</v>
      </c>
      <c r="O1962">
        <f t="shared" si="0"/>
        <v>101779456.91625157</v>
      </c>
      <c r="P1962">
        <f>Table3[[#This Row],[Value (odmt)]]*10^-6</f>
        <v>101.77945691625156</v>
      </c>
      <c r="Q1962" t="s">
        <v>751</v>
      </c>
      <c r="R1962" s="142">
        <f>Table3[[#This Row],[Value (odmt)]]/Table3[[#This Row],[Value]]</f>
        <v>0.42618391162579961</v>
      </c>
    </row>
    <row r="1963" spans="1:18" x14ac:dyDescent="0.3">
      <c r="A1963" t="s">
        <v>126</v>
      </c>
      <c r="B1963" t="s">
        <v>125</v>
      </c>
      <c r="C1963" t="s">
        <v>395</v>
      </c>
      <c r="D1963" t="s">
        <v>396</v>
      </c>
      <c r="E1963">
        <v>5616</v>
      </c>
      <c r="F1963" t="s">
        <v>127</v>
      </c>
      <c r="G1963">
        <v>1620</v>
      </c>
      <c r="H1963" t="s">
        <v>115</v>
      </c>
      <c r="I1963">
        <v>2021</v>
      </c>
      <c r="J1963">
        <v>2021</v>
      </c>
      <c r="K1963" t="s">
        <v>143</v>
      </c>
      <c r="L1963">
        <v>0</v>
      </c>
      <c r="M1963" t="s">
        <v>397</v>
      </c>
      <c r="N1963" t="s">
        <v>398</v>
      </c>
      <c r="O1963">
        <f t="shared" si="0"/>
        <v>1536639.5719708994</v>
      </c>
      <c r="P1963">
        <f>Table3[[#This Row],[Value (odmt)]]*10^-6</f>
        <v>1.5366395719708992</v>
      </c>
      <c r="Q1963" t="s">
        <v>752</v>
      </c>
      <c r="R1963" s="142"/>
    </row>
    <row r="1964" spans="1:18" x14ac:dyDescent="0.3">
      <c r="A1964" t="s">
        <v>126</v>
      </c>
      <c r="B1964" t="s">
        <v>125</v>
      </c>
      <c r="C1964" t="s">
        <v>395</v>
      </c>
      <c r="D1964" t="s">
        <v>396</v>
      </c>
      <c r="E1964">
        <v>5916</v>
      </c>
      <c r="F1964" t="s">
        <v>124</v>
      </c>
      <c r="G1964">
        <v>1620</v>
      </c>
      <c r="H1964" t="s">
        <v>115</v>
      </c>
      <c r="I1964">
        <v>2021</v>
      </c>
      <c r="J1964">
        <v>2021</v>
      </c>
      <c r="K1964" t="s">
        <v>143</v>
      </c>
      <c r="L1964">
        <v>0</v>
      </c>
      <c r="M1964" t="s">
        <v>397</v>
      </c>
      <c r="N1964" t="s">
        <v>398</v>
      </c>
      <c r="O1964">
        <f t="shared" si="0"/>
        <v>1034460.0850807978</v>
      </c>
      <c r="P1964">
        <f>Table3[[#This Row],[Value (odmt)]]*10^-6</f>
        <v>1.0344600850807977</v>
      </c>
      <c r="Q1964" t="s">
        <v>753</v>
      </c>
      <c r="R1964" s="142"/>
    </row>
    <row r="1965" spans="1:18" x14ac:dyDescent="0.3">
      <c r="A1965" t="s">
        <v>126</v>
      </c>
      <c r="B1965" t="s">
        <v>125</v>
      </c>
      <c r="C1965" t="s">
        <v>395</v>
      </c>
      <c r="D1965" t="s">
        <v>396</v>
      </c>
      <c r="E1965">
        <v>5510</v>
      </c>
      <c r="F1965" t="s">
        <v>128</v>
      </c>
      <c r="G1965">
        <v>1600</v>
      </c>
      <c r="H1965" t="s">
        <v>148</v>
      </c>
      <c r="I1965">
        <v>2021</v>
      </c>
      <c r="J1965">
        <v>2021</v>
      </c>
      <c r="K1965" t="s">
        <v>339</v>
      </c>
      <c r="L1965">
        <v>34762815</v>
      </c>
      <c r="M1965" t="s">
        <v>397</v>
      </c>
      <c r="N1965" t="s">
        <v>398</v>
      </c>
      <c r="O1965">
        <f t="shared" si="0"/>
        <v>27461996.349999998</v>
      </c>
      <c r="P1965">
        <f>Table3[[#This Row],[Value (odmt)]]*10^-6</f>
        <v>27.461996349999996</v>
      </c>
      <c r="Q1965" t="s">
        <v>754</v>
      </c>
      <c r="R1965" s="142">
        <f>Table3[[#This Row],[Value (odmt)]]/Table3[[#This Row],[Value]]</f>
        <v>0.7899819491027984</v>
      </c>
    </row>
    <row r="1966" spans="1:18" x14ac:dyDescent="0.3">
      <c r="A1966" t="s">
        <v>126</v>
      </c>
      <c r="B1966" t="s">
        <v>125</v>
      </c>
      <c r="C1966" t="s">
        <v>395</v>
      </c>
      <c r="D1966" t="s">
        <v>396</v>
      </c>
      <c r="E1966">
        <v>5610</v>
      </c>
      <c r="F1966" t="s">
        <v>127</v>
      </c>
      <c r="G1966">
        <v>1600</v>
      </c>
      <c r="H1966" t="s">
        <v>148</v>
      </c>
      <c r="I1966">
        <v>2021</v>
      </c>
      <c r="J1966">
        <v>2021</v>
      </c>
      <c r="K1966" t="s">
        <v>339</v>
      </c>
      <c r="L1966">
        <v>0</v>
      </c>
      <c r="M1966" t="s">
        <v>399</v>
      </c>
      <c r="N1966" t="s">
        <v>400</v>
      </c>
      <c r="O1966">
        <f t="shared" si="0"/>
        <v>946326.34762500017</v>
      </c>
      <c r="P1966">
        <f>Table3[[#This Row],[Value (odmt)]]*10^-6</f>
        <v>0.94632634762500012</v>
      </c>
      <c r="Q1966" t="s">
        <v>755</v>
      </c>
      <c r="R1966" s="142"/>
    </row>
    <row r="1967" spans="1:18" x14ac:dyDescent="0.3">
      <c r="A1967" t="s">
        <v>126</v>
      </c>
      <c r="B1967" t="s">
        <v>125</v>
      </c>
      <c r="C1967" t="s">
        <v>395</v>
      </c>
      <c r="D1967" t="s">
        <v>396</v>
      </c>
      <c r="E1967">
        <v>5910</v>
      </c>
      <c r="F1967" t="s">
        <v>124</v>
      </c>
      <c r="G1967">
        <v>1600</v>
      </c>
      <c r="H1967" t="s">
        <v>148</v>
      </c>
      <c r="I1967">
        <v>2021</v>
      </c>
      <c r="J1967">
        <v>2021</v>
      </c>
      <c r="K1967" t="s">
        <v>339</v>
      </c>
      <c r="L1967">
        <v>0</v>
      </c>
      <c r="M1967" t="s">
        <v>399</v>
      </c>
      <c r="N1967" t="s">
        <v>400</v>
      </c>
      <c r="O1967">
        <f t="shared" si="0"/>
        <v>1254861.1984999999</v>
      </c>
      <c r="P1967">
        <f>Table3[[#This Row],[Value (odmt)]]*10^-6</f>
        <v>1.2548611984999998</v>
      </c>
      <c r="Q1967" t="s">
        <v>756</v>
      </c>
      <c r="R1967" s="142"/>
    </row>
    <row r="1968" spans="1:18" x14ac:dyDescent="0.3">
      <c r="A1968" t="s">
        <v>126</v>
      </c>
      <c r="B1968" t="s">
        <v>125</v>
      </c>
      <c r="C1968" t="s">
        <v>395</v>
      </c>
      <c r="D1968" t="s">
        <v>396</v>
      </c>
      <c r="E1968">
        <v>5510</v>
      </c>
      <c r="F1968" t="s">
        <v>128</v>
      </c>
      <c r="G1968">
        <v>1693</v>
      </c>
      <c r="H1968" t="s">
        <v>114</v>
      </c>
      <c r="I1968">
        <v>2021</v>
      </c>
      <c r="J1968">
        <v>2021</v>
      </c>
      <c r="K1968" t="s">
        <v>339</v>
      </c>
      <c r="L1968">
        <v>44502071</v>
      </c>
      <c r="M1968" t="s">
        <v>397</v>
      </c>
      <c r="N1968" t="s">
        <v>398</v>
      </c>
      <c r="O1968">
        <f t="shared" si="0"/>
        <v>41019817.825000003</v>
      </c>
      <c r="P1968">
        <f>Table3[[#This Row],[Value (odmt)]]*10^-6</f>
        <v>41.019817825000004</v>
      </c>
      <c r="Q1968" t="s">
        <v>757</v>
      </c>
      <c r="R1968" s="142">
        <f>Table3[[#This Row],[Value (odmt)]]/Table3[[#This Row],[Value]]</f>
        <v>0.92175076132973688</v>
      </c>
    </row>
    <row r="1969" spans="1:18" x14ac:dyDescent="0.3">
      <c r="A1969" t="s">
        <v>126</v>
      </c>
      <c r="B1969" t="s">
        <v>125</v>
      </c>
      <c r="C1969" t="s">
        <v>395</v>
      </c>
      <c r="D1969" t="s">
        <v>396</v>
      </c>
      <c r="E1969">
        <v>5610</v>
      </c>
      <c r="F1969" t="s">
        <v>127</v>
      </c>
      <c r="G1969">
        <v>1693</v>
      </c>
      <c r="H1969" t="s">
        <v>114</v>
      </c>
      <c r="I1969">
        <v>2021</v>
      </c>
      <c r="J1969">
        <v>2021</v>
      </c>
      <c r="K1969" t="s">
        <v>339</v>
      </c>
      <c r="L1969">
        <v>0</v>
      </c>
      <c r="M1969" t="s">
        <v>397</v>
      </c>
      <c r="N1969" t="s">
        <v>398</v>
      </c>
      <c r="O1969">
        <f t="shared" si="0"/>
        <v>11008945.819030002</v>
      </c>
      <c r="P1969">
        <f>Table3[[#This Row],[Value (odmt)]]*10^-6</f>
        <v>11.008945819030002</v>
      </c>
      <c r="Q1969" t="s">
        <v>758</v>
      </c>
      <c r="R1969" s="142"/>
    </row>
    <row r="1970" spans="1:18" x14ac:dyDescent="0.3">
      <c r="A1970" t="s">
        <v>126</v>
      </c>
      <c r="B1970" t="s">
        <v>125</v>
      </c>
      <c r="C1970" t="s">
        <v>395</v>
      </c>
      <c r="D1970" t="s">
        <v>396</v>
      </c>
      <c r="E1970">
        <v>5910</v>
      </c>
      <c r="F1970" t="s">
        <v>124</v>
      </c>
      <c r="G1970">
        <v>1693</v>
      </c>
      <c r="H1970" t="s">
        <v>114</v>
      </c>
      <c r="I1970">
        <v>2021</v>
      </c>
      <c r="J1970">
        <v>2021</v>
      </c>
      <c r="K1970" t="s">
        <v>339</v>
      </c>
      <c r="L1970">
        <v>0</v>
      </c>
      <c r="M1970" t="s">
        <v>397</v>
      </c>
      <c r="N1970" t="s">
        <v>398</v>
      </c>
      <c r="O1970">
        <f t="shared" si="0"/>
        <v>18473008.071216248</v>
      </c>
      <c r="P1970">
        <f>Table3[[#This Row],[Value (odmt)]]*10^-6</f>
        <v>18.473008071216245</v>
      </c>
      <c r="Q1970" t="s">
        <v>759</v>
      </c>
      <c r="R1970" s="142"/>
    </row>
    <row r="1971" spans="1:18" x14ac:dyDescent="0.3">
      <c r="A1971" t="s">
        <v>126</v>
      </c>
      <c r="B1971" t="s">
        <v>125</v>
      </c>
      <c r="C1971" t="s">
        <v>395</v>
      </c>
      <c r="D1971" t="s">
        <v>396</v>
      </c>
      <c r="E1971">
        <v>5516</v>
      </c>
      <c r="F1971" t="s">
        <v>128</v>
      </c>
      <c r="G1971">
        <v>1632</v>
      </c>
      <c r="H1971" t="s">
        <v>110</v>
      </c>
      <c r="I1971">
        <v>2021</v>
      </c>
      <c r="J1971">
        <v>2021</v>
      </c>
      <c r="K1971" t="s">
        <v>143</v>
      </c>
      <c r="L1971">
        <v>351873166</v>
      </c>
      <c r="M1971" t="s">
        <v>397</v>
      </c>
      <c r="N1971" t="s">
        <v>398</v>
      </c>
      <c r="O1971">
        <f t="shared" si="0"/>
        <v>165553749.53095192</v>
      </c>
      <c r="P1971">
        <f>Table3[[#This Row],[Value (odmt)]]*10^-6</f>
        <v>165.5537495309519</v>
      </c>
      <c r="Q1971" t="s">
        <v>760</v>
      </c>
      <c r="R1971" s="142">
        <f>Table3[[#This Row],[Value (odmt)]]/Table3[[#This Row],[Value]]</f>
        <v>0.47049268181749304</v>
      </c>
    </row>
    <row r="1972" spans="1:18" x14ac:dyDescent="0.3">
      <c r="A1972" t="s">
        <v>126</v>
      </c>
      <c r="B1972" t="s">
        <v>125</v>
      </c>
      <c r="C1972" t="s">
        <v>395</v>
      </c>
      <c r="D1972" t="s">
        <v>396</v>
      </c>
      <c r="E1972">
        <v>5616</v>
      </c>
      <c r="F1972" t="s">
        <v>127</v>
      </c>
      <c r="G1972">
        <v>1632</v>
      </c>
      <c r="H1972" t="s">
        <v>110</v>
      </c>
      <c r="I1972">
        <v>2021</v>
      </c>
      <c r="J1972">
        <v>2021</v>
      </c>
      <c r="K1972" t="s">
        <v>143</v>
      </c>
      <c r="L1972">
        <v>0</v>
      </c>
      <c r="M1972" t="s">
        <v>397</v>
      </c>
      <c r="N1972" t="s">
        <v>398</v>
      </c>
      <c r="O1972">
        <f t="shared" si="0"/>
        <v>44117909.836476542</v>
      </c>
      <c r="P1972">
        <f>Table3[[#This Row],[Value (odmt)]]*10^-6</f>
        <v>44.117909836476542</v>
      </c>
      <c r="Q1972" t="s">
        <v>761</v>
      </c>
      <c r="R1972" s="142"/>
    </row>
    <row r="1973" spans="1:18" x14ac:dyDescent="0.3">
      <c r="A1973" t="s">
        <v>126</v>
      </c>
      <c r="B1973" t="s">
        <v>125</v>
      </c>
      <c r="C1973" t="s">
        <v>395</v>
      </c>
      <c r="D1973" t="s">
        <v>396</v>
      </c>
      <c r="E1973">
        <v>5916</v>
      </c>
      <c r="F1973" t="s">
        <v>124</v>
      </c>
      <c r="G1973">
        <v>1632</v>
      </c>
      <c r="H1973" t="s">
        <v>110</v>
      </c>
      <c r="I1973">
        <v>2021</v>
      </c>
      <c r="J1973">
        <v>2021</v>
      </c>
      <c r="K1973" t="s">
        <v>143</v>
      </c>
      <c r="L1973">
        <v>0</v>
      </c>
      <c r="M1973" t="s">
        <v>397</v>
      </c>
      <c r="N1973" t="s">
        <v>398</v>
      </c>
      <c r="O1973">
        <f t="shared" si="0"/>
        <v>40487160.388501681</v>
      </c>
      <c r="P1973">
        <f>Table3[[#This Row],[Value (odmt)]]*10^-6</f>
        <v>40.487160388501678</v>
      </c>
      <c r="Q1973" t="s">
        <v>762</v>
      </c>
      <c r="R1973" s="142"/>
    </row>
    <row r="1974" spans="1:18" x14ac:dyDescent="0.3">
      <c r="A1974" t="s">
        <v>126</v>
      </c>
      <c r="B1974" t="s">
        <v>125</v>
      </c>
      <c r="C1974" t="s">
        <v>395</v>
      </c>
      <c r="D1974" t="s">
        <v>396</v>
      </c>
      <c r="E1974">
        <v>5516</v>
      </c>
      <c r="F1974" t="s">
        <v>128</v>
      </c>
      <c r="G1974">
        <v>1633</v>
      </c>
      <c r="H1974" t="s">
        <v>109</v>
      </c>
      <c r="I1974">
        <v>2021</v>
      </c>
      <c r="J1974">
        <v>2021</v>
      </c>
      <c r="K1974" t="s">
        <v>143</v>
      </c>
      <c r="L1974">
        <v>144341077</v>
      </c>
      <c r="M1974" t="s">
        <v>397</v>
      </c>
      <c r="N1974" t="s">
        <v>398</v>
      </c>
      <c r="O1974">
        <f t="shared" si="0"/>
        <v>89698464.297749996</v>
      </c>
      <c r="P1974">
        <f>Table3[[#This Row],[Value (odmt)]]*10^-6</f>
        <v>89.698464297749993</v>
      </c>
      <c r="Q1974" t="s">
        <v>763</v>
      </c>
      <c r="R1974" s="142">
        <f>Table3[[#This Row],[Value (odmt)]]/Table3[[#This Row],[Value]]</f>
        <v>0.62143407934908224</v>
      </c>
    </row>
    <row r="1975" spans="1:18" x14ac:dyDescent="0.3">
      <c r="A1975" t="s">
        <v>126</v>
      </c>
      <c r="B1975" t="s">
        <v>125</v>
      </c>
      <c r="C1975" t="s">
        <v>395</v>
      </c>
      <c r="D1975" t="s">
        <v>396</v>
      </c>
      <c r="E1975">
        <v>5616</v>
      </c>
      <c r="F1975" t="s">
        <v>127</v>
      </c>
      <c r="G1975">
        <v>1633</v>
      </c>
      <c r="H1975" t="s">
        <v>109</v>
      </c>
      <c r="I1975">
        <v>2021</v>
      </c>
      <c r="J1975">
        <v>2021</v>
      </c>
      <c r="K1975" t="s">
        <v>143</v>
      </c>
      <c r="L1975">
        <v>0</v>
      </c>
      <c r="M1975" t="s">
        <v>397</v>
      </c>
      <c r="N1975" t="s">
        <v>398</v>
      </c>
      <c r="O1975">
        <f t="shared" si="0"/>
        <v>11699933.088994062</v>
      </c>
      <c r="P1975">
        <f>Table3[[#This Row],[Value (odmt)]]*10^-6</f>
        <v>11.699933088994062</v>
      </c>
      <c r="Q1975" t="s">
        <v>764</v>
      </c>
      <c r="R1975" s="142"/>
    </row>
    <row r="1976" spans="1:18" x14ac:dyDescent="0.3">
      <c r="A1976" t="s">
        <v>126</v>
      </c>
      <c r="B1976" t="s">
        <v>125</v>
      </c>
      <c r="C1976" t="s">
        <v>395</v>
      </c>
      <c r="D1976" t="s">
        <v>396</v>
      </c>
      <c r="E1976">
        <v>5916</v>
      </c>
      <c r="F1976" t="s">
        <v>124</v>
      </c>
      <c r="G1976">
        <v>1633</v>
      </c>
      <c r="H1976" t="s">
        <v>109</v>
      </c>
      <c r="I1976">
        <v>2021</v>
      </c>
      <c r="J1976">
        <v>2021</v>
      </c>
      <c r="K1976" t="s">
        <v>143</v>
      </c>
      <c r="L1976">
        <v>0</v>
      </c>
      <c r="M1976" t="s">
        <v>397</v>
      </c>
      <c r="N1976" t="s">
        <v>398</v>
      </c>
      <c r="O1976">
        <f t="shared" si="0"/>
        <v>9600452.158569999</v>
      </c>
      <c r="P1976">
        <f>Table3[[#This Row],[Value (odmt)]]*10^-6</f>
        <v>9.6004521585699987</v>
      </c>
      <c r="Q1976" t="s">
        <v>765</v>
      </c>
      <c r="R1976" s="142"/>
    </row>
    <row r="1977" spans="1:18" x14ac:dyDescent="0.3">
      <c r="A1977" t="s">
        <v>126</v>
      </c>
      <c r="B1977" t="s">
        <v>125</v>
      </c>
      <c r="C1977" t="s">
        <v>395</v>
      </c>
      <c r="D1977" t="s">
        <v>396</v>
      </c>
      <c r="E1977">
        <v>5516</v>
      </c>
      <c r="F1977" t="s">
        <v>128</v>
      </c>
      <c r="G1977">
        <v>1634</v>
      </c>
      <c r="H1977" t="s">
        <v>108</v>
      </c>
      <c r="I1977">
        <v>2021</v>
      </c>
      <c r="J1977">
        <v>2021</v>
      </c>
      <c r="K1977" t="s">
        <v>143</v>
      </c>
      <c r="L1977">
        <v>19500784</v>
      </c>
      <c r="M1977" t="s">
        <v>397</v>
      </c>
      <c r="N1977" t="s">
        <v>398</v>
      </c>
      <c r="O1977">
        <f t="shared" si="0"/>
        <v>10338887.192399999</v>
      </c>
      <c r="P1977">
        <f>Table3[[#This Row],[Value (odmt)]]*10^-6</f>
        <v>10.338887192399998</v>
      </c>
      <c r="Q1977" t="s">
        <v>766</v>
      </c>
      <c r="R1977" s="142">
        <f>Table3[[#This Row],[Value (odmt)]]/Table3[[#This Row],[Value]]</f>
        <v>0.53017802732443986</v>
      </c>
    </row>
    <row r="1978" spans="1:18" x14ac:dyDescent="0.3">
      <c r="A1978" t="s">
        <v>126</v>
      </c>
      <c r="B1978" t="s">
        <v>125</v>
      </c>
      <c r="C1978" t="s">
        <v>395</v>
      </c>
      <c r="D1978" t="s">
        <v>396</v>
      </c>
      <c r="E1978">
        <v>5616</v>
      </c>
      <c r="F1978" t="s">
        <v>127</v>
      </c>
      <c r="G1978">
        <v>1634</v>
      </c>
      <c r="H1978" t="s">
        <v>108</v>
      </c>
      <c r="I1978">
        <v>2021</v>
      </c>
      <c r="J1978">
        <v>2021</v>
      </c>
      <c r="K1978" t="s">
        <v>143</v>
      </c>
      <c r="L1978">
        <v>0</v>
      </c>
      <c r="M1978" t="s">
        <v>397</v>
      </c>
      <c r="N1978" t="s">
        <v>398</v>
      </c>
      <c r="O1978">
        <f t="shared" si="0"/>
        <v>3584480.5342934998</v>
      </c>
      <c r="P1978">
        <f>Table3[[#This Row],[Value (odmt)]]*10^-6</f>
        <v>3.5844805342934998</v>
      </c>
      <c r="Q1978" t="s">
        <v>767</v>
      </c>
      <c r="R1978" s="142"/>
    </row>
    <row r="1979" spans="1:18" x14ac:dyDescent="0.3">
      <c r="A1979" t="s">
        <v>126</v>
      </c>
      <c r="B1979" t="s">
        <v>125</v>
      </c>
      <c r="C1979" t="s">
        <v>395</v>
      </c>
      <c r="D1979" t="s">
        <v>396</v>
      </c>
      <c r="E1979">
        <v>5916</v>
      </c>
      <c r="F1979" t="s">
        <v>124</v>
      </c>
      <c r="G1979">
        <v>1634</v>
      </c>
      <c r="H1979" t="s">
        <v>108</v>
      </c>
      <c r="I1979">
        <v>2021</v>
      </c>
      <c r="J1979">
        <v>2021</v>
      </c>
      <c r="K1979" t="s">
        <v>143</v>
      </c>
      <c r="L1979">
        <v>0</v>
      </c>
      <c r="M1979" t="s">
        <v>397</v>
      </c>
      <c r="N1979" t="s">
        <v>398</v>
      </c>
      <c r="O1979">
        <f t="shared" si="0"/>
        <v>2730833.8793415003</v>
      </c>
      <c r="P1979">
        <f>Table3[[#This Row],[Value (odmt)]]*10^-6</f>
        <v>2.7308338793415001</v>
      </c>
      <c r="Q1979" t="s">
        <v>768</v>
      </c>
      <c r="R1979" s="142"/>
    </row>
    <row r="1980" spans="1:18" x14ac:dyDescent="0.3">
      <c r="A1980" t="s">
        <v>126</v>
      </c>
      <c r="B1980" t="s">
        <v>125</v>
      </c>
      <c r="C1980" t="s">
        <v>395</v>
      </c>
      <c r="D1980" t="s">
        <v>396</v>
      </c>
      <c r="E1980">
        <v>5516</v>
      </c>
      <c r="F1980" t="s">
        <v>128</v>
      </c>
      <c r="G1980">
        <v>1640</v>
      </c>
      <c r="H1980" t="s">
        <v>104</v>
      </c>
      <c r="I1980">
        <v>2021</v>
      </c>
      <c r="J1980">
        <v>2021</v>
      </c>
      <c r="K1980" t="s">
        <v>143</v>
      </c>
      <c r="L1980">
        <v>129892389</v>
      </c>
      <c r="M1980" t="s">
        <v>397</v>
      </c>
      <c r="N1980" t="s">
        <v>398</v>
      </c>
      <c r="O1980">
        <f t="shared" si="0"/>
        <v>72135591.974909991</v>
      </c>
      <c r="P1980">
        <f>Table3[[#This Row],[Value (odmt)]]*10^-6</f>
        <v>72.135591974909985</v>
      </c>
      <c r="Q1980" t="s">
        <v>769</v>
      </c>
      <c r="R1980" s="142">
        <f>Table3[[#This Row],[Value (odmt)]]/Table3[[#This Row],[Value]]</f>
        <v>0.5553488740199396</v>
      </c>
    </row>
    <row r="1981" spans="1:18" x14ac:dyDescent="0.3">
      <c r="A1981" t="s">
        <v>126</v>
      </c>
      <c r="B1981" t="s">
        <v>125</v>
      </c>
      <c r="C1981" t="s">
        <v>395</v>
      </c>
      <c r="D1981" t="s">
        <v>396</v>
      </c>
      <c r="E1981">
        <v>5616</v>
      </c>
      <c r="F1981" t="s">
        <v>127</v>
      </c>
      <c r="G1981">
        <v>1640</v>
      </c>
      <c r="H1981" t="s">
        <v>104</v>
      </c>
      <c r="I1981">
        <v>2021</v>
      </c>
      <c r="J1981">
        <v>2021</v>
      </c>
      <c r="K1981" t="s">
        <v>143</v>
      </c>
      <c r="L1981">
        <v>0</v>
      </c>
      <c r="M1981" t="s">
        <v>397</v>
      </c>
      <c r="N1981" t="s">
        <v>398</v>
      </c>
      <c r="O1981">
        <f t="shared" si="0"/>
        <v>13157065.66191975</v>
      </c>
      <c r="P1981">
        <f>Table3[[#This Row],[Value (odmt)]]*10^-6</f>
        <v>13.15706566191975</v>
      </c>
      <c r="Q1981" t="s">
        <v>770</v>
      </c>
      <c r="R1981" s="142"/>
    </row>
    <row r="1982" spans="1:18" x14ac:dyDescent="0.3">
      <c r="A1982" t="s">
        <v>126</v>
      </c>
      <c r="B1982" t="s">
        <v>125</v>
      </c>
      <c r="C1982" t="s">
        <v>395</v>
      </c>
      <c r="D1982" t="s">
        <v>396</v>
      </c>
      <c r="E1982">
        <v>5916</v>
      </c>
      <c r="F1982" t="s">
        <v>124</v>
      </c>
      <c r="G1982">
        <v>1640</v>
      </c>
      <c r="H1982" t="s">
        <v>104</v>
      </c>
      <c r="I1982">
        <v>2021</v>
      </c>
      <c r="J1982">
        <v>2021</v>
      </c>
      <c r="K1982" t="s">
        <v>143</v>
      </c>
      <c r="L1982">
        <v>0</v>
      </c>
      <c r="M1982" t="s">
        <v>397</v>
      </c>
      <c r="N1982" t="s">
        <v>398</v>
      </c>
      <c r="O1982">
        <f t="shared" si="0"/>
        <v>13093966.504912503</v>
      </c>
      <c r="P1982">
        <f>Table3[[#This Row],[Value (odmt)]]*10^-6</f>
        <v>13.093966504912503</v>
      </c>
      <c r="Q1982" t="s">
        <v>771</v>
      </c>
      <c r="R1982" s="142"/>
    </row>
    <row r="1983" spans="1:18" x14ac:dyDescent="0.3">
      <c r="A1983" t="s">
        <v>126</v>
      </c>
      <c r="B1983" t="s">
        <v>125</v>
      </c>
      <c r="C1983" t="s">
        <v>395</v>
      </c>
      <c r="D1983" t="s">
        <v>396</v>
      </c>
      <c r="E1983">
        <v>5516</v>
      </c>
      <c r="F1983" t="s">
        <v>128</v>
      </c>
      <c r="G1983">
        <v>1646</v>
      </c>
      <c r="H1983" t="s">
        <v>147</v>
      </c>
      <c r="I1983">
        <v>2021</v>
      </c>
      <c r="J1983">
        <v>2021</v>
      </c>
      <c r="O1983">
        <f t="shared" si="0"/>
        <v>0</v>
      </c>
      <c r="P1983">
        <f>Table3[[#This Row],[Value (odmt)]]*10^-6</f>
        <v>0</v>
      </c>
      <c r="R1983" s="142"/>
    </row>
    <row r="1984" spans="1:18" x14ac:dyDescent="0.3">
      <c r="A1984" t="s">
        <v>126</v>
      </c>
      <c r="B1984" t="s">
        <v>125</v>
      </c>
      <c r="C1984" t="s">
        <v>395</v>
      </c>
      <c r="D1984" t="s">
        <v>396</v>
      </c>
      <c r="E1984">
        <v>5616</v>
      </c>
      <c r="F1984" t="s">
        <v>127</v>
      </c>
      <c r="G1984">
        <v>1646</v>
      </c>
      <c r="H1984" t="s">
        <v>147</v>
      </c>
      <c r="I1984">
        <v>2021</v>
      </c>
      <c r="J1984">
        <v>2021</v>
      </c>
      <c r="R1984" s="142"/>
    </row>
    <row r="1985" spans="1:18" x14ac:dyDescent="0.3">
      <c r="A1985" t="s">
        <v>126</v>
      </c>
      <c r="B1985" t="s">
        <v>125</v>
      </c>
      <c r="C1985" t="s">
        <v>395</v>
      </c>
      <c r="D1985" t="s">
        <v>396</v>
      </c>
      <c r="E1985">
        <v>5916</v>
      </c>
      <c r="F1985" t="s">
        <v>124</v>
      </c>
      <c r="G1985">
        <v>1646</v>
      </c>
      <c r="H1985" t="s">
        <v>147</v>
      </c>
      <c r="I1985">
        <v>2021</v>
      </c>
      <c r="J1985">
        <v>2021</v>
      </c>
      <c r="R1985" s="142"/>
    </row>
    <row r="1986" spans="1:18" x14ac:dyDescent="0.3">
      <c r="A1986" t="s">
        <v>126</v>
      </c>
      <c r="B1986" t="s">
        <v>125</v>
      </c>
      <c r="C1986" t="s">
        <v>395</v>
      </c>
      <c r="D1986" t="s">
        <v>396</v>
      </c>
      <c r="E1986">
        <v>5516</v>
      </c>
      <c r="F1986" t="s">
        <v>128</v>
      </c>
      <c r="G1986">
        <v>1697</v>
      </c>
      <c r="H1986" t="s">
        <v>103</v>
      </c>
      <c r="I1986">
        <v>2021</v>
      </c>
      <c r="J1986">
        <v>2021</v>
      </c>
      <c r="K1986" t="s">
        <v>143</v>
      </c>
      <c r="L1986">
        <v>108232991</v>
      </c>
      <c r="M1986" t="s">
        <v>397</v>
      </c>
      <c r="N1986" t="s">
        <v>398</v>
      </c>
      <c r="O1986">
        <f t="shared" si="0"/>
        <v>57220760.93658334</v>
      </c>
      <c r="P1986">
        <f>Table3[[#This Row],[Value (odmt)]]*10^-6</f>
        <v>57.220760936583339</v>
      </c>
      <c r="Q1986" t="s">
        <v>772</v>
      </c>
      <c r="R1986" s="142">
        <f>Table3[[#This Row],[Value (odmt)]]/Table3[[#This Row],[Value]]</f>
        <v>0.52868132357705366</v>
      </c>
    </row>
    <row r="1987" spans="1:18" x14ac:dyDescent="0.3">
      <c r="A1987" t="s">
        <v>126</v>
      </c>
      <c r="B1987" t="s">
        <v>125</v>
      </c>
      <c r="C1987" t="s">
        <v>395</v>
      </c>
      <c r="D1987" t="s">
        <v>396</v>
      </c>
      <c r="E1987">
        <v>5616</v>
      </c>
      <c r="F1987" t="s">
        <v>127</v>
      </c>
      <c r="G1987">
        <v>1697</v>
      </c>
      <c r="H1987" t="s">
        <v>103</v>
      </c>
      <c r="I1987">
        <v>2021</v>
      </c>
      <c r="J1987">
        <v>2021</v>
      </c>
      <c r="K1987" t="s">
        <v>143</v>
      </c>
      <c r="L1987">
        <v>0</v>
      </c>
      <c r="M1987" t="s">
        <v>397</v>
      </c>
      <c r="N1987" t="s">
        <v>398</v>
      </c>
      <c r="O1987">
        <f t="shared" ref="O1987:O2048" si="1">O67+O227+O387+O547+O707+O867+O1027+O1187+O1347+O1507+O1667+O1827</f>
        <v>7880027.855616305</v>
      </c>
      <c r="P1987">
        <f>Table3[[#This Row],[Value (odmt)]]*10^-6</f>
        <v>7.880027855616305</v>
      </c>
      <c r="Q1987" t="s">
        <v>773</v>
      </c>
      <c r="R1987" s="142"/>
    </row>
    <row r="1988" spans="1:18" x14ac:dyDescent="0.3">
      <c r="A1988" t="s">
        <v>126</v>
      </c>
      <c r="B1988" t="s">
        <v>125</v>
      </c>
      <c r="C1988" t="s">
        <v>395</v>
      </c>
      <c r="D1988" t="s">
        <v>396</v>
      </c>
      <c r="E1988">
        <v>5916</v>
      </c>
      <c r="F1988" t="s">
        <v>124</v>
      </c>
      <c r="G1988">
        <v>1697</v>
      </c>
      <c r="H1988" t="s">
        <v>103</v>
      </c>
      <c r="I1988">
        <v>2021</v>
      </c>
      <c r="J1988">
        <v>2021</v>
      </c>
      <c r="K1988" t="s">
        <v>143</v>
      </c>
      <c r="L1988">
        <v>0</v>
      </c>
      <c r="M1988" t="s">
        <v>397</v>
      </c>
      <c r="N1988" t="s">
        <v>398</v>
      </c>
      <c r="O1988">
        <f t="shared" si="1"/>
        <v>7043006.1350380676</v>
      </c>
      <c r="P1988">
        <f>Table3[[#This Row],[Value (odmt)]]*10^-6</f>
        <v>7.0430061350380671</v>
      </c>
      <c r="Q1988" t="s">
        <v>774</v>
      </c>
      <c r="R1988" s="142"/>
    </row>
    <row r="1989" spans="1:18" x14ac:dyDescent="0.3">
      <c r="A1989" t="s">
        <v>126</v>
      </c>
      <c r="B1989" t="s">
        <v>125</v>
      </c>
      <c r="C1989" t="s">
        <v>395</v>
      </c>
      <c r="D1989" t="s">
        <v>396</v>
      </c>
      <c r="E1989">
        <v>5516</v>
      </c>
      <c r="F1989" t="s">
        <v>128</v>
      </c>
      <c r="G1989">
        <v>1606</v>
      </c>
      <c r="H1989" t="s">
        <v>102</v>
      </c>
      <c r="I1989">
        <v>2021</v>
      </c>
      <c r="J1989">
        <v>2021</v>
      </c>
      <c r="K1989" t="s">
        <v>143</v>
      </c>
      <c r="L1989">
        <v>37071529</v>
      </c>
      <c r="M1989" t="s">
        <v>397</v>
      </c>
      <c r="N1989" t="s">
        <v>398</v>
      </c>
      <c r="O1989">
        <f t="shared" si="1"/>
        <v>17958480.559422858</v>
      </c>
      <c r="P1989">
        <f>Table3[[#This Row],[Value (odmt)]]*10^-6</f>
        <v>17.958480559422856</v>
      </c>
      <c r="Q1989" t="s">
        <v>775</v>
      </c>
      <c r="R1989" s="142">
        <f>Table3[[#This Row],[Value (odmt)]]/Table3[[#This Row],[Value]]</f>
        <v>0.48442783569630643</v>
      </c>
    </row>
    <row r="1990" spans="1:18" x14ac:dyDescent="0.3">
      <c r="A1990" t="s">
        <v>126</v>
      </c>
      <c r="B1990" t="s">
        <v>125</v>
      </c>
      <c r="C1990" t="s">
        <v>395</v>
      </c>
      <c r="D1990" t="s">
        <v>396</v>
      </c>
      <c r="E1990">
        <v>5616</v>
      </c>
      <c r="F1990" t="s">
        <v>127</v>
      </c>
      <c r="G1990">
        <v>1606</v>
      </c>
      <c r="H1990" t="s">
        <v>102</v>
      </c>
      <c r="I1990">
        <v>2021</v>
      </c>
      <c r="J1990">
        <v>2021</v>
      </c>
      <c r="K1990" t="s">
        <v>143</v>
      </c>
      <c r="L1990">
        <v>0</v>
      </c>
      <c r="M1990" t="s">
        <v>397</v>
      </c>
      <c r="N1990" t="s">
        <v>398</v>
      </c>
      <c r="O1990">
        <f t="shared" si="1"/>
        <v>4057775.7341503138</v>
      </c>
      <c r="P1990">
        <f>Table3[[#This Row],[Value (odmt)]]*10^-6</f>
        <v>4.0577757341503133</v>
      </c>
      <c r="Q1990" t="s">
        <v>776</v>
      </c>
      <c r="R1990" s="142"/>
    </row>
    <row r="1991" spans="1:18" x14ac:dyDescent="0.3">
      <c r="A1991" t="s">
        <v>126</v>
      </c>
      <c r="B1991" t="s">
        <v>125</v>
      </c>
      <c r="C1991" t="s">
        <v>395</v>
      </c>
      <c r="D1991" t="s">
        <v>396</v>
      </c>
      <c r="E1991">
        <v>5916</v>
      </c>
      <c r="F1991" t="s">
        <v>124</v>
      </c>
      <c r="G1991">
        <v>1606</v>
      </c>
      <c r="H1991" t="s">
        <v>102</v>
      </c>
      <c r="I1991">
        <v>2021</v>
      </c>
      <c r="J1991">
        <v>2021</v>
      </c>
      <c r="K1991" t="s">
        <v>143</v>
      </c>
      <c r="L1991">
        <v>0</v>
      </c>
      <c r="M1991" t="s">
        <v>397</v>
      </c>
      <c r="N1991" t="s">
        <v>398</v>
      </c>
      <c r="O1991">
        <f t="shared" si="1"/>
        <v>4857933.3076890763</v>
      </c>
      <c r="P1991">
        <f>Table3[[#This Row],[Value (odmt)]]*10^-6</f>
        <v>4.8579333076890761</v>
      </c>
      <c r="Q1991" t="s">
        <v>777</v>
      </c>
      <c r="R1991" s="142"/>
    </row>
    <row r="1992" spans="1:18" x14ac:dyDescent="0.3">
      <c r="A1992" t="s">
        <v>126</v>
      </c>
      <c r="B1992" t="s">
        <v>125</v>
      </c>
      <c r="C1992" t="s">
        <v>395</v>
      </c>
      <c r="D1992" t="s">
        <v>396</v>
      </c>
      <c r="E1992">
        <v>5516</v>
      </c>
      <c r="F1992" t="s">
        <v>128</v>
      </c>
      <c r="G1992">
        <v>1647</v>
      </c>
      <c r="H1992" t="s">
        <v>146</v>
      </c>
      <c r="I1992">
        <v>2021</v>
      </c>
      <c r="J1992">
        <v>2021</v>
      </c>
      <c r="K1992" t="s">
        <v>143</v>
      </c>
      <c r="L1992">
        <v>7486655</v>
      </c>
      <c r="M1992" t="s">
        <v>397</v>
      </c>
      <c r="N1992" t="s">
        <v>398</v>
      </c>
      <c r="O1992">
        <f t="shared" si="1"/>
        <v>5739653.8866657149</v>
      </c>
      <c r="P1992">
        <f>Table3[[#This Row],[Value (odmt)]]*10^-6</f>
        <v>5.7396538866657147</v>
      </c>
      <c r="Q1992" t="s">
        <v>778</v>
      </c>
      <c r="R1992" s="142">
        <f>Table3[[#This Row],[Value (odmt)]]/Table3[[#This Row],[Value]]</f>
        <v>0.76665131312524948</v>
      </c>
    </row>
    <row r="1993" spans="1:18" x14ac:dyDescent="0.3">
      <c r="A1993" t="s">
        <v>126</v>
      </c>
      <c r="B1993" t="s">
        <v>125</v>
      </c>
      <c r="C1993" t="s">
        <v>395</v>
      </c>
      <c r="D1993" t="s">
        <v>396</v>
      </c>
      <c r="E1993">
        <v>5616</v>
      </c>
      <c r="F1993" t="s">
        <v>127</v>
      </c>
      <c r="G1993">
        <v>1647</v>
      </c>
      <c r="H1993" t="s">
        <v>146</v>
      </c>
      <c r="I1993">
        <v>2021</v>
      </c>
      <c r="J1993">
        <v>2021</v>
      </c>
      <c r="K1993" t="s">
        <v>143</v>
      </c>
      <c r="L1993">
        <v>0</v>
      </c>
      <c r="M1993" t="s">
        <v>397</v>
      </c>
      <c r="N1993" t="s">
        <v>398</v>
      </c>
      <c r="O1993">
        <f t="shared" si="1"/>
        <v>1715577.2475253101</v>
      </c>
      <c r="P1993">
        <f>Table3[[#This Row],[Value (odmt)]]*10^-6</f>
        <v>1.7155772475253102</v>
      </c>
      <c r="Q1993" t="s">
        <v>779</v>
      </c>
      <c r="R1993" s="142"/>
    </row>
    <row r="1994" spans="1:18" x14ac:dyDescent="0.3">
      <c r="A1994" t="s">
        <v>126</v>
      </c>
      <c r="B1994" t="s">
        <v>125</v>
      </c>
      <c r="C1994" t="s">
        <v>395</v>
      </c>
      <c r="D1994" t="s">
        <v>396</v>
      </c>
      <c r="E1994">
        <v>5916</v>
      </c>
      <c r="F1994" t="s">
        <v>124</v>
      </c>
      <c r="G1994">
        <v>1647</v>
      </c>
      <c r="H1994" t="s">
        <v>146</v>
      </c>
      <c r="I1994">
        <v>2021</v>
      </c>
      <c r="J1994">
        <v>2021</v>
      </c>
      <c r="K1994" t="s">
        <v>143</v>
      </c>
      <c r="L1994">
        <v>0</v>
      </c>
      <c r="M1994" t="s">
        <v>397</v>
      </c>
      <c r="N1994" t="s">
        <v>398</v>
      </c>
      <c r="O1994">
        <f t="shared" si="1"/>
        <v>1402468.510108954</v>
      </c>
      <c r="P1994">
        <f>Table3[[#This Row],[Value (odmt)]]*10^-6</f>
        <v>1.402468510108954</v>
      </c>
      <c r="Q1994" t="s">
        <v>780</v>
      </c>
      <c r="R1994" s="142"/>
    </row>
    <row r="1995" spans="1:18" x14ac:dyDescent="0.3">
      <c r="A1995" t="s">
        <v>126</v>
      </c>
      <c r="B1995" t="s">
        <v>125</v>
      </c>
      <c r="C1995" t="s">
        <v>395</v>
      </c>
      <c r="D1995" t="s">
        <v>396</v>
      </c>
      <c r="E1995">
        <v>5516</v>
      </c>
      <c r="F1995" t="s">
        <v>128</v>
      </c>
      <c r="G1995">
        <v>1648</v>
      </c>
      <c r="H1995" t="s">
        <v>145</v>
      </c>
      <c r="I1995">
        <v>2021</v>
      </c>
      <c r="J1995">
        <v>2021</v>
      </c>
      <c r="K1995" t="s">
        <v>143</v>
      </c>
      <c r="L1995">
        <v>111241744</v>
      </c>
      <c r="M1995" t="s">
        <v>397</v>
      </c>
      <c r="N1995" t="s">
        <v>398</v>
      </c>
      <c r="O1995">
        <f t="shared" si="1"/>
        <v>67159444.157504067</v>
      </c>
      <c r="P1995">
        <f>Table3[[#This Row],[Value (odmt)]]*10^-6</f>
        <v>67.159444157504069</v>
      </c>
      <c r="Q1995" t="s">
        <v>781</v>
      </c>
      <c r="R1995" s="142">
        <f>Table3[[#This Row],[Value (odmt)]]/Table3[[#This Row],[Value]]</f>
        <v>0.60372520011466257</v>
      </c>
    </row>
    <row r="1996" spans="1:18" x14ac:dyDescent="0.3">
      <c r="A1996" t="s">
        <v>126</v>
      </c>
      <c r="B1996" t="s">
        <v>125</v>
      </c>
      <c r="C1996" t="s">
        <v>395</v>
      </c>
      <c r="D1996" t="s">
        <v>396</v>
      </c>
      <c r="E1996">
        <v>5616</v>
      </c>
      <c r="F1996" t="s">
        <v>127</v>
      </c>
      <c r="G1996">
        <v>1648</v>
      </c>
      <c r="H1996" t="s">
        <v>145</v>
      </c>
      <c r="I1996">
        <v>2021</v>
      </c>
      <c r="J1996">
        <v>2021</v>
      </c>
      <c r="K1996" t="s">
        <v>143</v>
      </c>
      <c r="L1996">
        <v>0</v>
      </c>
      <c r="M1996" t="s">
        <v>397</v>
      </c>
      <c r="N1996" t="s">
        <v>398</v>
      </c>
      <c r="O1996">
        <f t="shared" si="1"/>
        <v>8910761.4480368849</v>
      </c>
      <c r="P1996">
        <f>Table3[[#This Row],[Value (odmt)]]*10^-6</f>
        <v>8.9107614480368849</v>
      </c>
      <c r="Q1996" t="s">
        <v>782</v>
      </c>
      <c r="R1996" s="142"/>
    </row>
    <row r="1997" spans="1:18" x14ac:dyDescent="0.3">
      <c r="A1997" t="s">
        <v>126</v>
      </c>
      <c r="B1997" t="s">
        <v>125</v>
      </c>
      <c r="C1997" t="s">
        <v>395</v>
      </c>
      <c r="D1997" t="s">
        <v>396</v>
      </c>
      <c r="E1997">
        <v>5916</v>
      </c>
      <c r="F1997" t="s">
        <v>124</v>
      </c>
      <c r="G1997">
        <v>1648</v>
      </c>
      <c r="H1997" t="s">
        <v>145</v>
      </c>
      <c r="I1997">
        <v>2021</v>
      </c>
      <c r="J1997">
        <v>2021</v>
      </c>
      <c r="K1997" t="s">
        <v>143</v>
      </c>
      <c r="L1997">
        <v>0</v>
      </c>
      <c r="M1997" t="s">
        <v>397</v>
      </c>
      <c r="N1997" t="s">
        <v>398</v>
      </c>
      <c r="O1997">
        <f t="shared" si="1"/>
        <v>8434468.4241873566</v>
      </c>
      <c r="P1997">
        <f>Table3[[#This Row],[Value (odmt)]]*10^-6</f>
        <v>8.4344684241873562</v>
      </c>
      <c r="Q1997" t="s">
        <v>783</v>
      </c>
      <c r="R1997" s="142"/>
    </row>
    <row r="1998" spans="1:18" x14ac:dyDescent="0.3">
      <c r="A1998" t="s">
        <v>126</v>
      </c>
      <c r="B1998" t="s">
        <v>125</v>
      </c>
      <c r="C1998" t="s">
        <v>395</v>
      </c>
      <c r="D1998" t="s">
        <v>396</v>
      </c>
      <c r="E1998">
        <v>5516</v>
      </c>
      <c r="F1998" t="s">
        <v>128</v>
      </c>
      <c r="G1998">
        <v>1650</v>
      </c>
      <c r="H1998" t="s">
        <v>144</v>
      </c>
      <c r="I1998">
        <v>2021</v>
      </c>
      <c r="J1998">
        <v>2021</v>
      </c>
      <c r="K1998" t="s">
        <v>143</v>
      </c>
      <c r="L1998">
        <v>8513791</v>
      </c>
      <c r="M1998" t="s">
        <v>397</v>
      </c>
      <c r="N1998" t="s">
        <v>398</v>
      </c>
      <c r="O1998">
        <f t="shared" si="1"/>
        <v>2017380.7370249999</v>
      </c>
      <c r="P1998">
        <f>Table3[[#This Row],[Value (odmt)]]*10^-6</f>
        <v>2.0173807370249999</v>
      </c>
      <c r="Q1998" t="s">
        <v>784</v>
      </c>
      <c r="R1998" s="142">
        <f>Table3[[#This Row],[Value (odmt)]]/Table3[[#This Row],[Value]]</f>
        <v>0.23695445859840816</v>
      </c>
    </row>
    <row r="1999" spans="1:18" x14ac:dyDescent="0.3">
      <c r="A1999" t="s">
        <v>126</v>
      </c>
      <c r="B1999" t="s">
        <v>125</v>
      </c>
      <c r="C1999" t="s">
        <v>395</v>
      </c>
      <c r="D1999" t="s">
        <v>396</v>
      </c>
      <c r="E1999">
        <v>5616</v>
      </c>
      <c r="F1999" t="s">
        <v>127</v>
      </c>
      <c r="G1999">
        <v>1650</v>
      </c>
      <c r="H1999" t="s">
        <v>144</v>
      </c>
      <c r="I1999">
        <v>2021</v>
      </c>
      <c r="J1999">
        <v>2021</v>
      </c>
      <c r="K1999" t="s">
        <v>143</v>
      </c>
      <c r="L1999">
        <v>0</v>
      </c>
      <c r="M1999" t="s">
        <v>397</v>
      </c>
      <c r="N1999" t="s">
        <v>398</v>
      </c>
      <c r="O1999">
        <f t="shared" si="1"/>
        <v>593626.92121377576</v>
      </c>
      <c r="P1999">
        <f>Table3[[#This Row],[Value (odmt)]]*10^-6</f>
        <v>0.59362692121377569</v>
      </c>
      <c r="Q1999" t="s">
        <v>785</v>
      </c>
      <c r="R1999" s="142"/>
    </row>
    <row r="2000" spans="1:18" x14ac:dyDescent="0.3">
      <c r="A2000" t="s">
        <v>126</v>
      </c>
      <c r="B2000" t="s">
        <v>125</v>
      </c>
      <c r="C2000" t="s">
        <v>395</v>
      </c>
      <c r="D2000" t="s">
        <v>396</v>
      </c>
      <c r="E2000">
        <v>5916</v>
      </c>
      <c r="F2000" t="s">
        <v>124</v>
      </c>
      <c r="G2000">
        <v>1650</v>
      </c>
      <c r="H2000" t="s">
        <v>144</v>
      </c>
      <c r="I2000">
        <v>2021</v>
      </c>
      <c r="J2000">
        <v>2021</v>
      </c>
      <c r="K2000" t="s">
        <v>143</v>
      </c>
      <c r="L2000">
        <v>0</v>
      </c>
      <c r="M2000" t="s">
        <v>397</v>
      </c>
      <c r="N2000" t="s">
        <v>398</v>
      </c>
      <c r="O2000">
        <f t="shared" si="1"/>
        <v>423566.80233606009</v>
      </c>
      <c r="P2000">
        <f>Table3[[#This Row],[Value (odmt)]]*10^-6</f>
        <v>0.42356680233606009</v>
      </c>
      <c r="Q2000" t="s">
        <v>786</v>
      </c>
      <c r="R2000" s="142"/>
    </row>
    <row r="2001" spans="1:18" x14ac:dyDescent="0.3">
      <c r="A2001" t="s">
        <v>126</v>
      </c>
      <c r="B2001" t="s">
        <v>125</v>
      </c>
      <c r="C2001" t="s">
        <v>395</v>
      </c>
      <c r="D2001" t="s">
        <v>396</v>
      </c>
      <c r="E2001">
        <v>5516</v>
      </c>
      <c r="F2001" t="s">
        <v>128</v>
      </c>
      <c r="G2001">
        <v>1649</v>
      </c>
      <c r="H2001" t="s">
        <v>142</v>
      </c>
      <c r="I2001">
        <v>2021</v>
      </c>
      <c r="J2001">
        <v>2021</v>
      </c>
      <c r="O2001">
        <f t="shared" si="1"/>
        <v>0</v>
      </c>
      <c r="P2001">
        <f>Table3[[#This Row],[Value (odmt)]]*10^-6</f>
        <v>0</v>
      </c>
      <c r="R2001" s="142"/>
    </row>
    <row r="2002" spans="1:18" x14ac:dyDescent="0.3">
      <c r="A2002" t="s">
        <v>126</v>
      </c>
      <c r="B2002" t="s">
        <v>125</v>
      </c>
      <c r="C2002" t="s">
        <v>395</v>
      </c>
      <c r="D2002" t="s">
        <v>396</v>
      </c>
      <c r="E2002">
        <v>5616</v>
      </c>
      <c r="F2002" t="s">
        <v>127</v>
      </c>
      <c r="G2002">
        <v>1649</v>
      </c>
      <c r="H2002" t="s">
        <v>142</v>
      </c>
      <c r="I2002">
        <v>2021</v>
      </c>
      <c r="J2002">
        <v>2021</v>
      </c>
      <c r="R2002" s="142"/>
    </row>
    <row r="2003" spans="1:18" x14ac:dyDescent="0.3">
      <c r="A2003" t="s">
        <v>126</v>
      </c>
      <c r="B2003" t="s">
        <v>125</v>
      </c>
      <c r="C2003" t="s">
        <v>395</v>
      </c>
      <c r="D2003" t="s">
        <v>396</v>
      </c>
      <c r="E2003">
        <v>5916</v>
      </c>
      <c r="F2003" t="s">
        <v>124</v>
      </c>
      <c r="G2003">
        <v>1649</v>
      </c>
      <c r="H2003" t="s">
        <v>142</v>
      </c>
      <c r="I2003">
        <v>2021</v>
      </c>
      <c r="J2003">
        <v>2021</v>
      </c>
      <c r="R2003" s="142"/>
    </row>
    <row r="2004" spans="1:18" x14ac:dyDescent="0.3">
      <c r="A2004" t="s">
        <v>126</v>
      </c>
      <c r="B2004" t="s">
        <v>125</v>
      </c>
      <c r="C2004" t="s">
        <v>395</v>
      </c>
      <c r="D2004" t="s">
        <v>396</v>
      </c>
      <c r="E2004">
        <v>5510</v>
      </c>
      <c r="F2004" t="s">
        <v>128</v>
      </c>
      <c r="G2004">
        <v>1685</v>
      </c>
      <c r="H2004" t="s">
        <v>98</v>
      </c>
      <c r="I2004">
        <v>2021</v>
      </c>
      <c r="J2004">
        <v>2021</v>
      </c>
      <c r="K2004" t="s">
        <v>339</v>
      </c>
      <c r="L2004">
        <v>28901549</v>
      </c>
      <c r="M2004" t="s">
        <v>397</v>
      </c>
      <c r="N2004" t="s">
        <v>398</v>
      </c>
      <c r="O2004">
        <f t="shared" si="1"/>
        <v>26059338</v>
      </c>
      <c r="P2004">
        <f>Table3[[#This Row],[Value (odmt)]]*10^-6</f>
        <v>26.059338</v>
      </c>
      <c r="Q2004" t="s">
        <v>787</v>
      </c>
      <c r="R2004" s="142">
        <f>Table3[[#This Row],[Value (odmt)]]/Table3[[#This Row],[Value]]</f>
        <v>0.901658869564396</v>
      </c>
    </row>
    <row r="2005" spans="1:18" x14ac:dyDescent="0.3">
      <c r="A2005" t="s">
        <v>126</v>
      </c>
      <c r="B2005" t="s">
        <v>125</v>
      </c>
      <c r="C2005" t="s">
        <v>395</v>
      </c>
      <c r="D2005" t="s">
        <v>396</v>
      </c>
      <c r="E2005">
        <v>5610</v>
      </c>
      <c r="F2005" t="s">
        <v>127</v>
      </c>
      <c r="G2005">
        <v>1685</v>
      </c>
      <c r="H2005" t="s">
        <v>98</v>
      </c>
      <c r="I2005">
        <v>2021</v>
      </c>
      <c r="J2005">
        <v>2021</v>
      </c>
      <c r="K2005" t="s">
        <v>339</v>
      </c>
      <c r="L2005">
        <v>0</v>
      </c>
      <c r="M2005" t="s">
        <v>397</v>
      </c>
      <c r="N2005" t="s">
        <v>398</v>
      </c>
      <c r="O2005">
        <f t="shared" si="1"/>
        <v>2792285.2286100006</v>
      </c>
      <c r="P2005">
        <f>Table3[[#This Row],[Value (odmt)]]*10^-6</f>
        <v>2.7922852286100004</v>
      </c>
      <c r="Q2005" t="s">
        <v>788</v>
      </c>
      <c r="R2005" s="142"/>
    </row>
    <row r="2006" spans="1:18" x14ac:dyDescent="0.3">
      <c r="A2006" t="s">
        <v>126</v>
      </c>
      <c r="B2006" t="s">
        <v>125</v>
      </c>
      <c r="C2006" t="s">
        <v>395</v>
      </c>
      <c r="D2006" t="s">
        <v>396</v>
      </c>
      <c r="E2006">
        <v>5910</v>
      </c>
      <c r="F2006" t="s">
        <v>124</v>
      </c>
      <c r="G2006">
        <v>1685</v>
      </c>
      <c r="H2006" t="s">
        <v>98</v>
      </c>
      <c r="I2006">
        <v>2021</v>
      </c>
      <c r="J2006">
        <v>2021</v>
      </c>
      <c r="K2006" t="s">
        <v>339</v>
      </c>
      <c r="L2006">
        <v>0</v>
      </c>
      <c r="M2006" t="s">
        <v>397</v>
      </c>
      <c r="N2006" t="s">
        <v>398</v>
      </c>
      <c r="O2006">
        <f t="shared" si="1"/>
        <v>3373164.5142599996</v>
      </c>
      <c r="P2006">
        <f>Table3[[#This Row],[Value (odmt)]]*10^-6</f>
        <v>3.3731645142599995</v>
      </c>
      <c r="Q2006" t="s">
        <v>789</v>
      </c>
      <c r="R2006" s="142"/>
    </row>
    <row r="2007" spans="1:18" x14ac:dyDescent="0.3">
      <c r="A2007" t="s">
        <v>126</v>
      </c>
      <c r="B2007" t="s">
        <v>125</v>
      </c>
      <c r="C2007" t="s">
        <v>395</v>
      </c>
      <c r="D2007" t="s">
        <v>396</v>
      </c>
      <c r="E2007">
        <v>5510</v>
      </c>
      <c r="F2007" t="s">
        <v>128</v>
      </c>
      <c r="G2007">
        <v>1654</v>
      </c>
      <c r="H2007" t="s">
        <v>141</v>
      </c>
      <c r="I2007">
        <v>2021</v>
      </c>
      <c r="J2007">
        <v>2021</v>
      </c>
      <c r="O2007">
        <f t="shared" si="1"/>
        <v>0</v>
      </c>
      <c r="P2007">
        <f>Table3[[#This Row],[Value (odmt)]]*10^-6</f>
        <v>0</v>
      </c>
      <c r="R2007" s="142"/>
    </row>
    <row r="2008" spans="1:18" x14ac:dyDescent="0.3">
      <c r="A2008" t="s">
        <v>126</v>
      </c>
      <c r="B2008" t="s">
        <v>125</v>
      </c>
      <c r="C2008" t="s">
        <v>395</v>
      </c>
      <c r="D2008" t="s">
        <v>396</v>
      </c>
      <c r="E2008">
        <v>5610</v>
      </c>
      <c r="F2008" t="s">
        <v>127</v>
      </c>
      <c r="G2008">
        <v>1654</v>
      </c>
      <c r="H2008" t="s">
        <v>141</v>
      </c>
      <c r="I2008">
        <v>2021</v>
      </c>
      <c r="J2008">
        <v>2021</v>
      </c>
      <c r="R2008" s="142"/>
    </row>
    <row r="2009" spans="1:18" x14ac:dyDescent="0.3">
      <c r="A2009" t="s">
        <v>126</v>
      </c>
      <c r="B2009" t="s">
        <v>125</v>
      </c>
      <c r="C2009" t="s">
        <v>395</v>
      </c>
      <c r="D2009" t="s">
        <v>396</v>
      </c>
      <c r="E2009">
        <v>5910</v>
      </c>
      <c r="F2009" t="s">
        <v>124</v>
      </c>
      <c r="G2009">
        <v>1654</v>
      </c>
      <c r="H2009" t="s">
        <v>141</v>
      </c>
      <c r="I2009">
        <v>2021</v>
      </c>
      <c r="J2009">
        <v>2021</v>
      </c>
      <c r="R2009" s="142"/>
    </row>
    <row r="2010" spans="1:18" x14ac:dyDescent="0.3">
      <c r="A2010" t="s">
        <v>126</v>
      </c>
      <c r="B2010" t="s">
        <v>125</v>
      </c>
      <c r="C2010" t="s">
        <v>395</v>
      </c>
      <c r="D2010" t="s">
        <v>396</v>
      </c>
      <c r="E2010">
        <v>5510</v>
      </c>
      <c r="F2010" t="s">
        <v>128</v>
      </c>
      <c r="G2010">
        <v>1655</v>
      </c>
      <c r="H2010" t="s">
        <v>140</v>
      </c>
      <c r="I2010">
        <v>2021</v>
      </c>
      <c r="J2010">
        <v>2021</v>
      </c>
      <c r="O2010">
        <f t="shared" si="1"/>
        <v>0</v>
      </c>
      <c r="P2010">
        <f>Table3[[#This Row],[Value (odmt)]]*10^-6</f>
        <v>0</v>
      </c>
      <c r="R2010" s="142"/>
    </row>
    <row r="2011" spans="1:18" x14ac:dyDescent="0.3">
      <c r="A2011" t="s">
        <v>126</v>
      </c>
      <c r="B2011" t="s">
        <v>125</v>
      </c>
      <c r="C2011" t="s">
        <v>395</v>
      </c>
      <c r="D2011" t="s">
        <v>396</v>
      </c>
      <c r="E2011">
        <v>5610</v>
      </c>
      <c r="F2011" t="s">
        <v>127</v>
      </c>
      <c r="G2011">
        <v>1655</v>
      </c>
      <c r="H2011" t="s">
        <v>140</v>
      </c>
      <c r="I2011">
        <v>2021</v>
      </c>
      <c r="J2011">
        <v>2021</v>
      </c>
      <c r="R2011" s="142"/>
    </row>
    <row r="2012" spans="1:18" x14ac:dyDescent="0.3">
      <c r="A2012" t="s">
        <v>126</v>
      </c>
      <c r="B2012" t="s">
        <v>125</v>
      </c>
      <c r="C2012" t="s">
        <v>395</v>
      </c>
      <c r="D2012" t="s">
        <v>396</v>
      </c>
      <c r="E2012">
        <v>5910</v>
      </c>
      <c r="F2012" t="s">
        <v>124</v>
      </c>
      <c r="G2012">
        <v>1655</v>
      </c>
      <c r="H2012" t="s">
        <v>140</v>
      </c>
      <c r="I2012">
        <v>2021</v>
      </c>
      <c r="J2012">
        <v>2021</v>
      </c>
      <c r="R2012" s="142"/>
    </row>
    <row r="2013" spans="1:18" x14ac:dyDescent="0.3">
      <c r="A2013" t="s">
        <v>126</v>
      </c>
      <c r="B2013" t="s">
        <v>125</v>
      </c>
      <c r="C2013" t="s">
        <v>395</v>
      </c>
      <c r="D2013" t="s">
        <v>396</v>
      </c>
      <c r="E2013">
        <v>5510</v>
      </c>
      <c r="F2013" t="s">
        <v>128</v>
      </c>
      <c r="G2013">
        <v>1656</v>
      </c>
      <c r="H2013" t="s">
        <v>97</v>
      </c>
      <c r="I2013">
        <v>2021</v>
      </c>
      <c r="J2013">
        <v>2021</v>
      </c>
      <c r="K2013" t="s">
        <v>339</v>
      </c>
      <c r="L2013">
        <v>156244090</v>
      </c>
      <c r="M2013" t="s">
        <v>397</v>
      </c>
      <c r="N2013" t="s">
        <v>398</v>
      </c>
      <c r="O2013">
        <f t="shared" si="1"/>
        <v>136055646.90000001</v>
      </c>
      <c r="P2013">
        <f>Table3[[#This Row],[Value (odmt)]]*10^-6</f>
        <v>136.0556469</v>
      </c>
      <c r="Q2013" t="s">
        <v>790</v>
      </c>
      <c r="R2013" s="142">
        <f>Table3[[#This Row],[Value (odmt)]]/Table3[[#This Row],[Value]]</f>
        <v>0.87078907688604412</v>
      </c>
    </row>
    <row r="2014" spans="1:18" x14ac:dyDescent="0.3">
      <c r="A2014" t="s">
        <v>126</v>
      </c>
      <c r="B2014" t="s">
        <v>125</v>
      </c>
      <c r="C2014" t="s">
        <v>395</v>
      </c>
      <c r="D2014" t="s">
        <v>396</v>
      </c>
      <c r="E2014">
        <v>5610</v>
      </c>
      <c r="F2014" t="s">
        <v>127</v>
      </c>
      <c r="G2014">
        <v>1656</v>
      </c>
      <c r="H2014" t="s">
        <v>97</v>
      </c>
      <c r="I2014">
        <v>2021</v>
      </c>
      <c r="J2014">
        <v>2021</v>
      </c>
      <c r="K2014" t="s">
        <v>339</v>
      </c>
      <c r="L2014">
        <v>0</v>
      </c>
      <c r="M2014" t="s">
        <v>397</v>
      </c>
      <c r="N2014" t="s">
        <v>398</v>
      </c>
      <c r="O2014">
        <f t="shared" si="1"/>
        <v>38779050.325455002</v>
      </c>
      <c r="P2014">
        <f>Table3[[#This Row],[Value (odmt)]]*10^-6</f>
        <v>38.779050325455003</v>
      </c>
      <c r="Q2014" t="s">
        <v>791</v>
      </c>
      <c r="R2014" s="142"/>
    </row>
    <row r="2015" spans="1:18" x14ac:dyDescent="0.3">
      <c r="A2015" t="s">
        <v>126</v>
      </c>
      <c r="B2015" t="s">
        <v>125</v>
      </c>
      <c r="C2015" t="s">
        <v>395</v>
      </c>
      <c r="D2015" t="s">
        <v>396</v>
      </c>
      <c r="E2015">
        <v>5910</v>
      </c>
      <c r="F2015" t="s">
        <v>124</v>
      </c>
      <c r="G2015">
        <v>1656</v>
      </c>
      <c r="H2015" t="s">
        <v>97</v>
      </c>
      <c r="I2015">
        <v>2021</v>
      </c>
      <c r="J2015">
        <v>2021</v>
      </c>
      <c r="K2015" t="s">
        <v>339</v>
      </c>
      <c r="L2015">
        <v>0</v>
      </c>
      <c r="M2015" t="s">
        <v>397</v>
      </c>
      <c r="N2015" t="s">
        <v>398</v>
      </c>
      <c r="O2015">
        <f t="shared" si="1"/>
        <v>37950265.428389996</v>
      </c>
      <c r="P2015">
        <f>Table3[[#This Row],[Value (odmt)]]*10^-6</f>
        <v>37.950265428389997</v>
      </c>
      <c r="Q2015" t="s">
        <v>792</v>
      </c>
      <c r="R2015" s="142"/>
    </row>
    <row r="2016" spans="1:18" x14ac:dyDescent="0.3">
      <c r="A2016" t="s">
        <v>126</v>
      </c>
      <c r="B2016" t="s">
        <v>125</v>
      </c>
      <c r="C2016" t="s">
        <v>395</v>
      </c>
      <c r="D2016" t="s">
        <v>396</v>
      </c>
      <c r="E2016">
        <v>5510</v>
      </c>
      <c r="F2016" t="s">
        <v>128</v>
      </c>
      <c r="G2016">
        <v>1662</v>
      </c>
      <c r="H2016" t="s">
        <v>139</v>
      </c>
      <c r="I2016">
        <v>2021</v>
      </c>
      <c r="J2016">
        <v>2021</v>
      </c>
      <c r="K2016" t="s">
        <v>339</v>
      </c>
      <c r="L2016">
        <v>41459191</v>
      </c>
      <c r="M2016" t="s">
        <v>397</v>
      </c>
      <c r="N2016" t="s">
        <v>398</v>
      </c>
      <c r="O2016">
        <f t="shared" si="1"/>
        <v>0</v>
      </c>
      <c r="P2016">
        <f>Table3[[#This Row],[Value (odmt)]]*10^-6</f>
        <v>0</v>
      </c>
      <c r="R2016" s="142">
        <f>Table3[[#This Row],[Value (odmt)]]/Table3[[#This Row],[Value]]</f>
        <v>0</v>
      </c>
    </row>
    <row r="2017" spans="1:18" x14ac:dyDescent="0.3">
      <c r="A2017" t="s">
        <v>126</v>
      </c>
      <c r="B2017" t="s">
        <v>125</v>
      </c>
      <c r="C2017" t="s">
        <v>395</v>
      </c>
      <c r="D2017" t="s">
        <v>396</v>
      </c>
      <c r="E2017">
        <v>5610</v>
      </c>
      <c r="F2017" t="s">
        <v>127</v>
      </c>
      <c r="G2017">
        <v>1662</v>
      </c>
      <c r="H2017" t="s">
        <v>139</v>
      </c>
      <c r="I2017">
        <v>2021</v>
      </c>
      <c r="J2017">
        <v>2021</v>
      </c>
      <c r="K2017" t="s">
        <v>339</v>
      </c>
      <c r="L2017">
        <v>0</v>
      </c>
      <c r="M2017" t="s">
        <v>397</v>
      </c>
      <c r="N2017" t="s">
        <v>398</v>
      </c>
      <c r="O2017">
        <f t="shared" si="1"/>
        <v>0</v>
      </c>
      <c r="P2017">
        <f>Table3[[#This Row],[Value (odmt)]]*10^-6</f>
        <v>0</v>
      </c>
      <c r="R2017" s="142"/>
    </row>
    <row r="2018" spans="1:18" x14ac:dyDescent="0.3">
      <c r="A2018" t="s">
        <v>126</v>
      </c>
      <c r="B2018" t="s">
        <v>125</v>
      </c>
      <c r="C2018" t="s">
        <v>395</v>
      </c>
      <c r="D2018" t="s">
        <v>396</v>
      </c>
      <c r="E2018">
        <v>5910</v>
      </c>
      <c r="F2018" t="s">
        <v>124</v>
      </c>
      <c r="G2018">
        <v>1662</v>
      </c>
      <c r="H2018" t="s">
        <v>139</v>
      </c>
      <c r="I2018">
        <v>2021</v>
      </c>
      <c r="J2018">
        <v>2021</v>
      </c>
      <c r="K2018" t="s">
        <v>339</v>
      </c>
      <c r="L2018">
        <v>0</v>
      </c>
      <c r="M2018" t="s">
        <v>397</v>
      </c>
      <c r="N2018" t="s">
        <v>398</v>
      </c>
      <c r="O2018">
        <f t="shared" si="1"/>
        <v>0</v>
      </c>
      <c r="P2018">
        <f>Table3[[#This Row],[Value (odmt)]]*10^-6</f>
        <v>0</v>
      </c>
      <c r="R2018" s="142"/>
    </row>
    <row r="2019" spans="1:18" x14ac:dyDescent="0.3">
      <c r="A2019" t="s">
        <v>126</v>
      </c>
      <c r="B2019" t="s">
        <v>125</v>
      </c>
      <c r="C2019" t="s">
        <v>395</v>
      </c>
      <c r="D2019" t="s">
        <v>396</v>
      </c>
      <c r="E2019">
        <v>5510</v>
      </c>
      <c r="F2019" t="s">
        <v>128</v>
      </c>
      <c r="G2019">
        <v>1663</v>
      </c>
      <c r="H2019" t="s">
        <v>138</v>
      </c>
      <c r="I2019">
        <v>2021</v>
      </c>
      <c r="J2019">
        <v>2021</v>
      </c>
      <c r="K2019" t="s">
        <v>339</v>
      </c>
      <c r="L2019">
        <v>111642961</v>
      </c>
      <c r="M2019" t="s">
        <v>397</v>
      </c>
      <c r="N2019" t="s">
        <v>398</v>
      </c>
      <c r="O2019">
        <f t="shared" si="1"/>
        <v>0</v>
      </c>
      <c r="P2019">
        <f>Table3[[#This Row],[Value (odmt)]]*10^-6</f>
        <v>0</v>
      </c>
      <c r="R2019" s="142">
        <f>Table3[[#This Row],[Value (odmt)]]/Table3[[#This Row],[Value]]</f>
        <v>0</v>
      </c>
    </row>
    <row r="2020" spans="1:18" x14ac:dyDescent="0.3">
      <c r="A2020" t="s">
        <v>126</v>
      </c>
      <c r="B2020" t="s">
        <v>125</v>
      </c>
      <c r="C2020" t="s">
        <v>395</v>
      </c>
      <c r="D2020" t="s">
        <v>396</v>
      </c>
      <c r="E2020">
        <v>5610</v>
      </c>
      <c r="F2020" t="s">
        <v>127</v>
      </c>
      <c r="G2020">
        <v>1663</v>
      </c>
      <c r="H2020" t="s">
        <v>138</v>
      </c>
      <c r="I2020">
        <v>2021</v>
      </c>
      <c r="J2020">
        <v>2021</v>
      </c>
      <c r="K2020" t="s">
        <v>339</v>
      </c>
      <c r="L2020">
        <v>0</v>
      </c>
      <c r="M2020" t="s">
        <v>397</v>
      </c>
      <c r="N2020" t="s">
        <v>398</v>
      </c>
      <c r="O2020">
        <f t="shared" si="1"/>
        <v>0</v>
      </c>
      <c r="P2020">
        <f>Table3[[#This Row],[Value (odmt)]]*10^-6</f>
        <v>0</v>
      </c>
      <c r="R2020" s="142"/>
    </row>
    <row r="2021" spans="1:18" x14ac:dyDescent="0.3">
      <c r="A2021" t="s">
        <v>126</v>
      </c>
      <c r="B2021" t="s">
        <v>125</v>
      </c>
      <c r="C2021" t="s">
        <v>395</v>
      </c>
      <c r="D2021" t="s">
        <v>396</v>
      </c>
      <c r="E2021">
        <v>5910</v>
      </c>
      <c r="F2021" t="s">
        <v>124</v>
      </c>
      <c r="G2021">
        <v>1663</v>
      </c>
      <c r="H2021" t="s">
        <v>138</v>
      </c>
      <c r="I2021">
        <v>2021</v>
      </c>
      <c r="J2021">
        <v>2021</v>
      </c>
      <c r="K2021" t="s">
        <v>339</v>
      </c>
      <c r="L2021">
        <v>0</v>
      </c>
      <c r="M2021" t="s">
        <v>397</v>
      </c>
      <c r="N2021" t="s">
        <v>398</v>
      </c>
      <c r="O2021">
        <f t="shared" si="1"/>
        <v>0</v>
      </c>
      <c r="P2021">
        <f>Table3[[#This Row],[Value (odmt)]]*10^-6</f>
        <v>0</v>
      </c>
      <c r="R2021" s="142"/>
    </row>
    <row r="2022" spans="1:18" x14ac:dyDescent="0.3">
      <c r="A2022" t="s">
        <v>126</v>
      </c>
      <c r="B2022" t="s">
        <v>125</v>
      </c>
      <c r="C2022" t="s">
        <v>395</v>
      </c>
      <c r="D2022" t="s">
        <v>396</v>
      </c>
      <c r="E2022">
        <v>5510</v>
      </c>
      <c r="F2022" t="s">
        <v>128</v>
      </c>
      <c r="G2022">
        <v>1686</v>
      </c>
      <c r="H2022" t="s">
        <v>137</v>
      </c>
      <c r="I2022">
        <v>2021</v>
      </c>
      <c r="J2022">
        <v>2021</v>
      </c>
      <c r="K2022" t="s">
        <v>339</v>
      </c>
      <c r="L2022">
        <v>3141938</v>
      </c>
      <c r="M2022" t="s">
        <v>397</v>
      </c>
      <c r="N2022" t="s">
        <v>398</v>
      </c>
      <c r="O2022">
        <f t="shared" si="1"/>
        <v>0</v>
      </c>
      <c r="P2022">
        <f>Table3[[#This Row],[Value (odmt)]]*10^-6</f>
        <v>0</v>
      </c>
      <c r="R2022" s="142">
        <f>Table3[[#This Row],[Value (odmt)]]/Table3[[#This Row],[Value]]</f>
        <v>0</v>
      </c>
    </row>
    <row r="2023" spans="1:18" x14ac:dyDescent="0.3">
      <c r="A2023" t="s">
        <v>126</v>
      </c>
      <c r="B2023" t="s">
        <v>125</v>
      </c>
      <c r="C2023" t="s">
        <v>395</v>
      </c>
      <c r="D2023" t="s">
        <v>396</v>
      </c>
      <c r="E2023">
        <v>5610</v>
      </c>
      <c r="F2023" t="s">
        <v>127</v>
      </c>
      <c r="G2023">
        <v>1686</v>
      </c>
      <c r="H2023" t="s">
        <v>137</v>
      </c>
      <c r="I2023">
        <v>2021</v>
      </c>
      <c r="J2023">
        <v>2021</v>
      </c>
      <c r="K2023" t="s">
        <v>339</v>
      </c>
      <c r="L2023">
        <v>0</v>
      </c>
      <c r="M2023" t="s">
        <v>397</v>
      </c>
      <c r="N2023" t="s">
        <v>398</v>
      </c>
      <c r="O2023">
        <f t="shared" si="1"/>
        <v>0</v>
      </c>
      <c r="P2023">
        <f>Table3[[#This Row],[Value (odmt)]]*10^-6</f>
        <v>0</v>
      </c>
      <c r="R2023" s="142"/>
    </row>
    <row r="2024" spans="1:18" x14ac:dyDescent="0.3">
      <c r="A2024" t="s">
        <v>126</v>
      </c>
      <c r="B2024" t="s">
        <v>125</v>
      </c>
      <c r="C2024" t="s">
        <v>395</v>
      </c>
      <c r="D2024" t="s">
        <v>396</v>
      </c>
      <c r="E2024">
        <v>5910</v>
      </c>
      <c r="F2024" t="s">
        <v>124</v>
      </c>
      <c r="G2024">
        <v>1686</v>
      </c>
      <c r="H2024" t="s">
        <v>137</v>
      </c>
      <c r="I2024">
        <v>2021</v>
      </c>
      <c r="J2024">
        <v>2021</v>
      </c>
      <c r="K2024" t="s">
        <v>339</v>
      </c>
      <c r="L2024">
        <v>0</v>
      </c>
      <c r="M2024" t="s">
        <v>397</v>
      </c>
      <c r="N2024" t="s">
        <v>398</v>
      </c>
      <c r="O2024">
        <f t="shared" si="1"/>
        <v>0</v>
      </c>
      <c r="P2024">
        <f>Table3[[#This Row],[Value (odmt)]]*10^-6</f>
        <v>0</v>
      </c>
      <c r="R2024" s="142"/>
    </row>
    <row r="2025" spans="1:18" x14ac:dyDescent="0.3">
      <c r="A2025" t="s">
        <v>126</v>
      </c>
      <c r="B2025" t="s">
        <v>125</v>
      </c>
      <c r="C2025" t="s">
        <v>395</v>
      </c>
      <c r="D2025" t="s">
        <v>396</v>
      </c>
      <c r="E2025">
        <v>5510</v>
      </c>
      <c r="F2025" t="s">
        <v>128</v>
      </c>
      <c r="G2025">
        <v>1660</v>
      </c>
      <c r="H2025" t="s">
        <v>136</v>
      </c>
      <c r="I2025">
        <v>2021</v>
      </c>
      <c r="J2025">
        <v>2021</v>
      </c>
      <c r="O2025">
        <f t="shared" si="1"/>
        <v>0</v>
      </c>
      <c r="P2025">
        <f>Table3[[#This Row],[Value (odmt)]]*10^-6</f>
        <v>0</v>
      </c>
      <c r="R2025" s="142"/>
    </row>
    <row r="2026" spans="1:18" x14ac:dyDescent="0.3">
      <c r="A2026" t="s">
        <v>126</v>
      </c>
      <c r="B2026" t="s">
        <v>125</v>
      </c>
      <c r="C2026" t="s">
        <v>395</v>
      </c>
      <c r="D2026" t="s">
        <v>396</v>
      </c>
      <c r="E2026">
        <v>5610</v>
      </c>
      <c r="F2026" t="s">
        <v>127</v>
      </c>
      <c r="G2026">
        <v>1660</v>
      </c>
      <c r="H2026" t="s">
        <v>136</v>
      </c>
      <c r="I2026">
        <v>2021</v>
      </c>
      <c r="J2026">
        <v>2021</v>
      </c>
      <c r="R2026" s="142"/>
    </row>
    <row r="2027" spans="1:18" x14ac:dyDescent="0.3">
      <c r="A2027" t="s">
        <v>126</v>
      </c>
      <c r="B2027" t="s">
        <v>125</v>
      </c>
      <c r="C2027" t="s">
        <v>395</v>
      </c>
      <c r="D2027" t="s">
        <v>396</v>
      </c>
      <c r="E2027">
        <v>5910</v>
      </c>
      <c r="F2027" t="s">
        <v>124</v>
      </c>
      <c r="G2027">
        <v>1660</v>
      </c>
      <c r="H2027" t="s">
        <v>136</v>
      </c>
      <c r="I2027">
        <v>2021</v>
      </c>
      <c r="J2027">
        <v>2021</v>
      </c>
      <c r="R2027" s="142"/>
    </row>
    <row r="2028" spans="1:18" x14ac:dyDescent="0.3">
      <c r="A2028" t="s">
        <v>126</v>
      </c>
      <c r="B2028" t="s">
        <v>125</v>
      </c>
      <c r="C2028" t="s">
        <v>395</v>
      </c>
      <c r="D2028" t="s">
        <v>396</v>
      </c>
      <c r="E2028">
        <v>5510</v>
      </c>
      <c r="F2028" t="s">
        <v>128</v>
      </c>
      <c r="G2028">
        <v>1661</v>
      </c>
      <c r="H2028" t="s">
        <v>135</v>
      </c>
      <c r="I2028">
        <v>2021</v>
      </c>
      <c r="J2028">
        <v>2021</v>
      </c>
      <c r="O2028">
        <f t="shared" si="1"/>
        <v>0</v>
      </c>
      <c r="P2028">
        <f>Table3[[#This Row],[Value (odmt)]]*10^-6</f>
        <v>0</v>
      </c>
      <c r="R2028" s="142"/>
    </row>
    <row r="2029" spans="1:18" x14ac:dyDescent="0.3">
      <c r="A2029" t="s">
        <v>126</v>
      </c>
      <c r="B2029" t="s">
        <v>125</v>
      </c>
      <c r="C2029" t="s">
        <v>395</v>
      </c>
      <c r="D2029" t="s">
        <v>396</v>
      </c>
      <c r="E2029">
        <v>5610</v>
      </c>
      <c r="F2029" t="s">
        <v>127</v>
      </c>
      <c r="G2029">
        <v>1661</v>
      </c>
      <c r="H2029" t="s">
        <v>135</v>
      </c>
      <c r="I2029">
        <v>2021</v>
      </c>
      <c r="J2029">
        <v>2021</v>
      </c>
      <c r="R2029" s="142"/>
    </row>
    <row r="2030" spans="1:18" x14ac:dyDescent="0.3">
      <c r="A2030" t="s">
        <v>126</v>
      </c>
      <c r="B2030" t="s">
        <v>125</v>
      </c>
      <c r="C2030" t="s">
        <v>395</v>
      </c>
      <c r="D2030" t="s">
        <v>396</v>
      </c>
      <c r="E2030">
        <v>5910</v>
      </c>
      <c r="F2030" t="s">
        <v>124</v>
      </c>
      <c r="G2030">
        <v>1661</v>
      </c>
      <c r="H2030" t="s">
        <v>135</v>
      </c>
      <c r="I2030">
        <v>2021</v>
      </c>
      <c r="J2030">
        <v>2021</v>
      </c>
      <c r="R2030" s="142"/>
    </row>
    <row r="2031" spans="1:18" x14ac:dyDescent="0.3">
      <c r="A2031" t="s">
        <v>126</v>
      </c>
      <c r="B2031" t="s">
        <v>125</v>
      </c>
      <c r="C2031" t="s">
        <v>395</v>
      </c>
      <c r="D2031" t="s">
        <v>396</v>
      </c>
      <c r="E2031">
        <v>5510</v>
      </c>
      <c r="F2031" t="s">
        <v>128</v>
      </c>
      <c r="G2031">
        <v>1667</v>
      </c>
      <c r="H2031" t="s">
        <v>96</v>
      </c>
      <c r="I2031">
        <v>2021</v>
      </c>
      <c r="J2031">
        <v>2021</v>
      </c>
      <c r="K2031" t="s">
        <v>339</v>
      </c>
      <c r="L2031">
        <v>8519424</v>
      </c>
      <c r="M2031" t="s">
        <v>397</v>
      </c>
      <c r="N2031" t="s">
        <v>398</v>
      </c>
      <c r="O2031">
        <f t="shared" si="1"/>
        <v>8274759.2999999998</v>
      </c>
      <c r="P2031">
        <f>Table3[[#This Row],[Value (odmt)]]*10^-6</f>
        <v>8.2747592999999995</v>
      </c>
      <c r="Q2031" t="s">
        <v>793</v>
      </c>
      <c r="R2031" s="142">
        <f>Table3[[#This Row],[Value (odmt)]]/Table3[[#This Row],[Value]]</f>
        <v>0.97128154438609937</v>
      </c>
    </row>
    <row r="2032" spans="1:18" x14ac:dyDescent="0.3">
      <c r="A2032" t="s">
        <v>126</v>
      </c>
      <c r="B2032" t="s">
        <v>125</v>
      </c>
      <c r="C2032" t="s">
        <v>395</v>
      </c>
      <c r="D2032" t="s">
        <v>396</v>
      </c>
      <c r="E2032">
        <v>5610</v>
      </c>
      <c r="F2032" t="s">
        <v>127</v>
      </c>
      <c r="G2032">
        <v>1667</v>
      </c>
      <c r="H2032" t="s">
        <v>96</v>
      </c>
      <c r="I2032">
        <v>2021</v>
      </c>
      <c r="J2032">
        <v>2021</v>
      </c>
      <c r="K2032" t="s">
        <v>339</v>
      </c>
      <c r="L2032">
        <v>0</v>
      </c>
      <c r="M2032" t="s">
        <v>397</v>
      </c>
      <c r="N2032" t="s">
        <v>398</v>
      </c>
      <c r="O2032">
        <f t="shared" si="1"/>
        <v>4970081.4819750004</v>
      </c>
      <c r="P2032">
        <f>Table3[[#This Row],[Value (odmt)]]*10^-6</f>
        <v>4.9700814819749999</v>
      </c>
      <c r="Q2032" t="s">
        <v>794</v>
      </c>
      <c r="R2032" s="142"/>
    </row>
    <row r="2033" spans="1:18" x14ac:dyDescent="0.3">
      <c r="A2033" t="s">
        <v>126</v>
      </c>
      <c r="B2033" t="s">
        <v>125</v>
      </c>
      <c r="C2033" t="s">
        <v>395</v>
      </c>
      <c r="D2033" t="s">
        <v>396</v>
      </c>
      <c r="E2033">
        <v>5910</v>
      </c>
      <c r="F2033" t="s">
        <v>124</v>
      </c>
      <c r="G2033">
        <v>1667</v>
      </c>
      <c r="H2033" t="s">
        <v>96</v>
      </c>
      <c r="I2033">
        <v>2021</v>
      </c>
      <c r="J2033">
        <v>2021</v>
      </c>
      <c r="K2033" t="s">
        <v>339</v>
      </c>
      <c r="L2033">
        <v>0</v>
      </c>
      <c r="M2033" t="s">
        <v>397</v>
      </c>
      <c r="N2033" t="s">
        <v>398</v>
      </c>
      <c r="O2033">
        <f t="shared" si="1"/>
        <v>3695676.1940249996</v>
      </c>
      <c r="P2033">
        <f>Table3[[#This Row],[Value (odmt)]]*10^-6</f>
        <v>3.6956761940249994</v>
      </c>
      <c r="Q2033" t="s">
        <v>795</v>
      </c>
      <c r="R2033" s="142"/>
    </row>
    <row r="2034" spans="1:18" x14ac:dyDescent="0.3">
      <c r="A2034" t="s">
        <v>126</v>
      </c>
      <c r="B2034" t="s">
        <v>125</v>
      </c>
      <c r="C2034" t="s">
        <v>395</v>
      </c>
      <c r="D2034" t="s">
        <v>396</v>
      </c>
      <c r="E2034">
        <v>5510</v>
      </c>
      <c r="F2034" t="s">
        <v>128</v>
      </c>
      <c r="G2034">
        <v>1668</v>
      </c>
      <c r="H2034" t="s">
        <v>95</v>
      </c>
      <c r="I2034">
        <v>2021</v>
      </c>
      <c r="J2034">
        <v>2021</v>
      </c>
      <c r="K2034" t="s">
        <v>339</v>
      </c>
      <c r="L2034">
        <v>11547781</v>
      </c>
      <c r="M2034" t="s">
        <v>397</v>
      </c>
      <c r="N2034" t="s">
        <v>398</v>
      </c>
      <c r="O2034">
        <f t="shared" si="1"/>
        <v>10300992.300000001</v>
      </c>
      <c r="P2034">
        <f>Table3[[#This Row],[Value (odmt)]]*10^-6</f>
        <v>10.300992300000001</v>
      </c>
      <c r="Q2034" t="s">
        <v>796</v>
      </c>
      <c r="R2034" s="142">
        <f>Table3[[#This Row],[Value (odmt)]]/Table3[[#This Row],[Value]]</f>
        <v>0.89203218349915026</v>
      </c>
    </row>
    <row r="2035" spans="1:18" x14ac:dyDescent="0.3">
      <c r="A2035" t="s">
        <v>126</v>
      </c>
      <c r="B2035" t="s">
        <v>125</v>
      </c>
      <c r="C2035" t="s">
        <v>395</v>
      </c>
      <c r="D2035" t="s">
        <v>396</v>
      </c>
      <c r="E2035">
        <v>5610</v>
      </c>
      <c r="F2035" t="s">
        <v>127</v>
      </c>
      <c r="G2035">
        <v>1668</v>
      </c>
      <c r="H2035" t="s">
        <v>95</v>
      </c>
      <c r="I2035">
        <v>2021</v>
      </c>
      <c r="J2035">
        <v>2021</v>
      </c>
      <c r="K2035" t="s">
        <v>339</v>
      </c>
      <c r="L2035">
        <v>0</v>
      </c>
      <c r="M2035" t="s">
        <v>397</v>
      </c>
      <c r="N2035" t="s">
        <v>398</v>
      </c>
      <c r="O2035">
        <f t="shared" si="1"/>
        <v>273154.76113499998</v>
      </c>
      <c r="P2035">
        <f>Table3[[#This Row],[Value (odmt)]]*10^-6</f>
        <v>0.27315476113499998</v>
      </c>
      <c r="Q2035" t="s">
        <v>797</v>
      </c>
      <c r="R2035" s="142"/>
    </row>
    <row r="2036" spans="1:18" x14ac:dyDescent="0.3">
      <c r="A2036" t="s">
        <v>126</v>
      </c>
      <c r="B2036" t="s">
        <v>125</v>
      </c>
      <c r="C2036" t="s">
        <v>395</v>
      </c>
      <c r="D2036" t="s">
        <v>396</v>
      </c>
      <c r="E2036">
        <v>5910</v>
      </c>
      <c r="F2036" t="s">
        <v>124</v>
      </c>
      <c r="G2036">
        <v>1668</v>
      </c>
      <c r="H2036" t="s">
        <v>95</v>
      </c>
      <c r="I2036">
        <v>2021</v>
      </c>
      <c r="J2036">
        <v>2021</v>
      </c>
      <c r="K2036" t="s">
        <v>339</v>
      </c>
      <c r="L2036">
        <v>0</v>
      </c>
      <c r="M2036" t="s">
        <v>397</v>
      </c>
      <c r="N2036" t="s">
        <v>398</v>
      </c>
      <c r="O2036">
        <f t="shared" si="1"/>
        <v>271982.41245000006</v>
      </c>
      <c r="P2036">
        <f>Table3[[#This Row],[Value (odmt)]]*10^-6</f>
        <v>0.27198241245000004</v>
      </c>
      <c r="Q2036" t="s">
        <v>798</v>
      </c>
      <c r="R2036" s="142"/>
    </row>
    <row r="2037" spans="1:18" x14ac:dyDescent="0.3">
      <c r="A2037" t="s">
        <v>126</v>
      </c>
      <c r="B2037" t="s">
        <v>125</v>
      </c>
      <c r="C2037" t="s">
        <v>395</v>
      </c>
      <c r="D2037" t="s">
        <v>396</v>
      </c>
      <c r="E2037">
        <v>5510</v>
      </c>
      <c r="F2037" t="s">
        <v>128</v>
      </c>
      <c r="G2037">
        <v>1609</v>
      </c>
      <c r="H2037" t="s">
        <v>94</v>
      </c>
      <c r="I2037">
        <v>2021</v>
      </c>
      <c r="J2037">
        <v>2021</v>
      </c>
      <c r="O2037">
        <f t="shared" si="1"/>
        <v>0</v>
      </c>
      <c r="P2037">
        <f>Table3[[#This Row],[Value (odmt)]]*10^-6</f>
        <v>0</v>
      </c>
      <c r="Q2037" t="s">
        <v>799</v>
      </c>
      <c r="R2037" s="142"/>
    </row>
    <row r="2038" spans="1:18" x14ac:dyDescent="0.3">
      <c r="A2038" t="s">
        <v>126</v>
      </c>
      <c r="B2038" t="s">
        <v>125</v>
      </c>
      <c r="C2038" t="s">
        <v>395</v>
      </c>
      <c r="D2038" t="s">
        <v>396</v>
      </c>
      <c r="E2038">
        <v>5610</v>
      </c>
      <c r="F2038" t="s">
        <v>127</v>
      </c>
      <c r="G2038">
        <v>1609</v>
      </c>
      <c r="H2038" t="s">
        <v>94</v>
      </c>
      <c r="I2038">
        <v>2021</v>
      </c>
      <c r="J2038">
        <v>2021</v>
      </c>
      <c r="K2038" t="s">
        <v>339</v>
      </c>
      <c r="L2038">
        <v>0</v>
      </c>
      <c r="M2038" t="s">
        <v>397</v>
      </c>
      <c r="N2038" t="s">
        <v>398</v>
      </c>
      <c r="O2038">
        <f t="shared" si="1"/>
        <v>2611629.1716300002</v>
      </c>
      <c r="P2038">
        <f>Table3[[#This Row],[Value (odmt)]]*10^-6</f>
        <v>2.6116291716300002</v>
      </c>
      <c r="Q2038" t="s">
        <v>800</v>
      </c>
      <c r="R2038" s="142"/>
    </row>
    <row r="2039" spans="1:18" x14ac:dyDescent="0.3">
      <c r="A2039" t="s">
        <v>126</v>
      </c>
      <c r="B2039" t="s">
        <v>125</v>
      </c>
      <c r="C2039" t="s">
        <v>395</v>
      </c>
      <c r="D2039" t="s">
        <v>396</v>
      </c>
      <c r="E2039">
        <v>5910</v>
      </c>
      <c r="F2039" t="s">
        <v>124</v>
      </c>
      <c r="G2039">
        <v>1609</v>
      </c>
      <c r="H2039" t="s">
        <v>94</v>
      </c>
      <c r="I2039">
        <v>2021</v>
      </c>
      <c r="J2039">
        <v>2021</v>
      </c>
      <c r="K2039" t="s">
        <v>339</v>
      </c>
      <c r="L2039">
        <v>0</v>
      </c>
      <c r="M2039" t="s">
        <v>397</v>
      </c>
      <c r="N2039" t="s">
        <v>398</v>
      </c>
      <c r="O2039">
        <f t="shared" si="1"/>
        <v>2062664.8652249998</v>
      </c>
      <c r="P2039">
        <f>Table3[[#This Row],[Value (odmt)]]*10^-6</f>
        <v>2.0626648652249999</v>
      </c>
      <c r="Q2039" t="s">
        <v>801</v>
      </c>
      <c r="R2039" s="142"/>
    </row>
    <row r="2040" spans="1:18" x14ac:dyDescent="0.3">
      <c r="A2040" t="s">
        <v>126</v>
      </c>
      <c r="B2040" t="s">
        <v>125</v>
      </c>
      <c r="C2040" t="s">
        <v>395</v>
      </c>
      <c r="D2040" t="s">
        <v>396</v>
      </c>
      <c r="E2040">
        <v>5510</v>
      </c>
      <c r="F2040" t="s">
        <v>128</v>
      </c>
      <c r="G2040">
        <v>1669</v>
      </c>
      <c r="H2040" t="s">
        <v>134</v>
      </c>
      <c r="I2040">
        <v>2021</v>
      </c>
      <c r="J2040">
        <v>2021</v>
      </c>
      <c r="K2040" t="s">
        <v>339</v>
      </c>
      <c r="L2040">
        <v>244421015</v>
      </c>
      <c r="M2040" t="s">
        <v>397</v>
      </c>
      <c r="N2040" t="s">
        <v>398</v>
      </c>
      <c r="O2040">
        <f t="shared" si="1"/>
        <v>213621502.5</v>
      </c>
      <c r="P2040">
        <f>Table3[[#This Row],[Value (odmt)]]*10^-6</f>
        <v>213.62150249999999</v>
      </c>
      <c r="Q2040" t="s">
        <v>802</v>
      </c>
      <c r="R2040" s="142">
        <f>Table3[[#This Row],[Value (odmt)]]/Table3[[#This Row],[Value]]</f>
        <v>0.87398991653806857</v>
      </c>
    </row>
    <row r="2041" spans="1:18" x14ac:dyDescent="0.3">
      <c r="A2041" t="s">
        <v>126</v>
      </c>
      <c r="B2041" t="s">
        <v>125</v>
      </c>
      <c r="C2041" t="s">
        <v>395</v>
      </c>
      <c r="D2041" t="s">
        <v>396</v>
      </c>
      <c r="E2041">
        <v>5610</v>
      </c>
      <c r="F2041" t="s">
        <v>127</v>
      </c>
      <c r="G2041">
        <v>1669</v>
      </c>
      <c r="H2041" t="s">
        <v>134</v>
      </c>
      <c r="I2041">
        <v>2021</v>
      </c>
      <c r="J2041">
        <v>2021</v>
      </c>
      <c r="K2041" t="s">
        <v>339</v>
      </c>
      <c r="L2041">
        <v>0</v>
      </c>
      <c r="M2041" t="s">
        <v>397</v>
      </c>
      <c r="N2041" t="s">
        <v>398</v>
      </c>
      <c r="O2041">
        <f t="shared" si="1"/>
        <v>25159507.076900002</v>
      </c>
      <c r="P2041">
        <f>Table3[[#This Row],[Value (odmt)]]*10^-6</f>
        <v>25.159507076899999</v>
      </c>
      <c r="Q2041" t="s">
        <v>803</v>
      </c>
      <c r="R2041" s="142"/>
    </row>
    <row r="2042" spans="1:18" x14ac:dyDescent="0.3">
      <c r="A2042" t="s">
        <v>126</v>
      </c>
      <c r="B2042" t="s">
        <v>125</v>
      </c>
      <c r="C2042" t="s">
        <v>395</v>
      </c>
      <c r="D2042" t="s">
        <v>396</v>
      </c>
      <c r="E2042">
        <v>5910</v>
      </c>
      <c r="F2042" t="s">
        <v>124</v>
      </c>
      <c r="G2042">
        <v>1669</v>
      </c>
      <c r="H2042" t="s">
        <v>134</v>
      </c>
      <c r="I2042">
        <v>2021</v>
      </c>
      <c r="J2042">
        <v>2021</v>
      </c>
      <c r="K2042" t="s">
        <v>339</v>
      </c>
      <c r="L2042">
        <v>0</v>
      </c>
      <c r="M2042" t="s">
        <v>397</v>
      </c>
      <c r="N2042" t="s">
        <v>398</v>
      </c>
      <c r="O2042">
        <f t="shared" si="1"/>
        <v>28310373.930606246</v>
      </c>
      <c r="P2042">
        <f>Table3[[#This Row],[Value (odmt)]]*10^-6</f>
        <v>28.310373930606243</v>
      </c>
      <c r="Q2042" t="s">
        <v>804</v>
      </c>
      <c r="R2042" s="142"/>
    </row>
    <row r="2043" spans="1:18" x14ac:dyDescent="0.3">
      <c r="A2043" t="s">
        <v>126</v>
      </c>
      <c r="B2043" t="s">
        <v>125</v>
      </c>
      <c r="C2043" t="s">
        <v>395</v>
      </c>
      <c r="D2043" t="s">
        <v>396</v>
      </c>
      <c r="E2043">
        <v>5510</v>
      </c>
      <c r="F2043" t="s">
        <v>128</v>
      </c>
      <c r="G2043">
        <v>1671</v>
      </c>
      <c r="H2043" t="s">
        <v>89</v>
      </c>
      <c r="I2043">
        <v>2021</v>
      </c>
      <c r="J2043">
        <v>2021</v>
      </c>
      <c r="K2043" t="s">
        <v>339</v>
      </c>
      <c r="L2043">
        <v>14269603</v>
      </c>
      <c r="M2043" t="s">
        <v>397</v>
      </c>
      <c r="N2043" t="s">
        <v>398</v>
      </c>
      <c r="O2043">
        <f t="shared" si="1"/>
        <v>13363098.049999997</v>
      </c>
      <c r="P2043">
        <f>Table3[[#This Row],[Value (odmt)]]*10^-6</f>
        <v>13.363098049999996</v>
      </c>
      <c r="Q2043" t="s">
        <v>805</v>
      </c>
      <c r="R2043" s="142">
        <f>Table3[[#This Row],[Value (odmt)]]/Table3[[#This Row],[Value]]</f>
        <v>0.93647300839413661</v>
      </c>
    </row>
    <row r="2044" spans="1:18" x14ac:dyDescent="0.3">
      <c r="A2044" t="s">
        <v>126</v>
      </c>
      <c r="B2044" t="s">
        <v>125</v>
      </c>
      <c r="C2044" t="s">
        <v>395</v>
      </c>
      <c r="D2044" t="s">
        <v>396</v>
      </c>
      <c r="E2044">
        <v>5610</v>
      </c>
      <c r="F2044" t="s">
        <v>127</v>
      </c>
      <c r="G2044">
        <v>1671</v>
      </c>
      <c r="H2044" t="s">
        <v>89</v>
      </c>
      <c r="I2044">
        <v>2021</v>
      </c>
      <c r="J2044">
        <v>2021</v>
      </c>
      <c r="K2044" t="s">
        <v>339</v>
      </c>
      <c r="L2044">
        <v>0</v>
      </c>
      <c r="M2044" t="s">
        <v>397</v>
      </c>
      <c r="N2044" t="s">
        <v>398</v>
      </c>
      <c r="O2044">
        <f t="shared" si="1"/>
        <v>4101516.5668575</v>
      </c>
      <c r="P2044">
        <f>Table3[[#This Row],[Value (odmt)]]*10^-6</f>
        <v>4.1015165668574998</v>
      </c>
      <c r="Q2044" t="s">
        <v>806</v>
      </c>
      <c r="R2044" s="142"/>
    </row>
    <row r="2045" spans="1:18" x14ac:dyDescent="0.3">
      <c r="A2045" t="s">
        <v>126</v>
      </c>
      <c r="B2045" t="s">
        <v>125</v>
      </c>
      <c r="C2045" t="s">
        <v>395</v>
      </c>
      <c r="D2045" t="s">
        <v>396</v>
      </c>
      <c r="E2045">
        <v>5910</v>
      </c>
      <c r="F2045" t="s">
        <v>124</v>
      </c>
      <c r="G2045">
        <v>1671</v>
      </c>
      <c r="H2045" t="s">
        <v>89</v>
      </c>
      <c r="I2045">
        <v>2021</v>
      </c>
      <c r="J2045">
        <v>2021</v>
      </c>
      <c r="K2045" t="s">
        <v>339</v>
      </c>
      <c r="L2045">
        <v>0</v>
      </c>
      <c r="M2045" t="s">
        <v>397</v>
      </c>
      <c r="N2045" t="s">
        <v>398</v>
      </c>
      <c r="O2045">
        <f t="shared" si="1"/>
        <v>4364680.7962425007</v>
      </c>
      <c r="P2045">
        <f>Table3[[#This Row],[Value (odmt)]]*10^-6</f>
        <v>4.3646807962425003</v>
      </c>
      <c r="Q2045" t="s">
        <v>807</v>
      </c>
      <c r="R2045" s="142"/>
    </row>
    <row r="2046" spans="1:18" x14ac:dyDescent="0.3">
      <c r="A2046" t="s">
        <v>126</v>
      </c>
      <c r="B2046" t="s">
        <v>125</v>
      </c>
      <c r="C2046" t="s">
        <v>395</v>
      </c>
      <c r="D2046" t="s">
        <v>396</v>
      </c>
      <c r="E2046">
        <v>5510</v>
      </c>
      <c r="F2046" t="s">
        <v>128</v>
      </c>
      <c r="G2046">
        <v>1674</v>
      </c>
      <c r="H2046" t="s">
        <v>88</v>
      </c>
      <c r="I2046">
        <v>2021</v>
      </c>
      <c r="J2046">
        <v>2021</v>
      </c>
      <c r="K2046" t="s">
        <v>339</v>
      </c>
      <c r="L2046">
        <v>81679675</v>
      </c>
      <c r="M2046" t="s">
        <v>397</v>
      </c>
      <c r="N2046" t="s">
        <v>398</v>
      </c>
      <c r="O2046">
        <f t="shared" si="1"/>
        <v>77925982.5</v>
      </c>
      <c r="P2046">
        <f>Table3[[#This Row],[Value (odmt)]]*10^-6</f>
        <v>77.925982500000003</v>
      </c>
      <c r="Q2046" t="s">
        <v>808</v>
      </c>
      <c r="R2046" s="142">
        <f>Table3[[#This Row],[Value (odmt)]]/Table3[[#This Row],[Value]]</f>
        <v>0.95404373854327895</v>
      </c>
    </row>
    <row r="2047" spans="1:18" x14ac:dyDescent="0.3">
      <c r="A2047" t="s">
        <v>126</v>
      </c>
      <c r="B2047" t="s">
        <v>125</v>
      </c>
      <c r="C2047" t="s">
        <v>395</v>
      </c>
      <c r="D2047" t="s">
        <v>396</v>
      </c>
      <c r="E2047">
        <v>5610</v>
      </c>
      <c r="F2047" t="s">
        <v>127</v>
      </c>
      <c r="G2047">
        <v>1674</v>
      </c>
      <c r="H2047" t="s">
        <v>88</v>
      </c>
      <c r="I2047">
        <v>2021</v>
      </c>
      <c r="J2047">
        <v>2021</v>
      </c>
      <c r="K2047" t="s">
        <v>339</v>
      </c>
      <c r="L2047">
        <v>0</v>
      </c>
      <c r="M2047" t="s">
        <v>397</v>
      </c>
      <c r="N2047" t="s">
        <v>398</v>
      </c>
      <c r="O2047">
        <f t="shared" si="1"/>
        <v>20049520.6568425</v>
      </c>
      <c r="P2047">
        <f>Table3[[#This Row],[Value (odmt)]]*10^-6</f>
        <v>20.0495206568425</v>
      </c>
      <c r="Q2047" t="s">
        <v>809</v>
      </c>
      <c r="R2047" s="142"/>
    </row>
    <row r="2048" spans="1:18" x14ac:dyDescent="0.3">
      <c r="A2048" t="s">
        <v>126</v>
      </c>
      <c r="B2048" t="s">
        <v>125</v>
      </c>
      <c r="C2048" t="s">
        <v>395</v>
      </c>
      <c r="D2048" t="s">
        <v>396</v>
      </c>
      <c r="E2048">
        <v>5910</v>
      </c>
      <c r="F2048" t="s">
        <v>124</v>
      </c>
      <c r="G2048">
        <v>1674</v>
      </c>
      <c r="H2048" t="s">
        <v>88</v>
      </c>
      <c r="I2048">
        <v>2021</v>
      </c>
      <c r="J2048">
        <v>2021</v>
      </c>
      <c r="K2048" t="s">
        <v>339</v>
      </c>
      <c r="L2048">
        <v>0</v>
      </c>
      <c r="M2048" t="s">
        <v>397</v>
      </c>
      <c r="N2048" t="s">
        <v>398</v>
      </c>
      <c r="O2048">
        <f t="shared" si="1"/>
        <v>16862121.218137503</v>
      </c>
      <c r="P2048">
        <f>Table3[[#This Row],[Value (odmt)]]*10^-6</f>
        <v>16.862121218137503</v>
      </c>
      <c r="Q2048" t="s">
        <v>810</v>
      </c>
      <c r="R2048" s="142"/>
    </row>
    <row r="2049" spans="1:18" x14ac:dyDescent="0.3">
      <c r="A2049" t="s">
        <v>126</v>
      </c>
      <c r="B2049" t="s">
        <v>125</v>
      </c>
      <c r="C2049" t="s">
        <v>395</v>
      </c>
      <c r="D2049" t="s">
        <v>396</v>
      </c>
      <c r="E2049">
        <v>5510</v>
      </c>
      <c r="F2049" t="s">
        <v>128</v>
      </c>
      <c r="G2049">
        <v>1612</v>
      </c>
      <c r="H2049" t="s">
        <v>133</v>
      </c>
      <c r="I2049">
        <v>2021</v>
      </c>
      <c r="J2049">
        <v>2021</v>
      </c>
      <c r="K2049" t="s">
        <v>339</v>
      </c>
      <c r="L2049">
        <v>26602083</v>
      </c>
      <c r="M2049" t="s">
        <v>397</v>
      </c>
      <c r="N2049" t="s">
        <v>398</v>
      </c>
      <c r="R2049" s="142"/>
    </row>
    <row r="2050" spans="1:18" x14ac:dyDescent="0.3">
      <c r="A2050" t="s">
        <v>126</v>
      </c>
      <c r="B2050" t="s">
        <v>125</v>
      </c>
      <c r="C2050" t="s">
        <v>395</v>
      </c>
      <c r="D2050" t="s">
        <v>396</v>
      </c>
      <c r="E2050">
        <v>5610</v>
      </c>
      <c r="F2050" t="s">
        <v>127</v>
      </c>
      <c r="G2050">
        <v>1612</v>
      </c>
      <c r="H2050" t="s">
        <v>133</v>
      </c>
      <c r="I2050">
        <v>2021</v>
      </c>
      <c r="J2050">
        <v>2021</v>
      </c>
      <c r="K2050" t="s">
        <v>339</v>
      </c>
      <c r="L2050">
        <v>0</v>
      </c>
      <c r="M2050" t="s">
        <v>397</v>
      </c>
      <c r="N2050" t="s">
        <v>398</v>
      </c>
      <c r="R2050" s="142"/>
    </row>
    <row r="2051" spans="1:18" x14ac:dyDescent="0.3">
      <c r="A2051" t="s">
        <v>126</v>
      </c>
      <c r="B2051" t="s">
        <v>125</v>
      </c>
      <c r="C2051" t="s">
        <v>395</v>
      </c>
      <c r="D2051" t="s">
        <v>396</v>
      </c>
      <c r="E2051">
        <v>5910</v>
      </c>
      <c r="F2051" t="s">
        <v>124</v>
      </c>
      <c r="G2051">
        <v>1612</v>
      </c>
      <c r="H2051" t="s">
        <v>133</v>
      </c>
      <c r="I2051">
        <v>2021</v>
      </c>
      <c r="J2051">
        <v>2021</v>
      </c>
      <c r="K2051" t="s">
        <v>339</v>
      </c>
      <c r="L2051">
        <v>0</v>
      </c>
      <c r="M2051" t="s">
        <v>397</v>
      </c>
      <c r="N2051" t="s">
        <v>398</v>
      </c>
      <c r="R2051" s="142"/>
    </row>
    <row r="2052" spans="1:18" x14ac:dyDescent="0.3">
      <c r="A2052" t="s">
        <v>126</v>
      </c>
      <c r="B2052" t="s">
        <v>125</v>
      </c>
      <c r="C2052" t="s">
        <v>395</v>
      </c>
      <c r="D2052" t="s">
        <v>396</v>
      </c>
      <c r="E2052">
        <v>5510</v>
      </c>
      <c r="F2052" t="s">
        <v>128</v>
      </c>
      <c r="G2052">
        <v>1615</v>
      </c>
      <c r="H2052" t="s">
        <v>132</v>
      </c>
      <c r="I2052">
        <v>2021</v>
      </c>
      <c r="J2052">
        <v>2021</v>
      </c>
      <c r="K2052" t="s">
        <v>339</v>
      </c>
      <c r="L2052">
        <v>28212384</v>
      </c>
      <c r="M2052" t="s">
        <v>397</v>
      </c>
      <c r="N2052" t="s">
        <v>398</v>
      </c>
      <c r="R2052" s="142"/>
    </row>
    <row r="2053" spans="1:18" x14ac:dyDescent="0.3">
      <c r="A2053" t="s">
        <v>126</v>
      </c>
      <c r="B2053" t="s">
        <v>125</v>
      </c>
      <c r="C2053" t="s">
        <v>395</v>
      </c>
      <c r="D2053" t="s">
        <v>396</v>
      </c>
      <c r="E2053">
        <v>5610</v>
      </c>
      <c r="F2053" t="s">
        <v>127</v>
      </c>
      <c r="G2053">
        <v>1615</v>
      </c>
      <c r="H2053" t="s">
        <v>132</v>
      </c>
      <c r="I2053">
        <v>2021</v>
      </c>
      <c r="J2053">
        <v>2021</v>
      </c>
      <c r="K2053" t="s">
        <v>339</v>
      </c>
      <c r="L2053">
        <v>0</v>
      </c>
      <c r="M2053" t="s">
        <v>397</v>
      </c>
      <c r="N2053" t="s">
        <v>398</v>
      </c>
      <c r="R2053" s="142"/>
    </row>
    <row r="2054" spans="1:18" x14ac:dyDescent="0.3">
      <c r="A2054" t="s">
        <v>126</v>
      </c>
      <c r="B2054" t="s">
        <v>125</v>
      </c>
      <c r="C2054" t="s">
        <v>395</v>
      </c>
      <c r="D2054" t="s">
        <v>396</v>
      </c>
      <c r="E2054">
        <v>5910</v>
      </c>
      <c r="F2054" t="s">
        <v>124</v>
      </c>
      <c r="G2054">
        <v>1615</v>
      </c>
      <c r="H2054" t="s">
        <v>132</v>
      </c>
      <c r="I2054">
        <v>2021</v>
      </c>
      <c r="J2054">
        <v>2021</v>
      </c>
      <c r="K2054" t="s">
        <v>339</v>
      </c>
      <c r="L2054">
        <v>0</v>
      </c>
      <c r="M2054" t="s">
        <v>397</v>
      </c>
      <c r="N2054" t="s">
        <v>398</v>
      </c>
      <c r="R2054" s="142"/>
    </row>
    <row r="2055" spans="1:18" x14ac:dyDescent="0.3">
      <c r="A2055" t="s">
        <v>126</v>
      </c>
      <c r="B2055" t="s">
        <v>125</v>
      </c>
      <c r="C2055" t="s">
        <v>395</v>
      </c>
      <c r="D2055" t="s">
        <v>396</v>
      </c>
      <c r="E2055">
        <v>5510</v>
      </c>
      <c r="F2055" t="s">
        <v>128</v>
      </c>
      <c r="G2055">
        <v>1616</v>
      </c>
      <c r="H2055" t="s">
        <v>131</v>
      </c>
      <c r="I2055">
        <v>2021</v>
      </c>
      <c r="J2055">
        <v>2021</v>
      </c>
      <c r="K2055" t="s">
        <v>339</v>
      </c>
      <c r="L2055">
        <v>26820025</v>
      </c>
      <c r="M2055" t="s">
        <v>397</v>
      </c>
      <c r="N2055" t="s">
        <v>398</v>
      </c>
      <c r="R2055" s="142"/>
    </row>
    <row r="2056" spans="1:18" x14ac:dyDescent="0.3">
      <c r="A2056" t="s">
        <v>126</v>
      </c>
      <c r="B2056" t="s">
        <v>125</v>
      </c>
      <c r="C2056" t="s">
        <v>395</v>
      </c>
      <c r="D2056" t="s">
        <v>396</v>
      </c>
      <c r="E2056">
        <v>5610</v>
      </c>
      <c r="F2056" t="s">
        <v>127</v>
      </c>
      <c r="G2056">
        <v>1616</v>
      </c>
      <c r="H2056" t="s">
        <v>131</v>
      </c>
      <c r="I2056">
        <v>2021</v>
      </c>
      <c r="J2056">
        <v>2021</v>
      </c>
      <c r="K2056" t="s">
        <v>339</v>
      </c>
      <c r="L2056">
        <v>0</v>
      </c>
      <c r="M2056" t="s">
        <v>397</v>
      </c>
      <c r="N2056" t="s">
        <v>398</v>
      </c>
      <c r="R2056" s="142"/>
    </row>
    <row r="2057" spans="1:18" x14ac:dyDescent="0.3">
      <c r="A2057" t="s">
        <v>126</v>
      </c>
      <c r="B2057" t="s">
        <v>125</v>
      </c>
      <c r="C2057" t="s">
        <v>395</v>
      </c>
      <c r="D2057" t="s">
        <v>396</v>
      </c>
      <c r="E2057">
        <v>5910</v>
      </c>
      <c r="F2057" t="s">
        <v>124</v>
      </c>
      <c r="G2057">
        <v>1616</v>
      </c>
      <c r="H2057" t="s">
        <v>131</v>
      </c>
      <c r="I2057">
        <v>2021</v>
      </c>
      <c r="J2057">
        <v>2021</v>
      </c>
      <c r="K2057" t="s">
        <v>339</v>
      </c>
      <c r="L2057">
        <v>0</v>
      </c>
      <c r="M2057" t="s">
        <v>397</v>
      </c>
      <c r="N2057" t="s">
        <v>398</v>
      </c>
      <c r="R2057" s="142"/>
    </row>
    <row r="2058" spans="1:18" x14ac:dyDescent="0.3">
      <c r="A2058" t="s">
        <v>126</v>
      </c>
      <c r="B2058" t="s">
        <v>125</v>
      </c>
      <c r="C2058" t="s">
        <v>395</v>
      </c>
      <c r="D2058" t="s">
        <v>396</v>
      </c>
      <c r="E2058">
        <v>5510</v>
      </c>
      <c r="F2058" t="s">
        <v>128</v>
      </c>
      <c r="G2058">
        <v>1675</v>
      </c>
      <c r="H2058" t="s">
        <v>87</v>
      </c>
      <c r="I2058">
        <v>2021</v>
      </c>
      <c r="J2058">
        <v>2021</v>
      </c>
      <c r="K2058" t="s">
        <v>339</v>
      </c>
      <c r="L2058">
        <v>321393421</v>
      </c>
      <c r="M2058" t="s">
        <v>397</v>
      </c>
      <c r="N2058" t="s">
        <v>398</v>
      </c>
      <c r="R2058" s="142"/>
    </row>
    <row r="2059" spans="1:18" x14ac:dyDescent="0.3">
      <c r="A2059" t="s">
        <v>126</v>
      </c>
      <c r="B2059" t="s">
        <v>125</v>
      </c>
      <c r="C2059" t="s">
        <v>395</v>
      </c>
      <c r="D2059" t="s">
        <v>396</v>
      </c>
      <c r="E2059">
        <v>5610</v>
      </c>
      <c r="F2059" t="s">
        <v>127</v>
      </c>
      <c r="G2059">
        <v>1675</v>
      </c>
      <c r="H2059" t="s">
        <v>87</v>
      </c>
      <c r="I2059">
        <v>2021</v>
      </c>
      <c r="J2059">
        <v>2021</v>
      </c>
      <c r="K2059" t="s">
        <v>339</v>
      </c>
      <c r="L2059">
        <v>0</v>
      </c>
      <c r="M2059" t="s">
        <v>397</v>
      </c>
      <c r="N2059" t="s">
        <v>398</v>
      </c>
      <c r="R2059" s="142"/>
    </row>
    <row r="2060" spans="1:18" x14ac:dyDescent="0.3">
      <c r="A2060" t="s">
        <v>126</v>
      </c>
      <c r="B2060" t="s">
        <v>125</v>
      </c>
      <c r="C2060" t="s">
        <v>395</v>
      </c>
      <c r="D2060" t="s">
        <v>396</v>
      </c>
      <c r="E2060">
        <v>5910</v>
      </c>
      <c r="F2060" t="s">
        <v>124</v>
      </c>
      <c r="G2060">
        <v>1675</v>
      </c>
      <c r="H2060" t="s">
        <v>87</v>
      </c>
      <c r="I2060">
        <v>2021</v>
      </c>
      <c r="J2060">
        <v>2021</v>
      </c>
      <c r="K2060" t="s">
        <v>339</v>
      </c>
      <c r="L2060">
        <v>0</v>
      </c>
      <c r="M2060" t="s">
        <v>397</v>
      </c>
      <c r="N2060" t="s">
        <v>398</v>
      </c>
      <c r="R2060" s="142"/>
    </row>
    <row r="2061" spans="1:18" x14ac:dyDescent="0.3">
      <c r="A2061" t="s">
        <v>126</v>
      </c>
      <c r="B2061" t="s">
        <v>125</v>
      </c>
      <c r="C2061" t="s">
        <v>395</v>
      </c>
      <c r="D2061" t="s">
        <v>396</v>
      </c>
      <c r="E2061">
        <v>5510</v>
      </c>
      <c r="F2061" t="s">
        <v>128</v>
      </c>
      <c r="G2061">
        <v>1676</v>
      </c>
      <c r="H2061" t="s">
        <v>86</v>
      </c>
      <c r="I2061">
        <v>2021</v>
      </c>
      <c r="J2061">
        <v>2021</v>
      </c>
      <c r="K2061" t="s">
        <v>339</v>
      </c>
      <c r="L2061">
        <v>37732240</v>
      </c>
      <c r="M2061" t="s">
        <v>397</v>
      </c>
      <c r="N2061" t="s">
        <v>398</v>
      </c>
      <c r="O2061">
        <f t="shared" ref="O2061:O2081" si="2">O141+O301+O461+O621+O781+O941+O1101+O1261+O1421+O1581+O1741+O1901</f>
        <v>35909264.699999996</v>
      </c>
      <c r="P2061">
        <f>Table3[[#This Row],[Value (odmt)]]*10^-6</f>
        <v>35.909264699999994</v>
      </c>
      <c r="Q2061" t="s">
        <v>811</v>
      </c>
      <c r="R2061" s="142">
        <f>Table3[[#This Row],[Value (odmt)]]/Table3[[#This Row],[Value]]</f>
        <v>0.95168653385009727</v>
      </c>
    </row>
    <row r="2062" spans="1:18" x14ac:dyDescent="0.3">
      <c r="A2062" t="s">
        <v>126</v>
      </c>
      <c r="B2062" t="s">
        <v>125</v>
      </c>
      <c r="C2062" t="s">
        <v>395</v>
      </c>
      <c r="D2062" t="s">
        <v>396</v>
      </c>
      <c r="E2062">
        <v>5610</v>
      </c>
      <c r="F2062" t="s">
        <v>127</v>
      </c>
      <c r="G2062">
        <v>1676</v>
      </c>
      <c r="H2062" t="s">
        <v>86</v>
      </c>
      <c r="I2062">
        <v>2021</v>
      </c>
      <c r="J2062">
        <v>2021</v>
      </c>
      <c r="K2062" t="s">
        <v>339</v>
      </c>
      <c r="L2062">
        <v>0</v>
      </c>
      <c r="M2062" t="s">
        <v>397</v>
      </c>
      <c r="N2062" t="s">
        <v>398</v>
      </c>
      <c r="O2062">
        <f t="shared" si="2"/>
        <v>2046348.9468024997</v>
      </c>
      <c r="P2062">
        <f>Table3[[#This Row],[Value (odmt)]]*10^-6</f>
        <v>2.0463489468024996</v>
      </c>
      <c r="Q2062" t="s">
        <v>812</v>
      </c>
      <c r="R2062" s="142"/>
    </row>
    <row r="2063" spans="1:18" x14ac:dyDescent="0.3">
      <c r="A2063" t="s">
        <v>126</v>
      </c>
      <c r="B2063" t="s">
        <v>125</v>
      </c>
      <c r="C2063" t="s">
        <v>395</v>
      </c>
      <c r="D2063" t="s">
        <v>396</v>
      </c>
      <c r="E2063">
        <v>5910</v>
      </c>
      <c r="F2063" t="s">
        <v>124</v>
      </c>
      <c r="G2063">
        <v>1676</v>
      </c>
      <c r="H2063" t="s">
        <v>86</v>
      </c>
      <c r="I2063">
        <v>2021</v>
      </c>
      <c r="J2063">
        <v>2021</v>
      </c>
      <c r="K2063" t="s">
        <v>339</v>
      </c>
      <c r="L2063">
        <v>0</v>
      </c>
      <c r="M2063" t="s">
        <v>397</v>
      </c>
      <c r="N2063" t="s">
        <v>398</v>
      </c>
      <c r="O2063">
        <f t="shared" si="2"/>
        <v>2042330.5501625</v>
      </c>
      <c r="P2063">
        <f>Table3[[#This Row],[Value (odmt)]]*10^-6</f>
        <v>2.0423305501624998</v>
      </c>
      <c r="Q2063" t="s">
        <v>813</v>
      </c>
      <c r="R2063" s="142"/>
    </row>
    <row r="2064" spans="1:18" x14ac:dyDescent="0.3">
      <c r="A2064" t="s">
        <v>126</v>
      </c>
      <c r="B2064" t="s">
        <v>125</v>
      </c>
      <c r="C2064" t="s">
        <v>395</v>
      </c>
      <c r="D2064" t="s">
        <v>396</v>
      </c>
      <c r="E2064">
        <v>5510</v>
      </c>
      <c r="F2064" t="s">
        <v>128</v>
      </c>
      <c r="G2064">
        <v>1681</v>
      </c>
      <c r="H2064" t="s">
        <v>130</v>
      </c>
      <c r="I2064">
        <v>2021</v>
      </c>
      <c r="J2064">
        <v>2021</v>
      </c>
      <c r="R2064" s="142"/>
    </row>
    <row r="2065" spans="1:18" x14ac:dyDescent="0.3">
      <c r="A2065" t="s">
        <v>126</v>
      </c>
      <c r="B2065" t="s">
        <v>125</v>
      </c>
      <c r="C2065" t="s">
        <v>395</v>
      </c>
      <c r="D2065" t="s">
        <v>396</v>
      </c>
      <c r="E2065">
        <v>5610</v>
      </c>
      <c r="F2065" t="s">
        <v>127</v>
      </c>
      <c r="G2065">
        <v>1681</v>
      </c>
      <c r="H2065" t="s">
        <v>130</v>
      </c>
      <c r="I2065">
        <v>2021</v>
      </c>
      <c r="J2065">
        <v>2021</v>
      </c>
      <c r="R2065" s="142"/>
    </row>
    <row r="2066" spans="1:18" x14ac:dyDescent="0.3">
      <c r="A2066" t="s">
        <v>126</v>
      </c>
      <c r="B2066" t="s">
        <v>125</v>
      </c>
      <c r="C2066" t="s">
        <v>395</v>
      </c>
      <c r="D2066" t="s">
        <v>396</v>
      </c>
      <c r="E2066">
        <v>5910</v>
      </c>
      <c r="F2066" t="s">
        <v>124</v>
      </c>
      <c r="G2066">
        <v>1681</v>
      </c>
      <c r="H2066" t="s">
        <v>130</v>
      </c>
      <c r="I2066">
        <v>2021</v>
      </c>
      <c r="J2066">
        <v>2021</v>
      </c>
      <c r="R2066" s="142"/>
    </row>
    <row r="2067" spans="1:18" x14ac:dyDescent="0.3">
      <c r="A2067" t="s">
        <v>126</v>
      </c>
      <c r="B2067" t="s">
        <v>125</v>
      </c>
      <c r="C2067" t="s">
        <v>395</v>
      </c>
      <c r="D2067" t="s">
        <v>396</v>
      </c>
      <c r="E2067">
        <v>5510</v>
      </c>
      <c r="F2067" t="s">
        <v>128</v>
      </c>
      <c r="G2067">
        <v>1617</v>
      </c>
      <c r="H2067" t="s">
        <v>85</v>
      </c>
      <c r="I2067">
        <v>2021</v>
      </c>
      <c r="J2067">
        <v>2021</v>
      </c>
      <c r="K2067" t="s">
        <v>339</v>
      </c>
      <c r="L2067">
        <v>184436440</v>
      </c>
      <c r="M2067" t="s">
        <v>397</v>
      </c>
      <c r="N2067" t="s">
        <v>398</v>
      </c>
      <c r="O2067">
        <f t="shared" si="2"/>
        <v>174501656.29999998</v>
      </c>
      <c r="P2067">
        <f>Table3[[#This Row],[Value (odmt)]]*10^-6</f>
        <v>174.50165629999998</v>
      </c>
      <c r="Q2067" t="s">
        <v>814</v>
      </c>
      <c r="R2067" s="142">
        <f>Table3[[#This Row],[Value (odmt)]]/Table3[[#This Row],[Value]]</f>
        <v>0.94613437724128691</v>
      </c>
    </row>
    <row r="2068" spans="1:18" x14ac:dyDescent="0.3">
      <c r="A2068" t="s">
        <v>126</v>
      </c>
      <c r="B2068" t="s">
        <v>125</v>
      </c>
      <c r="C2068" t="s">
        <v>395</v>
      </c>
      <c r="D2068" t="s">
        <v>396</v>
      </c>
      <c r="E2068">
        <v>5610</v>
      </c>
      <c r="F2068" t="s">
        <v>127</v>
      </c>
      <c r="G2068">
        <v>1617</v>
      </c>
      <c r="H2068" t="s">
        <v>85</v>
      </c>
      <c r="I2068">
        <v>2021</v>
      </c>
      <c r="J2068">
        <v>2021</v>
      </c>
      <c r="K2068" t="s">
        <v>339</v>
      </c>
      <c r="L2068">
        <v>0</v>
      </c>
      <c r="M2068" t="s">
        <v>397</v>
      </c>
      <c r="N2068" t="s">
        <v>398</v>
      </c>
      <c r="O2068">
        <f t="shared" si="2"/>
        <v>21521227.6650525</v>
      </c>
      <c r="P2068">
        <f>Table3[[#This Row],[Value (odmt)]]*10^-6</f>
        <v>21.5212276650525</v>
      </c>
      <c r="Q2068" t="s">
        <v>815</v>
      </c>
      <c r="R2068" s="142"/>
    </row>
    <row r="2069" spans="1:18" x14ac:dyDescent="0.3">
      <c r="A2069" t="s">
        <v>126</v>
      </c>
      <c r="B2069" t="s">
        <v>125</v>
      </c>
      <c r="C2069" t="s">
        <v>395</v>
      </c>
      <c r="D2069" t="s">
        <v>396</v>
      </c>
      <c r="E2069">
        <v>5910</v>
      </c>
      <c r="F2069" t="s">
        <v>124</v>
      </c>
      <c r="G2069">
        <v>1617</v>
      </c>
      <c r="H2069" t="s">
        <v>85</v>
      </c>
      <c r="I2069">
        <v>2021</v>
      </c>
      <c r="J2069">
        <v>2021</v>
      </c>
      <c r="K2069" t="s">
        <v>339</v>
      </c>
      <c r="L2069">
        <v>0</v>
      </c>
      <c r="M2069" t="s">
        <v>397</v>
      </c>
      <c r="N2069" t="s">
        <v>398</v>
      </c>
      <c r="O2069">
        <f t="shared" si="2"/>
        <v>19295863.31498</v>
      </c>
      <c r="P2069">
        <f>Table3[[#This Row],[Value (odmt)]]*10^-6</f>
        <v>19.29586331498</v>
      </c>
      <c r="Q2069" t="s">
        <v>816</v>
      </c>
      <c r="R2069" s="142"/>
    </row>
    <row r="2070" spans="1:18" x14ac:dyDescent="0.3">
      <c r="A2070" t="s">
        <v>126</v>
      </c>
      <c r="B2070" t="s">
        <v>125</v>
      </c>
      <c r="C2070" t="s">
        <v>395</v>
      </c>
      <c r="D2070" t="s">
        <v>396</v>
      </c>
      <c r="E2070">
        <v>5510</v>
      </c>
      <c r="F2070" t="s">
        <v>128</v>
      </c>
      <c r="G2070">
        <v>1618</v>
      </c>
      <c r="H2070" t="s">
        <v>84</v>
      </c>
      <c r="I2070">
        <v>2021</v>
      </c>
      <c r="J2070">
        <v>2021</v>
      </c>
      <c r="K2070" t="s">
        <v>339</v>
      </c>
      <c r="L2070">
        <v>49942812</v>
      </c>
      <c r="M2070" t="s">
        <v>397</v>
      </c>
      <c r="N2070" t="s">
        <v>398</v>
      </c>
      <c r="O2070">
        <f t="shared" si="2"/>
        <v>47825013.049999997</v>
      </c>
      <c r="P2070">
        <f>Table3[[#This Row],[Value (odmt)]]*10^-6</f>
        <v>47.825013049999995</v>
      </c>
      <c r="Q2070" t="s">
        <v>817</v>
      </c>
      <c r="R2070" s="142">
        <f>Table3[[#This Row],[Value (odmt)]]/Table3[[#This Row],[Value]]</f>
        <v>0.95759552045247265</v>
      </c>
    </row>
    <row r="2071" spans="1:18" x14ac:dyDescent="0.3">
      <c r="A2071" t="s">
        <v>126</v>
      </c>
      <c r="B2071" t="s">
        <v>125</v>
      </c>
      <c r="C2071" t="s">
        <v>395</v>
      </c>
      <c r="D2071" t="s">
        <v>396</v>
      </c>
      <c r="E2071">
        <v>5610</v>
      </c>
      <c r="F2071" t="s">
        <v>127</v>
      </c>
      <c r="G2071">
        <v>1618</v>
      </c>
      <c r="H2071" t="s">
        <v>84</v>
      </c>
      <c r="I2071">
        <v>2021</v>
      </c>
      <c r="J2071">
        <v>2021</v>
      </c>
      <c r="K2071" t="s">
        <v>339</v>
      </c>
      <c r="L2071">
        <v>0</v>
      </c>
      <c r="M2071" t="s">
        <v>397</v>
      </c>
      <c r="N2071" t="s">
        <v>398</v>
      </c>
      <c r="O2071">
        <f t="shared" si="2"/>
        <v>11647267.930399997</v>
      </c>
      <c r="P2071">
        <f>Table3[[#This Row],[Value (odmt)]]*10^-6</f>
        <v>11.647267930399996</v>
      </c>
      <c r="Q2071" t="s">
        <v>818</v>
      </c>
      <c r="R2071" s="142"/>
    </row>
    <row r="2072" spans="1:18" x14ac:dyDescent="0.3">
      <c r="A2072" t="s">
        <v>126</v>
      </c>
      <c r="B2072" t="s">
        <v>125</v>
      </c>
      <c r="C2072" t="s">
        <v>395</v>
      </c>
      <c r="D2072" t="s">
        <v>396</v>
      </c>
      <c r="E2072">
        <v>5910</v>
      </c>
      <c r="F2072" t="s">
        <v>124</v>
      </c>
      <c r="G2072">
        <v>1618</v>
      </c>
      <c r="H2072" t="s">
        <v>84</v>
      </c>
      <c r="I2072">
        <v>2021</v>
      </c>
      <c r="J2072">
        <v>2021</v>
      </c>
      <c r="K2072" t="s">
        <v>339</v>
      </c>
      <c r="L2072">
        <v>0</v>
      </c>
      <c r="M2072" t="s">
        <v>397</v>
      </c>
      <c r="N2072" t="s">
        <v>398</v>
      </c>
      <c r="O2072">
        <f t="shared" si="2"/>
        <v>10871800.225244999</v>
      </c>
      <c r="P2072">
        <f>Table3[[#This Row],[Value (odmt)]]*10^-6</f>
        <v>10.871800225244998</v>
      </c>
      <c r="Q2072" t="s">
        <v>819</v>
      </c>
      <c r="R2072" s="142"/>
    </row>
    <row r="2073" spans="1:18" x14ac:dyDescent="0.3">
      <c r="A2073" t="s">
        <v>126</v>
      </c>
      <c r="B2073" t="s">
        <v>125</v>
      </c>
      <c r="C2073" t="s">
        <v>395</v>
      </c>
      <c r="D2073" t="s">
        <v>396</v>
      </c>
      <c r="E2073">
        <v>5510</v>
      </c>
      <c r="F2073" t="s">
        <v>128</v>
      </c>
      <c r="G2073">
        <v>1621</v>
      </c>
      <c r="H2073" t="s">
        <v>129</v>
      </c>
      <c r="I2073">
        <v>2021</v>
      </c>
      <c r="J2073">
        <v>2021</v>
      </c>
      <c r="K2073" t="s">
        <v>339</v>
      </c>
      <c r="L2073">
        <v>19369332</v>
      </c>
      <c r="M2073" t="s">
        <v>397</v>
      </c>
      <c r="N2073" t="s">
        <v>398</v>
      </c>
      <c r="O2073">
        <f t="shared" si="2"/>
        <v>18904479.399999999</v>
      </c>
      <c r="P2073">
        <f>Table3[[#This Row],[Value (odmt)]]*10^-6</f>
        <v>18.904479399999996</v>
      </c>
      <c r="Q2073" t="s">
        <v>820</v>
      </c>
      <c r="R2073" s="142">
        <f>Table3[[#This Row],[Value (odmt)]]/Table3[[#This Row],[Value]]</f>
        <v>0.97600058690717872</v>
      </c>
    </row>
    <row r="2074" spans="1:18" x14ac:dyDescent="0.3">
      <c r="A2074" t="s">
        <v>126</v>
      </c>
      <c r="B2074" t="s">
        <v>125</v>
      </c>
      <c r="C2074" t="s">
        <v>395</v>
      </c>
      <c r="D2074" t="s">
        <v>396</v>
      </c>
      <c r="E2074">
        <v>5610</v>
      </c>
      <c r="F2074" t="s">
        <v>127</v>
      </c>
      <c r="G2074">
        <v>1621</v>
      </c>
      <c r="H2074" t="s">
        <v>129</v>
      </c>
      <c r="I2074">
        <v>2021</v>
      </c>
      <c r="J2074">
        <v>2021</v>
      </c>
      <c r="K2074" t="s">
        <v>339</v>
      </c>
      <c r="L2074">
        <v>0</v>
      </c>
      <c r="M2074" t="s">
        <v>397</v>
      </c>
      <c r="N2074" t="s">
        <v>398</v>
      </c>
      <c r="O2074">
        <f t="shared" si="2"/>
        <v>6450846.6523874989</v>
      </c>
      <c r="P2074">
        <f>Table3[[#This Row],[Value (odmt)]]*10^-6</f>
        <v>6.450846652387499</v>
      </c>
      <c r="Q2074" t="s">
        <v>821</v>
      </c>
      <c r="R2074" s="142"/>
    </row>
    <row r="2075" spans="1:18" x14ac:dyDescent="0.3">
      <c r="A2075" t="s">
        <v>126</v>
      </c>
      <c r="B2075" t="s">
        <v>125</v>
      </c>
      <c r="C2075" t="s">
        <v>395</v>
      </c>
      <c r="D2075" t="s">
        <v>396</v>
      </c>
      <c r="E2075">
        <v>5910</v>
      </c>
      <c r="F2075" t="s">
        <v>124</v>
      </c>
      <c r="G2075">
        <v>1621</v>
      </c>
      <c r="H2075" t="s">
        <v>129</v>
      </c>
      <c r="I2075">
        <v>2021</v>
      </c>
      <c r="J2075">
        <v>2021</v>
      </c>
      <c r="K2075" t="s">
        <v>339</v>
      </c>
      <c r="L2075">
        <v>0</v>
      </c>
      <c r="M2075" t="s">
        <v>397</v>
      </c>
      <c r="N2075" t="s">
        <v>398</v>
      </c>
      <c r="O2075">
        <f t="shared" si="2"/>
        <v>5360015.7806324996</v>
      </c>
      <c r="P2075">
        <f>Table3[[#This Row],[Value (odmt)]]*10^-6</f>
        <v>5.3600157806324997</v>
      </c>
      <c r="Q2075" t="s">
        <v>822</v>
      </c>
      <c r="R2075" s="142"/>
    </row>
    <row r="2076" spans="1:18" x14ac:dyDescent="0.3">
      <c r="A2076" t="s">
        <v>126</v>
      </c>
      <c r="B2076" t="s">
        <v>125</v>
      </c>
      <c r="C2076" t="s">
        <v>395</v>
      </c>
      <c r="D2076" t="s">
        <v>396</v>
      </c>
      <c r="E2076">
        <v>5510</v>
      </c>
      <c r="F2076" t="s">
        <v>128</v>
      </c>
      <c r="G2076">
        <v>1622</v>
      </c>
      <c r="H2076" t="s">
        <v>83</v>
      </c>
      <c r="I2076">
        <v>2021</v>
      </c>
      <c r="J2076">
        <v>2021</v>
      </c>
      <c r="K2076" t="s">
        <v>339</v>
      </c>
      <c r="L2076">
        <v>10343670</v>
      </c>
      <c r="M2076" t="s">
        <v>397</v>
      </c>
      <c r="N2076" t="s">
        <v>398</v>
      </c>
      <c r="O2076">
        <f t="shared" si="2"/>
        <v>9624358.7999999989</v>
      </c>
      <c r="P2076">
        <f>Table3[[#This Row],[Value (odmt)]]*10^-6</f>
        <v>9.6243587999999978</v>
      </c>
      <c r="Q2076" t="s">
        <v>823</v>
      </c>
      <c r="R2076" s="142">
        <f>Table3[[#This Row],[Value (odmt)]]/Table3[[#This Row],[Value]]</f>
        <v>0.93045880233998168</v>
      </c>
    </row>
    <row r="2077" spans="1:18" x14ac:dyDescent="0.3">
      <c r="A2077" t="s">
        <v>126</v>
      </c>
      <c r="B2077" t="s">
        <v>125</v>
      </c>
      <c r="C2077" t="s">
        <v>395</v>
      </c>
      <c r="D2077" t="s">
        <v>396</v>
      </c>
      <c r="E2077">
        <v>5610</v>
      </c>
      <c r="F2077" t="s">
        <v>127</v>
      </c>
      <c r="G2077">
        <v>1622</v>
      </c>
      <c r="H2077" t="s">
        <v>83</v>
      </c>
      <c r="I2077">
        <v>2021</v>
      </c>
      <c r="J2077">
        <v>2021</v>
      </c>
      <c r="K2077" t="s">
        <v>339</v>
      </c>
      <c r="L2077">
        <v>0</v>
      </c>
      <c r="M2077" t="s">
        <v>397</v>
      </c>
      <c r="N2077" t="s">
        <v>398</v>
      </c>
      <c r="O2077">
        <f t="shared" si="2"/>
        <v>1580999.5584725002</v>
      </c>
      <c r="P2077">
        <f>Table3[[#This Row],[Value (odmt)]]*10^-6</f>
        <v>1.5809995584725001</v>
      </c>
      <c r="Q2077" t="s">
        <v>824</v>
      </c>
      <c r="R2077" s="142"/>
    </row>
    <row r="2078" spans="1:18" x14ac:dyDescent="0.3">
      <c r="A2078" t="s">
        <v>126</v>
      </c>
      <c r="B2078" t="s">
        <v>125</v>
      </c>
      <c r="C2078" t="s">
        <v>395</v>
      </c>
      <c r="D2078" t="s">
        <v>396</v>
      </c>
      <c r="E2078">
        <v>5910</v>
      </c>
      <c r="F2078" t="s">
        <v>124</v>
      </c>
      <c r="G2078">
        <v>1622</v>
      </c>
      <c r="H2078" t="s">
        <v>83</v>
      </c>
      <c r="I2078">
        <v>2021</v>
      </c>
      <c r="J2078">
        <v>2021</v>
      </c>
      <c r="K2078" t="s">
        <v>339</v>
      </c>
      <c r="L2078">
        <v>0</v>
      </c>
      <c r="M2078" t="s">
        <v>397</v>
      </c>
      <c r="N2078" t="s">
        <v>398</v>
      </c>
      <c r="O2078">
        <f t="shared" si="2"/>
        <v>1159282.1458675002</v>
      </c>
      <c r="P2078">
        <f>Table3[[#This Row],[Value (odmt)]]*10^-6</f>
        <v>1.1592821458675002</v>
      </c>
      <c r="Q2078" t="s">
        <v>825</v>
      </c>
      <c r="R2078" s="142"/>
    </row>
    <row r="2079" spans="1:18" x14ac:dyDescent="0.3">
      <c r="A2079" t="s">
        <v>126</v>
      </c>
      <c r="B2079" t="s">
        <v>125</v>
      </c>
      <c r="C2079" t="s">
        <v>395</v>
      </c>
      <c r="D2079" t="s">
        <v>396</v>
      </c>
      <c r="E2079">
        <v>5510</v>
      </c>
      <c r="F2079" t="s">
        <v>128</v>
      </c>
      <c r="G2079">
        <v>1683</v>
      </c>
      <c r="H2079" t="s">
        <v>123</v>
      </c>
      <c r="I2079">
        <v>2021</v>
      </c>
      <c r="J2079">
        <v>2021</v>
      </c>
      <c r="K2079" t="s">
        <v>339</v>
      </c>
      <c r="L2079">
        <v>19544927</v>
      </c>
      <c r="M2079" t="s">
        <v>397</v>
      </c>
      <c r="N2079" t="s">
        <v>398</v>
      </c>
      <c r="O2079">
        <f t="shared" si="2"/>
        <v>18359306.700000003</v>
      </c>
      <c r="P2079">
        <f>Table3[[#This Row],[Value (odmt)]]*10^-6</f>
        <v>18.359306700000001</v>
      </c>
      <c r="Q2079" t="s">
        <v>826</v>
      </c>
      <c r="R2079" s="142">
        <f>Table3[[#This Row],[Value (odmt)]]/Table3[[#This Row],[Value]]</f>
        <v>0.93933871945390246</v>
      </c>
    </row>
    <row r="2080" spans="1:18" x14ac:dyDescent="0.3">
      <c r="A2080" t="s">
        <v>126</v>
      </c>
      <c r="B2080" t="s">
        <v>125</v>
      </c>
      <c r="C2080" t="s">
        <v>395</v>
      </c>
      <c r="D2080" t="s">
        <v>396</v>
      </c>
      <c r="E2080">
        <v>5610</v>
      </c>
      <c r="F2080" t="s">
        <v>127</v>
      </c>
      <c r="G2080">
        <v>1683</v>
      </c>
      <c r="H2080" t="s">
        <v>123</v>
      </c>
      <c r="I2080">
        <v>2021</v>
      </c>
      <c r="J2080">
        <v>2021</v>
      </c>
      <c r="K2080" t="s">
        <v>339</v>
      </c>
      <c r="L2080">
        <v>0</v>
      </c>
      <c r="M2080" t="s">
        <v>397</v>
      </c>
      <c r="N2080" t="s">
        <v>398</v>
      </c>
      <c r="O2080">
        <f t="shared" si="2"/>
        <v>942605.19320750004</v>
      </c>
      <c r="P2080">
        <f>Table3[[#This Row],[Value (odmt)]]*10^-6</f>
        <v>0.94260519320750003</v>
      </c>
      <c r="Q2080" t="s">
        <v>827</v>
      </c>
      <c r="R2080" s="142"/>
    </row>
    <row r="2081" spans="1:18" x14ac:dyDescent="0.3">
      <c r="A2081" t="s">
        <v>126</v>
      </c>
      <c r="B2081" t="s">
        <v>125</v>
      </c>
      <c r="C2081" t="s">
        <v>395</v>
      </c>
      <c r="D2081" t="s">
        <v>396</v>
      </c>
      <c r="E2081">
        <v>5910</v>
      </c>
      <c r="F2081" t="s">
        <v>124</v>
      </c>
      <c r="G2081">
        <v>1683</v>
      </c>
      <c r="H2081" t="s">
        <v>123</v>
      </c>
      <c r="I2081">
        <v>2021</v>
      </c>
      <c r="J2081">
        <v>2021</v>
      </c>
      <c r="K2081" t="s">
        <v>339</v>
      </c>
      <c r="L2081">
        <v>0</v>
      </c>
      <c r="M2081" t="s">
        <v>397</v>
      </c>
      <c r="N2081" t="s">
        <v>398</v>
      </c>
      <c r="O2081">
        <f t="shared" si="2"/>
        <v>1000841.9982075001</v>
      </c>
      <c r="P2081">
        <f>Table3[[#This Row],[Value (odmt)]]*10^-6</f>
        <v>1.0008419982075001</v>
      </c>
      <c r="Q2081" t="s">
        <v>828</v>
      </c>
      <c r="R2081" s="14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0C9D-9035-4D4D-A7E2-899994673001}">
  <sheetPr codeName="Sheet1"/>
  <dimension ref="A1:F54"/>
  <sheetViews>
    <sheetView zoomScale="70" zoomScaleNormal="70" workbookViewId="0"/>
  </sheetViews>
  <sheetFormatPr defaultColWidth="35.88671875" defaultRowHeight="13.2" x14ac:dyDescent="0.3"/>
  <cols>
    <col min="1" max="1" width="50.5546875" style="2" bestFit="1" customWidth="1"/>
    <col min="2" max="2" width="22.33203125" style="2" customWidth="1"/>
    <col min="3" max="3" width="25" style="2" customWidth="1"/>
    <col min="4" max="4" width="20.88671875" style="2" bestFit="1" customWidth="1"/>
    <col min="5" max="5" width="87.5546875" style="2" bestFit="1" customWidth="1"/>
    <col min="6" max="6" width="119" style="2" bestFit="1" customWidth="1"/>
    <col min="7" max="16384" width="35.88671875" style="2"/>
  </cols>
  <sheetData>
    <row r="1" spans="1:6" x14ac:dyDescent="0.3">
      <c r="A1" s="127" t="s">
        <v>460</v>
      </c>
      <c r="B1" s="128" t="s">
        <v>395</v>
      </c>
      <c r="C1" s="128"/>
      <c r="D1" s="14"/>
      <c r="E1" s="128"/>
      <c r="F1" s="128"/>
    </row>
    <row r="2" spans="1:6" x14ac:dyDescent="0.3">
      <c r="A2" s="129" t="s">
        <v>412</v>
      </c>
      <c r="B2" s="106"/>
      <c r="C2" s="106"/>
      <c r="D2" s="14"/>
      <c r="E2" s="14"/>
      <c r="F2" s="130"/>
    </row>
    <row r="3" spans="1:6" ht="42" customHeight="1" x14ac:dyDescent="0.3">
      <c r="A3" s="23" t="s">
        <v>122</v>
      </c>
      <c r="B3" s="174" t="s">
        <v>116</v>
      </c>
      <c r="C3" s="174"/>
      <c r="D3" s="16" t="s">
        <v>410</v>
      </c>
      <c r="E3" s="16" t="s">
        <v>212</v>
      </c>
      <c r="F3" s="22" t="s">
        <v>214</v>
      </c>
    </row>
    <row r="4" spans="1:6" ht="13.8" x14ac:dyDescent="0.3">
      <c r="A4" s="20" t="s">
        <v>881</v>
      </c>
      <c r="B4" s="28">
        <f>D4*1000</f>
        <v>430.47409884810929</v>
      </c>
      <c r="D4" s="19">
        <f>'regions-conversion-factors'!R1922</f>
        <v>0.43047409884810928</v>
      </c>
      <c r="E4" s="2" t="s">
        <v>918</v>
      </c>
      <c r="F4" s="98" t="s">
        <v>211</v>
      </c>
    </row>
    <row r="5" spans="1:6" ht="13.8" x14ac:dyDescent="0.3">
      <c r="A5" s="20" t="s">
        <v>882</v>
      </c>
      <c r="B5" s="28">
        <f t="shared" ref="B5:B13" si="0">D5*1000</f>
        <v>670.90477492650064</v>
      </c>
      <c r="D5" s="19">
        <f>'regions-conversion-factors'!R1925</f>
        <v>0.67090477492650058</v>
      </c>
      <c r="E5" s="2" t="s">
        <v>918</v>
      </c>
      <c r="F5" s="98" t="s">
        <v>211</v>
      </c>
    </row>
    <row r="6" spans="1:6" ht="13.8" x14ac:dyDescent="0.3">
      <c r="A6" s="20" t="s">
        <v>883</v>
      </c>
      <c r="B6" s="28">
        <f t="shared" si="0"/>
        <v>424.02388537764057</v>
      </c>
      <c r="D6" s="19">
        <f>'regions-conversion-factors'!R1949</f>
        <v>0.42402388537764057</v>
      </c>
      <c r="E6" s="2" t="s">
        <v>918</v>
      </c>
      <c r="F6" s="98" t="s">
        <v>211</v>
      </c>
    </row>
    <row r="7" spans="1:6" ht="13.8" x14ac:dyDescent="0.3">
      <c r="A7" s="20" t="s">
        <v>884</v>
      </c>
      <c r="B7" s="28">
        <f t="shared" si="0"/>
        <v>560.0945919475713</v>
      </c>
      <c r="D7" s="19">
        <f>'regions-conversion-factors'!R1950</f>
        <v>0.56009459194757127</v>
      </c>
      <c r="E7" s="2" t="s">
        <v>918</v>
      </c>
      <c r="F7" s="98" t="s">
        <v>211</v>
      </c>
    </row>
    <row r="8" spans="1:6" ht="13.8" x14ac:dyDescent="0.3">
      <c r="A8" s="20" t="s">
        <v>885</v>
      </c>
      <c r="B8" s="28">
        <f t="shared" si="0"/>
        <v>424.36426351804823</v>
      </c>
      <c r="D8" s="19">
        <f>'regions-conversion-factors'!R1936</f>
        <v>0.42436426351804823</v>
      </c>
      <c r="E8" s="2" t="s">
        <v>918</v>
      </c>
      <c r="F8" s="98" t="s">
        <v>211</v>
      </c>
    </row>
    <row r="9" spans="1:6" ht="13.8" x14ac:dyDescent="0.3">
      <c r="A9" s="20" t="s">
        <v>886</v>
      </c>
      <c r="B9" s="28">
        <f t="shared" si="0"/>
        <v>599.30411172089578</v>
      </c>
      <c r="D9" s="19">
        <f>'regions-conversion-factors'!R1939</f>
        <v>0.59930411172089582</v>
      </c>
      <c r="E9" s="2" t="s">
        <v>918</v>
      </c>
      <c r="F9" s="98" t="s">
        <v>211</v>
      </c>
    </row>
    <row r="10" spans="1:6" ht="13.8" x14ac:dyDescent="0.3">
      <c r="A10" s="20" t="s">
        <v>887</v>
      </c>
      <c r="B10" s="28">
        <f t="shared" si="0"/>
        <v>413.43024237068397</v>
      </c>
      <c r="D10" s="19">
        <f>'regions-conversion-factors'!R1942</f>
        <v>0.41343024237068399</v>
      </c>
      <c r="E10" s="2" t="s">
        <v>918</v>
      </c>
      <c r="F10" s="98" t="s">
        <v>211</v>
      </c>
    </row>
    <row r="11" spans="1:6" ht="13.8" x14ac:dyDescent="0.3">
      <c r="A11" s="20" t="s">
        <v>888</v>
      </c>
      <c r="B11" s="28">
        <f t="shared" si="0"/>
        <v>511.50460336740002</v>
      </c>
      <c r="D11" s="19">
        <f>'regions-conversion-factors'!R1943</f>
        <v>0.5115046033674</v>
      </c>
      <c r="E11" s="2" t="s">
        <v>918</v>
      </c>
      <c r="F11" s="98" t="s">
        <v>211</v>
      </c>
    </row>
    <row r="12" spans="1:6" ht="13.8" x14ac:dyDescent="0.3">
      <c r="A12" s="20" t="s">
        <v>889</v>
      </c>
      <c r="B12" s="28">
        <f t="shared" si="0"/>
        <v>424.02388537764057</v>
      </c>
      <c r="D12" s="19">
        <f>'regions-conversion-factors'!R1949</f>
        <v>0.42402388537764057</v>
      </c>
      <c r="E12" s="2" t="s">
        <v>918</v>
      </c>
      <c r="F12" s="98" t="s">
        <v>211</v>
      </c>
    </row>
    <row r="13" spans="1:6" ht="13.8" x14ac:dyDescent="0.3">
      <c r="A13" s="20" t="s">
        <v>890</v>
      </c>
      <c r="B13" s="28">
        <f t="shared" si="0"/>
        <v>560.0945919475713</v>
      </c>
      <c r="D13" s="19">
        <f>'regions-conversion-factors'!R1950</f>
        <v>0.56009459194757127</v>
      </c>
      <c r="E13" s="2" t="s">
        <v>918</v>
      </c>
      <c r="F13" s="98" t="s">
        <v>211</v>
      </c>
    </row>
    <row r="14" spans="1:6" ht="30" customHeight="1" x14ac:dyDescent="0.3">
      <c r="A14" s="23" t="s">
        <v>117</v>
      </c>
      <c r="B14" s="16"/>
      <c r="C14" s="16"/>
      <c r="D14" s="16" t="s">
        <v>410</v>
      </c>
      <c r="E14" s="16" t="s">
        <v>212</v>
      </c>
      <c r="F14" s="22" t="s">
        <v>214</v>
      </c>
    </row>
    <row r="15" spans="1:6" ht="13.8" x14ac:dyDescent="0.3">
      <c r="A15" s="20" t="s">
        <v>117</v>
      </c>
      <c r="B15" s="176">
        <f>1-D15</f>
        <v>4.8798076743112317E-2</v>
      </c>
      <c r="C15" s="176"/>
      <c r="D15" s="19">
        <f>'regions-conversion-factors'!R1953</f>
        <v>0.95120192325688768</v>
      </c>
      <c r="E15" s="2" t="s">
        <v>918</v>
      </c>
      <c r="F15" s="98" t="s">
        <v>211</v>
      </c>
    </row>
    <row r="16" spans="1:6" x14ac:dyDescent="0.3">
      <c r="A16" s="23" t="s">
        <v>92</v>
      </c>
      <c r="B16" s="16"/>
      <c r="C16" s="16"/>
      <c r="D16" s="16" t="s">
        <v>410</v>
      </c>
      <c r="E16" s="16" t="s">
        <v>212</v>
      </c>
      <c r="F16" s="22" t="s">
        <v>214</v>
      </c>
    </row>
    <row r="17" spans="1:6" ht="13.8" x14ac:dyDescent="0.3">
      <c r="A17" s="20" t="s">
        <v>92</v>
      </c>
      <c r="B17" s="173">
        <f>1/D17</f>
        <v>2.3433820743194409</v>
      </c>
      <c r="C17" s="173"/>
      <c r="D17" s="19">
        <f>'regions-conversion-factors'!R1959</f>
        <v>0.42673365600887664</v>
      </c>
      <c r="E17" s="2" t="s">
        <v>918</v>
      </c>
      <c r="F17" s="98" t="s">
        <v>211</v>
      </c>
    </row>
    <row r="18" spans="1:6" ht="13.8" x14ac:dyDescent="0.3">
      <c r="A18" s="21" t="s">
        <v>115</v>
      </c>
      <c r="B18" s="175">
        <f>1/D18</f>
        <v>2.3464048564977875</v>
      </c>
      <c r="C18" s="175"/>
      <c r="D18" s="15">
        <f>'regions-conversion-factors'!R1962</f>
        <v>0.42618391162579961</v>
      </c>
      <c r="E18" s="14" t="s">
        <v>918</v>
      </c>
      <c r="F18" s="99" t="s">
        <v>211</v>
      </c>
    </row>
    <row r="19" spans="1:6" ht="30" customHeight="1" x14ac:dyDescent="0.3">
      <c r="A19" s="23" t="s">
        <v>225</v>
      </c>
      <c r="B19" s="94"/>
      <c r="C19" s="94"/>
      <c r="D19" s="19"/>
      <c r="F19" s="98"/>
    </row>
    <row r="20" spans="1:6" ht="13.8" x14ac:dyDescent="0.3">
      <c r="A20" s="20" t="s">
        <v>148</v>
      </c>
      <c r="B20" s="143">
        <f>1-D20</f>
        <v>0.2100180508972016</v>
      </c>
      <c r="D20" s="19">
        <f>'regions-conversion-factors'!R1965</f>
        <v>0.7899819491027984</v>
      </c>
      <c r="E20" s="2" t="s">
        <v>918</v>
      </c>
      <c r="F20" s="98" t="s">
        <v>224</v>
      </c>
    </row>
    <row r="21" spans="1:6" x14ac:dyDescent="0.3">
      <c r="A21" s="23" t="s">
        <v>215</v>
      </c>
      <c r="B21" s="16"/>
      <c r="C21" s="16"/>
      <c r="D21" s="16" t="s">
        <v>410</v>
      </c>
      <c r="E21" s="16" t="s">
        <v>212</v>
      </c>
      <c r="F21" s="22" t="s">
        <v>214</v>
      </c>
    </row>
    <row r="22" spans="1:6" ht="14.4" customHeight="1" x14ac:dyDescent="0.3">
      <c r="A22" s="20" t="s">
        <v>114</v>
      </c>
      <c r="B22" s="143">
        <f>1-D22</f>
        <v>7.8249238670263122E-2</v>
      </c>
      <c r="D22" s="19">
        <f>'regions-conversion-factors'!R1968</f>
        <v>0.92175076132973688</v>
      </c>
      <c r="E22" s="2" t="s">
        <v>918</v>
      </c>
      <c r="F22" s="98" t="s">
        <v>211</v>
      </c>
    </row>
    <row r="23" spans="1:6" ht="13.8" x14ac:dyDescent="0.3">
      <c r="A23" s="21" t="s">
        <v>113</v>
      </c>
      <c r="B23" s="143">
        <f>1-D23</f>
        <v>7.4298298344249281E-2</v>
      </c>
      <c r="C23" s="14"/>
      <c r="D23" s="15">
        <f>'regions-conversion-factors'!R1954</f>
        <v>0.92570170165575072</v>
      </c>
      <c r="E23" s="2" t="s">
        <v>918</v>
      </c>
      <c r="F23" s="99" t="s">
        <v>211</v>
      </c>
    </row>
    <row r="24" spans="1:6" ht="39.6" customHeight="1" x14ac:dyDescent="0.3">
      <c r="A24" s="23" t="s">
        <v>112</v>
      </c>
      <c r="B24" s="17" t="s">
        <v>106</v>
      </c>
      <c r="C24" s="17" t="s">
        <v>111</v>
      </c>
      <c r="D24" s="16" t="s">
        <v>410</v>
      </c>
      <c r="E24" s="16" t="s">
        <v>212</v>
      </c>
      <c r="F24" s="22" t="s">
        <v>214</v>
      </c>
    </row>
    <row r="25" spans="1:6" ht="13.8" x14ac:dyDescent="0.3">
      <c r="A25" s="20" t="s">
        <v>891</v>
      </c>
      <c r="B25" s="28">
        <f>D25*1000/(1-C25)</f>
        <v>537.70592207713491</v>
      </c>
      <c r="C25" s="26">
        <v>0.125</v>
      </c>
      <c r="D25" s="19">
        <f>'regions-conversion-factors'!R1971</f>
        <v>0.47049268181749304</v>
      </c>
      <c r="E25" s="2" t="s">
        <v>918</v>
      </c>
      <c r="F25" s="98" t="s">
        <v>211</v>
      </c>
    </row>
    <row r="26" spans="1:6" ht="13.8" x14ac:dyDescent="0.3">
      <c r="A26" s="21" t="s">
        <v>892</v>
      </c>
      <c r="B26" s="28">
        <f>D26*1000/(1-C26)</f>
        <v>710.2103763989511</v>
      </c>
      <c r="C26" s="18">
        <f>C25</f>
        <v>0.125</v>
      </c>
      <c r="D26" s="15">
        <f>'regions-conversion-factors'!R1974</f>
        <v>0.62143407934908224</v>
      </c>
      <c r="E26" s="2" t="s">
        <v>918</v>
      </c>
      <c r="F26" s="99" t="s">
        <v>211</v>
      </c>
    </row>
    <row r="27" spans="1:6" ht="28.8" x14ac:dyDescent="0.3">
      <c r="A27" s="23" t="s">
        <v>108</v>
      </c>
      <c r="B27" s="17" t="s">
        <v>106</v>
      </c>
      <c r="C27" s="17" t="s">
        <v>105</v>
      </c>
      <c r="D27" s="16" t="s">
        <v>410</v>
      </c>
      <c r="E27" s="16" t="s">
        <v>212</v>
      </c>
      <c r="F27" s="22" t="s">
        <v>214</v>
      </c>
    </row>
    <row r="28" spans="1:6" ht="13.8" x14ac:dyDescent="0.3">
      <c r="A28" s="21" t="s">
        <v>347</v>
      </c>
      <c r="B28" s="29">
        <f>D28*1000/C28</f>
        <v>589.08669702715542</v>
      </c>
      <c r="C28" s="18">
        <v>0.9</v>
      </c>
      <c r="D28" s="15">
        <f>'regions-conversion-factors'!R1977</f>
        <v>0.53017802732443986</v>
      </c>
      <c r="E28" s="2" t="s">
        <v>918</v>
      </c>
      <c r="F28" s="99" t="s">
        <v>211</v>
      </c>
    </row>
    <row r="29" spans="1:6" ht="28.8" x14ac:dyDescent="0.3">
      <c r="A29" s="27" t="s">
        <v>107</v>
      </c>
      <c r="B29" s="25" t="s">
        <v>106</v>
      </c>
      <c r="C29" s="25" t="s">
        <v>105</v>
      </c>
      <c r="D29" s="16" t="s">
        <v>410</v>
      </c>
      <c r="E29" s="16" t="s">
        <v>212</v>
      </c>
      <c r="F29" s="70" t="s">
        <v>214</v>
      </c>
    </row>
    <row r="30" spans="1:6" ht="13.8" x14ac:dyDescent="0.3">
      <c r="A30" s="20" t="s">
        <v>104</v>
      </c>
      <c r="B30" s="28">
        <f>D30*1000/C30</f>
        <v>617.05430446659955</v>
      </c>
      <c r="C30" s="26">
        <v>0.9</v>
      </c>
      <c r="D30" s="19">
        <f>'regions-conversion-factors'!R1980</f>
        <v>0.5553488740199396</v>
      </c>
      <c r="E30" s="2" t="s">
        <v>918</v>
      </c>
      <c r="F30" s="98" t="s">
        <v>211</v>
      </c>
    </row>
    <row r="31" spans="1:6" ht="13.8" x14ac:dyDescent="0.3">
      <c r="A31" s="20" t="s">
        <v>103</v>
      </c>
      <c r="B31" s="28">
        <f t="shared" ref="B31:B35" si="1">D31*1000/C31</f>
        <v>640.2714991417605</v>
      </c>
      <c r="C31" s="26">
        <f>(82*3+81*2+84*1+83*8)/14/100</f>
        <v>0.82571428571428573</v>
      </c>
      <c r="D31" s="19">
        <f>'regions-conversion-factors'!R1986</f>
        <v>0.52868132357705366</v>
      </c>
      <c r="E31" s="2" t="s">
        <v>918</v>
      </c>
      <c r="F31" s="98" t="s">
        <v>211</v>
      </c>
    </row>
    <row r="32" spans="1:6" ht="13.8" x14ac:dyDescent="0.3">
      <c r="A32" s="20" t="s">
        <v>102</v>
      </c>
      <c r="B32" s="28">
        <f t="shared" si="1"/>
        <v>548.70466826442475</v>
      </c>
      <c r="C32" s="26">
        <f>(90*4+86*3)/7/100</f>
        <v>0.8828571428571429</v>
      </c>
      <c r="D32" s="19">
        <f>'regions-conversion-factors'!R1989</f>
        <v>0.48442783569630643</v>
      </c>
      <c r="E32" s="2" t="s">
        <v>918</v>
      </c>
      <c r="F32" s="98" t="s">
        <v>211</v>
      </c>
    </row>
    <row r="33" spans="1:6" ht="13.8" x14ac:dyDescent="0.3">
      <c r="A33" s="20" t="s">
        <v>101</v>
      </c>
      <c r="B33" s="28">
        <f t="shared" si="1"/>
        <v>891.45501526191799</v>
      </c>
      <c r="C33" s="26">
        <f>(83*2+88*3)/5/100</f>
        <v>0.86</v>
      </c>
      <c r="D33" s="19">
        <f>'regions-conversion-factors'!R1992</f>
        <v>0.76665131312524948</v>
      </c>
      <c r="E33" s="2" t="s">
        <v>918</v>
      </c>
      <c r="F33" s="98" t="s">
        <v>211</v>
      </c>
    </row>
    <row r="34" spans="1:6" ht="13.8" x14ac:dyDescent="0.3">
      <c r="A34" s="20" t="s">
        <v>100</v>
      </c>
      <c r="B34" s="28">
        <f t="shared" si="1"/>
        <v>722.40622235942533</v>
      </c>
      <c r="C34" s="26">
        <f>(85*2+83*1+83*4)/7/100</f>
        <v>0.83571428571428574</v>
      </c>
      <c r="D34" s="19">
        <f>'regions-conversion-factors'!R1995</f>
        <v>0.60372520011466257</v>
      </c>
      <c r="E34" s="2" t="s">
        <v>918</v>
      </c>
      <c r="F34" s="98" t="s">
        <v>211</v>
      </c>
    </row>
    <row r="35" spans="1:6" ht="13.8" x14ac:dyDescent="0.3">
      <c r="A35" s="21" t="s">
        <v>99</v>
      </c>
      <c r="B35" s="80">
        <f t="shared" si="1"/>
        <v>263.28273177600909</v>
      </c>
      <c r="C35" s="18">
        <f>90/100</f>
        <v>0.9</v>
      </c>
      <c r="D35" s="15">
        <f>'regions-conversion-factors'!R1998</f>
        <v>0.23695445859840816</v>
      </c>
      <c r="E35" s="2" t="s">
        <v>918</v>
      </c>
      <c r="F35" s="99" t="s">
        <v>211</v>
      </c>
    </row>
    <row r="36" spans="1:6" ht="28.95" customHeight="1" x14ac:dyDescent="0.3">
      <c r="A36" s="27" t="s">
        <v>216</v>
      </c>
      <c r="B36" s="172" t="s">
        <v>91</v>
      </c>
      <c r="C36" s="172"/>
      <c r="D36" s="16" t="s">
        <v>410</v>
      </c>
      <c r="E36" s="16" t="s">
        <v>212</v>
      </c>
      <c r="F36" s="22" t="s">
        <v>214</v>
      </c>
    </row>
    <row r="37" spans="1:6" ht="13.8" x14ac:dyDescent="0.3">
      <c r="A37" s="20" t="s">
        <v>98</v>
      </c>
      <c r="B37" s="143">
        <f>1-D37</f>
        <v>9.8341130435603996E-2</v>
      </c>
      <c r="D37" s="19">
        <f>'regions-conversion-factors'!R2004</f>
        <v>0.901658869564396</v>
      </c>
      <c r="E37" s="2" t="s">
        <v>918</v>
      </c>
      <c r="F37" s="98" t="s">
        <v>211</v>
      </c>
    </row>
    <row r="38" spans="1:6" ht="13.8" x14ac:dyDescent="0.3">
      <c r="A38" s="20" t="s">
        <v>97</v>
      </c>
      <c r="B38" s="143">
        <f t="shared" ref="B38:B41" si="2">1-D38</f>
        <v>0.12921092311395588</v>
      </c>
      <c r="D38" s="19">
        <f>'regions-conversion-factors'!R2013</f>
        <v>0.87078907688604412</v>
      </c>
      <c r="E38" s="2" t="s">
        <v>918</v>
      </c>
      <c r="F38" s="98" t="s">
        <v>211</v>
      </c>
    </row>
    <row r="39" spans="1:6" ht="13.8" x14ac:dyDescent="0.3">
      <c r="A39" s="20" t="s">
        <v>96</v>
      </c>
      <c r="B39" s="143">
        <f t="shared" si="2"/>
        <v>2.8718455613900629E-2</v>
      </c>
      <c r="D39" s="19">
        <f>'regions-conversion-factors'!R2031</f>
        <v>0.97128154438609937</v>
      </c>
      <c r="E39" s="2" t="s">
        <v>918</v>
      </c>
      <c r="F39" s="98" t="s">
        <v>211</v>
      </c>
    </row>
    <row r="40" spans="1:6" ht="13.8" x14ac:dyDescent="0.3">
      <c r="A40" s="20" t="s">
        <v>95</v>
      </c>
      <c r="B40" s="143">
        <f t="shared" si="2"/>
        <v>0.10796781650084974</v>
      </c>
      <c r="D40" s="19">
        <f>'regions-conversion-factors'!R2034</f>
        <v>0.89203218349915026</v>
      </c>
      <c r="E40" s="2" t="s">
        <v>918</v>
      </c>
      <c r="F40" s="98" t="s">
        <v>211</v>
      </c>
    </row>
    <row r="41" spans="1:6" ht="13.8" x14ac:dyDescent="0.3">
      <c r="A41" s="21" t="s">
        <v>94</v>
      </c>
      <c r="B41" s="144">
        <f t="shared" si="2"/>
        <v>0.12601008346193143</v>
      </c>
      <c r="C41" s="14"/>
      <c r="D41" s="15">
        <f>'regions-conversion-factors'!R2040</f>
        <v>0.87398991653806857</v>
      </c>
      <c r="E41" s="2" t="s">
        <v>918</v>
      </c>
      <c r="F41" s="99" t="s">
        <v>211</v>
      </c>
    </row>
    <row r="42" spans="1:6" ht="28.95" customHeight="1" x14ac:dyDescent="0.3">
      <c r="A42" s="27" t="s">
        <v>217</v>
      </c>
      <c r="B42" s="172" t="s">
        <v>91</v>
      </c>
      <c r="C42" s="172"/>
      <c r="D42" s="16" t="s">
        <v>410</v>
      </c>
      <c r="E42" s="16" t="s">
        <v>212</v>
      </c>
      <c r="F42" s="22" t="s">
        <v>214</v>
      </c>
    </row>
    <row r="43" spans="1:6" ht="13.8" x14ac:dyDescent="0.3">
      <c r="A43" s="20" t="s">
        <v>134</v>
      </c>
      <c r="B43" s="143">
        <f>1-D43</f>
        <v>0.12601008346193143</v>
      </c>
      <c r="D43" s="19">
        <f>'regions-conversion-factors'!R2040</f>
        <v>0.87398991653806857</v>
      </c>
      <c r="E43" s="2" t="s">
        <v>918</v>
      </c>
      <c r="F43" s="98" t="s">
        <v>380</v>
      </c>
    </row>
    <row r="44" spans="1:6" ht="13.8" x14ac:dyDescent="0.3">
      <c r="A44" s="20" t="s">
        <v>89</v>
      </c>
      <c r="B44" s="143">
        <f t="shared" ref="B44:B52" si="3">1-D44</f>
        <v>6.3526991605863392E-2</v>
      </c>
      <c r="D44" s="19">
        <f>'regions-conversion-factors'!R2043</f>
        <v>0.93647300839413661</v>
      </c>
      <c r="E44" s="2" t="s">
        <v>918</v>
      </c>
      <c r="F44" s="98" t="s">
        <v>211</v>
      </c>
    </row>
    <row r="45" spans="1:6" ht="13.8" x14ac:dyDescent="0.3">
      <c r="A45" s="20" t="s">
        <v>88</v>
      </c>
      <c r="B45" s="143">
        <f t="shared" si="3"/>
        <v>4.5956261456721048E-2</v>
      </c>
      <c r="D45" s="19">
        <f>'regions-conversion-factors'!R2046</f>
        <v>0.95404373854327895</v>
      </c>
      <c r="E45" s="2" t="s">
        <v>918</v>
      </c>
      <c r="F45" s="98" t="s">
        <v>211</v>
      </c>
    </row>
    <row r="46" spans="1:6" ht="13.8" x14ac:dyDescent="0.3">
      <c r="A46" s="20" t="s">
        <v>87</v>
      </c>
      <c r="B46" s="143">
        <f t="shared" si="3"/>
        <v>6.066128054609754E-2</v>
      </c>
      <c r="D46" s="19">
        <f>'regions-conversion-factors'!R2079</f>
        <v>0.93933871945390246</v>
      </c>
      <c r="E46" s="2" t="s">
        <v>918</v>
      </c>
      <c r="F46" s="98" t="s">
        <v>211</v>
      </c>
    </row>
    <row r="47" spans="1:6" ht="13.8" x14ac:dyDescent="0.3">
      <c r="A47" s="20" t="s">
        <v>86</v>
      </c>
      <c r="B47" s="143">
        <f t="shared" si="3"/>
        <v>4.8313466149902728E-2</v>
      </c>
      <c r="D47" s="19">
        <f>'regions-conversion-factors'!R2061</f>
        <v>0.95168653385009727</v>
      </c>
      <c r="E47" s="2" t="s">
        <v>918</v>
      </c>
      <c r="F47" s="98" t="s">
        <v>211</v>
      </c>
    </row>
    <row r="48" spans="1:6" ht="13.8" x14ac:dyDescent="0.3">
      <c r="A48" s="20" t="s">
        <v>85</v>
      </c>
      <c r="B48" s="143">
        <f t="shared" si="3"/>
        <v>5.3865622758713094E-2</v>
      </c>
      <c r="D48" s="19">
        <f>'regions-conversion-factors'!R2067</f>
        <v>0.94613437724128691</v>
      </c>
      <c r="E48" s="2" t="s">
        <v>918</v>
      </c>
      <c r="F48" s="98" t="s">
        <v>211</v>
      </c>
    </row>
    <row r="49" spans="1:6" ht="13.8" x14ac:dyDescent="0.3">
      <c r="A49" s="20" t="s">
        <v>84</v>
      </c>
      <c r="B49" s="143">
        <f t="shared" si="3"/>
        <v>4.2404479547527352E-2</v>
      </c>
      <c r="D49" s="19">
        <f>'regions-conversion-factors'!R2070</f>
        <v>0.95759552045247265</v>
      </c>
      <c r="E49" s="2" t="s">
        <v>918</v>
      </c>
      <c r="F49" s="98" t="s">
        <v>211</v>
      </c>
    </row>
    <row r="50" spans="1:6" ht="13.8" x14ac:dyDescent="0.3">
      <c r="A50" s="20" t="s">
        <v>129</v>
      </c>
      <c r="B50" s="143">
        <f t="shared" si="3"/>
        <v>2.3999413092821276E-2</v>
      </c>
      <c r="D50" s="19">
        <f>'regions-conversion-factors'!R2073</f>
        <v>0.97600058690717872</v>
      </c>
      <c r="E50" s="2" t="s">
        <v>918</v>
      </c>
      <c r="F50" s="98" t="s">
        <v>211</v>
      </c>
    </row>
    <row r="51" spans="1:6" ht="13.8" x14ac:dyDescent="0.3">
      <c r="A51" s="20" t="s">
        <v>83</v>
      </c>
      <c r="B51" s="143">
        <f t="shared" si="3"/>
        <v>6.9541197660018317E-2</v>
      </c>
      <c r="D51" s="19">
        <f>'regions-conversion-factors'!R2076</f>
        <v>0.93045880233998168</v>
      </c>
      <c r="E51" s="2" t="s">
        <v>918</v>
      </c>
      <c r="F51" s="98" t="s">
        <v>211</v>
      </c>
    </row>
    <row r="52" spans="1:6" ht="13.8" x14ac:dyDescent="0.3">
      <c r="A52" s="21" t="s">
        <v>82</v>
      </c>
      <c r="B52" s="143">
        <f t="shared" si="3"/>
        <v>6.066128054609754E-2</v>
      </c>
      <c r="C52" s="14"/>
      <c r="D52" s="15">
        <f>'regions-conversion-factors'!R2079</f>
        <v>0.93933871945390246</v>
      </c>
      <c r="E52" s="2" t="s">
        <v>918</v>
      </c>
      <c r="F52" s="99" t="s">
        <v>211</v>
      </c>
    </row>
    <row r="53" spans="1:6" ht="13.2" customHeight="1" x14ac:dyDescent="0.3">
      <c r="A53" s="23" t="s">
        <v>411</v>
      </c>
      <c r="B53" s="17" t="s">
        <v>106</v>
      </c>
      <c r="C53" s="17" t="s">
        <v>105</v>
      </c>
      <c r="D53" s="16" t="s">
        <v>410</v>
      </c>
      <c r="E53" s="16" t="s">
        <v>212</v>
      </c>
      <c r="F53" s="22" t="s">
        <v>214</v>
      </c>
    </row>
    <row r="54" spans="1:6" x14ac:dyDescent="0.25">
      <c r="A54" s="21" t="s">
        <v>411</v>
      </c>
      <c r="B54" s="80">
        <f>(621+674)/2</f>
        <v>647.5</v>
      </c>
      <c r="C54" s="18">
        <f>((88.5+90.2)/2)%</f>
        <v>0.89349999999999996</v>
      </c>
      <c r="D54" s="15">
        <f>B54/1000*(C54)</f>
        <v>0.5785412499999999</v>
      </c>
      <c r="E54" s="14" t="s">
        <v>370</v>
      </c>
      <c r="F54" s="79" t="s">
        <v>223</v>
      </c>
    </row>
  </sheetData>
  <mergeCells count="6">
    <mergeCell ref="B42:C42"/>
    <mergeCell ref="B36:C36"/>
    <mergeCell ref="B17:C17"/>
    <mergeCell ref="B3:C3"/>
    <mergeCell ref="B18:C18"/>
    <mergeCell ref="B15:C15"/>
  </mergeCells>
  <phoneticPr fontId="1" type="noConversion"/>
  <hyperlinks>
    <hyperlink ref="F18" r:id="rId1" xr:uid="{5EF51F8A-0BD3-4C96-A07F-577F7A619637}"/>
    <hyperlink ref="F17" r:id="rId2" xr:uid="{96A7157D-4DF4-4158-8D62-61FEDEB997A3}"/>
    <hyperlink ref="F22" r:id="rId3" xr:uid="{19A27F8A-CC13-4B28-AA32-9CAB5732A7B4}"/>
    <hyperlink ref="F23" r:id="rId4" xr:uid="{2B019E06-468D-45C3-809A-D160FA50DBB2}"/>
    <hyperlink ref="F25" r:id="rId5" xr:uid="{95C20E0D-5567-4C8F-92F1-F76AEDA693BD}"/>
    <hyperlink ref="F26" r:id="rId6" xr:uid="{07EC513A-FD4D-4ED1-9B0E-25F00E46DD85}"/>
    <hyperlink ref="F28" r:id="rId7" xr:uid="{1BB62356-DAE6-4549-9B5C-AA88FC1FA4C5}"/>
    <hyperlink ref="F30" r:id="rId8" xr:uid="{F70E4816-FF39-4CFD-B9E2-097534023777}"/>
    <hyperlink ref="F31" r:id="rId9" xr:uid="{EF288607-AE84-47DB-B2A6-B9FC3F758FD0}"/>
    <hyperlink ref="F32" r:id="rId10" xr:uid="{F28E9DDD-3FA8-40F6-8916-D33E87B35857}"/>
    <hyperlink ref="F33" r:id="rId11" xr:uid="{CC85180E-DB61-48A4-8DD7-771AE4B7AF35}"/>
    <hyperlink ref="F34" r:id="rId12" xr:uid="{13062756-D0AD-4BC8-B5D4-87D90A3B440A}"/>
    <hyperlink ref="F35" r:id="rId13" xr:uid="{9E0D0BC1-F586-4761-B77D-19E865CC0325}"/>
    <hyperlink ref="F37:F41" r:id="rId14" display="https://www.fao.org/3/ca7952en/CA7952EN.pdf" xr:uid="{B7C457E7-C54E-4412-842A-6A59387E2735}"/>
    <hyperlink ref="F49" r:id="rId15" xr:uid="{6414948F-E6EF-4953-8B03-BFC117538811}"/>
    <hyperlink ref="F44:F48" r:id="rId16" display="https://www.fao.org/3/ca7952en/CA7952EN.pdf" xr:uid="{69953629-00AB-4251-B65D-C3B4926E7CDC}"/>
    <hyperlink ref="F50:F52" r:id="rId17" display="https://www.fao.org/3/ca7952en/CA7952EN.pdf" xr:uid="{04A727BF-9881-456A-B993-A45470779E76}"/>
    <hyperlink ref="F15" r:id="rId18" xr:uid="{E31964E0-953F-40DF-AC27-05F02F7C75B3}"/>
    <hyperlink ref="F51" r:id="rId19" xr:uid="{B840D335-A8A3-487B-9C41-AFC96C08FE71}"/>
    <hyperlink ref="F20" r:id="rId20" xr:uid="{1500368D-9DEB-4463-97A6-5BAFDC23458E}"/>
    <hyperlink ref="F54" r:id="rId21" xr:uid="{31440338-E6BF-41C6-9FF9-B3101766104E}"/>
    <hyperlink ref="F4:F13" r:id="rId22" display="https://www.fao.org/3/ca7952en/CA7952EN.pdf" xr:uid="{E25E9678-2DB8-4877-8498-AB3584C5C299}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0470-683A-41C2-A18F-0F8D8DD15286}">
  <sheetPr codeName="Sheet2"/>
  <dimension ref="A1:F114"/>
  <sheetViews>
    <sheetView zoomScale="70" zoomScaleNormal="70" workbookViewId="0"/>
  </sheetViews>
  <sheetFormatPr defaultColWidth="8.88671875" defaultRowHeight="13.2" x14ac:dyDescent="0.25"/>
  <cols>
    <col min="1" max="1" width="38.33203125" style="4" bestFit="1" customWidth="1"/>
    <col min="2" max="2" width="8.88671875" style="8"/>
    <col min="3" max="3" width="43.5546875" style="4" customWidth="1"/>
    <col min="4" max="4" width="89.6640625" style="4" customWidth="1"/>
    <col min="5" max="5" width="8.88671875" style="4"/>
    <col min="6" max="6" width="19.44140625" style="4" bestFit="1" customWidth="1"/>
    <col min="7" max="16384" width="8.88671875" style="4"/>
  </cols>
  <sheetData>
    <row r="1" spans="1:4" x14ac:dyDescent="0.25">
      <c r="A1" s="94" t="s">
        <v>460</v>
      </c>
      <c r="B1" s="94" t="s">
        <v>395</v>
      </c>
    </row>
    <row r="2" spans="1:4" s="30" customFormat="1" x14ac:dyDescent="0.25">
      <c r="A2" s="107" t="s">
        <v>413</v>
      </c>
      <c r="B2" s="131"/>
      <c r="C2" s="107"/>
      <c r="D2" s="107"/>
    </row>
    <row r="3" spans="1:4" x14ac:dyDescent="0.25">
      <c r="A3" s="66" t="s">
        <v>414</v>
      </c>
      <c r="C3" s="30" t="s">
        <v>212</v>
      </c>
      <c r="D3" s="69" t="s">
        <v>214</v>
      </c>
    </row>
    <row r="4" spans="1:4" x14ac:dyDescent="0.25">
      <c r="A4" s="32" t="s">
        <v>117</v>
      </c>
      <c r="B4" s="8">
        <f>'production-mass-balance'!B93</f>
        <v>0.30265092355634543</v>
      </c>
      <c r="C4" s="4" t="s">
        <v>428</v>
      </c>
      <c r="D4" s="67" t="s">
        <v>211</v>
      </c>
    </row>
    <row r="5" spans="1:4" x14ac:dyDescent="0.25">
      <c r="A5" s="32" t="s">
        <v>179</v>
      </c>
      <c r="B5" s="8">
        <f>1-B4</f>
        <v>0.69734907644365451</v>
      </c>
      <c r="D5" s="35"/>
    </row>
    <row r="6" spans="1:4" ht="15.6" x14ac:dyDescent="0.35">
      <c r="A6" s="33" t="s">
        <v>218</v>
      </c>
      <c r="B6" s="36">
        <f>B4</f>
        <v>0.30265092355634543</v>
      </c>
      <c r="C6" s="3"/>
      <c r="D6" s="37"/>
    </row>
    <row r="7" spans="1:4" x14ac:dyDescent="0.25">
      <c r="A7" s="66" t="s">
        <v>415</v>
      </c>
      <c r="D7" s="35"/>
    </row>
    <row r="8" spans="1:4" x14ac:dyDescent="0.25">
      <c r="A8" s="32" t="s">
        <v>252</v>
      </c>
      <c r="B8" s="8">
        <f>'production-mass-balance'!B100</f>
        <v>0.90596136736940902</v>
      </c>
      <c r="C8" s="4" t="s">
        <v>428</v>
      </c>
      <c r="D8" s="35"/>
    </row>
    <row r="9" spans="1:4" x14ac:dyDescent="0.25">
      <c r="A9" s="32" t="s">
        <v>179</v>
      </c>
      <c r="B9" s="8">
        <f>1-B8</f>
        <v>9.4038632630590979E-2</v>
      </c>
      <c r="D9" s="35"/>
    </row>
    <row r="10" spans="1:4" ht="15.6" x14ac:dyDescent="0.35">
      <c r="A10" s="33" t="s">
        <v>253</v>
      </c>
      <c r="B10" s="36">
        <f>B8</f>
        <v>0.90596136736940902</v>
      </c>
      <c r="C10" s="3"/>
      <c r="D10" s="37"/>
    </row>
    <row r="11" spans="1:4" x14ac:dyDescent="0.25">
      <c r="A11" s="66" t="s">
        <v>416</v>
      </c>
      <c r="C11" s="30" t="s">
        <v>212</v>
      </c>
      <c r="D11" s="69" t="s">
        <v>214</v>
      </c>
    </row>
    <row r="12" spans="1:4" x14ac:dyDescent="0.25">
      <c r="A12" s="32" t="s">
        <v>192</v>
      </c>
      <c r="B12" s="8">
        <f>'production-mass-balance'!B103</f>
        <v>0.75757575757575757</v>
      </c>
      <c r="C12" s="4" t="s">
        <v>428</v>
      </c>
      <c r="D12" s="67" t="s">
        <v>211</v>
      </c>
    </row>
    <row r="13" spans="1:4" x14ac:dyDescent="0.25">
      <c r="A13" s="32" t="s">
        <v>177</v>
      </c>
      <c r="B13" s="8">
        <v>0.03</v>
      </c>
      <c r="C13" s="4" t="s">
        <v>234</v>
      </c>
      <c r="D13" s="35"/>
    </row>
    <row r="14" spans="1:4" x14ac:dyDescent="0.25">
      <c r="A14" s="32" t="s">
        <v>178</v>
      </c>
      <c r="B14" s="8">
        <v>0.11</v>
      </c>
      <c r="C14" s="4" t="s">
        <v>234</v>
      </c>
      <c r="D14" s="35"/>
    </row>
    <row r="15" spans="1:4" x14ac:dyDescent="0.25">
      <c r="A15" s="32" t="s">
        <v>180</v>
      </c>
      <c r="B15" s="8">
        <f>1-B12-B13-B14-B16</f>
        <v>6.2424242424242507E-2</v>
      </c>
      <c r="C15" s="4" t="s">
        <v>234</v>
      </c>
      <c r="D15" s="35"/>
    </row>
    <row r="16" spans="1:4" x14ac:dyDescent="0.25">
      <c r="A16" s="32" t="s">
        <v>179</v>
      </c>
      <c r="B16" s="8">
        <v>3.9999999999999925E-2</v>
      </c>
      <c r="D16" s="35"/>
    </row>
    <row r="17" spans="1:6" x14ac:dyDescent="0.25">
      <c r="A17" s="32" t="s">
        <v>181</v>
      </c>
      <c r="B17" s="8">
        <v>7.0000000000000007E-2</v>
      </c>
      <c r="C17" s="4" t="s">
        <v>234</v>
      </c>
      <c r="D17" s="35"/>
    </row>
    <row r="18" spans="1:6" ht="15.6" x14ac:dyDescent="0.35">
      <c r="A18" s="33" t="s">
        <v>204</v>
      </c>
      <c r="B18" s="36">
        <f>B12</f>
        <v>0.75757575757575757</v>
      </c>
      <c r="C18" s="3"/>
      <c r="D18" s="37"/>
    </row>
    <row r="19" spans="1:6" x14ac:dyDescent="0.25">
      <c r="A19" s="31" t="s">
        <v>417</v>
      </c>
      <c r="B19" s="34"/>
      <c r="C19" s="38" t="s">
        <v>212</v>
      </c>
      <c r="D19" s="39" t="s">
        <v>214</v>
      </c>
    </row>
    <row r="20" spans="1:6" x14ac:dyDescent="0.25">
      <c r="A20" s="32" t="s">
        <v>110</v>
      </c>
      <c r="B20" s="8">
        <f>(48*1+50*2+49*3+47*2+55*18)/26/100</f>
        <v>0.53038461538461545</v>
      </c>
      <c r="C20" s="4" t="s">
        <v>81</v>
      </c>
      <c r="D20" s="67" t="s">
        <v>211</v>
      </c>
    </row>
    <row r="21" spans="1:6" x14ac:dyDescent="0.25">
      <c r="A21" s="32" t="s">
        <v>177</v>
      </c>
      <c r="B21" s="8">
        <f>(3*1+5*2+4*2+5*15)/20/100</f>
        <v>4.8000000000000001E-2</v>
      </c>
      <c r="D21" s="35"/>
    </row>
    <row r="22" spans="1:6" x14ac:dyDescent="0.25">
      <c r="A22" s="32" t="s">
        <v>178</v>
      </c>
      <c r="B22" s="8">
        <f>(20*1+27*2+30*1+33*2+28*15)/21/100</f>
        <v>0.28095238095238095</v>
      </c>
      <c r="D22" s="35"/>
      <c r="F22" s="49"/>
    </row>
    <row r="23" spans="1:6" x14ac:dyDescent="0.25">
      <c r="A23" s="32" t="s">
        <v>180</v>
      </c>
      <c r="B23" s="8">
        <v>0.10100000000000001</v>
      </c>
      <c r="D23" s="35"/>
      <c r="F23" s="49"/>
    </row>
    <row r="24" spans="1:6" x14ac:dyDescent="0.25">
      <c r="A24" s="32" t="s">
        <v>179</v>
      </c>
      <c r="B24" s="8">
        <f>1-SUM(B20:B23)</f>
        <v>3.9663003663003571E-2</v>
      </c>
      <c r="D24" s="35"/>
      <c r="F24" s="49"/>
    </row>
    <row r="25" spans="1:6" x14ac:dyDescent="0.25">
      <c r="A25" s="32" t="s">
        <v>181</v>
      </c>
      <c r="B25" s="8">
        <v>7.0000000000000007E-2</v>
      </c>
      <c r="D25" s="35"/>
    </row>
    <row r="26" spans="1:6" ht="15.6" x14ac:dyDescent="0.35">
      <c r="A26" s="33" t="s">
        <v>193</v>
      </c>
      <c r="B26" s="36">
        <f>B20</f>
        <v>0.53038461538461545</v>
      </c>
      <c r="C26" s="3"/>
      <c r="D26" s="37"/>
    </row>
    <row r="27" spans="1:6" x14ac:dyDescent="0.25">
      <c r="A27" s="31" t="s">
        <v>896</v>
      </c>
      <c r="B27" s="34"/>
      <c r="C27" s="38" t="s">
        <v>212</v>
      </c>
      <c r="D27" s="39" t="s">
        <v>214</v>
      </c>
    </row>
    <row r="28" spans="1:6" x14ac:dyDescent="0.25">
      <c r="A28" s="32" t="s">
        <v>219</v>
      </c>
      <c r="B28" s="8">
        <f>(55*1+58*3+47*5+53*2+52*17)/28/100</f>
        <v>0.51928571428571435</v>
      </c>
      <c r="C28" s="4" t="s">
        <v>81</v>
      </c>
      <c r="D28" s="67" t="s">
        <v>211</v>
      </c>
    </row>
    <row r="29" spans="1:6" x14ac:dyDescent="0.25">
      <c r="A29" s="32" t="s">
        <v>177</v>
      </c>
      <c r="B29" s="8">
        <f>(7*1+6*3+3*2+5*10)/16/100</f>
        <v>5.0625000000000003E-2</v>
      </c>
      <c r="D29" s="35"/>
    </row>
    <row r="30" spans="1:6" x14ac:dyDescent="0.25">
      <c r="A30" s="32" t="s">
        <v>178</v>
      </c>
      <c r="B30" s="8">
        <f>(21*1+24*2+44*1+32*2+28*10)/16/100</f>
        <v>0.28562500000000002</v>
      </c>
      <c r="D30" s="35"/>
    </row>
    <row r="31" spans="1:6" x14ac:dyDescent="0.25">
      <c r="A31" s="32" t="s">
        <v>180</v>
      </c>
      <c r="B31" s="8">
        <v>0.104</v>
      </c>
      <c r="D31" s="35"/>
    </row>
    <row r="32" spans="1:6" x14ac:dyDescent="0.25">
      <c r="A32" s="32" t="s">
        <v>179</v>
      </c>
      <c r="B32" s="8">
        <f>1-SUM(B28:B31)</f>
        <v>4.0464285714285619E-2</v>
      </c>
      <c r="D32" s="35"/>
    </row>
    <row r="33" spans="1:4" x14ac:dyDescent="0.25">
      <c r="A33" s="32" t="s">
        <v>181</v>
      </c>
      <c r="B33" s="8">
        <v>7.0000000000000007E-2</v>
      </c>
      <c r="D33" s="35"/>
    </row>
    <row r="34" spans="1:4" ht="15.6" x14ac:dyDescent="0.35">
      <c r="A34" s="33" t="s">
        <v>194</v>
      </c>
      <c r="B34" s="36">
        <f>B28</f>
        <v>0.51928571428571435</v>
      </c>
      <c r="C34" s="3"/>
      <c r="D34" s="37"/>
    </row>
    <row r="35" spans="1:4" x14ac:dyDescent="0.25">
      <c r="A35" s="31" t="s">
        <v>418</v>
      </c>
      <c r="B35" s="34"/>
      <c r="C35" s="38" t="s">
        <v>212</v>
      </c>
      <c r="D35" s="39" t="s">
        <v>214</v>
      </c>
    </row>
    <row r="36" spans="1:4" x14ac:dyDescent="0.25">
      <c r="A36" s="32" t="s">
        <v>182</v>
      </c>
      <c r="B36" s="8">
        <v>0.53</v>
      </c>
      <c r="C36" s="2" t="s">
        <v>213</v>
      </c>
      <c r="D36" s="67" t="s">
        <v>211</v>
      </c>
    </row>
    <row r="37" spans="1:4" x14ac:dyDescent="0.25">
      <c r="A37" s="32" t="s">
        <v>177</v>
      </c>
      <c r="B37" s="8">
        <v>0.04</v>
      </c>
      <c r="D37" s="35"/>
    </row>
    <row r="38" spans="1:4" x14ac:dyDescent="0.25">
      <c r="A38" s="32" t="s">
        <v>178</v>
      </c>
      <c r="B38" s="8">
        <v>0.37</v>
      </c>
      <c r="D38" s="35"/>
    </row>
    <row r="39" spans="1:4" x14ac:dyDescent="0.25">
      <c r="A39" s="32" t="s">
        <v>180</v>
      </c>
      <c r="B39" s="8">
        <v>0.03</v>
      </c>
      <c r="D39" s="35"/>
    </row>
    <row r="40" spans="1:4" x14ac:dyDescent="0.25">
      <c r="A40" s="32" t="s">
        <v>179</v>
      </c>
      <c r="B40" s="8">
        <f>1-SUM(B36:B39)</f>
        <v>2.9999999999999916E-2</v>
      </c>
      <c r="D40" s="35"/>
    </row>
    <row r="41" spans="1:4" x14ac:dyDescent="0.25">
      <c r="A41" s="32" t="s">
        <v>181</v>
      </c>
      <c r="B41" s="8">
        <v>7.0000000000000007E-2</v>
      </c>
      <c r="D41" s="35"/>
    </row>
    <row r="42" spans="1:4" ht="15.6" x14ac:dyDescent="0.35">
      <c r="A42" s="33" t="s">
        <v>194</v>
      </c>
      <c r="B42" s="36">
        <f>B36</f>
        <v>0.53</v>
      </c>
      <c r="C42" s="3"/>
      <c r="D42" s="37"/>
    </row>
    <row r="43" spans="1:4" s="30" customFormat="1" x14ac:dyDescent="0.25">
      <c r="A43" s="31" t="s">
        <v>419</v>
      </c>
      <c r="B43" s="40"/>
      <c r="C43" s="38" t="s">
        <v>212</v>
      </c>
      <c r="D43" s="39" t="s">
        <v>214</v>
      </c>
    </row>
    <row r="44" spans="1:4" x14ac:dyDescent="0.25">
      <c r="A44" s="32" t="s">
        <v>103</v>
      </c>
      <c r="B44" s="8">
        <v>0.67</v>
      </c>
      <c r="C44" s="4" t="s">
        <v>341</v>
      </c>
      <c r="D44" s="67" t="s">
        <v>211</v>
      </c>
    </row>
    <row r="45" spans="1:4" x14ac:dyDescent="0.25">
      <c r="A45" s="32" t="s">
        <v>184</v>
      </c>
      <c r="B45" s="8">
        <v>0.33</v>
      </c>
      <c r="D45" s="35"/>
    </row>
    <row r="46" spans="1:4" x14ac:dyDescent="0.25">
      <c r="A46" s="32" t="s">
        <v>179</v>
      </c>
      <c r="B46" s="8">
        <f>1-SUM(B44:B45)</f>
        <v>0</v>
      </c>
      <c r="D46" s="35"/>
    </row>
    <row r="47" spans="1:4" x14ac:dyDescent="0.25">
      <c r="A47" s="32" t="s">
        <v>181</v>
      </c>
      <c r="B47" s="8">
        <v>0</v>
      </c>
      <c r="D47" s="35"/>
    </row>
    <row r="48" spans="1:4" ht="15.6" x14ac:dyDescent="0.35">
      <c r="A48" s="33" t="s">
        <v>195</v>
      </c>
      <c r="B48" s="36">
        <f>+B44+B45</f>
        <v>1</v>
      </c>
      <c r="C48" s="3"/>
      <c r="D48" s="37"/>
    </row>
    <row r="49" spans="1:4" s="30" customFormat="1" x14ac:dyDescent="0.25">
      <c r="A49" s="31" t="s">
        <v>420</v>
      </c>
      <c r="B49" s="40"/>
      <c r="C49" s="38" t="s">
        <v>212</v>
      </c>
      <c r="D49" s="39" t="s">
        <v>214</v>
      </c>
    </row>
    <row r="50" spans="1:4" x14ac:dyDescent="0.25">
      <c r="A50" s="32" t="s">
        <v>183</v>
      </c>
      <c r="B50" s="8">
        <v>0.6</v>
      </c>
      <c r="C50" s="4" t="s">
        <v>341</v>
      </c>
      <c r="D50" s="67" t="s">
        <v>211</v>
      </c>
    </row>
    <row r="51" spans="1:4" x14ac:dyDescent="0.25">
      <c r="A51" s="32" t="s">
        <v>184</v>
      </c>
      <c r="B51" s="8">
        <v>0.38700000000000001</v>
      </c>
      <c r="D51" s="35"/>
    </row>
    <row r="52" spans="1:4" x14ac:dyDescent="0.25">
      <c r="A52" s="32" t="s">
        <v>180</v>
      </c>
      <c r="B52" s="8">
        <v>0.01</v>
      </c>
      <c r="D52" s="35"/>
    </row>
    <row r="53" spans="1:4" x14ac:dyDescent="0.25">
      <c r="A53" s="32" t="s">
        <v>179</v>
      </c>
      <c r="B53" s="8">
        <f>1-SUM(B50:B52)</f>
        <v>3.0000000000000027E-3</v>
      </c>
      <c r="D53" s="35"/>
    </row>
    <row r="54" spans="1:4" x14ac:dyDescent="0.25">
      <c r="A54" s="32" t="s">
        <v>181</v>
      </c>
      <c r="B54" s="8">
        <v>0</v>
      </c>
      <c r="D54" s="35"/>
    </row>
    <row r="55" spans="1:4" ht="15.6" x14ac:dyDescent="0.35">
      <c r="A55" s="33" t="s">
        <v>196</v>
      </c>
      <c r="B55" s="36">
        <f>B50+B51</f>
        <v>0.98699999999999999</v>
      </c>
      <c r="C55" s="3"/>
      <c r="D55" s="37"/>
    </row>
    <row r="56" spans="1:4" s="30" customFormat="1" x14ac:dyDescent="0.25">
      <c r="A56" s="31" t="s">
        <v>421</v>
      </c>
      <c r="B56" s="40"/>
      <c r="C56" s="38" t="s">
        <v>212</v>
      </c>
      <c r="D56" s="39" t="s">
        <v>214</v>
      </c>
    </row>
    <row r="57" spans="1:4" x14ac:dyDescent="0.25">
      <c r="A57" s="32" t="s">
        <v>189</v>
      </c>
      <c r="B57" s="8">
        <v>0.55000000000000004</v>
      </c>
      <c r="C57" s="4" t="s">
        <v>341</v>
      </c>
      <c r="D57" s="67" t="s">
        <v>211</v>
      </c>
    </row>
    <row r="58" spans="1:4" x14ac:dyDescent="0.25">
      <c r="A58" s="32" t="s">
        <v>184</v>
      </c>
      <c r="B58" s="8">
        <v>0.45</v>
      </c>
      <c r="D58" s="35"/>
    </row>
    <row r="59" spans="1:4" x14ac:dyDescent="0.25">
      <c r="A59" s="32" t="s">
        <v>179</v>
      </c>
      <c r="B59" s="8">
        <f>1-SUM(B57:B58)</f>
        <v>0</v>
      </c>
      <c r="D59" s="35"/>
    </row>
    <row r="60" spans="1:4" ht="15.6" x14ac:dyDescent="0.35">
      <c r="A60" s="33" t="s">
        <v>197</v>
      </c>
      <c r="B60" s="36">
        <f>B57+B58</f>
        <v>1</v>
      </c>
      <c r="C60" s="3"/>
      <c r="D60" s="37"/>
    </row>
    <row r="61" spans="1:4" s="30" customFormat="1" x14ac:dyDescent="0.25">
      <c r="A61" s="31" t="s">
        <v>422</v>
      </c>
      <c r="B61" s="40"/>
      <c r="C61" s="38" t="s">
        <v>212</v>
      </c>
      <c r="D61" s="39" t="s">
        <v>214</v>
      </c>
    </row>
    <row r="62" spans="1:4" x14ac:dyDescent="0.25">
      <c r="A62" s="32" t="s">
        <v>185</v>
      </c>
      <c r="B62" s="8">
        <v>0.93</v>
      </c>
      <c r="C62" s="4" t="s">
        <v>221</v>
      </c>
      <c r="D62" s="68" t="s">
        <v>222</v>
      </c>
    </row>
    <row r="63" spans="1:4" x14ac:dyDescent="0.25">
      <c r="A63" s="32" t="s">
        <v>179</v>
      </c>
      <c r="B63" s="8">
        <f>1-B62</f>
        <v>6.9999999999999951E-2</v>
      </c>
      <c r="D63" s="35"/>
    </row>
    <row r="64" spans="1:4" ht="15.6" x14ac:dyDescent="0.35">
      <c r="A64" s="33" t="s">
        <v>198</v>
      </c>
      <c r="B64" s="36">
        <f>B62</f>
        <v>0.93</v>
      </c>
      <c r="C64" s="3"/>
      <c r="D64" s="37"/>
    </row>
    <row r="65" spans="1:4" s="30" customFormat="1" x14ac:dyDescent="0.25">
      <c r="A65" s="31" t="s">
        <v>423</v>
      </c>
      <c r="B65" s="40"/>
      <c r="C65" s="38" t="s">
        <v>212</v>
      </c>
      <c r="D65" s="39" t="s">
        <v>214</v>
      </c>
    </row>
    <row r="66" spans="1:4" x14ac:dyDescent="0.25">
      <c r="A66" s="32" t="s">
        <v>186</v>
      </c>
      <c r="B66" s="8">
        <v>0.48</v>
      </c>
      <c r="C66" s="4" t="s">
        <v>221</v>
      </c>
      <c r="D66" s="68" t="s">
        <v>222</v>
      </c>
    </row>
    <row r="67" spans="1:4" x14ac:dyDescent="0.25">
      <c r="A67" s="32" t="s">
        <v>179</v>
      </c>
      <c r="B67" s="8">
        <f>1-B66</f>
        <v>0.52</v>
      </c>
      <c r="D67" s="35"/>
    </row>
    <row r="68" spans="1:4" ht="15.6" x14ac:dyDescent="0.35">
      <c r="A68" s="33" t="s">
        <v>199</v>
      </c>
      <c r="B68" s="36">
        <f>B66</f>
        <v>0.48</v>
      </c>
      <c r="C68" s="3"/>
      <c r="D68" s="37"/>
    </row>
    <row r="69" spans="1:4" s="30" customFormat="1" x14ac:dyDescent="0.25">
      <c r="A69" s="31" t="s">
        <v>424</v>
      </c>
      <c r="B69" s="40"/>
      <c r="C69" s="38" t="s">
        <v>212</v>
      </c>
      <c r="D69" s="39" t="s">
        <v>214</v>
      </c>
    </row>
    <row r="70" spans="1:4" x14ac:dyDescent="0.25">
      <c r="A70" s="32" t="s">
        <v>187</v>
      </c>
      <c r="B70" s="8">
        <v>0.35</v>
      </c>
      <c r="C70" s="4" t="s">
        <v>221</v>
      </c>
      <c r="D70" s="68" t="s">
        <v>222</v>
      </c>
    </row>
    <row r="71" spans="1:4" x14ac:dyDescent="0.25">
      <c r="A71" s="32" t="s">
        <v>179</v>
      </c>
      <c r="B71" s="8">
        <f>1-B70</f>
        <v>0.65</v>
      </c>
      <c r="D71" s="35"/>
    </row>
    <row r="72" spans="1:4" ht="15.6" x14ac:dyDescent="0.35">
      <c r="A72" s="33" t="s">
        <v>200</v>
      </c>
      <c r="B72" s="36">
        <f>B70</f>
        <v>0.35</v>
      </c>
      <c r="C72" s="3"/>
      <c r="D72" s="37"/>
    </row>
    <row r="73" spans="1:4" s="30" customFormat="1" x14ac:dyDescent="0.25">
      <c r="A73" s="31" t="s">
        <v>425</v>
      </c>
      <c r="B73" s="40"/>
      <c r="C73" s="38" t="s">
        <v>212</v>
      </c>
      <c r="D73" s="39" t="s">
        <v>214</v>
      </c>
    </row>
    <row r="74" spans="1:4" x14ac:dyDescent="0.25">
      <c r="A74" s="32" t="s">
        <v>188</v>
      </c>
      <c r="B74" s="8">
        <v>0.81</v>
      </c>
      <c r="C74" s="2" t="s">
        <v>213</v>
      </c>
      <c r="D74" s="67" t="s">
        <v>211</v>
      </c>
    </row>
    <row r="75" spans="1:4" x14ac:dyDescent="0.25">
      <c r="A75" s="32" t="s">
        <v>179</v>
      </c>
      <c r="B75" s="8">
        <f>1-B74</f>
        <v>0.18999999999999995</v>
      </c>
      <c r="D75" s="35"/>
    </row>
    <row r="76" spans="1:4" ht="15.6" x14ac:dyDescent="0.35">
      <c r="A76" s="33" t="s">
        <v>201</v>
      </c>
      <c r="B76" s="36">
        <f>B74</f>
        <v>0.81</v>
      </c>
      <c r="C76" s="3"/>
      <c r="D76" s="37"/>
    </row>
    <row r="77" spans="1:4" s="30" customFormat="1" x14ac:dyDescent="0.25">
      <c r="A77" s="31" t="s">
        <v>426</v>
      </c>
      <c r="B77" s="40"/>
      <c r="C77" s="38" t="s">
        <v>212</v>
      </c>
      <c r="D77" s="39" t="s">
        <v>214</v>
      </c>
    </row>
    <row r="78" spans="1:4" x14ac:dyDescent="0.25">
      <c r="A78" s="32" t="s">
        <v>190</v>
      </c>
      <c r="B78" s="8">
        <v>0.95</v>
      </c>
      <c r="C78" s="4" t="s">
        <v>221</v>
      </c>
      <c r="D78" s="68" t="s">
        <v>222</v>
      </c>
    </row>
    <row r="79" spans="1:4" x14ac:dyDescent="0.25">
      <c r="A79" s="32" t="s">
        <v>191</v>
      </c>
      <c r="B79" s="8">
        <f>1-B78</f>
        <v>5.0000000000000044E-2</v>
      </c>
      <c r="D79" s="35"/>
    </row>
    <row r="80" spans="1:4" ht="15.6" x14ac:dyDescent="0.35">
      <c r="A80" s="33" t="s">
        <v>202</v>
      </c>
      <c r="B80" s="36">
        <f>B78</f>
        <v>0.95</v>
      </c>
      <c r="C80" s="3"/>
      <c r="D80" s="37"/>
    </row>
    <row r="81" spans="1:4" s="30" customFormat="1" x14ac:dyDescent="0.25">
      <c r="A81" s="31" t="s">
        <v>427</v>
      </c>
      <c r="B81" s="40"/>
      <c r="C81" s="38" t="s">
        <v>212</v>
      </c>
      <c r="D81" s="39" t="s">
        <v>214</v>
      </c>
    </row>
    <row r="82" spans="1:4" x14ac:dyDescent="0.25">
      <c r="A82" s="32" t="s">
        <v>220</v>
      </c>
      <c r="B82" s="8">
        <f>'production-mass-balance'!B114</f>
        <v>0.90963032845899849</v>
      </c>
      <c r="C82" s="177" t="s">
        <v>230</v>
      </c>
      <c r="D82" s="68" t="s">
        <v>223</v>
      </c>
    </row>
    <row r="83" spans="1:4" x14ac:dyDescent="0.25">
      <c r="A83" s="32" t="s">
        <v>178</v>
      </c>
      <c r="B83" s="8">
        <v>0</v>
      </c>
      <c r="C83" s="177"/>
      <c r="D83" s="68"/>
    </row>
    <row r="84" spans="1:4" x14ac:dyDescent="0.25">
      <c r="A84" s="32" t="s">
        <v>180</v>
      </c>
      <c r="B84" s="8">
        <f>'production-mass-balance'!B112</f>
        <v>1.8206344083351955E-3</v>
      </c>
      <c r="C84" s="177"/>
      <c r="D84" s="68"/>
    </row>
    <row r="85" spans="1:4" x14ac:dyDescent="0.25">
      <c r="A85" s="32" t="s">
        <v>179</v>
      </c>
      <c r="B85" s="8">
        <f>'production-mass-balance'!B113</f>
        <v>8.8549037132666319E-2</v>
      </c>
      <c r="C85" s="177"/>
      <c r="D85" s="35"/>
    </row>
    <row r="86" spans="1:4" ht="15.6" x14ac:dyDescent="0.25">
      <c r="A86" s="45" t="s">
        <v>203</v>
      </c>
      <c r="B86" s="46">
        <f>B82</f>
        <v>0.90963032845899849</v>
      </c>
      <c r="C86" s="178"/>
      <c r="D86" s="37"/>
    </row>
    <row r="87" spans="1:4" x14ac:dyDescent="0.25">
      <c r="A87" s="50"/>
      <c r="B87" s="75"/>
      <c r="C87" s="73"/>
    </row>
    <row r="88" spans="1:4" x14ac:dyDescent="0.25">
      <c r="A88" s="30" t="s">
        <v>409</v>
      </c>
    </row>
    <row r="89" spans="1:4" x14ac:dyDescent="0.25">
      <c r="A89" s="31" t="s">
        <v>414</v>
      </c>
      <c r="B89" s="55"/>
      <c r="C89" s="62" t="s">
        <v>212</v>
      </c>
      <c r="D89" s="59" t="s">
        <v>214</v>
      </c>
    </row>
    <row r="90" spans="1:4" ht="39.6" x14ac:dyDescent="0.25">
      <c r="A90" s="56" t="s">
        <v>241</v>
      </c>
      <c r="B90" s="53">
        <v>6</v>
      </c>
      <c r="C90" s="61" t="s">
        <v>81</v>
      </c>
      <c r="D90" s="24" t="s">
        <v>211</v>
      </c>
    </row>
    <row r="91" spans="1:4" x14ac:dyDescent="0.25">
      <c r="A91" s="32" t="s">
        <v>242</v>
      </c>
      <c r="B91" s="54">
        <f>('conversion-factors'!B4+'conversion-factors'!B5)/2</f>
        <v>550.68943688730496</v>
      </c>
      <c r="C91" s="61" t="s">
        <v>893</v>
      </c>
      <c r="D91" s="65"/>
    </row>
    <row r="92" spans="1:4" ht="26.4" x14ac:dyDescent="0.25">
      <c r="A92" s="56" t="s">
        <v>244</v>
      </c>
      <c r="B92" s="54">
        <f>B90*B91/1000</f>
        <v>3.3041366213238299</v>
      </c>
      <c r="C92" s="61" t="s">
        <v>894</v>
      </c>
      <c r="D92" s="65"/>
    </row>
    <row r="93" spans="1:4" ht="15.6" x14ac:dyDescent="0.35">
      <c r="A93" s="33" t="s">
        <v>218</v>
      </c>
      <c r="B93" s="58">
        <f>1/B92</f>
        <v>0.30265092355634543</v>
      </c>
      <c r="C93" s="63"/>
      <c r="D93" s="60"/>
    </row>
    <row r="94" spans="1:4" x14ac:dyDescent="0.25">
      <c r="A94" s="66" t="s">
        <v>415</v>
      </c>
      <c r="B94" s="57"/>
      <c r="C94" s="64"/>
      <c r="D94" s="52"/>
    </row>
    <row r="95" spans="1:4" ht="26.4" x14ac:dyDescent="0.25">
      <c r="A95" s="56" t="s">
        <v>254</v>
      </c>
      <c r="B95" s="54">
        <v>2.2000000000000002</v>
      </c>
      <c r="C95" s="61" t="s">
        <v>81</v>
      </c>
      <c r="D95" s="24" t="s">
        <v>211</v>
      </c>
    </row>
    <row r="96" spans="1:4" x14ac:dyDescent="0.25">
      <c r="A96" s="56" t="s">
        <v>255</v>
      </c>
      <c r="B96" s="54">
        <f>'conversion-factors'!B22</f>
        <v>7.8249238670263122E-2</v>
      </c>
      <c r="C96" s="61"/>
      <c r="D96" s="65"/>
    </row>
    <row r="97" spans="1:4" x14ac:dyDescent="0.25">
      <c r="A97" s="20" t="s">
        <v>257</v>
      </c>
      <c r="B97" s="54">
        <f>('conversion-factors'!B10+'conversion-factors'!B11)/2</f>
        <v>462.46742286904203</v>
      </c>
      <c r="C97" s="61" t="s">
        <v>895</v>
      </c>
      <c r="D97" s="65"/>
    </row>
    <row r="98" spans="1:4" ht="26.4" x14ac:dyDescent="0.25">
      <c r="A98" s="56" t="s">
        <v>256</v>
      </c>
      <c r="B98" s="54">
        <f>B95*B97/1000</f>
        <v>1.0174283303118925</v>
      </c>
      <c r="C98" s="61"/>
      <c r="D98" s="65"/>
    </row>
    <row r="99" spans="1:4" x14ac:dyDescent="0.25">
      <c r="A99" s="32" t="s">
        <v>250</v>
      </c>
      <c r="B99" s="54">
        <f>1*(1-B96)</f>
        <v>0.92175076132973688</v>
      </c>
      <c r="C99" s="61"/>
      <c r="D99" s="65"/>
    </row>
    <row r="100" spans="1:4" ht="15.6" x14ac:dyDescent="0.35">
      <c r="A100" s="33" t="s">
        <v>253</v>
      </c>
      <c r="B100" s="58">
        <f>B99/B98</f>
        <v>0.90596136736940902</v>
      </c>
      <c r="C100" s="63"/>
      <c r="D100" s="60"/>
    </row>
    <row r="101" spans="1:4" x14ac:dyDescent="0.25">
      <c r="A101" s="66" t="s">
        <v>416</v>
      </c>
      <c r="B101" s="57"/>
      <c r="C101" s="64"/>
      <c r="D101" s="52"/>
    </row>
    <row r="102" spans="1:4" s="51" customFormat="1" ht="26.4" x14ac:dyDescent="0.3">
      <c r="A102" s="86" t="s">
        <v>340</v>
      </c>
      <c r="B102" s="54">
        <v>1.32</v>
      </c>
      <c r="C102" s="2" t="s">
        <v>81</v>
      </c>
      <c r="D102" s="24" t="s">
        <v>211</v>
      </c>
    </row>
    <row r="103" spans="1:4" ht="15.6" x14ac:dyDescent="0.35">
      <c r="A103" s="33" t="s">
        <v>193</v>
      </c>
      <c r="B103" s="58">
        <f>1/B102</f>
        <v>0.75757575757575757</v>
      </c>
      <c r="C103" s="63"/>
      <c r="D103" s="60"/>
    </row>
    <row r="104" spans="1:4" x14ac:dyDescent="0.25">
      <c r="A104" s="66" t="s">
        <v>427</v>
      </c>
      <c r="B104" s="51"/>
      <c r="C104" s="61"/>
      <c r="D104" s="65"/>
    </row>
    <row r="105" spans="1:4" ht="14.4" x14ac:dyDescent="0.3">
      <c r="A105" s="32" t="s">
        <v>246</v>
      </c>
      <c r="B105" s="54">
        <v>621</v>
      </c>
      <c r="C105" s="61" t="s">
        <v>248</v>
      </c>
      <c r="D105" s="41" t="s">
        <v>223</v>
      </c>
    </row>
    <row r="106" spans="1:4" x14ac:dyDescent="0.25">
      <c r="A106" s="32" t="s">
        <v>105</v>
      </c>
      <c r="B106" s="54">
        <v>0.88500000000000001</v>
      </c>
      <c r="C106" s="61" t="s">
        <v>248</v>
      </c>
      <c r="D106" s="65"/>
    </row>
    <row r="107" spans="1:4" x14ac:dyDescent="0.25">
      <c r="A107" s="32" t="s">
        <v>245</v>
      </c>
      <c r="B107" s="54">
        <v>1.1000000000000001</v>
      </c>
      <c r="C107" s="61" t="s">
        <v>249</v>
      </c>
      <c r="D107" s="65"/>
    </row>
    <row r="108" spans="1:4" x14ac:dyDescent="0.25">
      <c r="A108" s="32" t="s">
        <v>247</v>
      </c>
      <c r="B108" s="54">
        <v>53.5</v>
      </c>
      <c r="C108" s="61" t="s">
        <v>249</v>
      </c>
      <c r="D108" s="65"/>
    </row>
    <row r="109" spans="1:4" x14ac:dyDescent="0.25">
      <c r="A109" s="32" t="s">
        <v>243</v>
      </c>
      <c r="B109" s="54"/>
      <c r="C109" s="61"/>
      <c r="D109" s="65"/>
    </row>
    <row r="110" spans="1:4" x14ac:dyDescent="0.25">
      <c r="A110" s="32" t="s">
        <v>250</v>
      </c>
      <c r="B110" s="54">
        <f>B105*B106/1000</f>
        <v>0.54958499999999999</v>
      </c>
      <c r="C110" s="61"/>
      <c r="D110" s="65"/>
    </row>
    <row r="111" spans="1:4" x14ac:dyDescent="0.25">
      <c r="A111" s="32" t="s">
        <v>251</v>
      </c>
      <c r="B111" s="54">
        <f>B110+B107/1000+B108/1000</f>
        <v>0.60418499999999997</v>
      </c>
      <c r="C111" s="61"/>
      <c r="D111" s="65"/>
    </row>
    <row r="112" spans="1:4" x14ac:dyDescent="0.25">
      <c r="A112" s="32" t="s">
        <v>401</v>
      </c>
      <c r="B112" s="54">
        <f>(B107/1000)/B111</f>
        <v>1.8206344083351955E-3</v>
      </c>
      <c r="C112" s="61"/>
      <c r="D112" s="65"/>
    </row>
    <row r="113" spans="1:4" x14ac:dyDescent="0.25">
      <c r="A113" s="32" t="s">
        <v>402</v>
      </c>
      <c r="B113" s="54">
        <f>B108/1000/B111</f>
        <v>8.8549037132666319E-2</v>
      </c>
      <c r="C113" s="61"/>
      <c r="D113" s="65"/>
    </row>
    <row r="114" spans="1:4" ht="15.6" x14ac:dyDescent="0.25">
      <c r="A114" s="45" t="s">
        <v>203</v>
      </c>
      <c r="B114" s="58">
        <f>(B110)/B111</f>
        <v>0.90963032845899849</v>
      </c>
      <c r="C114" s="63"/>
      <c r="D114" s="60"/>
    </row>
  </sheetData>
  <mergeCells count="1">
    <mergeCell ref="C82:C86"/>
  </mergeCells>
  <hyperlinks>
    <hyperlink ref="D12" r:id="rId1" xr:uid="{D9B3CC70-CE0D-48DC-9D44-B1AE6AFD210B}"/>
    <hyperlink ref="D20" r:id="rId2" xr:uid="{446FA419-D80F-4969-8116-86CCF794F3A6}"/>
    <hyperlink ref="D28" r:id="rId3" xr:uid="{79B2F017-D3C3-44DE-B337-A7EC5C900E94}"/>
    <hyperlink ref="D36" r:id="rId4" xr:uid="{58172266-B501-4693-9103-7C42DDA05294}"/>
    <hyperlink ref="D44" r:id="rId5" xr:uid="{C91A78CB-646E-44A0-A980-EDF10BBCD071}"/>
    <hyperlink ref="D50" r:id="rId6" xr:uid="{5A902EC2-1586-4D7C-9498-EBE137531DA5}"/>
    <hyperlink ref="D57" r:id="rId7" xr:uid="{FDA77A25-DCC5-4FE5-8BDA-3CAC6688CF8D}"/>
    <hyperlink ref="D62" r:id="rId8" xr:uid="{025453C4-BA0D-4161-9147-8FCD26B3BF11}"/>
    <hyperlink ref="D66" r:id="rId9" xr:uid="{FF8C4E17-802F-4D7E-82CA-1022B170C4DC}"/>
    <hyperlink ref="D70" r:id="rId10" xr:uid="{67A4BCFD-4BBA-444D-A3B0-8725FFF6C60F}"/>
    <hyperlink ref="D78" r:id="rId11" xr:uid="{250D76E1-BF0D-41C6-B9EA-4425BCC6EC33}"/>
    <hyperlink ref="D82" r:id="rId12" xr:uid="{63FF2FAC-CF69-49DA-B916-7189BD4FA28F}"/>
    <hyperlink ref="D74" r:id="rId13" xr:uid="{6CF1D447-3A15-400D-8EA2-8E3B7B6421DC}"/>
    <hyperlink ref="D90" r:id="rId14" xr:uid="{958AEE25-C06D-43FC-AAB5-842A555D0DC6}"/>
    <hyperlink ref="D105" r:id="rId15" xr:uid="{D1B33D40-7D07-47A0-86C8-96F6694F5FAC}"/>
    <hyperlink ref="D95" r:id="rId16" xr:uid="{75A10A76-9249-49E7-86E2-4F1E8B00F2B2}"/>
    <hyperlink ref="D102" r:id="rId17" xr:uid="{09557D93-0D6C-4449-BEA4-5E74954C5958}"/>
    <hyperlink ref="D4" r:id="rId18" xr:uid="{8C3BD755-6B0E-46F7-B3CD-6E2D042F8F8D}"/>
  </hyperlinks>
  <pageMargins left="0.7" right="0.7" top="0.75" bottom="0.75" header="0.3" footer="0.3"/>
  <pageSetup orientation="portrait" horizontalDpi="1200" verticalDpi="120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FE2-289D-4BFC-93EE-7183C17C78DB}">
  <sheetPr codeName="Sheet15"/>
  <dimension ref="A1:N273"/>
  <sheetViews>
    <sheetView zoomScale="70" zoomScaleNormal="70" workbookViewId="0"/>
  </sheetViews>
  <sheetFormatPr defaultRowHeight="14.4" x14ac:dyDescent="0.3"/>
  <cols>
    <col min="1" max="1" width="11.88671875" customWidth="1"/>
    <col min="2" max="2" width="14.88671875" bestFit="1" customWidth="1"/>
    <col min="3" max="3" width="12.6640625" customWidth="1"/>
    <col min="4" max="9" width="12.6640625" style="13" customWidth="1"/>
    <col min="10" max="10" width="9.88671875" style="13" bestFit="1" customWidth="1"/>
    <col min="11" max="13" width="8.88671875" style="13"/>
    <col min="14" max="14" width="76.77734375" bestFit="1" customWidth="1"/>
  </cols>
  <sheetData>
    <row r="1" spans="1:14" x14ac:dyDescent="0.3">
      <c r="A1" s="30" t="s">
        <v>393</v>
      </c>
      <c r="B1" s="30" t="s">
        <v>395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30" t="s">
        <v>859</v>
      </c>
      <c r="B2" s="30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">
      <c r="A3" s="134" t="s">
        <v>897</v>
      </c>
      <c r="B3" s="135"/>
      <c r="C3" s="134" t="s">
        <v>898</v>
      </c>
      <c r="D3" s="136"/>
      <c r="E3" s="136"/>
      <c r="F3" s="136"/>
      <c r="G3" s="136"/>
      <c r="H3" s="136"/>
      <c r="I3" s="136"/>
      <c r="J3" s="136"/>
      <c r="K3" s="136"/>
      <c r="L3" s="102"/>
      <c r="M3" s="102"/>
      <c r="N3" s="137" t="s">
        <v>212</v>
      </c>
    </row>
    <row r="4" spans="1:14" ht="26.4" x14ac:dyDescent="0.3">
      <c r="A4" s="94" t="s">
        <v>461</v>
      </c>
      <c r="B4" s="94"/>
      <c r="C4" s="109" t="s">
        <v>461</v>
      </c>
      <c r="D4" s="110" t="s">
        <v>375</v>
      </c>
      <c r="E4" s="110" t="s">
        <v>376</v>
      </c>
      <c r="F4" s="110" t="s">
        <v>443</v>
      </c>
      <c r="G4" s="110" t="s">
        <v>377</v>
      </c>
      <c r="H4" s="110" t="s">
        <v>444</v>
      </c>
      <c r="I4" s="110" t="s">
        <v>435</v>
      </c>
      <c r="J4" s="110" t="s">
        <v>378</v>
      </c>
      <c r="K4" s="110" t="s">
        <v>445</v>
      </c>
      <c r="L4" s="95" t="s">
        <v>388</v>
      </c>
      <c r="M4" s="119" t="s">
        <v>721</v>
      </c>
      <c r="N4" s="138" t="s">
        <v>899</v>
      </c>
    </row>
    <row r="5" spans="1:14" x14ac:dyDescent="0.3">
      <c r="A5" s="7" t="s">
        <v>395</v>
      </c>
      <c r="B5" s="111">
        <v>211373256.52754176</v>
      </c>
      <c r="C5" s="109" t="s">
        <v>395</v>
      </c>
      <c r="D5" s="112">
        <f t="shared" ref="D5:L5" si="0">($B$6*D6+$B$7*D7+$B$8*D8+$B$9*D9+$B$10*D10+$B$11*D11+$B$12*D12+$B$13*D13+$B$14*D14+$B$15*D15+$B$16*D16+$B$17*D17)/$B$5</f>
        <v>3.3859371918766071E-5</v>
      </c>
      <c r="E5" s="112">
        <f t="shared" si="0"/>
        <v>5.3511781257633645E-2</v>
      </c>
      <c r="F5" s="112">
        <f t="shared" si="0"/>
        <v>2.0129352553229469E-2</v>
      </c>
      <c r="G5" s="112">
        <f t="shared" si="0"/>
        <v>0.18537673517572545</v>
      </c>
      <c r="H5" s="112">
        <f t="shared" si="0"/>
        <v>0.37775544829563457</v>
      </c>
      <c r="I5" s="112">
        <f t="shared" si="0"/>
        <v>0.14611990699288155</v>
      </c>
      <c r="J5" s="112">
        <f t="shared" si="0"/>
        <v>0.18649720166376993</v>
      </c>
      <c r="K5" s="112">
        <f t="shared" si="0"/>
        <v>3.0575714689206668E-2</v>
      </c>
      <c r="L5" s="112">
        <f t="shared" si="0"/>
        <v>0</v>
      </c>
      <c r="M5" s="121">
        <f>F5+H5+K5</f>
        <v>0.42846051553807069</v>
      </c>
      <c r="N5" s="139"/>
    </row>
    <row r="6" spans="1:14" x14ac:dyDescent="0.3">
      <c r="A6" s="7" t="s">
        <v>462</v>
      </c>
      <c r="B6" s="111">
        <v>3323074.2678837841</v>
      </c>
      <c r="C6" s="109" t="s">
        <v>462</v>
      </c>
      <c r="D6" s="112">
        <v>0</v>
      </c>
      <c r="E6" s="112">
        <v>3.1472484983202549E-2</v>
      </c>
      <c r="F6" s="112">
        <v>0</v>
      </c>
      <c r="G6" s="112">
        <v>4.4552252169965709E-2</v>
      </c>
      <c r="H6" s="112">
        <v>0.67288607404711864</v>
      </c>
      <c r="I6" s="112">
        <v>0</v>
      </c>
      <c r="J6" s="112">
        <v>0.25108918879971304</v>
      </c>
      <c r="K6" s="112">
        <v>0</v>
      </c>
      <c r="L6" s="112">
        <v>0</v>
      </c>
      <c r="M6" s="121">
        <f t="shared" ref="M6:M69" si="1">F6+H6+K6</f>
        <v>0.67288607404711864</v>
      </c>
      <c r="N6" s="139"/>
    </row>
    <row r="7" spans="1:14" x14ac:dyDescent="0.3">
      <c r="A7" s="7" t="s">
        <v>463</v>
      </c>
      <c r="B7" s="111">
        <v>38271987.766061008</v>
      </c>
      <c r="C7" s="109" t="s">
        <v>463</v>
      </c>
      <c r="D7" s="112">
        <v>0</v>
      </c>
      <c r="E7" s="112">
        <v>2.8131407518111957E-2</v>
      </c>
      <c r="F7" s="112">
        <v>4.3732107817439973E-6</v>
      </c>
      <c r="G7" s="112">
        <v>0.30481361093776743</v>
      </c>
      <c r="H7" s="112">
        <v>0.58565797458205326</v>
      </c>
      <c r="I7" s="112">
        <v>7.7095848748685011E-2</v>
      </c>
      <c r="J7" s="112">
        <v>4.2924117918188539E-3</v>
      </c>
      <c r="K7" s="112">
        <v>4.3732107817439973E-6</v>
      </c>
      <c r="L7" s="112">
        <v>0</v>
      </c>
      <c r="M7" s="121">
        <f t="shared" si="1"/>
        <v>0.58566672100361672</v>
      </c>
      <c r="N7" s="139"/>
    </row>
    <row r="8" spans="1:14" x14ac:dyDescent="0.3">
      <c r="A8" s="7" t="s">
        <v>464</v>
      </c>
      <c r="B8" s="111">
        <v>50439525.21298717</v>
      </c>
      <c r="C8" s="109" t="s">
        <v>464</v>
      </c>
      <c r="D8" s="112">
        <v>0</v>
      </c>
      <c r="E8" s="112">
        <v>0.15671997280658359</v>
      </c>
      <c r="F8" s="112">
        <v>4.7755042202709931E-3</v>
      </c>
      <c r="G8" s="112">
        <v>0.25976520601485215</v>
      </c>
      <c r="H8" s="112">
        <v>0.28104717450149796</v>
      </c>
      <c r="I8" s="112">
        <v>2.141437721752126E-2</v>
      </c>
      <c r="J8" s="112">
        <v>0.27212031086182947</v>
      </c>
      <c r="K8" s="112">
        <v>4.1574543774445744E-3</v>
      </c>
      <c r="L8" s="112">
        <v>0</v>
      </c>
      <c r="M8" s="121">
        <f t="shared" si="1"/>
        <v>0.28998013309921356</v>
      </c>
      <c r="N8" s="139"/>
    </row>
    <row r="9" spans="1:14" x14ac:dyDescent="0.3">
      <c r="A9" s="7" t="s">
        <v>465</v>
      </c>
      <c r="B9" s="111">
        <v>4773855.0402433695</v>
      </c>
      <c r="C9" s="109" t="s">
        <v>465</v>
      </c>
      <c r="D9" s="112">
        <v>0</v>
      </c>
      <c r="E9" s="112">
        <v>0.18000000000000002</v>
      </c>
      <c r="F9" s="112">
        <v>0</v>
      </c>
      <c r="G9" s="112">
        <v>0</v>
      </c>
      <c r="H9" s="112">
        <v>0</v>
      </c>
      <c r="I9" s="112">
        <v>0.76999999999999991</v>
      </c>
      <c r="J9" s="112">
        <v>4.9999999999999996E-2</v>
      </c>
      <c r="K9" s="112">
        <v>0</v>
      </c>
      <c r="L9" s="112">
        <v>0</v>
      </c>
      <c r="M9" s="121">
        <f t="shared" si="1"/>
        <v>0</v>
      </c>
      <c r="N9" s="139"/>
    </row>
    <row r="10" spans="1:14" x14ac:dyDescent="0.3">
      <c r="A10" s="7" t="s">
        <v>466</v>
      </c>
      <c r="B10" s="111">
        <v>5278764.1757268067</v>
      </c>
      <c r="C10" s="109" t="s">
        <v>466</v>
      </c>
      <c r="D10" s="112">
        <v>1.1534025374855825E-3</v>
      </c>
      <c r="E10" s="112">
        <v>4.61361014994233E-3</v>
      </c>
      <c r="F10" s="112">
        <v>1.2687427912341408E-2</v>
      </c>
      <c r="G10" s="112">
        <v>0.92502883506343714</v>
      </c>
      <c r="H10" s="112">
        <v>0</v>
      </c>
      <c r="I10" s="112">
        <v>0</v>
      </c>
      <c r="J10" s="112">
        <v>5.6516724336793542E-2</v>
      </c>
      <c r="K10" s="112">
        <v>0</v>
      </c>
      <c r="L10" s="112">
        <v>0</v>
      </c>
      <c r="M10" s="121">
        <f t="shared" si="1"/>
        <v>1.2687427912341408E-2</v>
      </c>
      <c r="N10" s="139"/>
    </row>
    <row r="11" spans="1:14" x14ac:dyDescent="0.3">
      <c r="A11" s="7" t="s">
        <v>467</v>
      </c>
      <c r="B11" s="111">
        <v>5460105.5044606477</v>
      </c>
      <c r="C11" s="109" t="s">
        <v>467</v>
      </c>
      <c r="D11" s="112">
        <v>0</v>
      </c>
      <c r="E11" s="112">
        <v>1.2353098590881175E-3</v>
      </c>
      <c r="F11" s="112">
        <v>0.15588126266648417</v>
      </c>
      <c r="G11" s="112">
        <v>1.396429735370425E-4</v>
      </c>
      <c r="H11" s="112">
        <v>3.4226622796096659E-2</v>
      </c>
      <c r="I11" s="112">
        <v>0.23080456001848135</v>
      </c>
      <c r="J11" s="112">
        <v>4.8854775454951024E-2</v>
      </c>
      <c r="K11" s="112">
        <v>0.52885782623136146</v>
      </c>
      <c r="L11" s="112">
        <v>0</v>
      </c>
      <c r="M11" s="121">
        <f t="shared" si="1"/>
        <v>0.7189657116939423</v>
      </c>
      <c r="N11" s="139"/>
    </row>
    <row r="12" spans="1:14" x14ac:dyDescent="0.3">
      <c r="A12" s="7" t="s">
        <v>468</v>
      </c>
      <c r="B12" s="111">
        <v>7396719.6158101475</v>
      </c>
      <c r="C12" s="109" t="s">
        <v>468</v>
      </c>
      <c r="D12" s="112">
        <v>1.4444588505041947E-4</v>
      </c>
      <c r="E12" s="112">
        <v>2.5775331234098489E-2</v>
      </c>
      <c r="F12" s="112">
        <v>0.13914397961462621</v>
      </c>
      <c r="G12" s="112">
        <v>1.3091703289445779E-3</v>
      </c>
      <c r="H12" s="112">
        <v>0.20705801773741603</v>
      </c>
      <c r="I12" s="112">
        <v>0.39208535341587553</v>
      </c>
      <c r="J12" s="112">
        <v>6.6572200918754876E-2</v>
      </c>
      <c r="K12" s="112">
        <v>0.1679115008652339</v>
      </c>
      <c r="L12" s="112">
        <v>0</v>
      </c>
      <c r="M12" s="121">
        <f t="shared" si="1"/>
        <v>0.51411349821727614</v>
      </c>
      <c r="N12" s="139"/>
    </row>
    <row r="13" spans="1:14" x14ac:dyDescent="0.3">
      <c r="A13" s="7" t="s">
        <v>469</v>
      </c>
      <c r="B13" s="111">
        <v>4016087.3023861209</v>
      </c>
      <c r="C13" s="109" t="s">
        <v>469</v>
      </c>
      <c r="D13" s="112">
        <v>0</v>
      </c>
      <c r="E13" s="112">
        <v>2.9548317550404022E-2</v>
      </c>
      <c r="F13" s="112">
        <v>3.0318209349686231E-3</v>
      </c>
      <c r="G13" s="112">
        <v>4.8942452325511511E-2</v>
      </c>
      <c r="H13" s="112">
        <v>5.5802954130381853E-2</v>
      </c>
      <c r="I13" s="112">
        <v>0.38392450222302155</v>
      </c>
      <c r="J13" s="112">
        <v>3.144363142816968E-2</v>
      </c>
      <c r="K13" s="112">
        <v>0.44730632140754278</v>
      </c>
      <c r="L13" s="112">
        <v>0</v>
      </c>
      <c r="M13" s="121">
        <f t="shared" si="1"/>
        <v>0.50614109647289329</v>
      </c>
      <c r="N13" s="139"/>
    </row>
    <row r="14" spans="1:14" x14ac:dyDescent="0.3">
      <c r="A14" s="7" t="s">
        <v>470</v>
      </c>
      <c r="B14" s="111">
        <v>25504360.580741145</v>
      </c>
      <c r="C14" s="109" t="s">
        <v>470</v>
      </c>
      <c r="D14" s="112">
        <v>0</v>
      </c>
      <c r="E14" s="112">
        <v>3.530266776230518E-2</v>
      </c>
      <c r="F14" s="112">
        <v>1.422922186742091E-2</v>
      </c>
      <c r="G14" s="112">
        <v>0.10188192755374004</v>
      </c>
      <c r="H14" s="112">
        <v>0.38598496252697978</v>
      </c>
      <c r="I14" s="112">
        <v>0.2753538380642242</v>
      </c>
      <c r="J14" s="112">
        <v>0.18381868977300864</v>
      </c>
      <c r="K14" s="112">
        <v>3.428692452321263E-3</v>
      </c>
      <c r="L14" s="112">
        <v>0</v>
      </c>
      <c r="M14" s="121">
        <f t="shared" si="1"/>
        <v>0.40364287684672195</v>
      </c>
      <c r="N14" s="139"/>
    </row>
    <row r="15" spans="1:14" x14ac:dyDescent="0.3">
      <c r="A15" s="7" t="s">
        <v>471</v>
      </c>
      <c r="B15" s="111">
        <v>5040530.3778420091</v>
      </c>
      <c r="C15" s="109" t="s">
        <v>471</v>
      </c>
      <c r="D15" s="112">
        <v>0</v>
      </c>
      <c r="E15" s="112">
        <v>1.4099687490687237E-2</v>
      </c>
      <c r="F15" s="112">
        <v>2.9448207628592269E-2</v>
      </c>
      <c r="G15" s="112">
        <v>2.6286292950232049E-2</v>
      </c>
      <c r="H15" s="112">
        <v>0.13895390111287939</v>
      </c>
      <c r="I15" s="112">
        <v>0.7326784665058953</v>
      </c>
      <c r="J15" s="112">
        <v>5.2603669198807899E-2</v>
      </c>
      <c r="K15" s="112">
        <v>5.929775112905847E-3</v>
      </c>
      <c r="L15" s="112">
        <v>0</v>
      </c>
      <c r="M15" s="121">
        <f t="shared" si="1"/>
        <v>0.17433188385437751</v>
      </c>
      <c r="N15" s="139"/>
    </row>
    <row r="16" spans="1:14" x14ac:dyDescent="0.3">
      <c r="A16" s="7" t="s">
        <v>472</v>
      </c>
      <c r="B16" s="111">
        <v>11505738.629038747</v>
      </c>
      <c r="C16" s="109" t="s">
        <v>472</v>
      </c>
      <c r="D16" s="112">
        <v>0</v>
      </c>
      <c r="E16" s="112">
        <v>4.6665214624118882E-3</v>
      </c>
      <c r="F16" s="112">
        <v>0.13410145858820327</v>
      </c>
      <c r="G16" s="112">
        <v>2.9319374464889116E-6</v>
      </c>
      <c r="H16" s="112">
        <v>0.17758504646205958</v>
      </c>
      <c r="I16" s="112">
        <v>0.58763556076147339</v>
      </c>
      <c r="J16" s="112">
        <v>7.778712909931694E-2</v>
      </c>
      <c r="K16" s="112">
        <v>1.8221351689088301E-2</v>
      </c>
      <c r="L16" s="112">
        <v>0</v>
      </c>
      <c r="M16" s="121">
        <f t="shared" si="1"/>
        <v>0.32990785673935114</v>
      </c>
      <c r="N16" s="139"/>
    </row>
    <row r="17" spans="1:14" x14ac:dyDescent="0.3">
      <c r="A17" s="72" t="s">
        <v>473</v>
      </c>
      <c r="B17" s="113">
        <v>50362508.054360822</v>
      </c>
      <c r="C17" s="114" t="s">
        <v>473</v>
      </c>
      <c r="D17" s="96">
        <v>0</v>
      </c>
      <c r="E17" s="96">
        <v>0</v>
      </c>
      <c r="F17" s="96">
        <v>0</v>
      </c>
      <c r="G17" s="96">
        <v>0.128</v>
      </c>
      <c r="H17" s="96">
        <v>0.52600000000000002</v>
      </c>
      <c r="I17" s="96">
        <v>0</v>
      </c>
      <c r="J17" s="96">
        <v>0.34600000000000003</v>
      </c>
      <c r="K17" s="96">
        <v>0</v>
      </c>
      <c r="L17" s="96">
        <v>0</v>
      </c>
      <c r="M17" s="120">
        <f t="shared" si="1"/>
        <v>0.52600000000000002</v>
      </c>
      <c r="N17" s="140"/>
    </row>
    <row r="18" spans="1:14" x14ac:dyDescent="0.3">
      <c r="A18" s="145"/>
      <c r="B18" s="145"/>
      <c r="C18" s="145"/>
      <c r="D18" s="146"/>
      <c r="E18" s="146"/>
      <c r="F18" s="146"/>
      <c r="G18" s="146"/>
      <c r="H18" s="146"/>
      <c r="I18" s="146"/>
      <c r="J18" s="146"/>
      <c r="K18" s="146"/>
      <c r="L18" s="146"/>
      <c r="M18" s="146"/>
    </row>
    <row r="19" spans="1:14" x14ac:dyDescent="0.3">
      <c r="A19" s="134" t="s">
        <v>897</v>
      </c>
      <c r="B19" s="136"/>
      <c r="C19" s="134" t="s">
        <v>898</v>
      </c>
      <c r="D19" s="136"/>
      <c r="E19" s="136"/>
      <c r="F19" s="136"/>
      <c r="G19" s="136"/>
      <c r="H19" s="136"/>
      <c r="I19" s="136"/>
      <c r="J19" s="136"/>
      <c r="K19" s="136"/>
      <c r="L19" s="146"/>
      <c r="M19" s="146"/>
      <c r="N19" s="137" t="s">
        <v>212</v>
      </c>
    </row>
    <row r="20" spans="1:14" ht="26.4" x14ac:dyDescent="0.3">
      <c r="A20" s="27" t="s">
        <v>474</v>
      </c>
      <c r="B20" s="94"/>
      <c r="C20" s="97" t="s">
        <v>474</v>
      </c>
      <c r="D20" s="110" t="s">
        <v>375</v>
      </c>
      <c r="E20" s="110" t="s">
        <v>376</v>
      </c>
      <c r="F20" s="110" t="s">
        <v>443</v>
      </c>
      <c r="G20" s="110" t="s">
        <v>377</v>
      </c>
      <c r="H20" s="110" t="s">
        <v>444</v>
      </c>
      <c r="I20" s="110" t="s">
        <v>435</v>
      </c>
      <c r="J20" s="110" t="s">
        <v>378</v>
      </c>
      <c r="K20" s="110" t="s">
        <v>445</v>
      </c>
      <c r="L20" s="95" t="s">
        <v>388</v>
      </c>
      <c r="M20" s="119" t="s">
        <v>721</v>
      </c>
      <c r="N20" s="138" t="s">
        <v>899</v>
      </c>
    </row>
    <row r="21" spans="1:14" x14ac:dyDescent="0.3">
      <c r="A21" s="115" t="s">
        <v>475</v>
      </c>
      <c r="B21" s="111">
        <v>837845.02454093238</v>
      </c>
      <c r="C21" s="115" t="s">
        <v>475</v>
      </c>
      <c r="D21" s="147">
        <v>0</v>
      </c>
      <c r="E21" s="147">
        <v>0</v>
      </c>
      <c r="F21" s="147">
        <v>0</v>
      </c>
      <c r="G21" s="147">
        <v>9.7699999999999995E-2</v>
      </c>
      <c r="H21" s="147">
        <v>0.48869999999999997</v>
      </c>
      <c r="I21" s="147">
        <v>0</v>
      </c>
      <c r="J21" s="147">
        <v>0.42100000000000004</v>
      </c>
      <c r="K21" s="147">
        <v>0</v>
      </c>
      <c r="L21" s="147">
        <v>0</v>
      </c>
      <c r="M21" s="122">
        <f t="shared" si="1"/>
        <v>0.48869999999999997</v>
      </c>
      <c r="N21" s="139"/>
    </row>
    <row r="22" spans="1:14" x14ac:dyDescent="0.3">
      <c r="A22" s="115" t="s">
        <v>476</v>
      </c>
      <c r="B22" s="111">
        <v>1551181.5780599145</v>
      </c>
      <c r="C22" s="115" t="s">
        <v>476</v>
      </c>
      <c r="D22" s="147">
        <v>0</v>
      </c>
      <c r="E22" s="147">
        <v>4.0800000000000003E-2</v>
      </c>
      <c r="F22" s="147">
        <v>0</v>
      </c>
      <c r="G22" s="147">
        <v>0.03</v>
      </c>
      <c r="H22" s="147">
        <v>0.72329999999999994</v>
      </c>
      <c r="I22" s="147">
        <v>0</v>
      </c>
      <c r="J22" s="147">
        <v>0.2059</v>
      </c>
      <c r="K22" s="147">
        <v>0</v>
      </c>
      <c r="L22" s="147">
        <v>0</v>
      </c>
      <c r="M22" s="122">
        <f t="shared" si="1"/>
        <v>0.72329999999999994</v>
      </c>
      <c r="N22" s="139"/>
    </row>
    <row r="23" spans="1:14" x14ac:dyDescent="0.3">
      <c r="A23" s="115" t="s">
        <v>477</v>
      </c>
      <c r="B23" s="111">
        <v>0</v>
      </c>
      <c r="C23" s="115" t="s">
        <v>477</v>
      </c>
      <c r="D23" s="147">
        <v>0</v>
      </c>
      <c r="E23" s="147">
        <v>0</v>
      </c>
      <c r="F23" s="147">
        <v>0</v>
      </c>
      <c r="G23" s="147">
        <v>0</v>
      </c>
      <c r="H23" s="147">
        <v>0</v>
      </c>
      <c r="I23" s="147">
        <v>0</v>
      </c>
      <c r="J23" s="147">
        <v>0</v>
      </c>
      <c r="K23" s="147">
        <v>0</v>
      </c>
      <c r="L23" s="147">
        <v>0</v>
      </c>
      <c r="M23" s="122">
        <f t="shared" si="1"/>
        <v>0</v>
      </c>
      <c r="N23" s="139"/>
    </row>
    <row r="24" spans="1:14" x14ac:dyDescent="0.3">
      <c r="A24" s="115" t="s">
        <v>478</v>
      </c>
      <c r="B24" s="111">
        <v>934047.66528293723</v>
      </c>
      <c r="C24" s="115" t="s">
        <v>478</v>
      </c>
      <c r="D24" s="147">
        <v>0</v>
      </c>
      <c r="E24" s="147">
        <v>0</v>
      </c>
      <c r="F24" s="147">
        <v>0</v>
      </c>
      <c r="G24" s="147">
        <v>0</v>
      </c>
      <c r="H24" s="147">
        <v>1</v>
      </c>
      <c r="I24" s="147">
        <v>0</v>
      </c>
      <c r="J24" s="147">
        <v>0</v>
      </c>
      <c r="K24" s="147">
        <v>0</v>
      </c>
      <c r="L24" s="147">
        <v>0</v>
      </c>
      <c r="M24" s="122">
        <f t="shared" si="1"/>
        <v>1</v>
      </c>
      <c r="N24" s="139"/>
    </row>
    <row r="25" spans="1:14" x14ac:dyDescent="0.3">
      <c r="A25" s="115" t="s">
        <v>479</v>
      </c>
      <c r="B25" s="111">
        <v>0</v>
      </c>
      <c r="C25" s="115" t="s">
        <v>479</v>
      </c>
      <c r="D25" s="147">
        <v>0</v>
      </c>
      <c r="E25" s="147">
        <v>0</v>
      </c>
      <c r="F25" s="147">
        <v>0</v>
      </c>
      <c r="G25" s="147">
        <v>0</v>
      </c>
      <c r="H25" s="147">
        <v>0</v>
      </c>
      <c r="I25" s="147">
        <v>0</v>
      </c>
      <c r="J25" s="147">
        <v>0</v>
      </c>
      <c r="K25" s="147">
        <v>0</v>
      </c>
      <c r="L25" s="147">
        <v>0</v>
      </c>
      <c r="M25" s="122">
        <f t="shared" si="1"/>
        <v>0</v>
      </c>
      <c r="N25" s="139"/>
    </row>
    <row r="26" spans="1:14" x14ac:dyDescent="0.3">
      <c r="A26" s="115" t="s">
        <v>480</v>
      </c>
      <c r="B26" s="111">
        <v>37341612.354015864</v>
      </c>
      <c r="C26" s="115" t="s">
        <v>480</v>
      </c>
      <c r="D26" s="147">
        <v>0</v>
      </c>
      <c r="E26" s="147">
        <v>0.03</v>
      </c>
      <c r="F26" s="147">
        <v>0</v>
      </c>
      <c r="G26" s="147">
        <v>0.2984</v>
      </c>
      <c r="H26" s="147">
        <v>0.60159999999999991</v>
      </c>
      <c r="I26" s="147">
        <v>8.2100000000000006E-2</v>
      </c>
      <c r="J26" s="147">
        <v>0</v>
      </c>
      <c r="K26" s="147">
        <v>0</v>
      </c>
      <c r="L26" s="147">
        <v>0</v>
      </c>
      <c r="M26" s="122">
        <f t="shared" si="1"/>
        <v>0.60159999999999991</v>
      </c>
      <c r="N26" s="139"/>
    </row>
    <row r="27" spans="1:14" x14ac:dyDescent="0.3">
      <c r="A27" s="115" t="s">
        <v>481</v>
      </c>
      <c r="B27" s="111">
        <v>290186.42709247576</v>
      </c>
      <c r="C27" s="115" t="s">
        <v>481</v>
      </c>
      <c r="D27" s="147">
        <v>0</v>
      </c>
      <c r="E27" s="147">
        <v>0</v>
      </c>
      <c r="F27" s="147">
        <v>0</v>
      </c>
      <c r="G27" s="147">
        <v>0</v>
      </c>
      <c r="H27" s="147">
        <v>0.66</v>
      </c>
      <c r="I27" s="147">
        <v>0</v>
      </c>
      <c r="J27" s="147">
        <v>0.34</v>
      </c>
      <c r="K27" s="147">
        <v>0</v>
      </c>
      <c r="L27" s="147">
        <v>0</v>
      </c>
      <c r="M27" s="122">
        <f t="shared" si="1"/>
        <v>0.66</v>
      </c>
      <c r="N27" s="139"/>
    </row>
    <row r="28" spans="1:14" x14ac:dyDescent="0.3">
      <c r="A28" s="115" t="s">
        <v>482</v>
      </c>
      <c r="B28" s="111">
        <v>146146.52162872246</v>
      </c>
      <c r="C28" s="115" t="s">
        <v>482</v>
      </c>
      <c r="D28" s="147">
        <v>0</v>
      </c>
      <c r="E28" s="147">
        <v>1.7582417582417582E-2</v>
      </c>
      <c r="F28" s="147">
        <v>4.3956043956043956E-3</v>
      </c>
      <c r="G28" s="147">
        <v>0.21098901098901099</v>
      </c>
      <c r="H28" s="147">
        <v>0.4043956043956044</v>
      </c>
      <c r="I28" s="147">
        <v>0.15824175824175823</v>
      </c>
      <c r="J28" s="147">
        <v>0.2</v>
      </c>
      <c r="K28" s="147">
        <v>4.3956043956043956E-3</v>
      </c>
      <c r="L28" s="147">
        <v>0</v>
      </c>
      <c r="M28" s="122">
        <f t="shared" si="1"/>
        <v>0.41318681318681316</v>
      </c>
      <c r="N28" s="139"/>
    </row>
    <row r="29" spans="1:14" x14ac:dyDescent="0.3">
      <c r="A29" s="115" t="s">
        <v>483</v>
      </c>
      <c r="B29" s="111">
        <v>494042.46332394361</v>
      </c>
      <c r="C29" s="115" t="s">
        <v>483</v>
      </c>
      <c r="D29" s="147">
        <v>0</v>
      </c>
      <c r="E29" s="147">
        <v>0</v>
      </c>
      <c r="F29" s="147">
        <v>0</v>
      </c>
      <c r="G29" s="147">
        <v>0.64200000000000002</v>
      </c>
      <c r="H29" s="147">
        <v>0.34799999999999998</v>
      </c>
      <c r="I29" s="147">
        <v>0</v>
      </c>
      <c r="J29" s="147">
        <v>0</v>
      </c>
      <c r="K29" s="147">
        <v>0</v>
      </c>
      <c r="L29" s="147">
        <v>0.01</v>
      </c>
      <c r="M29" s="122">
        <f t="shared" si="1"/>
        <v>0.34799999999999998</v>
      </c>
      <c r="N29" s="139"/>
    </row>
    <row r="30" spans="1:14" x14ac:dyDescent="0.3">
      <c r="A30" s="115" t="s">
        <v>484</v>
      </c>
      <c r="B30" s="111">
        <v>0</v>
      </c>
      <c r="C30" s="115" t="s">
        <v>484</v>
      </c>
      <c r="D30" s="147">
        <v>0</v>
      </c>
      <c r="E30" s="147">
        <v>0</v>
      </c>
      <c r="F30" s="147">
        <v>0</v>
      </c>
      <c r="G30" s="147">
        <v>0</v>
      </c>
      <c r="H30" s="147">
        <v>0</v>
      </c>
      <c r="I30" s="147">
        <v>0</v>
      </c>
      <c r="J30" s="147">
        <v>0</v>
      </c>
      <c r="K30" s="147">
        <v>0</v>
      </c>
      <c r="L30" s="147">
        <v>0</v>
      </c>
      <c r="M30" s="122">
        <f t="shared" si="1"/>
        <v>0</v>
      </c>
      <c r="N30" s="139"/>
    </row>
    <row r="31" spans="1:14" x14ac:dyDescent="0.3">
      <c r="A31" s="115" t="s">
        <v>485</v>
      </c>
      <c r="B31" s="111">
        <v>3806715.0397720649</v>
      </c>
      <c r="C31" s="115" t="s">
        <v>485</v>
      </c>
      <c r="D31" s="147">
        <v>0</v>
      </c>
      <c r="E31" s="147">
        <v>0.31240000000000001</v>
      </c>
      <c r="F31" s="147">
        <v>9.191082802547766E-4</v>
      </c>
      <c r="G31" s="147">
        <v>0.379</v>
      </c>
      <c r="H31" s="147">
        <v>2.98E-2</v>
      </c>
      <c r="I31" s="147">
        <v>1.8099363057324833E-2</v>
      </c>
      <c r="J31" s="147">
        <v>0.25659999999999999</v>
      </c>
      <c r="K31" s="147">
        <v>3.1815286624203801E-3</v>
      </c>
      <c r="L31" s="147">
        <v>0</v>
      </c>
      <c r="M31" s="122">
        <f t="shared" si="1"/>
        <v>3.3900636942675158E-2</v>
      </c>
      <c r="N31" s="139"/>
    </row>
    <row r="32" spans="1:14" x14ac:dyDescent="0.3">
      <c r="A32" s="115" t="s">
        <v>486</v>
      </c>
      <c r="B32" s="111">
        <v>973748.19723974995</v>
      </c>
      <c r="C32" s="115" t="s">
        <v>486</v>
      </c>
      <c r="D32" s="147">
        <v>0</v>
      </c>
      <c r="E32" s="147">
        <v>0.19137000000000001</v>
      </c>
      <c r="F32" s="147">
        <v>9.3566878980891929E-4</v>
      </c>
      <c r="G32" s="147">
        <v>0.43390000000000001</v>
      </c>
      <c r="H32" s="147">
        <v>9.1000000000000004E-3</v>
      </c>
      <c r="I32" s="147">
        <v>1.8425477707006411E-2</v>
      </c>
      <c r="J32" s="147">
        <v>0.34302999999999995</v>
      </c>
      <c r="K32" s="147">
        <v>3.2388535031847203E-3</v>
      </c>
      <c r="L32" s="147">
        <v>0</v>
      </c>
      <c r="M32" s="122">
        <f t="shared" si="1"/>
        <v>1.327452229299364E-2</v>
      </c>
      <c r="N32" s="139"/>
    </row>
    <row r="33" spans="1:14" x14ac:dyDescent="0.3">
      <c r="A33" s="115" t="s">
        <v>487</v>
      </c>
      <c r="B33" s="111">
        <v>4255747.0575504657</v>
      </c>
      <c r="C33" s="115" t="s">
        <v>487</v>
      </c>
      <c r="D33" s="147">
        <v>0</v>
      </c>
      <c r="E33" s="147">
        <v>0.1032</v>
      </c>
      <c r="F33" s="147">
        <v>6.9554140127388818E-4</v>
      </c>
      <c r="G33" s="147">
        <v>2.75E-2</v>
      </c>
      <c r="H33" s="147">
        <v>0.66220000000000001</v>
      </c>
      <c r="I33" s="147">
        <v>1.369681528662426E-2</v>
      </c>
      <c r="J33" s="147">
        <v>0.19030000000000002</v>
      </c>
      <c r="K33" s="147">
        <v>2.4076433121019204E-3</v>
      </c>
      <c r="L33" s="147">
        <v>0</v>
      </c>
      <c r="M33" s="122">
        <f t="shared" si="1"/>
        <v>0.66530318471337591</v>
      </c>
      <c r="N33" s="139"/>
    </row>
    <row r="34" spans="1:14" x14ac:dyDescent="0.3">
      <c r="A34" s="115" t="s">
        <v>488</v>
      </c>
      <c r="B34" s="111">
        <v>47725.194794914554</v>
      </c>
      <c r="C34" s="115" t="s">
        <v>488</v>
      </c>
      <c r="D34" s="147">
        <v>0</v>
      </c>
      <c r="E34" s="147">
        <v>4.6199999999999998E-2</v>
      </c>
      <c r="F34" s="147">
        <v>2.0028455284552839E-3</v>
      </c>
      <c r="G34" s="147">
        <v>2.7423577235772351E-2</v>
      </c>
      <c r="H34" s="147">
        <v>0.7448999999999999</v>
      </c>
      <c r="I34" s="147">
        <v>3.944065040650406E-2</v>
      </c>
      <c r="J34" s="147">
        <v>0.1331</v>
      </c>
      <c r="K34" s="147">
        <v>6.932926829268291E-3</v>
      </c>
      <c r="L34" s="147">
        <v>0</v>
      </c>
      <c r="M34" s="122">
        <f t="shared" si="1"/>
        <v>0.75383577235772348</v>
      </c>
      <c r="N34" s="139"/>
    </row>
    <row r="35" spans="1:14" x14ac:dyDescent="0.3">
      <c r="A35" s="115" t="s">
        <v>489</v>
      </c>
      <c r="B35" s="111">
        <v>128984.53326925616</v>
      </c>
      <c r="C35" s="115" t="s">
        <v>489</v>
      </c>
      <c r="D35" s="147">
        <v>0</v>
      </c>
      <c r="E35" s="147">
        <v>4.2199999999999994E-2</v>
      </c>
      <c r="F35" s="147">
        <v>4.1401273885312661E-6</v>
      </c>
      <c r="G35" s="147">
        <v>0.17679999999999998</v>
      </c>
      <c r="H35" s="147">
        <v>0.52590000000000003</v>
      </c>
      <c r="I35" s="147">
        <v>8.1528662420308015E-5</v>
      </c>
      <c r="J35" s="147">
        <v>0.255</v>
      </c>
      <c r="K35" s="147">
        <v>1.4331210191069767E-5</v>
      </c>
      <c r="L35" s="147">
        <v>0</v>
      </c>
      <c r="M35" s="122">
        <f t="shared" si="1"/>
        <v>0.52591847133757974</v>
      </c>
      <c r="N35" s="139"/>
    </row>
    <row r="36" spans="1:14" x14ac:dyDescent="0.3">
      <c r="A36" s="115" t="s">
        <v>490</v>
      </c>
      <c r="B36" s="111">
        <v>5240985.9242125517</v>
      </c>
      <c r="C36" s="115" t="s">
        <v>490</v>
      </c>
      <c r="D36" s="147">
        <v>0</v>
      </c>
      <c r="E36" s="147">
        <v>0.18230000000000002</v>
      </c>
      <c r="F36" s="147">
        <v>8.3630573248408063E-4</v>
      </c>
      <c r="G36" s="147">
        <v>0.31709999999999999</v>
      </c>
      <c r="H36" s="147">
        <v>2.0999999999999999E-3</v>
      </c>
      <c r="I36" s="147">
        <v>1.6468789808917281E-2</v>
      </c>
      <c r="J36" s="147">
        <v>0.4783</v>
      </c>
      <c r="K36" s="147">
        <v>2.8949044585987404E-3</v>
      </c>
      <c r="L36" s="147">
        <v>0</v>
      </c>
      <c r="M36" s="122">
        <f t="shared" si="1"/>
        <v>5.8312101910828213E-3</v>
      </c>
      <c r="N36" s="139"/>
    </row>
    <row r="37" spans="1:14" x14ac:dyDescent="0.3">
      <c r="A37" s="115" t="s">
        <v>491</v>
      </c>
      <c r="B37" s="111">
        <v>1256191.6293819111</v>
      </c>
      <c r="C37" s="115" t="s">
        <v>491</v>
      </c>
      <c r="D37" s="147">
        <v>0</v>
      </c>
      <c r="E37" s="147">
        <v>0.18989999999999999</v>
      </c>
      <c r="F37" s="147">
        <v>8.2802547770742991E-6</v>
      </c>
      <c r="G37" s="147">
        <v>0.52590000000000003</v>
      </c>
      <c r="H37" s="147">
        <v>1.1299999999999999E-2</v>
      </c>
      <c r="I37" s="147">
        <v>1.6305732484084772E-4</v>
      </c>
      <c r="J37" s="147">
        <v>0.2727</v>
      </c>
      <c r="K37" s="147">
        <v>2.8662420382180266E-5</v>
      </c>
      <c r="L37" s="147">
        <v>0</v>
      </c>
      <c r="M37" s="122">
        <f t="shared" si="1"/>
        <v>1.1336942675159254E-2</v>
      </c>
      <c r="N37" s="139"/>
    </row>
    <row r="38" spans="1:14" x14ac:dyDescent="0.3">
      <c r="A38" s="115" t="s">
        <v>492</v>
      </c>
      <c r="B38" s="111">
        <v>1502016.9344437958</v>
      </c>
      <c r="C38" s="115" t="s">
        <v>492</v>
      </c>
      <c r="D38" s="147">
        <v>0</v>
      </c>
      <c r="E38" s="147">
        <v>0.16449999999999998</v>
      </c>
      <c r="F38" s="147">
        <v>0</v>
      </c>
      <c r="G38" s="147">
        <v>0.1162</v>
      </c>
      <c r="H38" s="147">
        <v>0.55090000000000006</v>
      </c>
      <c r="I38" s="147">
        <v>0</v>
      </c>
      <c r="J38" s="147">
        <v>0.16839999999999999</v>
      </c>
      <c r="K38" s="147">
        <v>0</v>
      </c>
      <c r="L38" s="147">
        <v>0</v>
      </c>
      <c r="M38" s="122">
        <f t="shared" si="1"/>
        <v>0.55090000000000006</v>
      </c>
      <c r="N38" s="139"/>
    </row>
    <row r="39" spans="1:14" x14ac:dyDescent="0.3">
      <c r="A39" s="115" t="s">
        <v>493</v>
      </c>
      <c r="B39" s="111">
        <v>74877.700996879532</v>
      </c>
      <c r="C39" s="115" t="s">
        <v>493</v>
      </c>
      <c r="D39" s="147">
        <v>0</v>
      </c>
      <c r="E39" s="147">
        <v>3.6000000000000004E-2</v>
      </c>
      <c r="F39" s="147">
        <v>7.400000000000001E-2</v>
      </c>
      <c r="G39" s="147">
        <v>0.51369999999999993</v>
      </c>
      <c r="H39" s="147">
        <v>5.1611354581673312E-2</v>
      </c>
      <c r="I39" s="147">
        <v>6.5733864541832665E-2</v>
      </c>
      <c r="J39" s="147">
        <v>0.24739999999999998</v>
      </c>
      <c r="K39" s="147">
        <v>1.1554780876494024E-2</v>
      </c>
      <c r="L39" s="147">
        <v>0</v>
      </c>
      <c r="M39" s="122">
        <f t="shared" si="1"/>
        <v>0.13716613545816736</v>
      </c>
      <c r="N39" s="139"/>
    </row>
    <row r="40" spans="1:14" x14ac:dyDescent="0.3">
      <c r="A40" s="115" t="s">
        <v>494</v>
      </c>
      <c r="B40" s="111">
        <v>643252.11324368475</v>
      </c>
      <c r="C40" s="115" t="s">
        <v>494</v>
      </c>
      <c r="D40" s="147">
        <v>0</v>
      </c>
      <c r="E40" s="147">
        <v>0.1245</v>
      </c>
      <c r="F40" s="147">
        <v>4.1401273885312661E-6</v>
      </c>
      <c r="G40" s="147">
        <v>0.47920000000000001</v>
      </c>
      <c r="H40" s="147">
        <v>0.115</v>
      </c>
      <c r="I40" s="147">
        <v>8.1528662420308015E-5</v>
      </c>
      <c r="J40" s="147">
        <v>0.28120000000000001</v>
      </c>
      <c r="K40" s="147">
        <v>1.4331210191069767E-5</v>
      </c>
      <c r="L40" s="147">
        <v>0</v>
      </c>
      <c r="M40" s="122">
        <f t="shared" si="1"/>
        <v>0.1150184713375796</v>
      </c>
      <c r="N40" s="139"/>
    </row>
    <row r="41" spans="1:14" x14ac:dyDescent="0.3">
      <c r="A41" s="115" t="s">
        <v>495</v>
      </c>
      <c r="B41" s="111">
        <v>4413735.6977011506</v>
      </c>
      <c r="C41" s="115" t="s">
        <v>495</v>
      </c>
      <c r="D41" s="147">
        <v>0</v>
      </c>
      <c r="E41" s="147">
        <v>0.1726</v>
      </c>
      <c r="F41" s="147">
        <v>8.2802547770625321E-6</v>
      </c>
      <c r="G41" s="147">
        <v>0.34700000000000003</v>
      </c>
      <c r="H41" s="147">
        <v>0.2576</v>
      </c>
      <c r="I41" s="147">
        <v>1.6305732484061603E-4</v>
      </c>
      <c r="J41" s="147">
        <v>0.22260000000000002</v>
      </c>
      <c r="K41" s="147">
        <v>2.8662420382139534E-5</v>
      </c>
      <c r="L41" s="147">
        <v>0</v>
      </c>
      <c r="M41" s="122">
        <f t="shared" si="1"/>
        <v>0.25763694267515919</v>
      </c>
      <c r="N41" s="139"/>
    </row>
    <row r="42" spans="1:14" x14ac:dyDescent="0.3">
      <c r="A42" s="115" t="s">
        <v>496</v>
      </c>
      <c r="B42" s="111">
        <v>1693.2049994973145</v>
      </c>
      <c r="C42" s="115" t="s">
        <v>496</v>
      </c>
      <c r="D42" s="147">
        <v>0</v>
      </c>
      <c r="E42" s="147">
        <v>4.4137499999999996E-2</v>
      </c>
      <c r="F42" s="147">
        <v>5.3625000000000001E-3</v>
      </c>
      <c r="G42" s="147">
        <v>7.342499999999999E-2</v>
      </c>
      <c r="H42" s="147">
        <v>8.2912500000000014E-2</v>
      </c>
      <c r="I42" s="147">
        <v>0.1056</v>
      </c>
      <c r="J42" s="147">
        <v>0.67</v>
      </c>
      <c r="K42" s="147">
        <v>1.8562499999999999E-2</v>
      </c>
      <c r="L42" s="147">
        <v>0</v>
      </c>
      <c r="M42" s="122">
        <f t="shared" si="1"/>
        <v>0.10683750000000002</v>
      </c>
      <c r="N42" s="139"/>
    </row>
    <row r="43" spans="1:14" x14ac:dyDescent="0.3">
      <c r="A43" s="115" t="s">
        <v>497</v>
      </c>
      <c r="B43" s="111">
        <v>14439297.722318258</v>
      </c>
      <c r="C43" s="115" t="s">
        <v>497</v>
      </c>
      <c r="D43" s="147">
        <v>0</v>
      </c>
      <c r="E43" s="147">
        <v>0.1623</v>
      </c>
      <c r="F43" s="147">
        <v>1.0648407643312112E-3</v>
      </c>
      <c r="G43" s="147">
        <v>0.31379999999999997</v>
      </c>
      <c r="H43" s="147">
        <v>0.22568000000000002</v>
      </c>
      <c r="I43" s="147">
        <v>2.0969171974522315E-2</v>
      </c>
      <c r="J43" s="147">
        <v>0.27250000000000002</v>
      </c>
      <c r="K43" s="147">
        <v>3.6859872611465006E-3</v>
      </c>
      <c r="L43" s="147">
        <v>0</v>
      </c>
      <c r="M43" s="122">
        <f t="shared" si="1"/>
        <v>0.23043082802547774</v>
      </c>
      <c r="N43" s="139"/>
    </row>
    <row r="44" spans="1:14" x14ac:dyDescent="0.3">
      <c r="A44" s="115" t="s">
        <v>498</v>
      </c>
      <c r="B44" s="111">
        <v>0</v>
      </c>
      <c r="C44" s="115" t="s">
        <v>498</v>
      </c>
      <c r="D44" s="147">
        <v>0</v>
      </c>
      <c r="E44" s="147">
        <v>0</v>
      </c>
      <c r="F44" s="147">
        <v>0</v>
      </c>
      <c r="G44" s="147">
        <v>0</v>
      </c>
      <c r="H44" s="147">
        <v>0</v>
      </c>
      <c r="I44" s="147">
        <v>0</v>
      </c>
      <c r="J44" s="147">
        <v>0</v>
      </c>
      <c r="K44" s="147">
        <v>0</v>
      </c>
      <c r="L44" s="147">
        <v>0</v>
      </c>
      <c r="M44" s="122">
        <f t="shared" si="1"/>
        <v>0</v>
      </c>
      <c r="N44" s="139"/>
    </row>
    <row r="45" spans="1:14" x14ac:dyDescent="0.3">
      <c r="A45" s="115" t="s">
        <v>499</v>
      </c>
      <c r="B45" s="111">
        <v>759.23331634760598</v>
      </c>
      <c r="C45" s="115" t="s">
        <v>499</v>
      </c>
      <c r="D45" s="147">
        <v>0</v>
      </c>
      <c r="E45" s="147">
        <v>0.107</v>
      </c>
      <c r="F45" s="147">
        <v>1.3000000000000001E-2</v>
      </c>
      <c r="G45" s="147">
        <v>0.17800000000000002</v>
      </c>
      <c r="H45" s="147">
        <v>0.20100000000000001</v>
      </c>
      <c r="I45" s="147">
        <v>0.25600000000000001</v>
      </c>
      <c r="J45" s="147">
        <v>0.2</v>
      </c>
      <c r="K45" s="147">
        <v>4.4999999999999998E-2</v>
      </c>
      <c r="L45" s="147">
        <v>0</v>
      </c>
      <c r="M45" s="122">
        <f t="shared" si="1"/>
        <v>0.25900000000000001</v>
      </c>
      <c r="N45" s="139"/>
    </row>
    <row r="46" spans="1:14" x14ac:dyDescent="0.3">
      <c r="A46" s="115" t="s">
        <v>500</v>
      </c>
      <c r="B46" s="111">
        <v>1052169.0839542679</v>
      </c>
      <c r="C46" s="115" t="s">
        <v>500</v>
      </c>
      <c r="D46" s="147">
        <v>0</v>
      </c>
      <c r="E46" s="147">
        <v>0</v>
      </c>
      <c r="F46" s="147">
        <v>0</v>
      </c>
      <c r="G46" s="147">
        <v>0</v>
      </c>
      <c r="H46" s="147">
        <v>0.8</v>
      </c>
      <c r="I46" s="147">
        <v>0</v>
      </c>
      <c r="J46" s="147">
        <v>0.19</v>
      </c>
      <c r="K46" s="147">
        <v>0</v>
      </c>
      <c r="L46" s="147">
        <v>0.01</v>
      </c>
      <c r="M46" s="122">
        <f t="shared" si="1"/>
        <v>0.8</v>
      </c>
      <c r="N46" s="139"/>
    </row>
    <row r="47" spans="1:14" x14ac:dyDescent="0.3">
      <c r="A47" s="115" t="s">
        <v>501</v>
      </c>
      <c r="B47" s="111">
        <v>40539.813485330298</v>
      </c>
      <c r="C47" s="115" t="s">
        <v>501</v>
      </c>
      <c r="D47" s="147">
        <v>0</v>
      </c>
      <c r="E47" s="147">
        <v>1.6899999999999998E-2</v>
      </c>
      <c r="F47" s="147">
        <v>5.9186991869918939E-4</v>
      </c>
      <c r="G47" s="147">
        <v>8.1040650406504385E-3</v>
      </c>
      <c r="H47" s="147">
        <v>0.79749999999999999</v>
      </c>
      <c r="I47" s="147">
        <v>1.1655284552845575E-2</v>
      </c>
      <c r="J47" s="147">
        <v>0.16320000000000001</v>
      </c>
      <c r="K47" s="147">
        <v>2.0487804878048864E-3</v>
      </c>
      <c r="L47" s="147">
        <v>0</v>
      </c>
      <c r="M47" s="122">
        <f t="shared" si="1"/>
        <v>0.80014065040650406</v>
      </c>
      <c r="N47" s="139"/>
    </row>
    <row r="48" spans="1:14" x14ac:dyDescent="0.3">
      <c r="A48" s="115" t="s">
        <v>502</v>
      </c>
      <c r="B48" s="111">
        <v>181096.13615646225</v>
      </c>
      <c r="C48" s="115" t="s">
        <v>502</v>
      </c>
      <c r="D48" s="147">
        <v>0</v>
      </c>
      <c r="E48" s="147">
        <v>6.2199999999999998E-2</v>
      </c>
      <c r="F48" s="147">
        <v>2.4840764331211132E-5</v>
      </c>
      <c r="G48" s="147">
        <v>0.1414</v>
      </c>
      <c r="H48" s="147">
        <v>0.53639999999999999</v>
      </c>
      <c r="I48" s="147">
        <v>4.8917197452231153E-4</v>
      </c>
      <c r="J48" s="147">
        <v>0.25940000000000002</v>
      </c>
      <c r="K48" s="147">
        <v>8.598726114650007E-5</v>
      </c>
      <c r="L48" s="147">
        <v>0</v>
      </c>
      <c r="M48" s="122">
        <f t="shared" si="1"/>
        <v>0.53651082802547767</v>
      </c>
      <c r="N48" s="139"/>
    </row>
    <row r="49" spans="1:14" x14ac:dyDescent="0.3">
      <c r="A49" s="115" t="s">
        <v>503</v>
      </c>
      <c r="B49" s="111">
        <v>2931.8760584372435</v>
      </c>
      <c r="C49" s="115" t="s">
        <v>503</v>
      </c>
      <c r="D49" s="147">
        <v>0</v>
      </c>
      <c r="E49" s="147">
        <v>0</v>
      </c>
      <c r="F49" s="147">
        <v>0</v>
      </c>
      <c r="G49" s="147">
        <v>0.25</v>
      </c>
      <c r="H49" s="147">
        <v>0.25</v>
      </c>
      <c r="I49" s="147">
        <v>0</v>
      </c>
      <c r="J49" s="147">
        <v>0.5</v>
      </c>
      <c r="K49" s="147">
        <v>0</v>
      </c>
      <c r="L49" s="147">
        <v>0</v>
      </c>
      <c r="M49" s="122">
        <f t="shared" si="1"/>
        <v>0.25</v>
      </c>
      <c r="N49" s="139"/>
    </row>
    <row r="50" spans="1:14" x14ac:dyDescent="0.3">
      <c r="A50" s="115" t="s">
        <v>504</v>
      </c>
      <c r="B50" s="111">
        <v>217315.21587869164</v>
      </c>
      <c r="C50" s="115" t="s">
        <v>504</v>
      </c>
      <c r="D50" s="147">
        <v>0</v>
      </c>
      <c r="E50" s="147">
        <v>0.06</v>
      </c>
      <c r="F50" s="147">
        <v>0.41</v>
      </c>
      <c r="G50" s="147">
        <v>0.17</v>
      </c>
      <c r="H50" s="147">
        <v>4.00398406374502E-3</v>
      </c>
      <c r="I50" s="147">
        <v>5.0996015936254982E-3</v>
      </c>
      <c r="J50" s="147">
        <v>0.33</v>
      </c>
      <c r="K50" s="147">
        <v>8.9641434262948197E-4</v>
      </c>
      <c r="L50" s="147">
        <v>0.02</v>
      </c>
      <c r="M50" s="122">
        <f t="shared" si="1"/>
        <v>0.41490039840637449</v>
      </c>
      <c r="N50" s="139"/>
    </row>
    <row r="51" spans="1:14" x14ac:dyDescent="0.3">
      <c r="A51" s="115" t="s">
        <v>505</v>
      </c>
      <c r="B51" s="111">
        <v>3567808.5860113464</v>
      </c>
      <c r="C51" s="115" t="s">
        <v>505</v>
      </c>
      <c r="D51" s="147">
        <v>0</v>
      </c>
      <c r="E51" s="147">
        <v>0.17600000000000002</v>
      </c>
      <c r="F51" s="147">
        <v>4.5624203821656092E-3</v>
      </c>
      <c r="G51" s="147">
        <v>0.19</v>
      </c>
      <c r="H51" s="147">
        <v>0.26479999999999998</v>
      </c>
      <c r="I51" s="147">
        <v>8.9844585987261208E-2</v>
      </c>
      <c r="J51" s="147">
        <v>0.25900000000000001</v>
      </c>
      <c r="K51" s="147">
        <v>1.5792993630573262E-2</v>
      </c>
      <c r="L51" s="147">
        <v>0</v>
      </c>
      <c r="M51" s="122">
        <f t="shared" si="1"/>
        <v>0.28515541401273881</v>
      </c>
      <c r="N51" s="139"/>
    </row>
    <row r="52" spans="1:14" x14ac:dyDescent="0.3">
      <c r="A52" s="115" t="s">
        <v>506</v>
      </c>
      <c r="B52" s="111">
        <v>0</v>
      </c>
      <c r="C52" s="115" t="s">
        <v>506</v>
      </c>
      <c r="D52" s="147">
        <v>0</v>
      </c>
      <c r="E52" s="147">
        <v>0</v>
      </c>
      <c r="F52" s="147">
        <v>0</v>
      </c>
      <c r="G52" s="147">
        <v>0</v>
      </c>
      <c r="H52" s="147">
        <v>0</v>
      </c>
      <c r="I52" s="147">
        <v>0</v>
      </c>
      <c r="J52" s="147">
        <v>0</v>
      </c>
      <c r="K52" s="147">
        <v>0</v>
      </c>
      <c r="L52" s="147">
        <v>0</v>
      </c>
      <c r="M52" s="122">
        <f t="shared" si="1"/>
        <v>0</v>
      </c>
      <c r="N52" s="139"/>
    </row>
    <row r="53" spans="1:14" x14ac:dyDescent="0.3">
      <c r="A53" s="115" t="s">
        <v>507</v>
      </c>
      <c r="B53" s="111">
        <v>26197.546041655911</v>
      </c>
      <c r="C53" s="115" t="s">
        <v>507</v>
      </c>
      <c r="D53" s="147">
        <v>0</v>
      </c>
      <c r="E53" s="147">
        <v>0.10150000000000001</v>
      </c>
      <c r="F53" s="147">
        <v>5.7547770700636959E-4</v>
      </c>
      <c r="G53" s="147">
        <v>0.11539999999999999</v>
      </c>
      <c r="H53" s="147">
        <v>0.54</v>
      </c>
      <c r="I53" s="147">
        <v>1.1332484076433124E-2</v>
      </c>
      <c r="J53" s="147">
        <v>0.22920000000000001</v>
      </c>
      <c r="K53" s="147">
        <v>1.9920382165605102E-3</v>
      </c>
      <c r="L53" s="147">
        <v>0</v>
      </c>
      <c r="M53" s="122">
        <f t="shared" si="1"/>
        <v>0.54256751592356689</v>
      </c>
      <c r="N53" s="139"/>
    </row>
    <row r="54" spans="1:14" x14ac:dyDescent="0.3">
      <c r="A54" s="115" t="s">
        <v>508</v>
      </c>
      <c r="B54" s="111">
        <v>111728.66965266431</v>
      </c>
      <c r="C54" s="115" t="s">
        <v>508</v>
      </c>
      <c r="D54" s="147">
        <v>0</v>
      </c>
      <c r="E54" s="147">
        <v>0.1966</v>
      </c>
      <c r="F54" s="147">
        <v>1.1592356687897548E-4</v>
      </c>
      <c r="G54" s="147">
        <v>0.33990000000000004</v>
      </c>
      <c r="H54" s="147">
        <v>0.17699999999999999</v>
      </c>
      <c r="I54" s="147">
        <v>2.2828025477705936E-3</v>
      </c>
      <c r="J54" s="147">
        <v>0.28370000000000001</v>
      </c>
      <c r="K54" s="147">
        <v>4.012738853502997E-4</v>
      </c>
      <c r="L54" s="147">
        <v>0</v>
      </c>
      <c r="M54" s="122">
        <f t="shared" si="1"/>
        <v>0.17751719745222927</v>
      </c>
      <c r="N54" s="139"/>
    </row>
    <row r="55" spans="1:14" x14ac:dyDescent="0.3">
      <c r="A55" s="115" t="s">
        <v>509</v>
      </c>
      <c r="B55" s="111">
        <v>39411.769441185868</v>
      </c>
      <c r="C55" s="115" t="s">
        <v>509</v>
      </c>
      <c r="D55" s="147">
        <v>0</v>
      </c>
      <c r="E55" s="147">
        <v>5.4800000000000001E-2</v>
      </c>
      <c r="F55" s="147">
        <v>4.1351626016260133E-3</v>
      </c>
      <c r="G55" s="147">
        <v>5.6619918699186964E-2</v>
      </c>
      <c r="H55" s="147">
        <v>0.57640000000000002</v>
      </c>
      <c r="I55" s="147">
        <v>8.1430894308943055E-2</v>
      </c>
      <c r="J55" s="147">
        <v>0.21230000000000002</v>
      </c>
      <c r="K55" s="147">
        <v>1.4314024390243891E-2</v>
      </c>
      <c r="L55" s="147">
        <v>0</v>
      </c>
      <c r="M55" s="122">
        <f t="shared" si="1"/>
        <v>0.59484918699186995</v>
      </c>
      <c r="N55" s="139"/>
    </row>
    <row r="56" spans="1:14" x14ac:dyDescent="0.3">
      <c r="A56" s="115" t="s">
        <v>510</v>
      </c>
      <c r="B56" s="111">
        <v>16705.274604716524</v>
      </c>
      <c r="C56" s="115" t="s">
        <v>510</v>
      </c>
      <c r="D56" s="147">
        <v>0</v>
      </c>
      <c r="E56" s="147">
        <v>1.6813048933500599E-3</v>
      </c>
      <c r="F56" s="147">
        <v>5.8845671267252096E-3</v>
      </c>
      <c r="G56" s="147">
        <v>3.7000000000000002E-3</v>
      </c>
      <c r="H56" s="147">
        <v>3.7829360100376345E-3</v>
      </c>
      <c r="I56" s="147">
        <v>2.2151191969887036E-2</v>
      </c>
      <c r="J56" s="147">
        <v>6.6900000000000001E-2</v>
      </c>
      <c r="K56" s="147">
        <v>0.89590000000000003</v>
      </c>
      <c r="L56" s="147">
        <v>0</v>
      </c>
      <c r="M56" s="122">
        <f t="shared" si="1"/>
        <v>0.90556750313676293</v>
      </c>
      <c r="N56" s="139"/>
    </row>
    <row r="57" spans="1:14" x14ac:dyDescent="0.3">
      <c r="A57" s="115" t="s">
        <v>511</v>
      </c>
      <c r="B57" s="111">
        <v>1699591.0234474326</v>
      </c>
      <c r="C57" s="115" t="s">
        <v>511</v>
      </c>
      <c r="D57" s="147">
        <v>0</v>
      </c>
      <c r="E57" s="147">
        <v>0.27100000000000002</v>
      </c>
      <c r="F57" s="147">
        <v>0</v>
      </c>
      <c r="G57" s="147">
        <v>0.47369</v>
      </c>
      <c r="H57" s="147">
        <v>1.4119999999999999E-2</v>
      </c>
      <c r="I57" s="147">
        <v>0</v>
      </c>
      <c r="J57" s="147">
        <v>0.24609999999999999</v>
      </c>
      <c r="K57" s="147">
        <v>0</v>
      </c>
      <c r="L57" s="147">
        <v>0</v>
      </c>
      <c r="M57" s="122">
        <f t="shared" si="1"/>
        <v>1.4119999999999999E-2</v>
      </c>
      <c r="N57" s="139"/>
    </row>
    <row r="58" spans="1:14" x14ac:dyDescent="0.3">
      <c r="A58" s="115" t="s">
        <v>512</v>
      </c>
      <c r="B58" s="111">
        <v>588282.65659136733</v>
      </c>
      <c r="C58" s="115" t="s">
        <v>512</v>
      </c>
      <c r="D58" s="147">
        <v>0</v>
      </c>
      <c r="E58" s="147">
        <v>0.16109999999999999</v>
      </c>
      <c r="F58" s="147">
        <v>0</v>
      </c>
      <c r="G58" s="147">
        <v>0.13239999999999999</v>
      </c>
      <c r="H58" s="147">
        <v>0.44259999999999999</v>
      </c>
      <c r="I58" s="147">
        <v>0</v>
      </c>
      <c r="J58" s="147">
        <v>0.26390000000000002</v>
      </c>
      <c r="K58" s="147">
        <v>0</v>
      </c>
      <c r="L58" s="147">
        <v>0</v>
      </c>
      <c r="M58" s="122">
        <f t="shared" si="1"/>
        <v>0.44259999999999999</v>
      </c>
      <c r="N58" s="139"/>
    </row>
    <row r="59" spans="1:14" x14ac:dyDescent="0.3">
      <c r="A59" s="115" t="s">
        <v>513</v>
      </c>
      <c r="B59" s="111">
        <v>74910.629259767433</v>
      </c>
      <c r="C59" s="115" t="s">
        <v>513</v>
      </c>
      <c r="D59" s="147">
        <v>0</v>
      </c>
      <c r="E59" s="147">
        <v>0.14119999999999999</v>
      </c>
      <c r="F59" s="147">
        <v>0</v>
      </c>
      <c r="G59" s="147">
        <v>0.20679999999999998</v>
      </c>
      <c r="H59" s="147">
        <v>0.48969999999999997</v>
      </c>
      <c r="I59" s="147">
        <v>0</v>
      </c>
      <c r="J59" s="147">
        <v>0.1623</v>
      </c>
      <c r="K59" s="147">
        <v>0</v>
      </c>
      <c r="L59" s="147">
        <v>0</v>
      </c>
      <c r="M59" s="122">
        <f t="shared" si="1"/>
        <v>0.48969999999999997</v>
      </c>
      <c r="N59" s="139"/>
    </row>
    <row r="60" spans="1:14" x14ac:dyDescent="0.3">
      <c r="A60" s="115" t="s">
        <v>514</v>
      </c>
      <c r="B60" s="111">
        <v>3342484.411511302</v>
      </c>
      <c r="C60" s="115" t="s">
        <v>514</v>
      </c>
      <c r="D60" s="147">
        <v>0</v>
      </c>
      <c r="E60" s="147">
        <v>7.46E-2</v>
      </c>
      <c r="F60" s="147">
        <v>5.1917197452229329E-3</v>
      </c>
      <c r="G60" s="147">
        <v>2.3700000000000002E-2</v>
      </c>
      <c r="H60" s="147">
        <v>0.71959999999999991</v>
      </c>
      <c r="I60" s="147">
        <v>0.10223694267515927</v>
      </c>
      <c r="J60" s="147">
        <v>5.67E-2</v>
      </c>
      <c r="K60" s="147">
        <v>1.7971337579617844E-2</v>
      </c>
      <c r="L60" s="147">
        <v>0</v>
      </c>
      <c r="M60" s="122">
        <f t="shared" si="1"/>
        <v>0.74276305732484071</v>
      </c>
      <c r="N60" s="139"/>
    </row>
    <row r="61" spans="1:14" x14ac:dyDescent="0.3">
      <c r="A61" s="115" t="s">
        <v>515</v>
      </c>
      <c r="B61" s="111">
        <v>103188.03642257792</v>
      </c>
      <c r="C61" s="115" t="s">
        <v>515</v>
      </c>
      <c r="D61" s="147">
        <v>0</v>
      </c>
      <c r="E61" s="147">
        <v>7.2900000000000006E-2</v>
      </c>
      <c r="F61" s="147">
        <v>2.3433121019108267E-3</v>
      </c>
      <c r="G61" s="147">
        <v>0.10710000000000001</v>
      </c>
      <c r="H61" s="147">
        <v>0.68720000000000003</v>
      </c>
      <c r="I61" s="147">
        <v>4.6145222929936273E-2</v>
      </c>
      <c r="J61" s="147">
        <v>7.6200000000000004E-2</v>
      </c>
      <c r="K61" s="147">
        <v>8.1114649681528605E-3</v>
      </c>
      <c r="L61" s="147">
        <v>0</v>
      </c>
      <c r="M61" s="122">
        <f t="shared" si="1"/>
        <v>0.69765477707006374</v>
      </c>
      <c r="N61" s="139"/>
    </row>
    <row r="62" spans="1:14" x14ac:dyDescent="0.3">
      <c r="A62" s="115" t="s">
        <v>516</v>
      </c>
      <c r="B62" s="111">
        <v>51583.768661345712</v>
      </c>
      <c r="C62" s="115" t="s">
        <v>516</v>
      </c>
      <c r="D62" s="147">
        <v>0</v>
      </c>
      <c r="E62" s="147">
        <v>7.6700000000000004E-2</v>
      </c>
      <c r="F62" s="147">
        <v>2.5461783439490473E-3</v>
      </c>
      <c r="G62" s="147">
        <v>0.17059999999999997</v>
      </c>
      <c r="H62" s="147">
        <v>0.2268</v>
      </c>
      <c r="I62" s="147">
        <v>5.0140127388535086E-2</v>
      </c>
      <c r="J62" s="147">
        <v>0.46439999999999998</v>
      </c>
      <c r="K62" s="147">
        <v>8.8136942675159317E-3</v>
      </c>
      <c r="L62" s="147">
        <v>0</v>
      </c>
      <c r="M62" s="122">
        <f t="shared" si="1"/>
        <v>0.23815987261146498</v>
      </c>
      <c r="N62" s="139"/>
    </row>
    <row r="63" spans="1:14" x14ac:dyDescent="0.3">
      <c r="A63" s="115" t="s">
        <v>517</v>
      </c>
      <c r="B63" s="111">
        <v>2537850.5325680855</v>
      </c>
      <c r="C63" s="115" t="s">
        <v>517</v>
      </c>
      <c r="D63" s="147">
        <v>0</v>
      </c>
      <c r="E63" s="147">
        <v>0.15629999999999999</v>
      </c>
      <c r="F63" s="147">
        <v>0</v>
      </c>
      <c r="G63" s="147">
        <v>0.51200000000000001</v>
      </c>
      <c r="H63" s="147">
        <v>8.0000000000000002E-3</v>
      </c>
      <c r="I63" s="147">
        <v>0</v>
      </c>
      <c r="J63" s="147">
        <v>0.32369999999999999</v>
      </c>
      <c r="K63" s="147">
        <v>0</v>
      </c>
      <c r="L63" s="147">
        <v>0</v>
      </c>
      <c r="M63" s="122">
        <f t="shared" si="1"/>
        <v>8.0000000000000002E-3</v>
      </c>
      <c r="N63" s="139"/>
    </row>
    <row r="64" spans="1:14" x14ac:dyDescent="0.3">
      <c r="A64" s="115" t="s">
        <v>465</v>
      </c>
      <c r="B64" s="111">
        <v>4773855.0402433695</v>
      </c>
      <c r="C64" s="115" t="s">
        <v>465</v>
      </c>
      <c r="D64" s="147">
        <v>0</v>
      </c>
      <c r="E64" s="147">
        <v>0.18</v>
      </c>
      <c r="F64" s="147">
        <v>0</v>
      </c>
      <c r="G64" s="147">
        <v>0</v>
      </c>
      <c r="H64" s="147">
        <v>0</v>
      </c>
      <c r="I64" s="147">
        <v>0.77</v>
      </c>
      <c r="J64" s="147">
        <v>0.05</v>
      </c>
      <c r="K64" s="147">
        <v>0</v>
      </c>
      <c r="L64" s="147">
        <v>0</v>
      </c>
      <c r="M64" s="122">
        <f t="shared" si="1"/>
        <v>0</v>
      </c>
      <c r="N64" s="139"/>
    </row>
    <row r="65" spans="1:14" x14ac:dyDescent="0.3">
      <c r="A65" s="115" t="s">
        <v>466</v>
      </c>
      <c r="B65" s="111">
        <v>5278764.1757268067</v>
      </c>
      <c r="C65" s="115" t="s">
        <v>466</v>
      </c>
      <c r="D65" s="147">
        <v>1E-3</v>
      </c>
      <c r="E65" s="147">
        <v>4.0000000000000001E-3</v>
      </c>
      <c r="F65" s="147">
        <v>1.1000000000000001E-2</v>
      </c>
      <c r="G65" s="147">
        <v>0.80200000000000005</v>
      </c>
      <c r="H65" s="147">
        <v>0</v>
      </c>
      <c r="I65" s="147">
        <v>0</v>
      </c>
      <c r="J65" s="147">
        <v>4.9000000000000002E-2</v>
      </c>
      <c r="K65" s="147">
        <v>0</v>
      </c>
      <c r="L65" s="147">
        <v>0.13300000000000001</v>
      </c>
      <c r="M65" s="122">
        <f t="shared" si="1"/>
        <v>1.1000000000000001E-2</v>
      </c>
      <c r="N65" s="139"/>
    </row>
    <row r="66" spans="1:14" x14ac:dyDescent="0.3">
      <c r="A66" s="115" t="s">
        <v>518</v>
      </c>
      <c r="B66" s="111">
        <v>1736.5378804285713</v>
      </c>
      <c r="C66" s="115" t="s">
        <v>518</v>
      </c>
      <c r="D66" s="147">
        <v>0</v>
      </c>
      <c r="E66" s="147">
        <v>1.8638743455497383E-3</v>
      </c>
      <c r="F66" s="147">
        <v>0.13979057591623037</v>
      </c>
      <c r="G66" s="147">
        <v>0</v>
      </c>
      <c r="H66" s="147">
        <v>1.3979057591623037E-2</v>
      </c>
      <c r="I66" s="147">
        <v>0.24975916230366493</v>
      </c>
      <c r="J66" s="147">
        <v>0.11</v>
      </c>
      <c r="K66" s="147">
        <v>0.48460732984293192</v>
      </c>
      <c r="L66" s="147">
        <v>0</v>
      </c>
      <c r="M66" s="122">
        <f t="shared" si="1"/>
        <v>0.63837696335078531</v>
      </c>
      <c r="N66" s="139"/>
    </row>
    <row r="67" spans="1:14" x14ac:dyDescent="0.3">
      <c r="A67" s="115" t="s">
        <v>519</v>
      </c>
      <c r="B67" s="111">
        <v>0</v>
      </c>
      <c r="C67" s="115" t="s">
        <v>519</v>
      </c>
      <c r="D67" s="147">
        <v>0</v>
      </c>
      <c r="E67" s="147">
        <v>0</v>
      </c>
      <c r="F67" s="147">
        <v>0</v>
      </c>
      <c r="G67" s="147">
        <v>0</v>
      </c>
      <c r="H67" s="147">
        <v>0</v>
      </c>
      <c r="I67" s="147">
        <v>0</v>
      </c>
      <c r="J67" s="147">
        <v>0</v>
      </c>
      <c r="K67" s="147">
        <v>0</v>
      </c>
      <c r="L67" s="147">
        <v>0</v>
      </c>
      <c r="M67" s="122">
        <f t="shared" si="1"/>
        <v>0</v>
      </c>
      <c r="N67" s="139"/>
    </row>
    <row r="68" spans="1:14" x14ac:dyDescent="0.3">
      <c r="A68" s="115" t="s">
        <v>520</v>
      </c>
      <c r="B68" s="111">
        <v>553878.34909170039</v>
      </c>
      <c r="C68" s="115" t="s">
        <v>520</v>
      </c>
      <c r="D68" s="147">
        <v>0</v>
      </c>
      <c r="E68" s="147">
        <v>0</v>
      </c>
      <c r="F68" s="147">
        <v>8.900000000000001E-2</v>
      </c>
      <c r="G68" s="147">
        <v>0</v>
      </c>
      <c r="H68" s="147">
        <v>0</v>
      </c>
      <c r="I68" s="147">
        <v>0.22600000000000001</v>
      </c>
      <c r="J68" s="147">
        <v>0.06</v>
      </c>
      <c r="K68" s="147">
        <v>0.625</v>
      </c>
      <c r="L68" s="147">
        <v>0</v>
      </c>
      <c r="M68" s="122">
        <f t="shared" si="1"/>
        <v>0.71399999999999997</v>
      </c>
      <c r="N68" s="139"/>
    </row>
    <row r="69" spans="1:14" x14ac:dyDescent="0.3">
      <c r="A69" s="115" t="s">
        <v>521</v>
      </c>
      <c r="B69" s="111">
        <v>0</v>
      </c>
      <c r="C69" s="115" t="s">
        <v>521</v>
      </c>
      <c r="D69" s="147">
        <v>0</v>
      </c>
      <c r="E69" s="147">
        <v>0</v>
      </c>
      <c r="F69" s="147">
        <v>0</v>
      </c>
      <c r="G69" s="147">
        <v>0</v>
      </c>
      <c r="H69" s="147">
        <v>0</v>
      </c>
      <c r="I69" s="147">
        <v>0</v>
      </c>
      <c r="J69" s="147">
        <v>0</v>
      </c>
      <c r="K69" s="147">
        <v>0</v>
      </c>
      <c r="L69" s="147">
        <v>0</v>
      </c>
      <c r="M69" s="122">
        <f t="shared" si="1"/>
        <v>0</v>
      </c>
      <c r="N69" s="139"/>
    </row>
    <row r="70" spans="1:14" x14ac:dyDescent="0.3">
      <c r="A70" s="115" t="s">
        <v>522</v>
      </c>
      <c r="B70" s="111">
        <v>922.33967584773234</v>
      </c>
      <c r="C70" s="115" t="s">
        <v>522</v>
      </c>
      <c r="D70" s="147">
        <v>0</v>
      </c>
      <c r="E70" s="147">
        <v>8.0000000000000004E-4</v>
      </c>
      <c r="F70" s="147">
        <v>0.98680000000000012</v>
      </c>
      <c r="G70" s="147">
        <v>0</v>
      </c>
      <c r="H70" s="147">
        <v>2.1933962264150856E-4</v>
      </c>
      <c r="I70" s="147">
        <v>3.9188679245282859E-3</v>
      </c>
      <c r="J70" s="147">
        <v>6.5801886792452567E-4</v>
      </c>
      <c r="K70" s="147">
        <v>7.6037735849056286E-3</v>
      </c>
      <c r="L70" s="147">
        <v>0</v>
      </c>
      <c r="M70" s="122">
        <f t="shared" ref="M70:M133" si="2">F70+H70+K70</f>
        <v>0.99462311320754726</v>
      </c>
      <c r="N70" s="139"/>
    </row>
    <row r="71" spans="1:14" x14ac:dyDescent="0.3">
      <c r="A71" s="115" t="s">
        <v>523</v>
      </c>
      <c r="B71" s="111">
        <v>0</v>
      </c>
      <c r="C71" s="115" t="s">
        <v>523</v>
      </c>
      <c r="D71" s="147">
        <v>0</v>
      </c>
      <c r="E71" s="147">
        <v>0</v>
      </c>
      <c r="F71" s="147">
        <v>0</v>
      </c>
      <c r="G71" s="147">
        <v>0</v>
      </c>
      <c r="H71" s="147">
        <v>0</v>
      </c>
      <c r="I71" s="147">
        <v>0</v>
      </c>
      <c r="J71" s="147">
        <v>0</v>
      </c>
      <c r="K71" s="147">
        <v>0</v>
      </c>
      <c r="L71" s="147">
        <v>0</v>
      </c>
      <c r="M71" s="122">
        <f t="shared" si="2"/>
        <v>0</v>
      </c>
      <c r="N71" s="139"/>
    </row>
    <row r="72" spans="1:14" x14ac:dyDescent="0.3">
      <c r="A72" s="115" t="s">
        <v>524</v>
      </c>
      <c r="B72" s="111">
        <v>5815.3032549138961</v>
      </c>
      <c r="C72" s="115" t="s">
        <v>524</v>
      </c>
      <c r="D72" s="147">
        <v>0</v>
      </c>
      <c r="E72" s="147">
        <v>2E-3</v>
      </c>
      <c r="F72" s="147">
        <v>0.15</v>
      </c>
      <c r="G72" s="147">
        <v>0</v>
      </c>
      <c r="H72" s="147">
        <v>1.4999999999999999E-2</v>
      </c>
      <c r="I72" s="147">
        <v>0.26800000000000002</v>
      </c>
      <c r="J72" s="147">
        <v>4.4999999999999998E-2</v>
      </c>
      <c r="K72" s="147">
        <v>0.52</v>
      </c>
      <c r="L72" s="147">
        <v>0</v>
      </c>
      <c r="M72" s="122">
        <f t="shared" si="2"/>
        <v>0.68500000000000005</v>
      </c>
      <c r="N72" s="139"/>
    </row>
    <row r="73" spans="1:14" x14ac:dyDescent="0.3">
      <c r="A73" s="115" t="s">
        <v>525</v>
      </c>
      <c r="B73" s="111">
        <v>0</v>
      </c>
      <c r="C73" s="115" t="s">
        <v>525</v>
      </c>
      <c r="D73" s="147">
        <v>0</v>
      </c>
      <c r="E73" s="147">
        <v>0</v>
      </c>
      <c r="F73" s="147">
        <v>0</v>
      </c>
      <c r="G73" s="147">
        <v>0</v>
      </c>
      <c r="H73" s="147">
        <v>0</v>
      </c>
      <c r="I73" s="147">
        <v>0</v>
      </c>
      <c r="J73" s="147">
        <v>0</v>
      </c>
      <c r="K73" s="147">
        <v>0</v>
      </c>
      <c r="L73" s="147">
        <v>0</v>
      </c>
      <c r="M73" s="122">
        <f t="shared" si="2"/>
        <v>0</v>
      </c>
      <c r="N73" s="139"/>
    </row>
    <row r="74" spans="1:14" x14ac:dyDescent="0.3">
      <c r="A74" s="115" t="s">
        <v>526</v>
      </c>
      <c r="B74" s="111">
        <v>3796.7414791263409</v>
      </c>
      <c r="C74" s="115" t="s">
        <v>526</v>
      </c>
      <c r="D74" s="147">
        <v>0</v>
      </c>
      <c r="E74" s="147">
        <v>0</v>
      </c>
      <c r="F74" s="147">
        <v>0</v>
      </c>
      <c r="G74" s="147">
        <v>0</v>
      </c>
      <c r="H74" s="147">
        <v>0</v>
      </c>
      <c r="I74" s="147">
        <v>0.66</v>
      </c>
      <c r="J74" s="147">
        <v>0</v>
      </c>
      <c r="K74" s="147">
        <v>0.34</v>
      </c>
      <c r="L74" s="147">
        <v>0</v>
      </c>
      <c r="M74" s="122">
        <f t="shared" si="2"/>
        <v>0.34</v>
      </c>
      <c r="N74" s="139"/>
    </row>
    <row r="75" spans="1:14" x14ac:dyDescent="0.3">
      <c r="A75" s="115" t="s">
        <v>527</v>
      </c>
      <c r="B75" s="111">
        <v>6708.3289069530283</v>
      </c>
      <c r="C75" s="115" t="s">
        <v>527</v>
      </c>
      <c r="D75" s="147">
        <v>0</v>
      </c>
      <c r="E75" s="147">
        <v>0.183</v>
      </c>
      <c r="F75" s="147">
        <v>0.122</v>
      </c>
      <c r="G75" s="147">
        <v>0.67599999999999993</v>
      </c>
      <c r="H75" s="147">
        <v>0</v>
      </c>
      <c r="I75" s="147">
        <v>0</v>
      </c>
      <c r="J75" s="147">
        <v>0.02</v>
      </c>
      <c r="K75" s="147">
        <v>0</v>
      </c>
      <c r="L75" s="147">
        <v>0</v>
      </c>
      <c r="M75" s="122">
        <f t="shared" si="2"/>
        <v>0.122</v>
      </c>
      <c r="N75" s="139"/>
    </row>
    <row r="76" spans="1:14" x14ac:dyDescent="0.3">
      <c r="A76" s="115" t="s">
        <v>528</v>
      </c>
      <c r="B76" s="111">
        <v>103825.69439178368</v>
      </c>
      <c r="C76" s="115" t="s">
        <v>528</v>
      </c>
      <c r="D76" s="147">
        <v>0</v>
      </c>
      <c r="E76" s="147">
        <v>4.0000000000000001E-3</v>
      </c>
      <c r="F76" s="147">
        <v>4.0000000000000002E-4</v>
      </c>
      <c r="G76" s="147">
        <v>0</v>
      </c>
      <c r="H76" s="147">
        <v>0</v>
      </c>
      <c r="I76" s="147">
        <v>0.55520000000000003</v>
      </c>
      <c r="J76" s="147">
        <v>0.1211</v>
      </c>
      <c r="K76" s="147">
        <v>0.31929999999999997</v>
      </c>
      <c r="L76" s="147">
        <v>0</v>
      </c>
      <c r="M76" s="122">
        <f t="shared" si="2"/>
        <v>0.31969999999999998</v>
      </c>
      <c r="N76" s="139"/>
    </row>
    <row r="77" spans="1:14" x14ac:dyDescent="0.3">
      <c r="A77" s="115" t="s">
        <v>529</v>
      </c>
      <c r="B77" s="111">
        <v>1359279.0305945068</v>
      </c>
      <c r="C77" s="115" t="s">
        <v>529</v>
      </c>
      <c r="D77" s="147">
        <v>0</v>
      </c>
      <c r="E77" s="147">
        <v>2E-3</v>
      </c>
      <c r="F77" s="147">
        <v>0.21885209999999999</v>
      </c>
      <c r="G77" s="147">
        <v>0</v>
      </c>
      <c r="H77" s="147">
        <v>7.5900000000000037E-2</v>
      </c>
      <c r="I77" s="147">
        <v>0.1561932</v>
      </c>
      <c r="J77" s="147">
        <v>1.3999999999999999E-2</v>
      </c>
      <c r="K77" s="147">
        <v>0.53305469999999999</v>
      </c>
      <c r="L77" s="147">
        <v>0</v>
      </c>
      <c r="M77" s="122">
        <f t="shared" si="2"/>
        <v>0.82780680000000006</v>
      </c>
      <c r="N77" s="139"/>
    </row>
    <row r="78" spans="1:14" x14ac:dyDescent="0.3">
      <c r="A78" s="115" t="s">
        <v>530</v>
      </c>
      <c r="B78" s="111">
        <v>3939.0971366467338</v>
      </c>
      <c r="C78" s="115" t="s">
        <v>530</v>
      </c>
      <c r="D78" s="147">
        <v>0</v>
      </c>
      <c r="E78" s="147">
        <v>2.484472049689441E-5</v>
      </c>
      <c r="F78" s="147">
        <v>0.9</v>
      </c>
      <c r="G78" s="147">
        <v>0</v>
      </c>
      <c r="H78" s="147">
        <v>1.8633540372670808E-4</v>
      </c>
      <c r="I78" s="147">
        <v>3.329192546583851E-3</v>
      </c>
      <c r="J78" s="147">
        <v>0.09</v>
      </c>
      <c r="K78" s="147">
        <v>6.4596273291925464E-3</v>
      </c>
      <c r="L78" s="147">
        <v>0</v>
      </c>
      <c r="M78" s="122">
        <f t="shared" si="2"/>
        <v>0.90664596273291931</v>
      </c>
      <c r="N78" s="139"/>
    </row>
    <row r="79" spans="1:14" x14ac:dyDescent="0.3">
      <c r="A79" s="115" t="s">
        <v>531</v>
      </c>
      <c r="B79" s="111">
        <v>0</v>
      </c>
      <c r="C79" s="115" t="s">
        <v>531</v>
      </c>
      <c r="D79" s="147">
        <v>0</v>
      </c>
      <c r="E79" s="147">
        <v>0</v>
      </c>
      <c r="F79" s="147">
        <v>0</v>
      </c>
      <c r="G79" s="147">
        <v>0</v>
      </c>
      <c r="H79" s="147">
        <v>0</v>
      </c>
      <c r="I79" s="147">
        <v>0</v>
      </c>
      <c r="J79" s="147">
        <v>0</v>
      </c>
      <c r="K79" s="147">
        <v>0</v>
      </c>
      <c r="L79" s="147">
        <v>0</v>
      </c>
      <c r="M79" s="122">
        <f t="shared" si="2"/>
        <v>0</v>
      </c>
      <c r="N79" s="139"/>
    </row>
    <row r="80" spans="1:14" x14ac:dyDescent="0.3">
      <c r="A80" s="115" t="s">
        <v>532</v>
      </c>
      <c r="B80" s="111">
        <v>198990.12228670728</v>
      </c>
      <c r="C80" s="115" t="s">
        <v>532</v>
      </c>
      <c r="D80" s="147">
        <v>0</v>
      </c>
      <c r="E80" s="147">
        <v>4.4000000000000003E-3</v>
      </c>
      <c r="F80" s="147">
        <v>0.85250000000000004</v>
      </c>
      <c r="G80" s="147">
        <v>1.4000000000000002E-3</v>
      </c>
      <c r="H80" s="147">
        <v>1.4943925233644856E-3</v>
      </c>
      <c r="I80" s="147">
        <v>8.43E-2</v>
      </c>
      <c r="J80" s="147">
        <v>3.7000000000000002E-3</v>
      </c>
      <c r="K80" s="147">
        <v>5.1805607476635498E-2</v>
      </c>
      <c r="L80" s="147">
        <v>4.0000000000000002E-4</v>
      </c>
      <c r="M80" s="122">
        <f t="shared" si="2"/>
        <v>0.90580000000000005</v>
      </c>
      <c r="N80" s="139"/>
    </row>
    <row r="81" spans="1:14" x14ac:dyDescent="0.3">
      <c r="A81" s="115" t="s">
        <v>533</v>
      </c>
      <c r="B81" s="111">
        <v>476470.86928032647</v>
      </c>
      <c r="C81" s="115" t="s">
        <v>533</v>
      </c>
      <c r="D81" s="147">
        <v>0</v>
      </c>
      <c r="E81" s="147">
        <v>0</v>
      </c>
      <c r="F81" s="147">
        <v>0</v>
      </c>
      <c r="G81" s="147">
        <v>0</v>
      </c>
      <c r="H81" s="147">
        <v>0</v>
      </c>
      <c r="I81" s="147">
        <v>0.04</v>
      </c>
      <c r="J81" s="147">
        <v>0.17199999999999999</v>
      </c>
      <c r="K81" s="147">
        <v>0.89</v>
      </c>
      <c r="L81" s="147">
        <v>0</v>
      </c>
      <c r="M81" s="122">
        <f t="shared" si="2"/>
        <v>0.89</v>
      </c>
      <c r="N81" s="139"/>
    </row>
    <row r="82" spans="1:14" x14ac:dyDescent="0.3">
      <c r="A82" s="115" t="s">
        <v>534</v>
      </c>
      <c r="B82" s="111">
        <v>27495.59117627703</v>
      </c>
      <c r="C82" s="115" t="s">
        <v>534</v>
      </c>
      <c r="D82" s="147">
        <v>0</v>
      </c>
      <c r="E82" s="147">
        <v>0</v>
      </c>
      <c r="F82" s="147">
        <v>0.23499999999999999</v>
      </c>
      <c r="G82" s="147">
        <v>0</v>
      </c>
      <c r="H82" s="147">
        <v>0</v>
      </c>
      <c r="I82" s="147">
        <v>9.0999999999999998E-2</v>
      </c>
      <c r="J82" s="147">
        <v>1.26E-2</v>
      </c>
      <c r="K82" s="147">
        <v>0.67500000000000004</v>
      </c>
      <c r="L82" s="147">
        <v>0</v>
      </c>
      <c r="M82" s="122">
        <f t="shared" si="2"/>
        <v>0.91</v>
      </c>
      <c r="N82" s="139"/>
    </row>
    <row r="83" spans="1:14" x14ac:dyDescent="0.3">
      <c r="A83" s="115" t="s">
        <v>535</v>
      </c>
      <c r="B83" s="111">
        <v>100945.75052648777</v>
      </c>
      <c r="C83" s="115" t="s">
        <v>535</v>
      </c>
      <c r="D83" s="147">
        <v>0</v>
      </c>
      <c r="E83" s="147">
        <v>6.5549348230912877E-4</v>
      </c>
      <c r="F83" s="147">
        <v>0.30680000000000002</v>
      </c>
      <c r="G83" s="147">
        <v>0</v>
      </c>
      <c r="H83" s="147">
        <v>4.916201117318466E-3</v>
      </c>
      <c r="I83" s="147">
        <v>0.42229999999999895</v>
      </c>
      <c r="J83" s="147">
        <v>9.4899999999999998E-2</v>
      </c>
      <c r="K83" s="147">
        <v>0.17042830540037346</v>
      </c>
      <c r="L83" s="147">
        <v>0</v>
      </c>
      <c r="M83" s="122">
        <f t="shared" si="2"/>
        <v>0.48214450651769192</v>
      </c>
      <c r="N83" s="139"/>
    </row>
    <row r="84" spans="1:14" x14ac:dyDescent="0.3">
      <c r="A84" s="115" t="s">
        <v>536</v>
      </c>
      <c r="B84" s="111">
        <v>1225.6417246666665</v>
      </c>
      <c r="C84" s="115" t="s">
        <v>536</v>
      </c>
      <c r="D84" s="147">
        <v>0</v>
      </c>
      <c r="E84" s="147">
        <v>2.0523560209424084E-3</v>
      </c>
      <c r="F84" s="147">
        <v>0.15392670157068061</v>
      </c>
      <c r="G84" s="147">
        <v>0</v>
      </c>
      <c r="H84" s="147">
        <v>1.5392670157068062E-2</v>
      </c>
      <c r="I84" s="147">
        <v>0.27501570680628273</v>
      </c>
      <c r="J84" s="147">
        <v>0.02</v>
      </c>
      <c r="K84" s="147">
        <v>0.53361256544502611</v>
      </c>
      <c r="L84" s="147">
        <v>0</v>
      </c>
      <c r="M84" s="122">
        <f t="shared" si="2"/>
        <v>0.7029319371727748</v>
      </c>
      <c r="N84" s="139"/>
    </row>
    <row r="85" spans="1:14" x14ac:dyDescent="0.3">
      <c r="A85" s="115" t="s">
        <v>537</v>
      </c>
      <c r="B85" s="111">
        <v>9054.213478177222</v>
      </c>
      <c r="C85" s="115" t="s">
        <v>537</v>
      </c>
      <c r="D85" s="147">
        <v>0</v>
      </c>
      <c r="E85" s="147">
        <v>1.654450261780105E-3</v>
      </c>
      <c r="F85" s="147">
        <v>0.12408376963350784</v>
      </c>
      <c r="G85" s="147">
        <v>0</v>
      </c>
      <c r="H85" s="147">
        <v>1.2408376963350785E-2</v>
      </c>
      <c r="I85" s="147">
        <v>0.22169633507853403</v>
      </c>
      <c r="J85" s="147">
        <v>0.21</v>
      </c>
      <c r="K85" s="147">
        <v>0.43015706806282722</v>
      </c>
      <c r="L85" s="147">
        <v>0</v>
      </c>
      <c r="M85" s="122">
        <f t="shared" si="2"/>
        <v>0.56664921465968587</v>
      </c>
      <c r="N85" s="139"/>
    </row>
    <row r="86" spans="1:14" x14ac:dyDescent="0.3">
      <c r="A86" s="115" t="s">
        <v>538</v>
      </c>
      <c r="B86" s="111">
        <v>600.9135252786109</v>
      </c>
      <c r="C86" s="115" t="s">
        <v>538</v>
      </c>
      <c r="D86" s="147">
        <v>0</v>
      </c>
      <c r="E86" s="147">
        <v>1.4117647058823531E-4</v>
      </c>
      <c r="F86" s="147">
        <v>0.94</v>
      </c>
      <c r="G86" s="147">
        <v>0</v>
      </c>
      <c r="H86" s="147">
        <v>1.0588235294117646E-3</v>
      </c>
      <c r="I86" s="147">
        <v>1.8917647058823529E-2</v>
      </c>
      <c r="J86" s="147">
        <v>3.1764705882352941E-3</v>
      </c>
      <c r="K86" s="147">
        <v>3.6705882352941172E-2</v>
      </c>
      <c r="L86" s="147">
        <v>0</v>
      </c>
      <c r="M86" s="122">
        <f t="shared" si="2"/>
        <v>0.97776470588235287</v>
      </c>
      <c r="N86" s="139"/>
    </row>
    <row r="87" spans="1:14" x14ac:dyDescent="0.3">
      <c r="A87" s="115" t="s">
        <v>539</v>
      </c>
      <c r="B87" s="111">
        <v>477053.76464992075</v>
      </c>
      <c r="C87" s="115" t="s">
        <v>539</v>
      </c>
      <c r="D87" s="147">
        <v>0</v>
      </c>
      <c r="E87" s="147">
        <v>2.2903195923656768E-3</v>
      </c>
      <c r="F87" s="147">
        <v>0.17177396942742573</v>
      </c>
      <c r="G87" s="147">
        <v>0</v>
      </c>
      <c r="H87" s="147">
        <v>1.7177396942742573E-2</v>
      </c>
      <c r="I87" s="147">
        <v>0.72575831403746605</v>
      </c>
      <c r="J87" s="147">
        <v>8.199999999999999E-2</v>
      </c>
      <c r="K87" s="147">
        <v>1E-3</v>
      </c>
      <c r="L87" s="147">
        <v>0</v>
      </c>
      <c r="M87" s="122">
        <f t="shared" si="2"/>
        <v>0.1899513663701683</v>
      </c>
      <c r="N87" s="139"/>
    </row>
    <row r="88" spans="1:14" x14ac:dyDescent="0.3">
      <c r="A88" s="115" t="s">
        <v>540</v>
      </c>
      <c r="B88" s="111">
        <v>153644.19333395176</v>
      </c>
      <c r="C88" s="115" t="s">
        <v>540</v>
      </c>
      <c r="D88" s="147">
        <v>0</v>
      </c>
      <c r="E88" s="147">
        <v>1.389221556886227E-3</v>
      </c>
      <c r="F88" s="147">
        <v>0.10419161676646702</v>
      </c>
      <c r="G88" s="147">
        <v>0</v>
      </c>
      <c r="H88" s="147">
        <v>1.0419161676646702E-2</v>
      </c>
      <c r="I88" s="147">
        <v>0.2228</v>
      </c>
      <c r="J88" s="147">
        <v>0.129</v>
      </c>
      <c r="K88" s="147">
        <v>0.53220000000000001</v>
      </c>
      <c r="L88" s="147">
        <v>0</v>
      </c>
      <c r="M88" s="122">
        <f t="shared" si="2"/>
        <v>0.64681077844311374</v>
      </c>
      <c r="N88" s="139"/>
    </row>
    <row r="89" spans="1:14" x14ac:dyDescent="0.3">
      <c r="A89" s="115" t="s">
        <v>541</v>
      </c>
      <c r="B89" s="111">
        <v>0</v>
      </c>
      <c r="C89" s="115" t="s">
        <v>541</v>
      </c>
      <c r="D89" s="147">
        <v>0</v>
      </c>
      <c r="E89" s="147">
        <v>0</v>
      </c>
      <c r="F89" s="147">
        <v>0</v>
      </c>
      <c r="G89" s="147">
        <v>0</v>
      </c>
      <c r="H89" s="147">
        <v>0</v>
      </c>
      <c r="I89" s="147">
        <v>0</v>
      </c>
      <c r="J89" s="147">
        <v>0</v>
      </c>
      <c r="K89" s="147">
        <v>0</v>
      </c>
      <c r="L89" s="147">
        <v>0</v>
      </c>
      <c r="M89" s="122">
        <f t="shared" si="2"/>
        <v>0</v>
      </c>
      <c r="N89" s="139"/>
    </row>
    <row r="90" spans="1:14" x14ac:dyDescent="0.3">
      <c r="A90" s="115" t="s">
        <v>542</v>
      </c>
      <c r="B90" s="111">
        <v>0</v>
      </c>
      <c r="C90" s="115" t="s">
        <v>542</v>
      </c>
      <c r="D90" s="147">
        <v>0</v>
      </c>
      <c r="E90" s="147">
        <v>0</v>
      </c>
      <c r="F90" s="147">
        <v>0</v>
      </c>
      <c r="G90" s="147">
        <v>0</v>
      </c>
      <c r="H90" s="147">
        <v>0</v>
      </c>
      <c r="I90" s="147">
        <v>0</v>
      </c>
      <c r="J90" s="147">
        <v>0</v>
      </c>
      <c r="K90" s="147">
        <v>0</v>
      </c>
      <c r="L90" s="147">
        <v>0</v>
      </c>
      <c r="M90" s="122">
        <f t="shared" si="2"/>
        <v>0</v>
      </c>
      <c r="N90" s="139"/>
    </row>
    <row r="91" spans="1:14" x14ac:dyDescent="0.3">
      <c r="A91" s="115" t="s">
        <v>543</v>
      </c>
      <c r="B91" s="111">
        <v>1179.4953531151223</v>
      </c>
      <c r="C91" s="115" t="s">
        <v>543</v>
      </c>
      <c r="D91" s="147">
        <v>0</v>
      </c>
      <c r="E91" s="147">
        <v>2E-3</v>
      </c>
      <c r="F91" s="147">
        <v>0.98299999999999998</v>
      </c>
      <c r="G91" s="147">
        <v>0</v>
      </c>
      <c r="H91" s="147">
        <v>0</v>
      </c>
      <c r="I91" s="147">
        <v>0</v>
      </c>
      <c r="J91" s="147">
        <v>0</v>
      </c>
      <c r="K91" s="147">
        <v>0</v>
      </c>
      <c r="L91" s="147">
        <v>1.4999999999999999E-2</v>
      </c>
      <c r="M91" s="122">
        <f t="shared" si="2"/>
        <v>0.98299999999999998</v>
      </c>
      <c r="N91" s="139"/>
    </row>
    <row r="92" spans="1:14" x14ac:dyDescent="0.3">
      <c r="A92" s="115" t="s">
        <v>544</v>
      </c>
      <c r="B92" s="111">
        <v>139466.47782927204</v>
      </c>
      <c r="C92" s="115" t="s">
        <v>544</v>
      </c>
      <c r="D92" s="147">
        <v>0</v>
      </c>
      <c r="E92" s="147">
        <v>1.6774193548387106E-3</v>
      </c>
      <c r="F92" s="147">
        <v>9.6000000000000002E-2</v>
      </c>
      <c r="G92" s="147">
        <v>0</v>
      </c>
      <c r="H92" s="147">
        <v>1.258064516129033E-2</v>
      </c>
      <c r="I92" s="147">
        <v>0.69799999999999995</v>
      </c>
      <c r="J92" s="147">
        <v>3.7741935483870989E-2</v>
      </c>
      <c r="K92" s="147">
        <v>0.154</v>
      </c>
      <c r="L92" s="147">
        <v>0</v>
      </c>
      <c r="M92" s="122">
        <f t="shared" si="2"/>
        <v>0.26258064516129032</v>
      </c>
      <c r="N92" s="139"/>
    </row>
    <row r="93" spans="1:14" x14ac:dyDescent="0.3">
      <c r="A93" s="115" t="s">
        <v>545</v>
      </c>
      <c r="B93" s="111">
        <v>0</v>
      </c>
      <c r="C93" s="115" t="s">
        <v>545</v>
      </c>
      <c r="D93" s="147">
        <v>0</v>
      </c>
      <c r="E93" s="147">
        <v>0</v>
      </c>
      <c r="F93" s="147">
        <v>0</v>
      </c>
      <c r="G93" s="147">
        <v>0</v>
      </c>
      <c r="H93" s="147">
        <v>0</v>
      </c>
      <c r="I93" s="147">
        <v>0</v>
      </c>
      <c r="J93" s="147">
        <v>0</v>
      </c>
      <c r="K93" s="147">
        <v>0</v>
      </c>
      <c r="L93" s="147">
        <v>0</v>
      </c>
      <c r="M93" s="122">
        <f t="shared" si="2"/>
        <v>0</v>
      </c>
      <c r="N93" s="139"/>
    </row>
    <row r="94" spans="1:14" x14ac:dyDescent="0.3">
      <c r="A94" s="115" t="s">
        <v>546</v>
      </c>
      <c r="B94" s="111">
        <v>18083.422992091993</v>
      </c>
      <c r="C94" s="115" t="s">
        <v>546</v>
      </c>
      <c r="D94" s="147">
        <v>0</v>
      </c>
      <c r="E94" s="147">
        <v>8.1042553191489368E-4</v>
      </c>
      <c r="F94" s="147">
        <v>6.0781914893617027E-2</v>
      </c>
      <c r="G94" s="147">
        <v>0</v>
      </c>
      <c r="H94" s="147">
        <v>0.61370000000000002</v>
      </c>
      <c r="I94" s="147">
        <v>0.10859702127659576</v>
      </c>
      <c r="J94" s="147">
        <v>5.4000000000000003E-3</v>
      </c>
      <c r="K94" s="147">
        <v>0.2107106382978724</v>
      </c>
      <c r="L94" s="147">
        <v>0</v>
      </c>
      <c r="M94" s="122">
        <f t="shared" si="2"/>
        <v>0.88519255319148948</v>
      </c>
      <c r="N94" s="139"/>
    </row>
    <row r="95" spans="1:14" x14ac:dyDescent="0.3">
      <c r="A95" s="115" t="s">
        <v>547</v>
      </c>
      <c r="B95" s="111">
        <v>92057.018102500006</v>
      </c>
      <c r="C95" s="115" t="s">
        <v>547</v>
      </c>
      <c r="D95" s="147">
        <v>0</v>
      </c>
      <c r="E95" s="147">
        <v>4.4516129032258064E-3</v>
      </c>
      <c r="F95" s="147">
        <v>0.59899999999999998</v>
      </c>
      <c r="G95" s="147">
        <v>0</v>
      </c>
      <c r="H95" s="147">
        <v>3.3387096774193541E-2</v>
      </c>
      <c r="I95" s="147">
        <v>0.15</v>
      </c>
      <c r="J95" s="147">
        <v>0.10016129032258063</v>
      </c>
      <c r="K95" s="147">
        <v>0.113</v>
      </c>
      <c r="L95" s="147">
        <v>0</v>
      </c>
      <c r="M95" s="122">
        <f t="shared" si="2"/>
        <v>0.74538709677419346</v>
      </c>
      <c r="N95" s="139"/>
    </row>
    <row r="96" spans="1:14" x14ac:dyDescent="0.3">
      <c r="A96" s="115" t="s">
        <v>548</v>
      </c>
      <c r="B96" s="111">
        <v>99216.346277533637</v>
      </c>
      <c r="C96" s="115" t="s">
        <v>548</v>
      </c>
      <c r="D96" s="147">
        <v>0</v>
      </c>
      <c r="E96" s="147">
        <v>2.1190588235294118E-3</v>
      </c>
      <c r="F96" s="147">
        <v>9.9399999999999988E-2</v>
      </c>
      <c r="G96" s="147">
        <v>0</v>
      </c>
      <c r="H96" s="147">
        <v>1.5892941176470589E-2</v>
      </c>
      <c r="I96" s="147">
        <v>0.28395388235294122</v>
      </c>
      <c r="J96" s="147">
        <v>4.767882352941176E-2</v>
      </c>
      <c r="K96" s="147">
        <v>0.55095529411764699</v>
      </c>
      <c r="L96" s="147">
        <v>0</v>
      </c>
      <c r="M96" s="122">
        <f t="shared" si="2"/>
        <v>0.66624823529411759</v>
      </c>
      <c r="N96" s="139"/>
    </row>
    <row r="97" spans="1:14" x14ac:dyDescent="0.3">
      <c r="A97" s="115" t="s">
        <v>549</v>
      </c>
      <c r="B97" s="111">
        <v>15702.009901128571</v>
      </c>
      <c r="C97" s="115" t="s">
        <v>549</v>
      </c>
      <c r="D97" s="147">
        <v>0</v>
      </c>
      <c r="E97" s="147">
        <v>1.6470588235294119E-4</v>
      </c>
      <c r="F97" s="147">
        <v>0.64</v>
      </c>
      <c r="G97" s="147">
        <v>0</v>
      </c>
      <c r="H97" s="147">
        <v>1.2352941176470588E-3</v>
      </c>
      <c r="I97" s="147">
        <v>2.2070588235294116E-2</v>
      </c>
      <c r="J97" s="147">
        <v>3.7058823529411765E-3</v>
      </c>
      <c r="K97" s="147">
        <v>4.2823529411764705E-2</v>
      </c>
      <c r="L97" s="147">
        <v>0.28999999999999998</v>
      </c>
      <c r="M97" s="122">
        <f t="shared" si="2"/>
        <v>0.68405882352941183</v>
      </c>
      <c r="N97" s="139"/>
    </row>
    <row r="98" spans="1:14" x14ac:dyDescent="0.3">
      <c r="A98" s="115" t="s">
        <v>550</v>
      </c>
      <c r="B98" s="111">
        <v>635.29659036252508</v>
      </c>
      <c r="C98" s="115" t="s">
        <v>550</v>
      </c>
      <c r="D98" s="147">
        <v>0</v>
      </c>
      <c r="E98" s="147">
        <v>0</v>
      </c>
      <c r="F98" s="147">
        <v>1</v>
      </c>
      <c r="G98" s="147">
        <v>0</v>
      </c>
      <c r="H98" s="147">
        <v>0</v>
      </c>
      <c r="I98" s="147">
        <v>0</v>
      </c>
      <c r="J98" s="147">
        <v>0</v>
      </c>
      <c r="K98" s="147">
        <v>0</v>
      </c>
      <c r="L98" s="147">
        <v>0</v>
      </c>
      <c r="M98" s="122">
        <f t="shared" si="2"/>
        <v>1</v>
      </c>
      <c r="N98" s="139"/>
    </row>
    <row r="99" spans="1:14" x14ac:dyDescent="0.3">
      <c r="A99" s="115" t="s">
        <v>551</v>
      </c>
      <c r="B99" s="111">
        <v>2038.3715748571433</v>
      </c>
      <c r="C99" s="115" t="s">
        <v>551</v>
      </c>
      <c r="D99" s="147">
        <v>0</v>
      </c>
      <c r="E99" s="147">
        <v>1E-3</v>
      </c>
      <c r="F99" s="147">
        <v>0.96799999999999997</v>
      </c>
      <c r="G99" s="147">
        <v>0</v>
      </c>
      <c r="H99" s="147">
        <v>8.8443396226417609E-5</v>
      </c>
      <c r="I99" s="147">
        <v>1.5801886792453279E-3</v>
      </c>
      <c r="J99" s="147">
        <v>2.6533018867925281E-4</v>
      </c>
      <c r="K99" s="147">
        <v>3.0660377358491435E-3</v>
      </c>
      <c r="L99" s="147">
        <v>2.6000000000000002E-2</v>
      </c>
      <c r="M99" s="122">
        <f t="shared" si="2"/>
        <v>0.97115448113207548</v>
      </c>
      <c r="N99" s="139"/>
    </row>
    <row r="100" spans="1:14" x14ac:dyDescent="0.3">
      <c r="A100" s="115" t="s">
        <v>552</v>
      </c>
      <c r="B100" s="111">
        <v>386.0718026666666</v>
      </c>
      <c r="C100" s="115" t="s">
        <v>552</v>
      </c>
      <c r="D100" s="147">
        <v>0</v>
      </c>
      <c r="E100" s="147">
        <v>2E-3</v>
      </c>
      <c r="F100" s="147">
        <v>0.15</v>
      </c>
      <c r="G100" s="147">
        <v>0</v>
      </c>
      <c r="H100" s="147">
        <v>1.4999999999999999E-2</v>
      </c>
      <c r="I100" s="147">
        <v>0.26800000000000002</v>
      </c>
      <c r="J100" s="147">
        <v>4.4999999999999998E-2</v>
      </c>
      <c r="K100" s="147">
        <v>0.52</v>
      </c>
      <c r="L100" s="147">
        <v>0</v>
      </c>
      <c r="M100" s="122">
        <f t="shared" si="2"/>
        <v>0.68500000000000005</v>
      </c>
      <c r="N100" s="139"/>
    </row>
    <row r="101" spans="1:14" x14ac:dyDescent="0.3">
      <c r="A101" s="115" t="s">
        <v>553</v>
      </c>
      <c r="B101" s="111">
        <v>632587.38454631681</v>
      </c>
      <c r="C101" s="115" t="s">
        <v>553</v>
      </c>
      <c r="D101" s="147">
        <v>0</v>
      </c>
      <c r="E101" s="147">
        <v>0</v>
      </c>
      <c r="F101" s="147">
        <v>0</v>
      </c>
      <c r="G101" s="147">
        <v>0</v>
      </c>
      <c r="H101" s="147">
        <v>0</v>
      </c>
      <c r="I101" s="147">
        <v>0.21</v>
      </c>
      <c r="J101" s="147">
        <v>0.05</v>
      </c>
      <c r="K101" s="147">
        <v>0.745</v>
      </c>
      <c r="L101" s="147">
        <v>0</v>
      </c>
      <c r="M101" s="122">
        <f t="shared" si="2"/>
        <v>0.745</v>
      </c>
      <c r="N101" s="139"/>
    </row>
    <row r="102" spans="1:14" x14ac:dyDescent="0.3">
      <c r="A102" s="115" t="s">
        <v>554</v>
      </c>
      <c r="B102" s="111">
        <v>0</v>
      </c>
      <c r="C102" s="115" t="s">
        <v>554</v>
      </c>
      <c r="D102" s="147">
        <v>0</v>
      </c>
      <c r="E102" s="147">
        <v>0</v>
      </c>
      <c r="F102" s="147">
        <v>0</v>
      </c>
      <c r="G102" s="147">
        <v>0</v>
      </c>
      <c r="H102" s="147">
        <v>0</v>
      </c>
      <c r="I102" s="147">
        <v>0</v>
      </c>
      <c r="J102" s="147">
        <v>0</v>
      </c>
      <c r="K102" s="147">
        <v>0</v>
      </c>
      <c r="L102" s="147">
        <v>0</v>
      </c>
      <c r="M102" s="122">
        <f t="shared" si="2"/>
        <v>0</v>
      </c>
      <c r="N102" s="139"/>
    </row>
    <row r="103" spans="1:14" x14ac:dyDescent="0.3">
      <c r="A103" s="115" t="s">
        <v>555</v>
      </c>
      <c r="B103" s="111">
        <v>0</v>
      </c>
      <c r="C103" s="115" t="s">
        <v>555</v>
      </c>
      <c r="D103" s="147">
        <v>0</v>
      </c>
      <c r="E103" s="147">
        <v>0</v>
      </c>
      <c r="F103" s="147">
        <v>0</v>
      </c>
      <c r="G103" s="147">
        <v>0</v>
      </c>
      <c r="H103" s="147">
        <v>0</v>
      </c>
      <c r="I103" s="147">
        <v>0</v>
      </c>
      <c r="J103" s="147">
        <v>0</v>
      </c>
      <c r="K103" s="147">
        <v>0</v>
      </c>
      <c r="L103" s="147">
        <v>0</v>
      </c>
      <c r="M103" s="122">
        <f t="shared" si="2"/>
        <v>0</v>
      </c>
      <c r="N103" s="139"/>
    </row>
    <row r="104" spans="1:14" x14ac:dyDescent="0.3">
      <c r="A104" s="115" t="s">
        <v>556</v>
      </c>
      <c r="B104" s="111">
        <v>63737.587268095231</v>
      </c>
      <c r="C104" s="115" t="s">
        <v>556</v>
      </c>
      <c r="D104" s="147">
        <v>0</v>
      </c>
      <c r="E104" s="147">
        <v>0</v>
      </c>
      <c r="F104" s="147">
        <v>0</v>
      </c>
      <c r="G104" s="147">
        <v>0</v>
      </c>
      <c r="H104" s="147">
        <v>0.19600000000000001</v>
      </c>
      <c r="I104" s="147">
        <v>0.59299999999999997</v>
      </c>
      <c r="J104" s="147">
        <v>0</v>
      </c>
      <c r="K104" s="147">
        <v>0</v>
      </c>
      <c r="L104" s="147">
        <v>0.21100000000000002</v>
      </c>
      <c r="M104" s="122">
        <f t="shared" si="2"/>
        <v>0.19600000000000001</v>
      </c>
      <c r="N104" s="139"/>
    </row>
    <row r="105" spans="1:14" x14ac:dyDescent="0.3">
      <c r="A105" s="115" t="s">
        <v>557</v>
      </c>
      <c r="B105" s="111">
        <v>45895.769398426033</v>
      </c>
      <c r="C105" s="115" t="s">
        <v>557</v>
      </c>
      <c r="D105" s="147">
        <v>0</v>
      </c>
      <c r="E105" s="147">
        <v>0</v>
      </c>
      <c r="F105" s="147">
        <v>0.16</v>
      </c>
      <c r="G105" s="147">
        <v>0</v>
      </c>
      <c r="H105" s="147">
        <v>0</v>
      </c>
      <c r="I105" s="147">
        <v>0.23399999999999999</v>
      </c>
      <c r="J105" s="147">
        <v>0</v>
      </c>
      <c r="K105" s="147">
        <v>0.41700000000000004</v>
      </c>
      <c r="L105" s="147">
        <v>0.18899999999999997</v>
      </c>
      <c r="M105" s="122">
        <f t="shared" si="2"/>
        <v>0.57700000000000007</v>
      </c>
      <c r="N105" s="139"/>
    </row>
    <row r="106" spans="1:14" x14ac:dyDescent="0.3">
      <c r="A106" s="115" t="s">
        <v>558</v>
      </c>
      <c r="B106" s="111">
        <v>315035.44875885919</v>
      </c>
      <c r="C106" s="115" t="s">
        <v>558</v>
      </c>
      <c r="D106" s="147">
        <v>0</v>
      </c>
      <c r="E106" s="147">
        <v>0</v>
      </c>
      <c r="F106" s="147">
        <v>0.15579999999999999</v>
      </c>
      <c r="G106" s="147">
        <v>0</v>
      </c>
      <c r="H106" s="147">
        <v>0</v>
      </c>
      <c r="I106" s="147">
        <v>0.56389999999999996</v>
      </c>
      <c r="J106" s="147">
        <v>0.04</v>
      </c>
      <c r="K106" s="147">
        <v>0.24030000000000001</v>
      </c>
      <c r="L106" s="147">
        <v>0</v>
      </c>
      <c r="M106" s="122">
        <f t="shared" si="2"/>
        <v>0.39610000000000001</v>
      </c>
      <c r="N106" s="139"/>
    </row>
    <row r="107" spans="1:14" x14ac:dyDescent="0.3">
      <c r="A107" s="115" t="s">
        <v>559</v>
      </c>
      <c r="B107" s="111">
        <v>66651.802030451014</v>
      </c>
      <c r="C107" s="115" t="s">
        <v>559</v>
      </c>
      <c r="D107" s="147">
        <v>0</v>
      </c>
      <c r="E107" s="147">
        <v>4.1489361702127663E-4</v>
      </c>
      <c r="F107" s="147">
        <v>3.1117021276595748E-2</v>
      </c>
      <c r="G107" s="147">
        <v>0</v>
      </c>
      <c r="H107" s="147">
        <v>0.66500000000000004</v>
      </c>
      <c r="I107" s="147">
        <v>5.5595744680851066E-2</v>
      </c>
      <c r="J107" s="147">
        <v>0.14000000000000001</v>
      </c>
      <c r="K107" s="147">
        <v>0.10787234042553191</v>
      </c>
      <c r="L107" s="147">
        <v>0</v>
      </c>
      <c r="M107" s="122">
        <f t="shared" si="2"/>
        <v>0.80398936170212776</v>
      </c>
      <c r="N107" s="139"/>
    </row>
    <row r="108" spans="1:14" x14ac:dyDescent="0.3">
      <c r="A108" s="115" t="s">
        <v>560</v>
      </c>
      <c r="B108" s="111">
        <v>62967.429652260944</v>
      </c>
      <c r="C108" s="115" t="s">
        <v>560</v>
      </c>
      <c r="D108" s="147">
        <v>0</v>
      </c>
      <c r="E108" s="147">
        <v>0</v>
      </c>
      <c r="F108" s="147">
        <v>0.40200000000000002</v>
      </c>
      <c r="G108" s="147">
        <v>0</v>
      </c>
      <c r="H108" s="147">
        <v>0</v>
      </c>
      <c r="I108" s="147">
        <v>0.23399999999999999</v>
      </c>
      <c r="J108" s="147">
        <v>0</v>
      </c>
      <c r="K108" s="147">
        <v>0.36399999999999999</v>
      </c>
      <c r="L108" s="147">
        <v>0</v>
      </c>
      <c r="M108" s="122">
        <f t="shared" si="2"/>
        <v>0.76600000000000001</v>
      </c>
      <c r="N108" s="139"/>
    </row>
    <row r="109" spans="1:14" x14ac:dyDescent="0.3">
      <c r="A109" s="115" t="s">
        <v>561</v>
      </c>
      <c r="B109" s="111">
        <v>0</v>
      </c>
      <c r="C109" s="115" t="s">
        <v>561</v>
      </c>
      <c r="D109" s="147">
        <v>0</v>
      </c>
      <c r="E109" s="147">
        <v>0</v>
      </c>
      <c r="F109" s="147">
        <v>0</v>
      </c>
      <c r="G109" s="147">
        <v>0</v>
      </c>
      <c r="H109" s="147">
        <v>0</v>
      </c>
      <c r="I109" s="147">
        <v>0</v>
      </c>
      <c r="J109" s="147">
        <v>0</v>
      </c>
      <c r="K109" s="147">
        <v>0</v>
      </c>
      <c r="L109" s="147">
        <v>0</v>
      </c>
      <c r="M109" s="122">
        <f t="shared" si="2"/>
        <v>0</v>
      </c>
      <c r="N109" s="139"/>
    </row>
    <row r="110" spans="1:14" x14ac:dyDescent="0.3">
      <c r="A110" s="115" t="s">
        <v>562</v>
      </c>
      <c r="B110" s="111">
        <v>58825.58390417121</v>
      </c>
      <c r="C110" s="115" t="s">
        <v>562</v>
      </c>
      <c r="D110" s="147">
        <v>0</v>
      </c>
      <c r="E110" s="147">
        <v>9.4339622641504086E-6</v>
      </c>
      <c r="F110" s="147">
        <v>7.0754716981128048E-4</v>
      </c>
      <c r="G110" s="147">
        <v>0</v>
      </c>
      <c r="H110" s="147">
        <v>7.0754716981128054E-5</v>
      </c>
      <c r="I110" s="147">
        <v>0.13800000000000001</v>
      </c>
      <c r="J110" s="147">
        <v>2.1226415094338419E-4</v>
      </c>
      <c r="K110" s="147">
        <v>0.78200000000000003</v>
      </c>
      <c r="L110" s="147">
        <v>7.9000000000000001E-2</v>
      </c>
      <c r="M110" s="122">
        <f t="shared" si="2"/>
        <v>0.78277830188679243</v>
      </c>
      <c r="N110" s="139"/>
    </row>
    <row r="111" spans="1:14" x14ac:dyDescent="0.3">
      <c r="A111" s="115" t="s">
        <v>563</v>
      </c>
      <c r="B111" s="111">
        <v>5639.7947512043893</v>
      </c>
      <c r="C111" s="115" t="s">
        <v>563</v>
      </c>
      <c r="D111" s="147">
        <v>0</v>
      </c>
      <c r="E111" s="147">
        <v>1.010928961748634E-3</v>
      </c>
      <c r="F111" s="147">
        <v>7.5819672131147542E-2</v>
      </c>
      <c r="G111" s="147">
        <v>0</v>
      </c>
      <c r="H111" s="147">
        <v>7.5819672131147544E-3</v>
      </c>
      <c r="I111" s="147">
        <v>0.63</v>
      </c>
      <c r="J111" s="147">
        <v>2.274590163934426E-2</v>
      </c>
      <c r="K111" s="147">
        <v>0.26284153005464478</v>
      </c>
      <c r="L111" s="147">
        <v>0</v>
      </c>
      <c r="M111" s="122">
        <f t="shared" si="2"/>
        <v>0.34624316939890709</v>
      </c>
      <c r="N111" s="139"/>
    </row>
    <row r="112" spans="1:14" x14ac:dyDescent="0.3">
      <c r="A112" s="115" t="s">
        <v>564</v>
      </c>
      <c r="B112" s="111">
        <v>262.731672</v>
      </c>
      <c r="C112" s="115" t="s">
        <v>564</v>
      </c>
      <c r="D112" s="147">
        <v>0</v>
      </c>
      <c r="E112" s="147">
        <v>2E-3</v>
      </c>
      <c r="F112" s="147">
        <v>0.15</v>
      </c>
      <c r="G112" s="147">
        <v>0</v>
      </c>
      <c r="H112" s="147">
        <v>1.4999999999999999E-2</v>
      </c>
      <c r="I112" s="147">
        <v>0.26800000000000002</v>
      </c>
      <c r="J112" s="147">
        <v>4.4999999999999998E-2</v>
      </c>
      <c r="K112" s="147">
        <v>0.52</v>
      </c>
      <c r="L112" s="147">
        <v>0</v>
      </c>
      <c r="M112" s="122">
        <f t="shared" si="2"/>
        <v>0.68500000000000005</v>
      </c>
      <c r="N112" s="139"/>
    </row>
    <row r="113" spans="1:14" x14ac:dyDescent="0.3">
      <c r="A113" s="115" t="s">
        <v>565</v>
      </c>
      <c r="B113" s="111">
        <v>276.639048</v>
      </c>
      <c r="C113" s="115" t="s">
        <v>565</v>
      </c>
      <c r="D113" s="147">
        <v>0</v>
      </c>
      <c r="E113" s="147">
        <v>2E-3</v>
      </c>
      <c r="F113" s="147">
        <v>0.15</v>
      </c>
      <c r="G113" s="147">
        <v>0</v>
      </c>
      <c r="H113" s="147">
        <v>1.4999999999999999E-2</v>
      </c>
      <c r="I113" s="147">
        <v>0.26800000000000002</v>
      </c>
      <c r="J113" s="147">
        <v>4.4999999999999998E-2</v>
      </c>
      <c r="K113" s="147">
        <v>0.52</v>
      </c>
      <c r="L113" s="147">
        <v>0</v>
      </c>
      <c r="M113" s="122">
        <f t="shared" si="2"/>
        <v>0.68500000000000005</v>
      </c>
      <c r="N113" s="139"/>
    </row>
    <row r="114" spans="1:14" x14ac:dyDescent="0.3">
      <c r="A114" s="115" t="s">
        <v>566</v>
      </c>
      <c r="B114" s="111">
        <v>19309.528735762571</v>
      </c>
      <c r="C114" s="115" t="s">
        <v>566</v>
      </c>
      <c r="D114" s="147">
        <v>0</v>
      </c>
      <c r="E114" s="147">
        <v>8.0000000000000002E-3</v>
      </c>
      <c r="F114" s="147">
        <v>0.12</v>
      </c>
      <c r="G114" s="147">
        <v>0</v>
      </c>
      <c r="H114" s="147">
        <v>8.2758620689655235E-4</v>
      </c>
      <c r="I114" s="147">
        <v>0.84</v>
      </c>
      <c r="J114" s="147">
        <v>2.4827586206896575E-3</v>
      </c>
      <c r="K114" s="147">
        <v>2.8689655172413821E-2</v>
      </c>
      <c r="L114" s="147">
        <v>0</v>
      </c>
      <c r="M114" s="122">
        <f t="shared" si="2"/>
        <v>0.14951724137931036</v>
      </c>
      <c r="N114" s="139"/>
    </row>
    <row r="115" spans="1:14" x14ac:dyDescent="0.3">
      <c r="A115" s="115" t="s">
        <v>567</v>
      </c>
      <c r="B115" s="111">
        <v>35988.352185774951</v>
      </c>
      <c r="C115" s="115" t="s">
        <v>567</v>
      </c>
      <c r="D115" s="147">
        <v>0</v>
      </c>
      <c r="E115" s="147">
        <v>2.7058823529411734E-3</v>
      </c>
      <c r="F115" s="147">
        <v>0.61699999999999999</v>
      </c>
      <c r="G115" s="147">
        <v>0</v>
      </c>
      <c r="H115" s="147">
        <v>2.0294117647058799E-2</v>
      </c>
      <c r="I115" s="147">
        <v>0.17499999999999999</v>
      </c>
      <c r="J115" s="147">
        <v>0.08</v>
      </c>
      <c r="K115" s="147">
        <v>0.105</v>
      </c>
      <c r="L115" s="147">
        <v>0</v>
      </c>
      <c r="M115" s="122">
        <f t="shared" si="2"/>
        <v>0.74229411764705877</v>
      </c>
      <c r="N115" s="139"/>
    </row>
    <row r="116" spans="1:14" x14ac:dyDescent="0.3">
      <c r="A116" s="115" t="s">
        <v>568</v>
      </c>
      <c r="B116" s="111">
        <v>997.90825495238084</v>
      </c>
      <c r="C116" s="115" t="s">
        <v>568</v>
      </c>
      <c r="D116" s="147">
        <v>0</v>
      </c>
      <c r="E116" s="147">
        <v>8.9999999999999998E-4</v>
      </c>
      <c r="F116" s="147">
        <v>0</v>
      </c>
      <c r="G116" s="147">
        <v>0</v>
      </c>
      <c r="H116" s="147">
        <v>0.99909999999999999</v>
      </c>
      <c r="I116" s="147">
        <v>0</v>
      </c>
      <c r="J116" s="147">
        <v>0</v>
      </c>
      <c r="K116" s="147">
        <v>0</v>
      </c>
      <c r="L116" s="147">
        <v>3.6000000000000004E-2</v>
      </c>
      <c r="M116" s="122">
        <f t="shared" si="2"/>
        <v>0.99909999999999999</v>
      </c>
      <c r="N116" s="139"/>
    </row>
    <row r="117" spans="1:14" x14ac:dyDescent="0.3">
      <c r="A117" s="115" t="s">
        <v>569</v>
      </c>
      <c r="B117" s="111">
        <v>282745.18859801936</v>
      </c>
      <c r="C117" s="115" t="s">
        <v>569</v>
      </c>
      <c r="D117" s="147">
        <v>0</v>
      </c>
      <c r="E117" s="147">
        <v>2E-3</v>
      </c>
      <c r="F117" s="147">
        <v>0.15</v>
      </c>
      <c r="G117" s="147">
        <v>0</v>
      </c>
      <c r="H117" s="147">
        <v>1.4999999999999999E-2</v>
      </c>
      <c r="I117" s="147">
        <v>0.26800000000000002</v>
      </c>
      <c r="J117" s="147">
        <v>4.4999999999999998E-2</v>
      </c>
      <c r="K117" s="147">
        <v>0.52</v>
      </c>
      <c r="L117" s="147">
        <v>0</v>
      </c>
      <c r="M117" s="122">
        <f t="shared" si="2"/>
        <v>0.68500000000000005</v>
      </c>
      <c r="N117" s="139"/>
    </row>
    <row r="118" spans="1:14" x14ac:dyDescent="0.3">
      <c r="A118" s="115" t="s">
        <v>570</v>
      </c>
      <c r="B118" s="111">
        <v>12642.702508800001</v>
      </c>
      <c r="C118" s="115" t="s">
        <v>570</v>
      </c>
      <c r="D118" s="147">
        <v>0</v>
      </c>
      <c r="E118" s="147">
        <v>3.9400000000000009E-4</v>
      </c>
      <c r="F118" s="147">
        <v>2.9550000000000007E-2</v>
      </c>
      <c r="G118" s="147">
        <v>0.80299999999999994</v>
      </c>
      <c r="H118" s="147">
        <v>2.9550000000000006E-3</v>
      </c>
      <c r="I118" s="147">
        <v>5.2796000000000003E-2</v>
      </c>
      <c r="J118" s="147">
        <v>8.8650000000000014E-3</v>
      </c>
      <c r="K118" s="147">
        <v>0.10244000000000002</v>
      </c>
      <c r="L118" s="147">
        <v>0</v>
      </c>
      <c r="M118" s="122">
        <f t="shared" si="2"/>
        <v>0.13494500000000004</v>
      </c>
      <c r="N118" s="139"/>
    </row>
    <row r="119" spans="1:14" x14ac:dyDescent="0.3">
      <c r="A119" s="115" t="s">
        <v>571</v>
      </c>
      <c r="B119" s="111">
        <v>2394.6603303252991</v>
      </c>
      <c r="C119" s="115" t="s">
        <v>571</v>
      </c>
      <c r="D119" s="147">
        <v>0</v>
      </c>
      <c r="E119" s="147">
        <v>2E-3</v>
      </c>
      <c r="F119" s="147">
        <v>0.15</v>
      </c>
      <c r="G119" s="147">
        <v>0</v>
      </c>
      <c r="H119" s="147">
        <v>1.4999999999999999E-2</v>
      </c>
      <c r="I119" s="147">
        <v>0.26800000000000002</v>
      </c>
      <c r="J119" s="147">
        <v>4.4999999999999998E-2</v>
      </c>
      <c r="K119" s="147">
        <v>0.52</v>
      </c>
      <c r="L119" s="147">
        <v>0</v>
      </c>
      <c r="M119" s="122">
        <f t="shared" si="2"/>
        <v>0.68500000000000005</v>
      </c>
      <c r="N119" s="139"/>
    </row>
    <row r="120" spans="1:14" x14ac:dyDescent="0.3">
      <c r="A120" s="115" t="s">
        <v>572</v>
      </c>
      <c r="B120" s="111">
        <v>93235.607427199648</v>
      </c>
      <c r="C120" s="115" t="s">
        <v>572</v>
      </c>
      <c r="D120" s="147">
        <v>0</v>
      </c>
      <c r="E120" s="147">
        <v>0.09</v>
      </c>
      <c r="F120" s="147">
        <v>0</v>
      </c>
      <c r="G120" s="147">
        <v>0</v>
      </c>
      <c r="H120" s="147">
        <v>0.09</v>
      </c>
      <c r="I120" s="147">
        <v>0.62</v>
      </c>
      <c r="J120" s="147">
        <v>0.2</v>
      </c>
      <c r="K120" s="147">
        <v>0</v>
      </c>
      <c r="L120" s="147">
        <v>0</v>
      </c>
      <c r="M120" s="122">
        <f t="shared" si="2"/>
        <v>0.09</v>
      </c>
      <c r="N120" s="139"/>
    </row>
    <row r="121" spans="1:14" x14ac:dyDescent="0.3">
      <c r="A121" s="115" t="s">
        <v>573</v>
      </c>
      <c r="B121" s="111">
        <v>17772.745164998218</v>
      </c>
      <c r="C121" s="115" t="s">
        <v>573</v>
      </c>
      <c r="D121" s="147">
        <v>0</v>
      </c>
      <c r="E121" s="147">
        <v>0</v>
      </c>
      <c r="F121" s="147">
        <v>0</v>
      </c>
      <c r="G121" s="147">
        <v>0</v>
      </c>
      <c r="H121" s="147">
        <v>0.92</v>
      </c>
      <c r="I121" s="147">
        <v>0</v>
      </c>
      <c r="J121" s="147">
        <v>0.08</v>
      </c>
      <c r="K121" s="147">
        <v>0</v>
      </c>
      <c r="L121" s="147">
        <v>0</v>
      </c>
      <c r="M121" s="122">
        <f t="shared" si="2"/>
        <v>0.92</v>
      </c>
      <c r="N121" s="139"/>
    </row>
    <row r="122" spans="1:14" x14ac:dyDescent="0.3">
      <c r="A122" s="115" t="s">
        <v>574</v>
      </c>
      <c r="B122" s="111">
        <v>425873.47196500626</v>
      </c>
      <c r="C122" s="115" t="s">
        <v>574</v>
      </c>
      <c r="D122" s="147">
        <v>0</v>
      </c>
      <c r="E122" s="147">
        <v>0.01</v>
      </c>
      <c r="F122" s="147">
        <v>0.02</v>
      </c>
      <c r="G122" s="147">
        <v>0</v>
      </c>
      <c r="H122" s="147">
        <v>0</v>
      </c>
      <c r="I122" s="147">
        <v>0</v>
      </c>
      <c r="J122" s="147">
        <v>0.08</v>
      </c>
      <c r="K122" s="147">
        <v>0.89</v>
      </c>
      <c r="L122" s="147">
        <v>0</v>
      </c>
      <c r="M122" s="122">
        <f t="shared" si="2"/>
        <v>0.91</v>
      </c>
      <c r="N122" s="139"/>
    </row>
    <row r="123" spans="1:14" x14ac:dyDescent="0.3">
      <c r="A123" s="115" t="s">
        <v>575</v>
      </c>
      <c r="B123" s="111">
        <v>368421.19158732623</v>
      </c>
      <c r="C123" s="115" t="s">
        <v>575</v>
      </c>
      <c r="D123" s="147">
        <v>0</v>
      </c>
      <c r="E123" s="147">
        <v>7.0000000000000007E-2</v>
      </c>
      <c r="F123" s="147">
        <v>0</v>
      </c>
      <c r="G123" s="147">
        <v>0</v>
      </c>
      <c r="H123" s="147">
        <v>7.0000000000000007E-2</v>
      </c>
      <c r="I123" s="147">
        <v>0.84</v>
      </c>
      <c r="J123" s="147">
        <v>0.125</v>
      </c>
      <c r="K123" s="147">
        <v>0</v>
      </c>
      <c r="L123" s="147">
        <v>0</v>
      </c>
      <c r="M123" s="122">
        <f t="shared" si="2"/>
        <v>7.0000000000000007E-2</v>
      </c>
      <c r="N123" s="139"/>
    </row>
    <row r="124" spans="1:14" x14ac:dyDescent="0.3">
      <c r="A124" s="115" t="s">
        <v>576</v>
      </c>
      <c r="B124" s="111">
        <v>0</v>
      </c>
      <c r="C124" s="115" t="s">
        <v>576</v>
      </c>
      <c r="D124" s="147">
        <v>0</v>
      </c>
      <c r="E124" s="147">
        <v>0</v>
      </c>
      <c r="F124" s="147">
        <v>0</v>
      </c>
      <c r="G124" s="147">
        <v>0</v>
      </c>
      <c r="H124" s="147">
        <v>0</v>
      </c>
      <c r="I124" s="147">
        <v>0</v>
      </c>
      <c r="J124" s="147">
        <v>0</v>
      </c>
      <c r="K124" s="147">
        <v>0</v>
      </c>
      <c r="L124" s="147">
        <v>0</v>
      </c>
      <c r="M124" s="122">
        <f t="shared" si="2"/>
        <v>0</v>
      </c>
      <c r="N124" s="139"/>
    </row>
    <row r="125" spans="1:14" x14ac:dyDescent="0.3">
      <c r="A125" s="115" t="s">
        <v>577</v>
      </c>
      <c r="B125" s="111">
        <v>1449603.2543522406</v>
      </c>
      <c r="C125" s="115" t="s">
        <v>577</v>
      </c>
      <c r="D125" s="147">
        <v>3.0000000000000001E-3</v>
      </c>
      <c r="E125" s="147">
        <v>0.12</v>
      </c>
      <c r="F125" s="147">
        <v>0.1</v>
      </c>
      <c r="G125" s="147">
        <v>4.0000000000000001E-3</v>
      </c>
      <c r="H125" s="147">
        <v>1.3499999999999873E-3</v>
      </c>
      <c r="I125" s="147">
        <v>0.72</v>
      </c>
      <c r="J125" s="147">
        <v>0.05</v>
      </c>
      <c r="K125" s="147">
        <v>1.6499999999999842E-3</v>
      </c>
      <c r="L125" s="147">
        <v>0</v>
      </c>
      <c r="M125" s="122">
        <f t="shared" si="2"/>
        <v>0.10299999999999998</v>
      </c>
      <c r="N125" s="139"/>
    </row>
    <row r="126" spans="1:14" x14ac:dyDescent="0.3">
      <c r="A126" s="115" t="s">
        <v>578</v>
      </c>
      <c r="B126" s="111">
        <v>391089.29584984313</v>
      </c>
      <c r="C126" s="115" t="s">
        <v>578</v>
      </c>
      <c r="D126" s="147">
        <v>0</v>
      </c>
      <c r="E126" s="147">
        <v>0</v>
      </c>
      <c r="F126" s="147">
        <v>0</v>
      </c>
      <c r="G126" s="147">
        <v>0</v>
      </c>
      <c r="H126" s="147">
        <v>0</v>
      </c>
      <c r="I126" s="147">
        <v>1</v>
      </c>
      <c r="J126" s="147">
        <v>0</v>
      </c>
      <c r="K126" s="147">
        <v>0</v>
      </c>
      <c r="L126" s="147">
        <v>0</v>
      </c>
      <c r="M126" s="122">
        <f t="shared" si="2"/>
        <v>0</v>
      </c>
      <c r="N126" s="139"/>
    </row>
    <row r="127" spans="1:14" x14ac:dyDescent="0.3">
      <c r="A127" s="115" t="s">
        <v>579</v>
      </c>
      <c r="B127" s="111">
        <v>151815.46235696005</v>
      </c>
      <c r="C127" s="115" t="s">
        <v>579</v>
      </c>
      <c r="D127" s="147">
        <v>0</v>
      </c>
      <c r="E127" s="147">
        <v>0</v>
      </c>
      <c r="F127" s="147">
        <v>0</v>
      </c>
      <c r="G127" s="147">
        <v>0</v>
      </c>
      <c r="H127" s="147">
        <v>0.75</v>
      </c>
      <c r="I127" s="147">
        <v>0</v>
      </c>
      <c r="J127" s="147">
        <v>0.25</v>
      </c>
      <c r="K127" s="147">
        <v>0</v>
      </c>
      <c r="L127" s="147">
        <v>0</v>
      </c>
      <c r="M127" s="122">
        <f t="shared" si="2"/>
        <v>0.75</v>
      </c>
      <c r="N127" s="139"/>
    </row>
    <row r="128" spans="1:14" x14ac:dyDescent="0.3">
      <c r="A128" s="115" t="s">
        <v>580</v>
      </c>
      <c r="B128" s="111">
        <v>109243.89673625851</v>
      </c>
      <c r="C128" s="115" t="s">
        <v>580</v>
      </c>
      <c r="D128" s="147">
        <v>0</v>
      </c>
      <c r="E128" s="147">
        <v>0</v>
      </c>
      <c r="F128" s="147">
        <v>0</v>
      </c>
      <c r="G128" s="147">
        <v>0</v>
      </c>
      <c r="H128" s="147">
        <v>0.48</v>
      </c>
      <c r="I128" s="147">
        <v>0.45</v>
      </c>
      <c r="J128" s="147">
        <v>7.0000000000000007E-2</v>
      </c>
      <c r="K128" s="147">
        <v>0</v>
      </c>
      <c r="L128" s="147">
        <v>0</v>
      </c>
      <c r="M128" s="122">
        <f t="shared" si="2"/>
        <v>0.48</v>
      </c>
      <c r="N128" s="139"/>
    </row>
    <row r="129" spans="1:14" x14ac:dyDescent="0.3">
      <c r="A129" s="115" t="s">
        <v>581</v>
      </c>
      <c r="B129" s="111">
        <v>46542.227916646872</v>
      </c>
      <c r="C129" s="115" t="s">
        <v>581</v>
      </c>
      <c r="D129" s="147">
        <v>0</v>
      </c>
      <c r="E129" s="147">
        <v>0</v>
      </c>
      <c r="F129" s="147">
        <v>0</v>
      </c>
      <c r="G129" s="147">
        <v>0</v>
      </c>
      <c r="H129" s="147">
        <v>0</v>
      </c>
      <c r="I129" s="147">
        <v>1</v>
      </c>
      <c r="J129" s="147">
        <v>0</v>
      </c>
      <c r="K129" s="147">
        <v>0</v>
      </c>
      <c r="L129" s="147">
        <v>0</v>
      </c>
      <c r="M129" s="122">
        <f t="shared" si="2"/>
        <v>0</v>
      </c>
      <c r="N129" s="139"/>
    </row>
    <row r="130" spans="1:14" x14ac:dyDescent="0.3">
      <c r="A130" s="115" t="s">
        <v>582</v>
      </c>
      <c r="B130" s="111">
        <v>59124.785921609968</v>
      </c>
      <c r="C130" s="115" t="s">
        <v>582</v>
      </c>
      <c r="D130" s="147">
        <v>0</v>
      </c>
      <c r="E130" s="147">
        <v>0.15</v>
      </c>
      <c r="F130" s="147">
        <v>0.48</v>
      </c>
      <c r="G130" s="147">
        <v>0</v>
      </c>
      <c r="H130" s="147">
        <v>0</v>
      </c>
      <c r="I130" s="147">
        <v>0.28999999999999998</v>
      </c>
      <c r="J130" s="147">
        <v>0.08</v>
      </c>
      <c r="K130" s="147">
        <v>0</v>
      </c>
      <c r="L130" s="147">
        <v>0</v>
      </c>
      <c r="M130" s="122">
        <f t="shared" si="2"/>
        <v>0.48</v>
      </c>
      <c r="N130" s="139"/>
    </row>
    <row r="131" spans="1:14" x14ac:dyDescent="0.3">
      <c r="A131" s="115" t="s">
        <v>583</v>
      </c>
      <c r="B131" s="111">
        <v>170194.44901367876</v>
      </c>
      <c r="C131" s="115" t="s">
        <v>583</v>
      </c>
      <c r="D131" s="147">
        <v>0</v>
      </c>
      <c r="E131" s="147">
        <v>0.04</v>
      </c>
      <c r="F131" s="147">
        <v>0.14000000000000001</v>
      </c>
      <c r="G131" s="147">
        <v>3.0000000000000001E-3</v>
      </c>
      <c r="H131" s="147">
        <v>0.09</v>
      </c>
      <c r="I131" s="147">
        <v>0.52700000000000002</v>
      </c>
      <c r="J131" s="147">
        <v>0.09</v>
      </c>
      <c r="K131" s="147">
        <v>0.11</v>
      </c>
      <c r="L131" s="147">
        <v>0</v>
      </c>
      <c r="M131" s="122">
        <f t="shared" si="2"/>
        <v>0.34</v>
      </c>
      <c r="N131" s="139"/>
    </row>
    <row r="132" spans="1:14" x14ac:dyDescent="0.3">
      <c r="A132" s="115" t="s">
        <v>584</v>
      </c>
      <c r="B132" s="111">
        <v>165904.28168816768</v>
      </c>
      <c r="C132" s="115" t="s">
        <v>584</v>
      </c>
      <c r="D132" s="147">
        <v>0</v>
      </c>
      <c r="E132" s="147">
        <v>0.01</v>
      </c>
      <c r="F132" s="147">
        <v>0</v>
      </c>
      <c r="G132" s="147">
        <v>0</v>
      </c>
      <c r="H132" s="147">
        <v>0</v>
      </c>
      <c r="I132" s="147">
        <v>0.52</v>
      </c>
      <c r="J132" s="147">
        <v>0.08</v>
      </c>
      <c r="K132" s="147">
        <v>0.37</v>
      </c>
      <c r="L132" s="147">
        <v>0.02</v>
      </c>
      <c r="M132" s="122">
        <f t="shared" si="2"/>
        <v>0.37</v>
      </c>
      <c r="N132" s="139"/>
    </row>
    <row r="133" spans="1:14" x14ac:dyDescent="0.3">
      <c r="A133" s="115" t="s">
        <v>585</v>
      </c>
      <c r="B133" s="111">
        <v>65076.261871613642</v>
      </c>
      <c r="C133" s="115" t="s">
        <v>585</v>
      </c>
      <c r="D133" s="147">
        <v>0</v>
      </c>
      <c r="E133" s="147">
        <v>0</v>
      </c>
      <c r="F133" s="147">
        <v>1E-4</v>
      </c>
      <c r="G133" s="147">
        <v>0</v>
      </c>
      <c r="H133" s="147">
        <v>0</v>
      </c>
      <c r="I133" s="147">
        <v>0.9998999999999999</v>
      </c>
      <c r="J133" s="147">
        <v>0</v>
      </c>
      <c r="K133" s="147">
        <v>0</v>
      </c>
      <c r="L133" s="147">
        <v>0</v>
      </c>
      <c r="M133" s="122">
        <f t="shared" si="2"/>
        <v>1E-4</v>
      </c>
      <c r="N133" s="139"/>
    </row>
    <row r="134" spans="1:14" x14ac:dyDescent="0.3">
      <c r="A134" s="115" t="s">
        <v>586</v>
      </c>
      <c r="B134" s="111">
        <v>48485.435711854603</v>
      </c>
      <c r="C134" s="115" t="s">
        <v>586</v>
      </c>
      <c r="D134" s="147">
        <v>0</v>
      </c>
      <c r="E134" s="147">
        <v>5.0000000000000001E-3</v>
      </c>
      <c r="F134" s="147">
        <v>0.33</v>
      </c>
      <c r="G134" s="147">
        <v>0</v>
      </c>
      <c r="H134" s="147">
        <v>0</v>
      </c>
      <c r="I134" s="147">
        <v>0.67</v>
      </c>
      <c r="J134" s="147">
        <v>5.0000000000000001E-3</v>
      </c>
      <c r="K134" s="147">
        <v>0</v>
      </c>
      <c r="L134" s="147">
        <v>0</v>
      </c>
      <c r="M134" s="122">
        <f t="shared" ref="M134:M197" si="3">F134+H134+K134</f>
        <v>0.33</v>
      </c>
      <c r="N134" s="139"/>
    </row>
    <row r="135" spans="1:14" x14ac:dyDescent="0.3">
      <c r="A135" s="115" t="s">
        <v>587</v>
      </c>
      <c r="B135" s="111">
        <v>139251.11192573182</v>
      </c>
      <c r="C135" s="115" t="s">
        <v>587</v>
      </c>
      <c r="D135" s="147">
        <v>0</v>
      </c>
      <c r="E135" s="147">
        <v>0</v>
      </c>
      <c r="F135" s="147">
        <v>0</v>
      </c>
      <c r="G135" s="147">
        <v>0.04</v>
      </c>
      <c r="H135" s="147">
        <v>0.93</v>
      </c>
      <c r="I135" s="147">
        <v>0</v>
      </c>
      <c r="J135" s="147">
        <v>0.03</v>
      </c>
      <c r="K135" s="147">
        <v>0</v>
      </c>
      <c r="L135" s="147">
        <v>0</v>
      </c>
      <c r="M135" s="122">
        <f t="shared" si="3"/>
        <v>0.93</v>
      </c>
      <c r="N135" s="139"/>
    </row>
    <row r="136" spans="1:14" x14ac:dyDescent="0.3">
      <c r="A136" s="115" t="s">
        <v>588</v>
      </c>
      <c r="B136" s="111">
        <v>2222400.8703843835</v>
      </c>
      <c r="C136" s="115" t="s">
        <v>588</v>
      </c>
      <c r="D136" s="147">
        <v>0</v>
      </c>
      <c r="E136" s="147">
        <v>0</v>
      </c>
      <c r="F136" s="147">
        <v>0.85</v>
      </c>
      <c r="G136" s="147">
        <v>0</v>
      </c>
      <c r="H136" s="147">
        <v>0</v>
      </c>
      <c r="I136" s="147">
        <v>0</v>
      </c>
      <c r="J136" s="147">
        <v>0.15</v>
      </c>
      <c r="K136" s="147">
        <v>0</v>
      </c>
      <c r="L136" s="147">
        <v>0</v>
      </c>
      <c r="M136" s="122">
        <f t="shared" si="3"/>
        <v>0.85</v>
      </c>
      <c r="N136" s="139"/>
    </row>
    <row r="137" spans="1:14" x14ac:dyDescent="0.3">
      <c r="A137" s="115" t="s">
        <v>589</v>
      </c>
      <c r="B137" s="111">
        <v>355987.93883047719</v>
      </c>
      <c r="C137" s="115" t="s">
        <v>589</v>
      </c>
      <c r="D137" s="147">
        <v>0</v>
      </c>
      <c r="E137" s="147">
        <v>0</v>
      </c>
      <c r="F137" s="147">
        <v>0</v>
      </c>
      <c r="G137" s="147">
        <v>0</v>
      </c>
      <c r="H137" s="147">
        <v>0.82</v>
      </c>
      <c r="I137" s="147">
        <v>0</v>
      </c>
      <c r="J137" s="147">
        <v>0</v>
      </c>
      <c r="K137" s="147">
        <v>0</v>
      </c>
      <c r="L137" s="147">
        <v>0.18</v>
      </c>
      <c r="M137" s="122">
        <f t="shared" si="3"/>
        <v>0.82</v>
      </c>
      <c r="N137" s="139"/>
    </row>
    <row r="138" spans="1:14" x14ac:dyDescent="0.3">
      <c r="A138" s="115" t="s">
        <v>590</v>
      </c>
      <c r="B138" s="111">
        <v>186955.29078111585</v>
      </c>
      <c r="C138" s="115" t="s">
        <v>590</v>
      </c>
      <c r="D138" s="147">
        <v>0</v>
      </c>
      <c r="E138" s="147">
        <v>1.4999999999999999E-2</v>
      </c>
      <c r="F138" s="147">
        <v>0</v>
      </c>
      <c r="G138" s="147">
        <v>0</v>
      </c>
      <c r="H138" s="147">
        <v>0.2</v>
      </c>
      <c r="I138" s="147">
        <v>0.8</v>
      </c>
      <c r="J138" s="147">
        <v>2.5000000000000001E-2</v>
      </c>
      <c r="K138" s="147">
        <v>0</v>
      </c>
      <c r="L138" s="147">
        <v>0</v>
      </c>
      <c r="M138" s="122">
        <f t="shared" si="3"/>
        <v>0.2</v>
      </c>
      <c r="N138" s="139"/>
    </row>
    <row r="139" spans="1:14" x14ac:dyDescent="0.3">
      <c r="A139" s="115" t="s">
        <v>591</v>
      </c>
      <c r="B139" s="111">
        <v>111429.62811739404</v>
      </c>
      <c r="C139" s="115" t="s">
        <v>591</v>
      </c>
      <c r="D139" s="147">
        <v>0</v>
      </c>
      <c r="E139" s="147">
        <v>0.05</v>
      </c>
      <c r="F139" s="147">
        <v>0</v>
      </c>
      <c r="G139" s="147">
        <v>0</v>
      </c>
      <c r="H139" s="147">
        <v>0.7</v>
      </c>
      <c r="I139" s="147">
        <v>0.21</v>
      </c>
      <c r="J139" s="147">
        <v>0.04</v>
      </c>
      <c r="K139" s="147">
        <v>0</v>
      </c>
      <c r="L139" s="147">
        <v>0</v>
      </c>
      <c r="M139" s="122">
        <f t="shared" si="3"/>
        <v>0.7</v>
      </c>
      <c r="N139" s="139"/>
    </row>
    <row r="140" spans="1:14" x14ac:dyDescent="0.3">
      <c r="A140" s="115" t="s">
        <v>592</v>
      </c>
      <c r="B140" s="111">
        <v>818312.40820764157</v>
      </c>
      <c r="C140" s="115" t="s">
        <v>592</v>
      </c>
      <c r="D140" s="147">
        <v>0</v>
      </c>
      <c r="E140" s="147">
        <v>9.0534979423868317E-2</v>
      </c>
      <c r="F140" s="147">
        <v>0.12</v>
      </c>
      <c r="G140" s="147">
        <v>6.7901234567901234E-3</v>
      </c>
      <c r="H140" s="147">
        <v>0.20370370370370369</v>
      </c>
      <c r="I140" s="147">
        <v>0.25</v>
      </c>
      <c r="J140" s="147">
        <v>0.08</v>
      </c>
      <c r="K140" s="147">
        <v>0.24897119341563786</v>
      </c>
      <c r="L140" s="147">
        <v>0</v>
      </c>
      <c r="M140" s="122">
        <f t="shared" si="3"/>
        <v>0.57267489711934161</v>
      </c>
      <c r="N140" s="139"/>
    </row>
    <row r="141" spans="1:14" x14ac:dyDescent="0.3">
      <c r="A141" s="115" t="s">
        <v>593</v>
      </c>
      <c r="B141" s="111">
        <v>63951.787816615637</v>
      </c>
      <c r="C141" s="115" t="s">
        <v>593</v>
      </c>
      <c r="D141" s="147">
        <v>0</v>
      </c>
      <c r="E141" s="147">
        <v>0.107</v>
      </c>
      <c r="F141" s="147">
        <v>1.3000000000000001E-2</v>
      </c>
      <c r="G141" s="147">
        <v>0.17800000000000002</v>
      </c>
      <c r="H141" s="147">
        <v>0.20100000000000001</v>
      </c>
      <c r="I141" s="147">
        <v>0.25600000000000001</v>
      </c>
      <c r="J141" s="147">
        <v>0.2</v>
      </c>
      <c r="K141" s="147">
        <v>4.4999999999999998E-2</v>
      </c>
      <c r="L141" s="147">
        <v>0</v>
      </c>
      <c r="M141" s="122">
        <f t="shared" si="3"/>
        <v>0.25900000000000001</v>
      </c>
      <c r="N141" s="139"/>
    </row>
    <row r="142" spans="1:14" x14ac:dyDescent="0.3">
      <c r="A142" s="115" t="s">
        <v>594</v>
      </c>
      <c r="B142" s="111">
        <v>1508.3598982172607</v>
      </c>
      <c r="C142" s="115" t="s">
        <v>594</v>
      </c>
      <c r="D142" s="147">
        <v>0</v>
      </c>
      <c r="E142" s="147">
        <v>6.2351581508515809E-2</v>
      </c>
      <c r="F142" s="147">
        <v>7.5754257907542574E-3</v>
      </c>
      <c r="G142" s="147">
        <v>0.52100000000000002</v>
      </c>
      <c r="H142" s="147">
        <v>0.11712773722627738</v>
      </c>
      <c r="I142" s="147">
        <v>0.14917761557177614</v>
      </c>
      <c r="J142" s="147">
        <v>0.11654501216545012</v>
      </c>
      <c r="K142" s="147">
        <v>2.6222627737226275E-2</v>
      </c>
      <c r="L142" s="147">
        <v>0</v>
      </c>
      <c r="M142" s="122">
        <f t="shared" si="3"/>
        <v>0.15092579075425791</v>
      </c>
      <c r="N142" s="139"/>
    </row>
    <row r="143" spans="1:14" x14ac:dyDescent="0.3">
      <c r="A143" s="115" t="s">
        <v>595</v>
      </c>
      <c r="B143" s="111">
        <v>28713.495353375361</v>
      </c>
      <c r="C143" s="115" t="s">
        <v>595</v>
      </c>
      <c r="D143" s="147">
        <v>0</v>
      </c>
      <c r="E143" s="147">
        <v>5.6260930246913574E-2</v>
      </c>
      <c r="F143" s="147">
        <v>8.5500000000000007E-2</v>
      </c>
      <c r="G143" s="147">
        <v>9.3592949382716048E-2</v>
      </c>
      <c r="H143" s="147">
        <v>0.10568642037037035</v>
      </c>
      <c r="I143" s="147">
        <v>0.41749999999999998</v>
      </c>
      <c r="J143" s="147">
        <v>9.7000000000000003E-6</v>
      </c>
      <c r="K143" s="147">
        <v>0.2412</v>
      </c>
      <c r="L143" s="147">
        <v>2.5000000000000001E-4</v>
      </c>
      <c r="M143" s="122">
        <f t="shared" si="3"/>
        <v>0.43238642037037034</v>
      </c>
      <c r="N143" s="139"/>
    </row>
    <row r="144" spans="1:14" x14ac:dyDescent="0.3">
      <c r="A144" s="115" t="s">
        <v>596</v>
      </c>
      <c r="B144" s="111">
        <v>213474.59685778103</v>
      </c>
      <c r="C144" s="115" t="s">
        <v>596</v>
      </c>
      <c r="D144" s="147">
        <v>0</v>
      </c>
      <c r="E144" s="147">
        <v>0.21</v>
      </c>
      <c r="F144" s="147">
        <v>0</v>
      </c>
      <c r="G144" s="147">
        <v>0.47</v>
      </c>
      <c r="H144" s="147">
        <v>0</v>
      </c>
      <c r="I144" s="147">
        <v>0</v>
      </c>
      <c r="J144" s="147">
        <v>0.32</v>
      </c>
      <c r="K144" s="147">
        <v>0</v>
      </c>
      <c r="L144" s="147">
        <v>0</v>
      </c>
      <c r="M144" s="122">
        <f t="shared" si="3"/>
        <v>0</v>
      </c>
      <c r="N144" s="139"/>
    </row>
    <row r="145" spans="1:14" x14ac:dyDescent="0.3">
      <c r="A145" s="115" t="s">
        <v>597</v>
      </c>
      <c r="B145" s="111">
        <v>900.49151080342483</v>
      </c>
      <c r="C145" s="115" t="s">
        <v>597</v>
      </c>
      <c r="D145" s="147">
        <v>0</v>
      </c>
      <c r="E145" s="147">
        <v>0</v>
      </c>
      <c r="F145" s="147">
        <v>0</v>
      </c>
      <c r="G145" s="147">
        <v>0.4</v>
      </c>
      <c r="H145" s="147">
        <v>0.6</v>
      </c>
      <c r="I145" s="147">
        <v>0</v>
      </c>
      <c r="J145" s="147">
        <v>0</v>
      </c>
      <c r="K145" s="147">
        <v>0</v>
      </c>
      <c r="L145" s="147">
        <v>0</v>
      </c>
      <c r="M145" s="122">
        <f t="shared" si="3"/>
        <v>0.6</v>
      </c>
      <c r="N145" s="139"/>
    </row>
    <row r="146" spans="1:14" x14ac:dyDescent="0.3">
      <c r="A146" s="115" t="s">
        <v>598</v>
      </c>
      <c r="B146" s="111">
        <v>79057.043692203777</v>
      </c>
      <c r="C146" s="115" t="s">
        <v>598</v>
      </c>
      <c r="D146" s="147">
        <v>0</v>
      </c>
      <c r="E146" s="147">
        <v>2.86E-2</v>
      </c>
      <c r="F146" s="147">
        <v>0</v>
      </c>
      <c r="G146" s="147">
        <v>1.9E-2</v>
      </c>
      <c r="H146" s="147">
        <v>0.3029</v>
      </c>
      <c r="I146" s="147">
        <v>0</v>
      </c>
      <c r="J146" s="147">
        <v>0.55810000000000004</v>
      </c>
      <c r="K146" s="147">
        <v>0</v>
      </c>
      <c r="L146" s="147">
        <v>9.1400000000000009E-2</v>
      </c>
      <c r="M146" s="122">
        <f t="shared" si="3"/>
        <v>0.3029</v>
      </c>
      <c r="N146" s="139"/>
    </row>
    <row r="147" spans="1:14" x14ac:dyDescent="0.3">
      <c r="A147" s="115" t="s">
        <v>599</v>
      </c>
      <c r="B147" s="111">
        <v>9395.5619042823928</v>
      </c>
      <c r="C147" s="115" t="s">
        <v>599</v>
      </c>
      <c r="D147" s="147">
        <v>0</v>
      </c>
      <c r="E147" s="147">
        <v>4.7347500000000001E-2</v>
      </c>
      <c r="F147" s="147">
        <v>5.7525000000000015E-3</v>
      </c>
      <c r="G147" s="147">
        <v>7.8765000000000016E-2</v>
      </c>
      <c r="H147" s="147">
        <v>8.8942500000000035E-2</v>
      </c>
      <c r="I147" s="147">
        <v>0.11328000000000003</v>
      </c>
      <c r="J147" s="147">
        <v>0.64599999999999991</v>
      </c>
      <c r="K147" s="147">
        <v>1.9912500000000003E-2</v>
      </c>
      <c r="L147" s="147">
        <v>0</v>
      </c>
      <c r="M147" s="122">
        <f t="shared" si="3"/>
        <v>0.11460750000000004</v>
      </c>
      <c r="N147" s="139"/>
    </row>
    <row r="148" spans="1:14" x14ac:dyDescent="0.3">
      <c r="A148" s="115" t="s">
        <v>600</v>
      </c>
      <c r="B148" s="111">
        <v>1153.9679196437855</v>
      </c>
      <c r="C148" s="115" t="s">
        <v>600</v>
      </c>
      <c r="D148" s="147">
        <v>0</v>
      </c>
      <c r="E148" s="147">
        <v>1.6514469453376191E-2</v>
      </c>
      <c r="F148" s="147">
        <v>2.0064308681672013E-3</v>
      </c>
      <c r="G148" s="147">
        <v>0.85</v>
      </c>
      <c r="H148" s="147">
        <v>3.1022508038585191E-2</v>
      </c>
      <c r="I148" s="147">
        <v>3.9511254019292584E-2</v>
      </c>
      <c r="J148" s="147">
        <v>5.4000000000000006E-2</v>
      </c>
      <c r="K148" s="147">
        <v>6.9453376205787743E-3</v>
      </c>
      <c r="L148" s="147">
        <v>0</v>
      </c>
      <c r="M148" s="122">
        <f t="shared" si="3"/>
        <v>3.9974276527331161E-2</v>
      </c>
      <c r="N148" s="139"/>
    </row>
    <row r="149" spans="1:14" x14ac:dyDescent="0.3">
      <c r="A149" s="115" t="s">
        <v>601</v>
      </c>
      <c r="B149" s="111">
        <v>6523.168669732996</v>
      </c>
      <c r="C149" s="115" t="s">
        <v>601</v>
      </c>
      <c r="D149" s="147">
        <v>0</v>
      </c>
      <c r="E149" s="147">
        <v>1E-3</v>
      </c>
      <c r="F149" s="147">
        <v>0</v>
      </c>
      <c r="G149" s="147">
        <v>0</v>
      </c>
      <c r="H149" s="147">
        <v>0.99719999999999998</v>
      </c>
      <c r="I149" s="147">
        <v>0</v>
      </c>
      <c r="J149" s="147">
        <v>1.8E-3</v>
      </c>
      <c r="K149" s="147">
        <v>0</v>
      </c>
      <c r="L149" s="147">
        <v>0</v>
      </c>
      <c r="M149" s="122">
        <f t="shared" si="3"/>
        <v>0.99719999999999998</v>
      </c>
      <c r="N149" s="139"/>
    </row>
    <row r="150" spans="1:14" x14ac:dyDescent="0.3">
      <c r="A150" s="115" t="s">
        <v>602</v>
      </c>
      <c r="B150" s="111">
        <v>11613.986020069637</v>
      </c>
      <c r="C150" s="115" t="s">
        <v>602</v>
      </c>
      <c r="D150" s="147">
        <v>0</v>
      </c>
      <c r="E150" s="147">
        <v>5.920404411764715E-3</v>
      </c>
      <c r="F150" s="147">
        <v>7.1930147058823655E-4</v>
      </c>
      <c r="G150" s="147">
        <v>9.8488970588235455E-3</v>
      </c>
      <c r="H150" s="147">
        <v>1.1121507352941193E-2</v>
      </c>
      <c r="I150" s="147">
        <v>0.91569999999999996</v>
      </c>
      <c r="J150" s="147">
        <v>5.4199999999999998E-2</v>
      </c>
      <c r="K150" s="147">
        <v>2.4898897058823568E-3</v>
      </c>
      <c r="L150" s="147">
        <v>0</v>
      </c>
      <c r="M150" s="122">
        <f t="shared" si="3"/>
        <v>1.4330698529411786E-2</v>
      </c>
      <c r="N150" s="139"/>
    </row>
    <row r="151" spans="1:14" x14ac:dyDescent="0.3">
      <c r="A151" s="115" t="s">
        <v>603</v>
      </c>
      <c r="B151" s="111">
        <v>1329965.156365267</v>
      </c>
      <c r="C151" s="115" t="s">
        <v>603</v>
      </c>
      <c r="D151" s="147">
        <v>0</v>
      </c>
      <c r="E151" s="147">
        <v>0.16690000000000002</v>
      </c>
      <c r="F151" s="147">
        <v>3.9276595744680895E-4</v>
      </c>
      <c r="G151" s="147">
        <v>0.52349999999999997</v>
      </c>
      <c r="H151" s="147">
        <v>6.0727659574468162E-3</v>
      </c>
      <c r="I151" s="147">
        <v>7.7344680851063928E-3</v>
      </c>
      <c r="J151" s="147">
        <v>0.2616</v>
      </c>
      <c r="K151" s="147">
        <v>3.3799999999999997E-2</v>
      </c>
      <c r="L151" s="147">
        <v>0</v>
      </c>
      <c r="M151" s="122">
        <f t="shared" si="3"/>
        <v>4.0265531914893619E-2</v>
      </c>
      <c r="N151" s="139"/>
    </row>
    <row r="152" spans="1:14" x14ac:dyDescent="0.3">
      <c r="A152" s="115" t="s">
        <v>604</v>
      </c>
      <c r="B152" s="111">
        <v>0</v>
      </c>
      <c r="C152" s="115" t="s">
        <v>604</v>
      </c>
      <c r="D152" s="147">
        <v>0</v>
      </c>
      <c r="E152" s="147">
        <v>0</v>
      </c>
      <c r="F152" s="147">
        <v>0</v>
      </c>
      <c r="G152" s="147">
        <v>0</v>
      </c>
      <c r="H152" s="147">
        <v>0</v>
      </c>
      <c r="I152" s="147">
        <v>0</v>
      </c>
      <c r="J152" s="147">
        <v>0</v>
      </c>
      <c r="K152" s="147">
        <v>0</v>
      </c>
      <c r="L152" s="147">
        <v>0</v>
      </c>
      <c r="M152" s="122">
        <f t="shared" si="3"/>
        <v>0</v>
      </c>
      <c r="N152" s="139"/>
    </row>
    <row r="153" spans="1:14" x14ac:dyDescent="0.3">
      <c r="A153" s="115" t="s">
        <v>605</v>
      </c>
      <c r="B153" s="111">
        <v>513.11256306742837</v>
      </c>
      <c r="C153" s="115" t="s">
        <v>605</v>
      </c>
      <c r="D153" s="147">
        <v>0</v>
      </c>
      <c r="E153" s="147">
        <v>7.3495625000000009E-2</v>
      </c>
      <c r="F153" s="147">
        <v>8.9293749999999998E-3</v>
      </c>
      <c r="G153" s="147">
        <v>0.12226375</v>
      </c>
      <c r="H153" s="147">
        <v>0.13806187500000003</v>
      </c>
      <c r="I153" s="147">
        <v>0.17584000000000002</v>
      </c>
      <c r="J153" s="147">
        <v>0.45049999999999996</v>
      </c>
      <c r="K153" s="147">
        <v>3.0909374999999999E-2</v>
      </c>
      <c r="L153" s="147">
        <v>0</v>
      </c>
      <c r="M153" s="122">
        <f t="shared" si="3"/>
        <v>0.17790062500000001</v>
      </c>
      <c r="N153" s="139"/>
    </row>
    <row r="154" spans="1:14" x14ac:dyDescent="0.3">
      <c r="A154" s="115" t="s">
        <v>606</v>
      </c>
      <c r="B154" s="111">
        <v>784916.83471302839</v>
      </c>
      <c r="C154" s="115" t="s">
        <v>606</v>
      </c>
      <c r="D154" s="147">
        <v>0</v>
      </c>
      <c r="E154" s="147">
        <v>4.5247245409015015E-2</v>
      </c>
      <c r="F154" s="147">
        <v>5.4973288814691148E-3</v>
      </c>
      <c r="G154" s="147">
        <v>7.5271118530884792E-2</v>
      </c>
      <c r="H154" s="147">
        <v>0.73909999999999998</v>
      </c>
      <c r="I154" s="147">
        <v>0.10825509181969949</v>
      </c>
      <c r="J154" s="147">
        <v>7.6E-3</v>
      </c>
      <c r="K154" s="147">
        <v>1.902921535893155E-2</v>
      </c>
      <c r="L154" s="147">
        <v>0</v>
      </c>
      <c r="M154" s="122">
        <f t="shared" si="3"/>
        <v>0.76362654424040066</v>
      </c>
      <c r="N154" s="139"/>
    </row>
    <row r="155" spans="1:14" x14ac:dyDescent="0.3">
      <c r="A155" s="115" t="s">
        <v>607</v>
      </c>
      <c r="B155" s="111">
        <v>1484399.739102033</v>
      </c>
      <c r="C155" s="115" t="s">
        <v>607</v>
      </c>
      <c r="D155" s="147">
        <v>0</v>
      </c>
      <c r="E155" s="147">
        <v>0.01</v>
      </c>
      <c r="F155" s="147">
        <v>2.195945945945946E-4</v>
      </c>
      <c r="G155" s="147">
        <v>3.0067567567567564E-3</v>
      </c>
      <c r="H155" s="147">
        <v>3.3952702702702703E-3</v>
      </c>
      <c r="I155" s="147">
        <v>0.44</v>
      </c>
      <c r="J155" s="147">
        <v>3.3783783783783781E-3</v>
      </c>
      <c r="K155" s="147">
        <v>0.54</v>
      </c>
      <c r="L155" s="147">
        <v>0</v>
      </c>
      <c r="M155" s="122">
        <f t="shared" si="3"/>
        <v>0.54361486486486488</v>
      </c>
      <c r="N155" s="139"/>
    </row>
    <row r="156" spans="1:14" x14ac:dyDescent="0.3">
      <c r="A156" s="115" t="s">
        <v>608</v>
      </c>
      <c r="B156" s="111">
        <v>0</v>
      </c>
      <c r="C156" s="115" t="s">
        <v>608</v>
      </c>
      <c r="D156" s="147">
        <v>0</v>
      </c>
      <c r="E156" s="147">
        <v>0</v>
      </c>
      <c r="F156" s="147">
        <v>0</v>
      </c>
      <c r="G156" s="147">
        <v>0</v>
      </c>
      <c r="H156" s="147">
        <v>0</v>
      </c>
      <c r="I156" s="147">
        <v>0</v>
      </c>
      <c r="J156" s="147">
        <v>0</v>
      </c>
      <c r="K156" s="147">
        <v>0</v>
      </c>
      <c r="L156" s="147">
        <v>0</v>
      </c>
      <c r="M156" s="122">
        <f t="shared" si="3"/>
        <v>0</v>
      </c>
      <c r="N156" s="139"/>
    </row>
    <row r="157" spans="1:14" x14ac:dyDescent="0.3">
      <c r="A157" s="115" t="s">
        <v>609</v>
      </c>
      <c r="B157" s="111">
        <v>393903.51451752364</v>
      </c>
      <c r="C157" s="115" t="s">
        <v>609</v>
      </c>
      <c r="D157" s="147">
        <v>0</v>
      </c>
      <c r="E157" s="147">
        <v>0.16</v>
      </c>
      <c r="F157" s="147">
        <v>0</v>
      </c>
      <c r="G157" s="147">
        <v>0</v>
      </c>
      <c r="H157" s="147">
        <v>0.04</v>
      </c>
      <c r="I157" s="147">
        <v>0.75</v>
      </c>
      <c r="J157" s="147">
        <v>0.05</v>
      </c>
      <c r="K157" s="147">
        <v>0</v>
      </c>
      <c r="L157" s="147">
        <v>0</v>
      </c>
      <c r="M157" s="122">
        <f t="shared" si="3"/>
        <v>0.04</v>
      </c>
      <c r="N157" s="139"/>
    </row>
    <row r="158" spans="1:14" x14ac:dyDescent="0.3">
      <c r="A158" s="115" t="s">
        <v>610</v>
      </c>
      <c r="B158" s="111">
        <v>985.58873314621883</v>
      </c>
      <c r="C158" s="115" t="s">
        <v>610</v>
      </c>
      <c r="D158" s="147">
        <v>0</v>
      </c>
      <c r="E158" s="147">
        <v>0.02</v>
      </c>
      <c r="F158" s="147">
        <v>5.0000000000000001E-3</v>
      </c>
      <c r="G158" s="147">
        <v>0.24</v>
      </c>
      <c r="H158" s="147">
        <v>0.46</v>
      </c>
      <c r="I158" s="147">
        <v>0.18</v>
      </c>
      <c r="J158" s="147">
        <v>0.09</v>
      </c>
      <c r="K158" s="147">
        <v>5.0000000000000001E-3</v>
      </c>
      <c r="L158" s="147">
        <v>0</v>
      </c>
      <c r="M158" s="122">
        <f t="shared" si="3"/>
        <v>0.47000000000000003</v>
      </c>
      <c r="N158" s="139"/>
    </row>
    <row r="159" spans="1:14" x14ac:dyDescent="0.3">
      <c r="A159" s="115" t="s">
        <v>611</v>
      </c>
      <c r="B159" s="111">
        <v>0</v>
      </c>
      <c r="C159" s="115" t="s">
        <v>611</v>
      </c>
      <c r="D159" s="147">
        <v>0</v>
      </c>
      <c r="E159" s="147">
        <v>0</v>
      </c>
      <c r="F159" s="147">
        <v>0</v>
      </c>
      <c r="G159" s="147">
        <v>0</v>
      </c>
      <c r="H159" s="147">
        <v>0</v>
      </c>
      <c r="I159" s="147">
        <v>0</v>
      </c>
      <c r="J159" s="147">
        <v>0</v>
      </c>
      <c r="K159" s="147">
        <v>0</v>
      </c>
      <c r="L159" s="147">
        <v>0</v>
      </c>
      <c r="M159" s="122">
        <f t="shared" si="3"/>
        <v>0</v>
      </c>
      <c r="N159" s="139"/>
    </row>
    <row r="160" spans="1:14" x14ac:dyDescent="0.3">
      <c r="A160" s="115" t="s">
        <v>612</v>
      </c>
      <c r="B160" s="111">
        <v>1347567.6832591037</v>
      </c>
      <c r="C160" s="115" t="s">
        <v>612</v>
      </c>
      <c r="D160" s="147">
        <v>0</v>
      </c>
      <c r="E160" s="147">
        <v>5.2499999999999998E-2</v>
      </c>
      <c r="F160" s="147">
        <v>0</v>
      </c>
      <c r="G160" s="147">
        <v>0</v>
      </c>
      <c r="H160" s="147">
        <v>4.5119047619047621E-2</v>
      </c>
      <c r="I160" s="147">
        <v>0.8459821428571429</v>
      </c>
      <c r="J160" s="147">
        <v>5.6398809523809525E-2</v>
      </c>
      <c r="K160" s="147">
        <v>0</v>
      </c>
      <c r="L160" s="147">
        <v>0</v>
      </c>
      <c r="M160" s="122">
        <f t="shared" si="3"/>
        <v>4.5119047619047621E-2</v>
      </c>
      <c r="N160" s="139"/>
    </row>
    <row r="161" spans="1:14" x14ac:dyDescent="0.3">
      <c r="A161" s="115" t="s">
        <v>613</v>
      </c>
      <c r="B161" s="111">
        <v>5936.4582641690004</v>
      </c>
      <c r="C161" s="115" t="s">
        <v>613</v>
      </c>
      <c r="D161" s="147">
        <v>0</v>
      </c>
      <c r="E161" s="147">
        <v>0.02</v>
      </c>
      <c r="F161" s="147">
        <v>1.4358974358974358E-3</v>
      </c>
      <c r="G161" s="147">
        <v>6.892307692307692E-2</v>
      </c>
      <c r="H161" s="147">
        <v>0.1321025641025641</v>
      </c>
      <c r="I161" s="147">
        <v>5.1692307692307697E-2</v>
      </c>
      <c r="J161" s="147">
        <v>2.5846153846153849E-2</v>
      </c>
      <c r="K161" s="147">
        <v>0.7</v>
      </c>
      <c r="L161" s="147">
        <v>0</v>
      </c>
      <c r="M161" s="122">
        <f t="shared" si="3"/>
        <v>0.83353846153846156</v>
      </c>
      <c r="N161" s="139"/>
    </row>
    <row r="162" spans="1:14" x14ac:dyDescent="0.3">
      <c r="A162" s="115" t="s">
        <v>614</v>
      </c>
      <c r="B162" s="111">
        <v>7630.7969894203898</v>
      </c>
      <c r="C162" s="115" t="s">
        <v>614</v>
      </c>
      <c r="D162" s="147">
        <v>0</v>
      </c>
      <c r="E162" s="147">
        <v>1.3899999999999999E-2</v>
      </c>
      <c r="F162" s="147">
        <v>0.98</v>
      </c>
      <c r="G162" s="147">
        <v>0</v>
      </c>
      <c r="H162" s="147">
        <v>0</v>
      </c>
      <c r="I162" s="147">
        <v>0</v>
      </c>
      <c r="J162" s="147">
        <v>8.6E-3</v>
      </c>
      <c r="K162" s="147">
        <v>0</v>
      </c>
      <c r="L162" s="147">
        <v>0</v>
      </c>
      <c r="M162" s="122">
        <f t="shared" si="3"/>
        <v>0.98</v>
      </c>
      <c r="N162" s="139"/>
    </row>
    <row r="163" spans="1:14" x14ac:dyDescent="0.3">
      <c r="A163" s="115" t="s">
        <v>615</v>
      </c>
      <c r="B163" s="111">
        <v>0</v>
      </c>
      <c r="C163" s="115" t="s">
        <v>615</v>
      </c>
      <c r="D163" s="147">
        <v>0</v>
      </c>
      <c r="E163" s="147">
        <v>0</v>
      </c>
      <c r="F163" s="147">
        <v>0</v>
      </c>
      <c r="G163" s="147">
        <v>0</v>
      </c>
      <c r="H163" s="147">
        <v>0</v>
      </c>
      <c r="I163" s="147">
        <v>0</v>
      </c>
      <c r="J163" s="147">
        <v>0</v>
      </c>
      <c r="K163" s="147">
        <v>0</v>
      </c>
      <c r="L163" s="147">
        <v>0</v>
      </c>
      <c r="M163" s="122">
        <f t="shared" si="3"/>
        <v>0</v>
      </c>
      <c r="N163" s="139"/>
    </row>
    <row r="164" spans="1:14" x14ac:dyDescent="0.3">
      <c r="A164" s="115" t="s">
        <v>616</v>
      </c>
      <c r="B164" s="111">
        <v>0</v>
      </c>
      <c r="C164" s="115" t="s">
        <v>616</v>
      </c>
      <c r="D164" s="147">
        <v>0</v>
      </c>
      <c r="E164" s="147">
        <v>0</v>
      </c>
      <c r="F164" s="147">
        <v>0</v>
      </c>
      <c r="G164" s="147">
        <v>0</v>
      </c>
      <c r="H164" s="147">
        <v>0</v>
      </c>
      <c r="I164" s="147">
        <v>0</v>
      </c>
      <c r="J164" s="147">
        <v>0</v>
      </c>
      <c r="K164" s="147">
        <v>0</v>
      </c>
      <c r="L164" s="147">
        <v>0</v>
      </c>
      <c r="M164" s="122">
        <f t="shared" si="3"/>
        <v>0</v>
      </c>
      <c r="N164" s="139"/>
    </row>
    <row r="165" spans="1:14" x14ac:dyDescent="0.3">
      <c r="A165" s="115" t="s">
        <v>617</v>
      </c>
      <c r="B165" s="111">
        <v>0</v>
      </c>
      <c r="C165" s="115" t="s">
        <v>617</v>
      </c>
      <c r="D165" s="147">
        <v>0</v>
      </c>
      <c r="E165" s="147">
        <v>0</v>
      </c>
      <c r="F165" s="147">
        <v>0</v>
      </c>
      <c r="G165" s="147">
        <v>0</v>
      </c>
      <c r="H165" s="147">
        <v>0</v>
      </c>
      <c r="I165" s="147">
        <v>0</v>
      </c>
      <c r="J165" s="147">
        <v>0</v>
      </c>
      <c r="K165" s="147">
        <v>0</v>
      </c>
      <c r="L165" s="147">
        <v>0</v>
      </c>
      <c r="M165" s="122">
        <f t="shared" si="3"/>
        <v>0</v>
      </c>
      <c r="N165" s="139"/>
    </row>
    <row r="166" spans="1:14" x14ac:dyDescent="0.3">
      <c r="A166" s="115" t="s">
        <v>618</v>
      </c>
      <c r="B166" s="111">
        <v>17028.262970169282</v>
      </c>
      <c r="C166" s="115" t="s">
        <v>618</v>
      </c>
      <c r="D166" s="147">
        <v>0</v>
      </c>
      <c r="E166" s="147">
        <v>1.8911111111111111E-2</v>
      </c>
      <c r="F166" s="147">
        <v>4.7277777777777778E-3</v>
      </c>
      <c r="G166" s="147">
        <v>0.22693333333333332</v>
      </c>
      <c r="H166" s="147">
        <v>0.52</v>
      </c>
      <c r="I166" s="147">
        <v>0.17019999999999999</v>
      </c>
      <c r="J166" s="147">
        <v>5.45E-2</v>
      </c>
      <c r="K166" s="147">
        <v>4.7277777777777778E-3</v>
      </c>
      <c r="L166" s="147">
        <v>0</v>
      </c>
      <c r="M166" s="122">
        <f t="shared" si="3"/>
        <v>0.52945555555555557</v>
      </c>
      <c r="N166" s="139"/>
    </row>
    <row r="167" spans="1:14" x14ac:dyDescent="0.3">
      <c r="A167" s="115" t="s">
        <v>619</v>
      </c>
      <c r="B167" s="111">
        <v>2178.2236099907791</v>
      </c>
      <c r="C167" s="115" t="s">
        <v>619</v>
      </c>
      <c r="D167" s="147">
        <v>0</v>
      </c>
      <c r="E167" s="147">
        <v>0.02</v>
      </c>
      <c r="F167" s="147">
        <v>5.0000000000000001E-3</v>
      </c>
      <c r="G167" s="147">
        <v>0.24</v>
      </c>
      <c r="H167" s="147">
        <v>0.46</v>
      </c>
      <c r="I167" s="147">
        <v>0.18</v>
      </c>
      <c r="J167" s="147">
        <v>0.09</v>
      </c>
      <c r="K167" s="147">
        <v>5.0000000000000001E-3</v>
      </c>
      <c r="L167" s="147">
        <v>0</v>
      </c>
      <c r="M167" s="122">
        <f t="shared" si="3"/>
        <v>0.47000000000000003</v>
      </c>
      <c r="N167" s="139"/>
    </row>
    <row r="168" spans="1:14" x14ac:dyDescent="0.3">
      <c r="A168" s="115" t="s">
        <v>620</v>
      </c>
      <c r="B168" s="111">
        <v>20289.549466546567</v>
      </c>
      <c r="C168" s="115" t="s">
        <v>620</v>
      </c>
      <c r="D168" s="147">
        <v>0</v>
      </c>
      <c r="E168" s="147">
        <v>4.0110497237569077E-3</v>
      </c>
      <c r="F168" s="147">
        <v>1.0027624309392269E-3</v>
      </c>
      <c r="G168" s="147">
        <v>4.8132596685082893E-2</v>
      </c>
      <c r="H168" s="147">
        <v>9.2254143646408868E-2</v>
      </c>
      <c r="I168" s="147">
        <v>3.6099447513812166E-2</v>
      </c>
      <c r="J168" s="147">
        <v>0.17850000000000002</v>
      </c>
      <c r="K168" s="147">
        <v>0.64</v>
      </c>
      <c r="L168" s="147">
        <v>0</v>
      </c>
      <c r="M168" s="122">
        <f t="shared" si="3"/>
        <v>0.73325690607734817</v>
      </c>
      <c r="N168" s="139"/>
    </row>
    <row r="169" spans="1:14" x14ac:dyDescent="0.3">
      <c r="A169" s="115" t="s">
        <v>621</v>
      </c>
      <c r="B169" s="111">
        <v>5282819.4670672165</v>
      </c>
      <c r="C169" s="115" t="s">
        <v>621</v>
      </c>
      <c r="D169" s="147">
        <v>0</v>
      </c>
      <c r="E169" s="147">
        <v>0</v>
      </c>
      <c r="F169" s="147">
        <v>0</v>
      </c>
      <c r="G169" s="147">
        <v>0</v>
      </c>
      <c r="H169" s="147">
        <v>0.69</v>
      </c>
      <c r="I169" s="147">
        <v>0.1</v>
      </c>
      <c r="J169" s="147">
        <v>7.0000000000000007E-2</v>
      </c>
      <c r="K169" s="147">
        <v>0</v>
      </c>
      <c r="L169" s="147">
        <v>0.14000000000000001</v>
      </c>
      <c r="M169" s="122">
        <f t="shared" si="3"/>
        <v>0.69</v>
      </c>
      <c r="N169" s="139"/>
    </row>
    <row r="170" spans="1:14" x14ac:dyDescent="0.3">
      <c r="A170" s="115" t="s">
        <v>622</v>
      </c>
      <c r="B170" s="111">
        <v>0</v>
      </c>
      <c r="C170" s="115" t="s">
        <v>622</v>
      </c>
      <c r="D170" s="147">
        <v>0</v>
      </c>
      <c r="E170" s="147">
        <v>0</v>
      </c>
      <c r="F170" s="147">
        <v>0</v>
      </c>
      <c r="G170" s="147">
        <v>0</v>
      </c>
      <c r="H170" s="147">
        <v>0</v>
      </c>
      <c r="I170" s="147">
        <v>0</v>
      </c>
      <c r="J170" s="147">
        <v>0</v>
      </c>
      <c r="K170" s="147">
        <v>0</v>
      </c>
      <c r="L170" s="147">
        <v>0</v>
      </c>
      <c r="M170" s="122">
        <f t="shared" si="3"/>
        <v>0</v>
      </c>
      <c r="N170" s="139"/>
    </row>
    <row r="171" spans="1:14" x14ac:dyDescent="0.3">
      <c r="A171" s="115" t="s">
        <v>623</v>
      </c>
      <c r="B171" s="111">
        <v>686638.53587341506</v>
      </c>
      <c r="C171" s="115" t="s">
        <v>623</v>
      </c>
      <c r="D171" s="147">
        <v>0</v>
      </c>
      <c r="E171" s="147">
        <v>1.6500000000000001E-2</v>
      </c>
      <c r="F171" s="147">
        <v>4.1250000000000002E-3</v>
      </c>
      <c r="G171" s="147">
        <v>0.19800000000000001</v>
      </c>
      <c r="H171" s="147">
        <v>0.3795</v>
      </c>
      <c r="I171" s="147">
        <v>0.14849999999999999</v>
      </c>
      <c r="J171" s="147">
        <v>7.4249999999999997E-2</v>
      </c>
      <c r="K171" s="147">
        <v>4.1250000000000002E-3</v>
      </c>
      <c r="L171" s="147">
        <v>0.17499999999999999</v>
      </c>
      <c r="M171" s="122">
        <f t="shared" si="3"/>
        <v>0.38774999999999998</v>
      </c>
      <c r="N171" s="139"/>
    </row>
    <row r="172" spans="1:14" x14ac:dyDescent="0.3">
      <c r="A172" s="115" t="s">
        <v>624</v>
      </c>
      <c r="B172" s="111">
        <v>2714.1839784494077</v>
      </c>
      <c r="C172" s="115" t="s">
        <v>624</v>
      </c>
      <c r="D172" s="147">
        <v>0</v>
      </c>
      <c r="E172" s="147">
        <v>0.02</v>
      </c>
      <c r="F172" s="147">
        <v>5.0000000000000001E-3</v>
      </c>
      <c r="G172" s="147">
        <v>0.24</v>
      </c>
      <c r="H172" s="147">
        <v>0.46</v>
      </c>
      <c r="I172" s="147">
        <v>0.18</v>
      </c>
      <c r="J172" s="147">
        <v>0.09</v>
      </c>
      <c r="K172" s="147">
        <v>5.0000000000000001E-3</v>
      </c>
      <c r="L172" s="147">
        <v>0</v>
      </c>
      <c r="M172" s="122">
        <f t="shared" si="3"/>
        <v>0.47000000000000003</v>
      </c>
      <c r="N172" s="139"/>
    </row>
    <row r="173" spans="1:14" x14ac:dyDescent="0.3">
      <c r="A173" s="115" t="s">
        <v>625</v>
      </c>
      <c r="B173" s="111">
        <v>1776603.4407705953</v>
      </c>
      <c r="C173" s="115" t="s">
        <v>625</v>
      </c>
      <c r="D173" s="147">
        <v>0</v>
      </c>
      <c r="E173" s="147">
        <v>0.01</v>
      </c>
      <c r="F173" s="147">
        <v>0</v>
      </c>
      <c r="G173" s="147">
        <v>0.25</v>
      </c>
      <c r="H173" s="147">
        <v>0.16</v>
      </c>
      <c r="I173" s="147">
        <v>0</v>
      </c>
      <c r="J173" s="147">
        <v>0.57999999999999996</v>
      </c>
      <c r="K173" s="147">
        <v>0</v>
      </c>
      <c r="L173" s="147">
        <v>0</v>
      </c>
      <c r="M173" s="122">
        <f t="shared" si="3"/>
        <v>0.16</v>
      </c>
      <c r="N173" s="139"/>
    </row>
    <row r="174" spans="1:14" x14ac:dyDescent="0.3">
      <c r="A174" s="115" t="s">
        <v>626</v>
      </c>
      <c r="B174" s="111">
        <v>2011587.7843788203</v>
      </c>
      <c r="C174" s="115" t="s">
        <v>626</v>
      </c>
      <c r="D174" s="147">
        <v>0</v>
      </c>
      <c r="E174" s="147">
        <v>0</v>
      </c>
      <c r="F174" s="147">
        <v>0.3</v>
      </c>
      <c r="G174" s="147">
        <v>0</v>
      </c>
      <c r="H174" s="147">
        <v>0</v>
      </c>
      <c r="I174" s="147">
        <v>0.6</v>
      </c>
      <c r="J174" s="147">
        <v>0.1</v>
      </c>
      <c r="K174" s="147">
        <v>0</v>
      </c>
      <c r="L174" s="147">
        <v>0</v>
      </c>
      <c r="M174" s="122">
        <f t="shared" si="3"/>
        <v>0.3</v>
      </c>
      <c r="N174" s="139"/>
    </row>
    <row r="175" spans="1:14" x14ac:dyDescent="0.3">
      <c r="A175" s="115" t="s">
        <v>627</v>
      </c>
      <c r="B175" s="111">
        <v>379110.09407759627</v>
      </c>
      <c r="C175" s="115" t="s">
        <v>627</v>
      </c>
      <c r="D175" s="147">
        <v>0</v>
      </c>
      <c r="E175" s="147">
        <v>0.05</v>
      </c>
      <c r="F175" s="147">
        <v>0</v>
      </c>
      <c r="G175" s="147">
        <v>0</v>
      </c>
      <c r="H175" s="147">
        <v>0</v>
      </c>
      <c r="I175" s="147">
        <v>0.85</v>
      </c>
      <c r="J175" s="147">
        <v>0.12789999999999999</v>
      </c>
      <c r="K175" s="147">
        <v>0</v>
      </c>
      <c r="L175" s="147">
        <v>0</v>
      </c>
      <c r="M175" s="122">
        <f t="shared" si="3"/>
        <v>0</v>
      </c>
      <c r="N175" s="139"/>
    </row>
    <row r="176" spans="1:14" x14ac:dyDescent="0.3">
      <c r="A176" s="115" t="s">
        <v>628</v>
      </c>
      <c r="B176" s="111">
        <v>6204.7289168573188</v>
      </c>
      <c r="C176" s="115" t="s">
        <v>628</v>
      </c>
      <c r="D176" s="147">
        <v>0</v>
      </c>
      <c r="E176" s="147">
        <v>7.0000000000000007E-2</v>
      </c>
      <c r="F176" s="147">
        <v>0</v>
      </c>
      <c r="G176" s="147">
        <v>0.06</v>
      </c>
      <c r="H176" s="147">
        <v>0.03</v>
      </c>
      <c r="I176" s="147">
        <v>0.5625</v>
      </c>
      <c r="J176" s="147">
        <v>3.7499999999999999E-2</v>
      </c>
      <c r="K176" s="147">
        <v>0</v>
      </c>
      <c r="L176" s="147">
        <v>0.24</v>
      </c>
      <c r="M176" s="122">
        <f t="shared" si="3"/>
        <v>0.03</v>
      </c>
      <c r="N176" s="139"/>
    </row>
    <row r="177" spans="1:14" x14ac:dyDescent="0.3">
      <c r="A177" s="115" t="s">
        <v>629</v>
      </c>
      <c r="B177" s="111">
        <v>708.97196813160519</v>
      </c>
      <c r="C177" s="115" t="s">
        <v>629</v>
      </c>
      <c r="D177" s="147">
        <v>0</v>
      </c>
      <c r="E177" s="147">
        <v>0.06</v>
      </c>
      <c r="F177" s="147">
        <v>3.5505617977528094E-3</v>
      </c>
      <c r="G177" s="147">
        <v>0.17042696629213483</v>
      </c>
      <c r="H177" s="147">
        <v>0.32665168539325845</v>
      </c>
      <c r="I177" s="147">
        <v>0.12782022471910115</v>
      </c>
      <c r="J177" s="147">
        <v>0.308</v>
      </c>
      <c r="K177" s="147">
        <v>3.5505617977528094E-3</v>
      </c>
      <c r="L177" s="147">
        <v>0</v>
      </c>
      <c r="M177" s="122">
        <f t="shared" si="3"/>
        <v>0.33375280898876408</v>
      </c>
      <c r="N177" s="139"/>
    </row>
    <row r="178" spans="1:14" x14ac:dyDescent="0.3">
      <c r="A178" s="115" t="s">
        <v>630</v>
      </c>
      <c r="B178" s="111">
        <v>813551.28940496978</v>
      </c>
      <c r="C178" s="115" t="s">
        <v>630</v>
      </c>
      <c r="D178" s="147">
        <v>0</v>
      </c>
      <c r="E178" s="147">
        <v>1.84E-2</v>
      </c>
      <c r="F178" s="147">
        <v>4.5999999999999999E-3</v>
      </c>
      <c r="G178" s="147">
        <v>0.2208</v>
      </c>
      <c r="H178" s="147">
        <v>0.42320000000000002</v>
      </c>
      <c r="I178" s="147">
        <v>0.1656</v>
      </c>
      <c r="J178" s="147">
        <v>8.2799999999999999E-2</v>
      </c>
      <c r="K178" s="147">
        <v>4.5999999999999999E-3</v>
      </c>
      <c r="L178" s="147">
        <v>0.08</v>
      </c>
      <c r="M178" s="122">
        <f t="shared" si="3"/>
        <v>0.43240000000000001</v>
      </c>
      <c r="N178" s="139"/>
    </row>
    <row r="179" spans="1:14" x14ac:dyDescent="0.3">
      <c r="A179" s="115" t="s">
        <v>631</v>
      </c>
      <c r="B179" s="111">
        <v>93128.581187736665</v>
      </c>
      <c r="C179" s="115" t="s">
        <v>631</v>
      </c>
      <c r="D179" s="147">
        <v>0</v>
      </c>
      <c r="E179" s="147">
        <v>1.5853658536585367E-3</v>
      </c>
      <c r="F179" s="147">
        <v>3.9634146341463417E-4</v>
      </c>
      <c r="G179" s="147">
        <v>1.9024390243902439E-2</v>
      </c>
      <c r="H179" s="147">
        <v>3.6463414634146346E-2</v>
      </c>
      <c r="I179" s="147">
        <v>0.93500000000000005</v>
      </c>
      <c r="J179" s="147">
        <v>7.134146341463414E-3</v>
      </c>
      <c r="K179" s="147">
        <v>3.9634146341463417E-4</v>
      </c>
      <c r="L179" s="147">
        <v>0</v>
      </c>
      <c r="M179" s="122">
        <f t="shared" si="3"/>
        <v>3.7256097560975615E-2</v>
      </c>
      <c r="N179" s="139"/>
    </row>
    <row r="180" spans="1:14" x14ac:dyDescent="0.3">
      <c r="A180" s="115" t="s">
        <v>632</v>
      </c>
      <c r="B180" s="111">
        <v>1451.8989167951943</v>
      </c>
      <c r="C180" s="115" t="s">
        <v>632</v>
      </c>
      <c r="D180" s="147">
        <v>0</v>
      </c>
      <c r="E180" s="147">
        <v>1.4065934065934068E-2</v>
      </c>
      <c r="F180" s="147">
        <v>3.5164835164835169E-3</v>
      </c>
      <c r="G180" s="147">
        <v>0.16879120879120879</v>
      </c>
      <c r="H180" s="147">
        <v>0.32351648351648349</v>
      </c>
      <c r="I180" s="147">
        <v>0.12659340659340659</v>
      </c>
      <c r="J180" s="147">
        <v>0.36</v>
      </c>
      <c r="K180" s="147">
        <v>3.5164835164835169E-3</v>
      </c>
      <c r="L180" s="147">
        <v>0</v>
      </c>
      <c r="M180" s="122">
        <f t="shared" si="3"/>
        <v>0.33054945054945056</v>
      </c>
      <c r="N180" s="139"/>
    </row>
    <row r="181" spans="1:14" x14ac:dyDescent="0.3">
      <c r="A181" s="115" t="s">
        <v>633</v>
      </c>
      <c r="B181" s="111">
        <v>2503629.4415022414</v>
      </c>
      <c r="C181" s="115" t="s">
        <v>633</v>
      </c>
      <c r="D181" s="147">
        <v>0</v>
      </c>
      <c r="E181" s="147">
        <v>0.01</v>
      </c>
      <c r="F181" s="147">
        <v>0</v>
      </c>
      <c r="G181" s="147">
        <v>0</v>
      </c>
      <c r="H181" s="147">
        <v>0.71499999999999997</v>
      </c>
      <c r="I181" s="147">
        <v>0</v>
      </c>
      <c r="J181" s="147">
        <v>0.17499999999999999</v>
      </c>
      <c r="K181" s="147">
        <v>0.1</v>
      </c>
      <c r="L181" s="147">
        <v>0</v>
      </c>
      <c r="M181" s="122">
        <f t="shared" si="3"/>
        <v>0.81499999999999995</v>
      </c>
      <c r="N181" s="139"/>
    </row>
    <row r="182" spans="1:14" x14ac:dyDescent="0.3">
      <c r="A182" s="115" t="s">
        <v>634</v>
      </c>
      <c r="B182" s="111">
        <v>6378.5130335393378</v>
      </c>
      <c r="C182" s="115" t="s">
        <v>634</v>
      </c>
      <c r="D182" s="147">
        <v>0</v>
      </c>
      <c r="E182" s="147">
        <v>0.02</v>
      </c>
      <c r="F182" s="147">
        <v>5.0000000000000001E-3</v>
      </c>
      <c r="G182" s="147">
        <v>0.24</v>
      </c>
      <c r="H182" s="147">
        <v>0.46</v>
      </c>
      <c r="I182" s="147">
        <v>0.18</v>
      </c>
      <c r="J182" s="147">
        <v>0.09</v>
      </c>
      <c r="K182" s="147">
        <v>5.0000000000000001E-3</v>
      </c>
      <c r="L182" s="147">
        <v>0</v>
      </c>
      <c r="M182" s="122">
        <f t="shared" si="3"/>
        <v>0.47000000000000003</v>
      </c>
      <c r="N182" s="139"/>
    </row>
    <row r="183" spans="1:14" x14ac:dyDescent="0.3">
      <c r="A183" s="115" t="s">
        <v>635</v>
      </c>
      <c r="B183" s="111">
        <v>0</v>
      </c>
      <c r="C183" s="115" t="s">
        <v>635</v>
      </c>
      <c r="D183" s="147">
        <v>0</v>
      </c>
      <c r="E183" s="147">
        <v>0</v>
      </c>
      <c r="F183" s="147">
        <v>0</v>
      </c>
      <c r="G183" s="147">
        <v>0</v>
      </c>
      <c r="H183" s="147">
        <v>0</v>
      </c>
      <c r="I183" s="147">
        <v>0</v>
      </c>
      <c r="J183" s="147">
        <v>0</v>
      </c>
      <c r="K183" s="147">
        <v>0</v>
      </c>
      <c r="L183" s="147">
        <v>0</v>
      </c>
      <c r="M183" s="122">
        <f t="shared" si="3"/>
        <v>0</v>
      </c>
      <c r="N183" s="139"/>
    </row>
    <row r="184" spans="1:14" x14ac:dyDescent="0.3">
      <c r="A184" s="115" t="s">
        <v>636</v>
      </c>
      <c r="B184" s="111">
        <v>0</v>
      </c>
      <c r="C184" s="115" t="s">
        <v>636</v>
      </c>
      <c r="D184" s="147">
        <v>0</v>
      </c>
      <c r="E184" s="147">
        <v>0</v>
      </c>
      <c r="F184" s="147">
        <v>0</v>
      </c>
      <c r="G184" s="147">
        <v>0</v>
      </c>
      <c r="H184" s="147">
        <v>0</v>
      </c>
      <c r="I184" s="147">
        <v>0</v>
      </c>
      <c r="J184" s="147">
        <v>0</v>
      </c>
      <c r="K184" s="147">
        <v>0</v>
      </c>
      <c r="L184" s="147">
        <v>0</v>
      </c>
      <c r="M184" s="122">
        <f t="shared" si="3"/>
        <v>0</v>
      </c>
      <c r="N184" s="139"/>
    </row>
    <row r="185" spans="1:14" x14ac:dyDescent="0.3">
      <c r="A185" s="115" t="s">
        <v>637</v>
      </c>
      <c r="B185" s="111">
        <v>213599.91471331872</v>
      </c>
      <c r="C185" s="115" t="s">
        <v>637</v>
      </c>
      <c r="D185" s="147">
        <v>0</v>
      </c>
      <c r="E185" s="147">
        <v>2.87E-2</v>
      </c>
      <c r="F185" s="147">
        <v>0</v>
      </c>
      <c r="G185" s="147">
        <v>0</v>
      </c>
      <c r="H185" s="147">
        <v>0.37</v>
      </c>
      <c r="I185" s="147">
        <v>0.56371875000000005</v>
      </c>
      <c r="J185" s="147">
        <v>3.7581250000000004E-2</v>
      </c>
      <c r="K185" s="147">
        <v>0</v>
      </c>
      <c r="L185" s="147">
        <v>0</v>
      </c>
      <c r="M185" s="122">
        <f t="shared" si="3"/>
        <v>0.37</v>
      </c>
      <c r="N185" s="139"/>
    </row>
    <row r="186" spans="1:14" x14ac:dyDescent="0.3">
      <c r="A186" s="115" t="s">
        <v>638</v>
      </c>
      <c r="B186" s="111">
        <v>320.65939695774648</v>
      </c>
      <c r="C186" s="115" t="s">
        <v>638</v>
      </c>
      <c r="D186" s="147">
        <v>0</v>
      </c>
      <c r="E186" s="147">
        <v>0.02</v>
      </c>
      <c r="F186" s="147">
        <v>5.0000000000000001E-3</v>
      </c>
      <c r="G186" s="147">
        <v>0.24</v>
      </c>
      <c r="H186" s="147">
        <v>0.46</v>
      </c>
      <c r="I186" s="147">
        <v>0.18</v>
      </c>
      <c r="J186" s="147">
        <v>0.09</v>
      </c>
      <c r="K186" s="147">
        <v>5.0000000000000001E-3</v>
      </c>
      <c r="L186" s="147">
        <v>0</v>
      </c>
      <c r="M186" s="122">
        <f t="shared" si="3"/>
        <v>0.47000000000000003</v>
      </c>
      <c r="N186" s="139"/>
    </row>
    <row r="187" spans="1:14" x14ac:dyDescent="0.3">
      <c r="A187" s="115" t="s">
        <v>639</v>
      </c>
      <c r="B187" s="111">
        <v>4512534.7057478232</v>
      </c>
      <c r="C187" s="115" t="s">
        <v>639</v>
      </c>
      <c r="D187" s="147">
        <v>0</v>
      </c>
      <c r="E187" s="147">
        <v>0.02</v>
      </c>
      <c r="F187" s="147">
        <v>0</v>
      </c>
      <c r="G187" s="147">
        <v>0</v>
      </c>
      <c r="H187" s="147">
        <v>0.4</v>
      </c>
      <c r="I187" s="147">
        <v>0.5</v>
      </c>
      <c r="J187" s="147">
        <v>0.08</v>
      </c>
      <c r="K187" s="147">
        <v>0</v>
      </c>
      <c r="L187" s="147">
        <v>0</v>
      </c>
      <c r="M187" s="122">
        <f t="shared" si="3"/>
        <v>0.4</v>
      </c>
      <c r="N187" s="139"/>
    </row>
    <row r="188" spans="1:14" x14ac:dyDescent="0.3">
      <c r="A188" s="115" t="s">
        <v>640</v>
      </c>
      <c r="B188" s="111">
        <v>0</v>
      </c>
      <c r="C188" s="115" t="s">
        <v>640</v>
      </c>
      <c r="D188" s="147">
        <v>0</v>
      </c>
      <c r="E188" s="147">
        <v>0</v>
      </c>
      <c r="F188" s="147">
        <v>0</v>
      </c>
      <c r="G188" s="147">
        <v>0</v>
      </c>
      <c r="H188" s="147">
        <v>0</v>
      </c>
      <c r="I188" s="147">
        <v>0</v>
      </c>
      <c r="J188" s="147">
        <v>0</v>
      </c>
      <c r="K188" s="147">
        <v>0</v>
      </c>
      <c r="L188" s="147">
        <v>0</v>
      </c>
      <c r="M188" s="122">
        <f t="shared" si="3"/>
        <v>0</v>
      </c>
      <c r="N188" s="139"/>
    </row>
    <row r="189" spans="1:14" x14ac:dyDescent="0.3">
      <c r="A189" s="115" t="s">
        <v>641</v>
      </c>
      <c r="B189" s="111">
        <v>1850921.736173447</v>
      </c>
      <c r="C189" s="115" t="s">
        <v>641</v>
      </c>
      <c r="D189" s="147">
        <v>0</v>
      </c>
      <c r="E189" s="147">
        <v>1.5824175824175824E-2</v>
      </c>
      <c r="F189" s="147">
        <v>3.956043956043956E-3</v>
      </c>
      <c r="G189" s="147">
        <v>0.1898901098901099</v>
      </c>
      <c r="H189" s="147">
        <v>0.36395604395604392</v>
      </c>
      <c r="I189" s="147">
        <v>0.1424175824175824</v>
      </c>
      <c r="J189" s="147">
        <v>0.28000000000000003</v>
      </c>
      <c r="K189" s="147">
        <v>3.956043956043956E-3</v>
      </c>
      <c r="L189" s="147">
        <v>0</v>
      </c>
      <c r="M189" s="122">
        <f t="shared" si="3"/>
        <v>0.37186813186813178</v>
      </c>
      <c r="N189" s="139"/>
    </row>
    <row r="190" spans="1:14" x14ac:dyDescent="0.3">
      <c r="A190" s="115" t="s">
        <v>642</v>
      </c>
      <c r="B190" s="111">
        <v>443.62603616892505</v>
      </c>
      <c r="C190" s="115" t="s">
        <v>642</v>
      </c>
      <c r="D190" s="147">
        <v>0</v>
      </c>
      <c r="E190" s="147">
        <v>0.02</v>
      </c>
      <c r="F190" s="147">
        <v>5.0000000000000001E-3</v>
      </c>
      <c r="G190" s="147">
        <v>0.24</v>
      </c>
      <c r="H190" s="147">
        <v>0.46</v>
      </c>
      <c r="I190" s="147">
        <v>0.18</v>
      </c>
      <c r="J190" s="147">
        <v>0.09</v>
      </c>
      <c r="K190" s="147">
        <v>5.0000000000000001E-3</v>
      </c>
      <c r="L190" s="147">
        <v>0</v>
      </c>
      <c r="M190" s="122">
        <f t="shared" si="3"/>
        <v>0.47000000000000003</v>
      </c>
      <c r="N190" s="139"/>
    </row>
    <row r="191" spans="1:14" x14ac:dyDescent="0.3">
      <c r="A191" s="115" t="s">
        <v>643</v>
      </c>
      <c r="B191" s="111">
        <v>164781.25350260534</v>
      </c>
      <c r="C191" s="115" t="s">
        <v>643</v>
      </c>
      <c r="D191" s="147">
        <v>0</v>
      </c>
      <c r="E191" s="147">
        <v>0</v>
      </c>
      <c r="F191" s="147">
        <v>0.62</v>
      </c>
      <c r="G191" s="147">
        <v>0</v>
      </c>
      <c r="H191" s="147">
        <v>0</v>
      </c>
      <c r="I191" s="147">
        <v>0</v>
      </c>
      <c r="J191" s="147">
        <v>0.02</v>
      </c>
      <c r="K191" s="147">
        <v>0</v>
      </c>
      <c r="L191" s="147">
        <v>0.37</v>
      </c>
      <c r="M191" s="122">
        <f t="shared" si="3"/>
        <v>0.62</v>
      </c>
      <c r="N191" s="139"/>
    </row>
    <row r="192" spans="1:14" x14ac:dyDescent="0.3">
      <c r="A192" s="115" t="s">
        <v>644</v>
      </c>
      <c r="B192" s="111">
        <v>0</v>
      </c>
      <c r="C192" s="115" t="s">
        <v>644</v>
      </c>
      <c r="D192" s="147">
        <v>0</v>
      </c>
      <c r="E192" s="147">
        <v>0</v>
      </c>
      <c r="F192" s="147">
        <v>0</v>
      </c>
      <c r="G192" s="147">
        <v>0</v>
      </c>
      <c r="H192" s="147">
        <v>0</v>
      </c>
      <c r="I192" s="147">
        <v>0</v>
      </c>
      <c r="J192" s="147">
        <v>0</v>
      </c>
      <c r="K192" s="147">
        <v>0</v>
      </c>
      <c r="L192" s="147">
        <v>0</v>
      </c>
      <c r="M192" s="122">
        <f t="shared" si="3"/>
        <v>0</v>
      </c>
      <c r="N192" s="139"/>
    </row>
    <row r="193" spans="1:14" x14ac:dyDescent="0.3">
      <c r="A193" s="115" t="s">
        <v>645</v>
      </c>
      <c r="B193" s="111">
        <v>8331.2829441053509</v>
      </c>
      <c r="C193" s="115" t="s">
        <v>645</v>
      </c>
      <c r="D193" s="147">
        <v>0</v>
      </c>
      <c r="E193" s="147">
        <v>1.3406593406593406E-2</v>
      </c>
      <c r="F193" s="147">
        <v>3.3516483516483515E-3</v>
      </c>
      <c r="G193" s="147">
        <v>0.16087912087912087</v>
      </c>
      <c r="H193" s="147">
        <v>0.30835164835164836</v>
      </c>
      <c r="I193" s="147">
        <v>0.12065934065934066</v>
      </c>
      <c r="J193" s="147">
        <v>0.39</v>
      </c>
      <c r="K193" s="147">
        <v>3.3516483516483515E-3</v>
      </c>
      <c r="L193" s="147">
        <v>0</v>
      </c>
      <c r="M193" s="122">
        <f t="shared" si="3"/>
        <v>0.31505494505494508</v>
      </c>
      <c r="N193" s="139"/>
    </row>
    <row r="194" spans="1:14" x14ac:dyDescent="0.3">
      <c r="A194" s="115" t="s">
        <v>646</v>
      </c>
      <c r="B194" s="111">
        <v>223140.16921272108</v>
      </c>
      <c r="C194" s="115" t="s">
        <v>646</v>
      </c>
      <c r="D194" s="147">
        <v>0</v>
      </c>
      <c r="E194" s="147">
        <v>0</v>
      </c>
      <c r="F194" s="147">
        <v>0</v>
      </c>
      <c r="G194" s="147">
        <v>0.37</v>
      </c>
      <c r="H194" s="147">
        <v>0.02</v>
      </c>
      <c r="I194" s="147">
        <v>0</v>
      </c>
      <c r="J194" s="147">
        <v>0.61</v>
      </c>
      <c r="K194" s="147">
        <v>0</v>
      </c>
      <c r="L194" s="147">
        <v>0</v>
      </c>
      <c r="M194" s="122">
        <f t="shared" si="3"/>
        <v>0.02</v>
      </c>
      <c r="N194" s="139"/>
    </row>
    <row r="195" spans="1:14" x14ac:dyDescent="0.3">
      <c r="A195" s="115" t="s">
        <v>647</v>
      </c>
      <c r="B195" s="111">
        <v>15049.251230901407</v>
      </c>
      <c r="C195" s="115" t="s">
        <v>647</v>
      </c>
      <c r="D195" s="147">
        <v>0</v>
      </c>
      <c r="E195" s="147">
        <v>0.02</v>
      </c>
      <c r="F195" s="147">
        <v>5.0000000000000001E-3</v>
      </c>
      <c r="G195" s="147">
        <v>0.24</v>
      </c>
      <c r="H195" s="147">
        <v>0.46</v>
      </c>
      <c r="I195" s="147">
        <v>0.18</v>
      </c>
      <c r="J195" s="147">
        <v>0.09</v>
      </c>
      <c r="K195" s="147">
        <v>5.0000000000000001E-3</v>
      </c>
      <c r="L195" s="147">
        <v>0</v>
      </c>
      <c r="M195" s="122">
        <f t="shared" si="3"/>
        <v>0.47000000000000003</v>
      </c>
      <c r="N195" s="139"/>
    </row>
    <row r="196" spans="1:14" x14ac:dyDescent="0.3">
      <c r="A196" s="115" t="s">
        <v>648</v>
      </c>
      <c r="B196" s="111">
        <v>324722.3923846471</v>
      </c>
      <c r="C196" s="115" t="s">
        <v>648</v>
      </c>
      <c r="D196" s="147">
        <v>0</v>
      </c>
      <c r="E196" s="147">
        <v>0</v>
      </c>
      <c r="F196" s="147">
        <v>0</v>
      </c>
      <c r="G196" s="147">
        <v>4.0000000000000001E-3</v>
      </c>
      <c r="H196" s="147">
        <v>0.27</v>
      </c>
      <c r="I196" s="147">
        <v>0.53500000000000003</v>
      </c>
      <c r="J196" s="147">
        <v>0.191</v>
      </c>
      <c r="K196" s="147">
        <v>0</v>
      </c>
      <c r="L196" s="147">
        <v>0</v>
      </c>
      <c r="M196" s="122">
        <f t="shared" si="3"/>
        <v>0.27</v>
      </c>
      <c r="N196" s="139"/>
    </row>
    <row r="197" spans="1:14" x14ac:dyDescent="0.3">
      <c r="A197" s="115" t="s">
        <v>649</v>
      </c>
      <c r="B197" s="111">
        <v>0</v>
      </c>
      <c r="C197" s="115" t="s">
        <v>649</v>
      </c>
      <c r="D197" s="147">
        <v>0</v>
      </c>
      <c r="E197" s="147">
        <v>0</v>
      </c>
      <c r="F197" s="147">
        <v>0</v>
      </c>
      <c r="G197" s="147">
        <v>0</v>
      </c>
      <c r="H197" s="147">
        <v>0</v>
      </c>
      <c r="I197" s="147">
        <v>0</v>
      </c>
      <c r="J197" s="147">
        <v>0</v>
      </c>
      <c r="K197" s="147">
        <v>0</v>
      </c>
      <c r="L197" s="147">
        <v>0</v>
      </c>
      <c r="M197" s="122">
        <f t="shared" si="3"/>
        <v>0</v>
      </c>
      <c r="N197" s="139"/>
    </row>
    <row r="198" spans="1:14" x14ac:dyDescent="0.3">
      <c r="A198" s="115" t="s">
        <v>650</v>
      </c>
      <c r="B198" s="111">
        <v>18073.461937312808</v>
      </c>
      <c r="C198" s="115" t="s">
        <v>650</v>
      </c>
      <c r="D198" s="147">
        <v>0</v>
      </c>
      <c r="E198" s="147">
        <v>0.02</v>
      </c>
      <c r="F198" s="147">
        <v>5.0000000000000001E-3</v>
      </c>
      <c r="G198" s="147">
        <v>0.24</v>
      </c>
      <c r="H198" s="147">
        <v>0.46</v>
      </c>
      <c r="I198" s="147">
        <v>0.18</v>
      </c>
      <c r="J198" s="147">
        <v>0.09</v>
      </c>
      <c r="K198" s="147">
        <v>5.0000000000000001E-3</v>
      </c>
      <c r="L198" s="147">
        <v>0</v>
      </c>
      <c r="M198" s="122">
        <f t="shared" ref="M198:M261" si="4">F198+H198+K198</f>
        <v>0.47000000000000003</v>
      </c>
      <c r="N198" s="139"/>
    </row>
    <row r="199" spans="1:14" x14ac:dyDescent="0.3">
      <c r="A199" s="115" t="s">
        <v>651</v>
      </c>
      <c r="B199" s="111">
        <v>1790.7077626478874</v>
      </c>
      <c r="C199" s="115" t="s">
        <v>651</v>
      </c>
      <c r="D199" s="147">
        <v>0</v>
      </c>
      <c r="E199" s="147">
        <v>2.2222222222222223E-2</v>
      </c>
      <c r="F199" s="147">
        <v>5.5555555555555558E-3</v>
      </c>
      <c r="G199" s="147">
        <v>0.26666666666666666</v>
      </c>
      <c r="H199" s="147">
        <v>0.4</v>
      </c>
      <c r="I199" s="147">
        <v>0.2</v>
      </c>
      <c r="J199" s="147">
        <v>0.1</v>
      </c>
      <c r="K199" s="147">
        <v>5.5555555555555558E-3</v>
      </c>
      <c r="L199" s="147">
        <v>0</v>
      </c>
      <c r="M199" s="122">
        <f t="shared" si="4"/>
        <v>0.41111111111111109</v>
      </c>
      <c r="N199" s="139"/>
    </row>
    <row r="200" spans="1:14" x14ac:dyDescent="0.3">
      <c r="A200" s="115" t="s">
        <v>652</v>
      </c>
      <c r="B200" s="111">
        <v>250.86935202417604</v>
      </c>
      <c r="C200" s="115" t="s">
        <v>652</v>
      </c>
      <c r="D200" s="147">
        <v>0</v>
      </c>
      <c r="E200" s="147">
        <v>1.9315068493150685E-2</v>
      </c>
      <c r="F200" s="147">
        <v>4.8287671232876712E-3</v>
      </c>
      <c r="G200" s="147">
        <v>0.23178082191780822</v>
      </c>
      <c r="H200" s="147">
        <v>0.44424657534246575</v>
      </c>
      <c r="I200" s="147">
        <v>0.14499999999999999</v>
      </c>
      <c r="J200" s="147">
        <v>0.15</v>
      </c>
      <c r="K200" s="147">
        <v>4.8287671232876712E-3</v>
      </c>
      <c r="L200" s="147">
        <v>0</v>
      </c>
      <c r="M200" s="122">
        <f t="shared" si="4"/>
        <v>0.45390410958904109</v>
      </c>
      <c r="N200" s="139"/>
    </row>
    <row r="201" spans="1:14" x14ac:dyDescent="0.3">
      <c r="A201" s="115" t="s">
        <v>653</v>
      </c>
      <c r="B201" s="111">
        <v>0</v>
      </c>
      <c r="C201" s="115" t="s">
        <v>653</v>
      </c>
      <c r="D201" s="147">
        <v>0</v>
      </c>
      <c r="E201" s="147">
        <v>0</v>
      </c>
      <c r="F201" s="147">
        <v>0</v>
      </c>
      <c r="G201" s="147">
        <v>0</v>
      </c>
      <c r="H201" s="147">
        <v>0</v>
      </c>
      <c r="I201" s="147">
        <v>0</v>
      </c>
      <c r="J201" s="147">
        <v>0</v>
      </c>
      <c r="K201" s="147">
        <v>0</v>
      </c>
      <c r="L201" s="147">
        <v>0</v>
      </c>
      <c r="M201" s="122">
        <f t="shared" si="4"/>
        <v>0</v>
      </c>
      <c r="N201" s="139"/>
    </row>
    <row r="202" spans="1:14" x14ac:dyDescent="0.3">
      <c r="A202" s="115" t="s">
        <v>654</v>
      </c>
      <c r="B202" s="111">
        <v>2800522.3041844224</v>
      </c>
      <c r="C202" s="115" t="s">
        <v>654</v>
      </c>
      <c r="D202" s="147">
        <v>0</v>
      </c>
      <c r="E202" s="147">
        <v>0.15</v>
      </c>
      <c r="F202" s="147">
        <v>3.4831460674157304E-3</v>
      </c>
      <c r="G202" s="147">
        <v>0.16719101123595506</v>
      </c>
      <c r="H202" s="147">
        <v>0.32044943820224714</v>
      </c>
      <c r="I202" s="147">
        <v>0.12539325842696628</v>
      </c>
      <c r="J202" s="147">
        <v>0.23</v>
      </c>
      <c r="K202" s="147">
        <v>3.4831460674157304E-3</v>
      </c>
      <c r="L202" s="147">
        <v>0</v>
      </c>
      <c r="M202" s="122">
        <f t="shared" si="4"/>
        <v>0.3274157303370786</v>
      </c>
      <c r="N202" s="139"/>
    </row>
    <row r="203" spans="1:14" x14ac:dyDescent="0.3">
      <c r="A203" s="115" t="s">
        <v>655</v>
      </c>
      <c r="B203" s="111">
        <v>6248.6101148187745</v>
      </c>
      <c r="C203" s="115" t="s">
        <v>655</v>
      </c>
      <c r="D203" s="147">
        <v>0</v>
      </c>
      <c r="E203" s="147">
        <v>1.4164383561643836E-2</v>
      </c>
      <c r="F203" s="147">
        <v>3.5410958904109591E-3</v>
      </c>
      <c r="G203" s="147">
        <v>0.16997260273972603</v>
      </c>
      <c r="H203" s="147">
        <v>0.32578082191780822</v>
      </c>
      <c r="I203" s="147">
        <v>0.113</v>
      </c>
      <c r="J203" s="147">
        <v>0.37</v>
      </c>
      <c r="K203" s="147">
        <v>3.5410958904109591E-3</v>
      </c>
      <c r="L203" s="147">
        <v>0</v>
      </c>
      <c r="M203" s="122">
        <f t="shared" si="4"/>
        <v>0.33286301369863014</v>
      </c>
      <c r="N203" s="139"/>
    </row>
    <row r="204" spans="1:14" x14ac:dyDescent="0.3">
      <c r="A204" s="115" t="s">
        <v>656</v>
      </c>
      <c r="B204" s="111">
        <v>0</v>
      </c>
      <c r="C204" s="115" t="s">
        <v>656</v>
      </c>
      <c r="D204" s="147">
        <v>0</v>
      </c>
      <c r="E204" s="147">
        <v>0</v>
      </c>
      <c r="F204" s="147">
        <v>0</v>
      </c>
      <c r="G204" s="147">
        <v>0</v>
      </c>
      <c r="H204" s="147">
        <v>0</v>
      </c>
      <c r="I204" s="147">
        <v>0</v>
      </c>
      <c r="J204" s="147">
        <v>0</v>
      </c>
      <c r="K204" s="147">
        <v>0</v>
      </c>
      <c r="L204" s="147">
        <v>0</v>
      </c>
      <c r="M204" s="122">
        <f t="shared" si="4"/>
        <v>0</v>
      </c>
      <c r="N204" s="139"/>
    </row>
    <row r="205" spans="1:14" x14ac:dyDescent="0.3">
      <c r="A205" s="115" t="s">
        <v>657</v>
      </c>
      <c r="B205" s="111">
        <v>3582.6271607887329</v>
      </c>
      <c r="C205" s="115" t="s">
        <v>657</v>
      </c>
      <c r="D205" s="147">
        <v>0</v>
      </c>
      <c r="E205" s="147">
        <v>7.2928176795580115E-3</v>
      </c>
      <c r="F205" s="147">
        <v>0.31</v>
      </c>
      <c r="G205" s="147">
        <v>8.7513812154696141E-2</v>
      </c>
      <c r="H205" s="147">
        <v>0.16773480662983423</v>
      </c>
      <c r="I205" s="147">
        <v>6.5635359116022099E-2</v>
      </c>
      <c r="J205" s="147">
        <v>0.36</v>
      </c>
      <c r="K205" s="147">
        <v>1.8232044198895029E-3</v>
      </c>
      <c r="L205" s="147">
        <v>0</v>
      </c>
      <c r="M205" s="122">
        <f t="shared" si="4"/>
        <v>0.47955801104972373</v>
      </c>
      <c r="N205" s="139"/>
    </row>
    <row r="206" spans="1:14" x14ac:dyDescent="0.3">
      <c r="A206" s="115" t="s">
        <v>658</v>
      </c>
      <c r="B206" s="111">
        <v>3200.113004090078</v>
      </c>
      <c r="C206" s="115" t="s">
        <v>658</v>
      </c>
      <c r="D206" s="147">
        <v>0</v>
      </c>
      <c r="E206" s="147">
        <v>0</v>
      </c>
      <c r="F206" s="147">
        <v>0</v>
      </c>
      <c r="G206" s="147">
        <v>0</v>
      </c>
      <c r="H206" s="147">
        <v>0</v>
      </c>
      <c r="I206" s="147">
        <v>1</v>
      </c>
      <c r="J206" s="147">
        <v>0</v>
      </c>
      <c r="K206" s="147">
        <v>0</v>
      </c>
      <c r="L206" s="147">
        <v>0</v>
      </c>
      <c r="M206" s="122">
        <f t="shared" si="4"/>
        <v>0</v>
      </c>
      <c r="N206" s="139"/>
    </row>
    <row r="207" spans="1:14" x14ac:dyDescent="0.3">
      <c r="A207" s="115" t="s">
        <v>659</v>
      </c>
      <c r="B207" s="111">
        <v>154195.42034199485</v>
      </c>
      <c r="C207" s="115" t="s">
        <v>659</v>
      </c>
      <c r="D207" s="147">
        <v>0</v>
      </c>
      <c r="E207" s="147">
        <v>0</v>
      </c>
      <c r="F207" s="147">
        <v>0</v>
      </c>
      <c r="G207" s="147">
        <v>0</v>
      </c>
      <c r="H207" s="147">
        <v>0</v>
      </c>
      <c r="I207" s="147">
        <v>1</v>
      </c>
      <c r="J207" s="147">
        <v>0</v>
      </c>
      <c r="K207" s="147">
        <v>0</v>
      </c>
      <c r="L207" s="147">
        <v>0</v>
      </c>
      <c r="M207" s="122">
        <f t="shared" si="4"/>
        <v>0</v>
      </c>
      <c r="N207" s="139"/>
    </row>
    <row r="208" spans="1:14" x14ac:dyDescent="0.3">
      <c r="A208" s="115" t="s">
        <v>660</v>
      </c>
      <c r="B208" s="111">
        <v>207323.46707607753</v>
      </c>
      <c r="C208" s="115" t="s">
        <v>660</v>
      </c>
      <c r="D208" s="147">
        <v>0</v>
      </c>
      <c r="E208" s="147">
        <v>0</v>
      </c>
      <c r="F208" s="147">
        <v>0.76900000000000002</v>
      </c>
      <c r="G208" s="147">
        <v>0</v>
      </c>
      <c r="H208" s="147">
        <v>0</v>
      </c>
      <c r="I208" s="147">
        <v>7.0999999999999994E-2</v>
      </c>
      <c r="J208" s="147">
        <v>0.16</v>
      </c>
      <c r="K208" s="147">
        <v>0</v>
      </c>
      <c r="L208" s="147">
        <v>0</v>
      </c>
      <c r="M208" s="122">
        <f t="shared" si="4"/>
        <v>0.76900000000000002</v>
      </c>
      <c r="N208" s="139"/>
    </row>
    <row r="209" spans="1:14" x14ac:dyDescent="0.3">
      <c r="A209" s="115" t="s">
        <v>661</v>
      </c>
      <c r="B209" s="111">
        <v>50575.652549229992</v>
      </c>
      <c r="C209" s="115" t="s">
        <v>661</v>
      </c>
      <c r="D209" s="147">
        <v>0</v>
      </c>
      <c r="E209" s="147">
        <v>0.107</v>
      </c>
      <c r="F209" s="147">
        <v>1.3000000000000001E-2</v>
      </c>
      <c r="G209" s="147">
        <v>0.17800000000000002</v>
      </c>
      <c r="H209" s="147">
        <v>0.20100000000000001</v>
      </c>
      <c r="I209" s="147">
        <v>0.25600000000000001</v>
      </c>
      <c r="J209" s="147">
        <v>0.2</v>
      </c>
      <c r="K209" s="147">
        <v>4.4999999999999998E-2</v>
      </c>
      <c r="L209" s="147">
        <v>0</v>
      </c>
      <c r="M209" s="122">
        <f t="shared" si="4"/>
        <v>0.25900000000000001</v>
      </c>
      <c r="N209" s="139"/>
    </row>
    <row r="210" spans="1:14" x14ac:dyDescent="0.3">
      <c r="A210" s="115" t="s">
        <v>662</v>
      </c>
      <c r="B210" s="111">
        <v>437754.86214018171</v>
      </c>
      <c r="C210" s="115" t="s">
        <v>662</v>
      </c>
      <c r="D210" s="147">
        <v>0</v>
      </c>
      <c r="E210" s="147">
        <v>7.273639705882351E-2</v>
      </c>
      <c r="F210" s="147">
        <v>8.8371323529411756E-3</v>
      </c>
      <c r="G210" s="147">
        <v>0.12100073529411763</v>
      </c>
      <c r="H210" s="147">
        <v>0.13663566176470587</v>
      </c>
      <c r="I210" s="147">
        <v>0.60099999999999998</v>
      </c>
      <c r="J210" s="147">
        <v>2.92E-2</v>
      </c>
      <c r="K210" s="147">
        <v>3.059007352941176E-2</v>
      </c>
      <c r="L210" s="147">
        <v>0</v>
      </c>
      <c r="M210" s="122">
        <f t="shared" si="4"/>
        <v>0.17606286764705881</v>
      </c>
      <c r="N210" s="139"/>
    </row>
    <row r="211" spans="1:14" x14ac:dyDescent="0.3">
      <c r="A211" s="115" t="s">
        <v>663</v>
      </c>
      <c r="B211" s="111">
        <v>22298.435978445163</v>
      </c>
      <c r="C211" s="115" t="s">
        <v>663</v>
      </c>
      <c r="D211" s="147">
        <v>0</v>
      </c>
      <c r="E211" s="147">
        <v>0</v>
      </c>
      <c r="F211" s="147">
        <v>0</v>
      </c>
      <c r="G211" s="147">
        <v>0</v>
      </c>
      <c r="H211" s="147">
        <v>0</v>
      </c>
      <c r="I211" s="147">
        <v>1</v>
      </c>
      <c r="J211" s="147">
        <v>0</v>
      </c>
      <c r="K211" s="147">
        <v>0</v>
      </c>
      <c r="L211" s="147">
        <v>0</v>
      </c>
      <c r="M211" s="122">
        <f t="shared" si="4"/>
        <v>0</v>
      </c>
      <c r="N211" s="139"/>
    </row>
    <row r="212" spans="1:14" x14ac:dyDescent="0.3">
      <c r="A212" s="115" t="s">
        <v>664</v>
      </c>
      <c r="B212" s="111">
        <v>68561.818224244533</v>
      </c>
      <c r="C212" s="115" t="s">
        <v>664</v>
      </c>
      <c r="D212" s="147">
        <v>0</v>
      </c>
      <c r="E212" s="147">
        <v>9.7558823529411767E-2</v>
      </c>
      <c r="F212" s="147">
        <v>1.1852941176470589E-2</v>
      </c>
      <c r="G212" s="147">
        <v>0.16229411764705884</v>
      </c>
      <c r="H212" s="147">
        <v>0.18326470588235297</v>
      </c>
      <c r="I212" s="147">
        <v>0.3508</v>
      </c>
      <c r="J212" s="147">
        <v>0.1532</v>
      </c>
      <c r="K212" s="147">
        <v>4.1029411764705877E-2</v>
      </c>
      <c r="L212" s="147">
        <v>0</v>
      </c>
      <c r="M212" s="122">
        <f t="shared" si="4"/>
        <v>0.23614705882352943</v>
      </c>
      <c r="N212" s="139"/>
    </row>
    <row r="213" spans="1:14" x14ac:dyDescent="0.3">
      <c r="A213" s="115" t="s">
        <v>665</v>
      </c>
      <c r="B213" s="111">
        <v>2475920.6448230082</v>
      </c>
      <c r="C213" s="115" t="s">
        <v>665</v>
      </c>
      <c r="D213" s="147">
        <v>0</v>
      </c>
      <c r="E213" s="147">
        <v>9.8345588235294098E-4</v>
      </c>
      <c r="F213" s="147">
        <v>1.1948529411764705E-4</v>
      </c>
      <c r="G213" s="147">
        <v>1.6360294117647059E-3</v>
      </c>
      <c r="H213" s="147">
        <v>1.8474264705882351E-3</v>
      </c>
      <c r="I213" s="147">
        <v>0.95</v>
      </c>
      <c r="J213" s="147">
        <v>4.4999999999999998E-2</v>
      </c>
      <c r="K213" s="147">
        <v>4.1360294117647058E-4</v>
      </c>
      <c r="L213" s="147">
        <v>0</v>
      </c>
      <c r="M213" s="122">
        <f t="shared" si="4"/>
        <v>2.3805147058823528E-3</v>
      </c>
      <c r="N213" s="139"/>
    </row>
    <row r="214" spans="1:14" x14ac:dyDescent="0.3">
      <c r="A214" s="115" t="s">
        <v>666</v>
      </c>
      <c r="B214" s="111">
        <v>133545.04065091987</v>
      </c>
      <c r="C214" s="115" t="s">
        <v>666</v>
      </c>
      <c r="D214" s="147">
        <v>0</v>
      </c>
      <c r="E214" s="147">
        <v>0</v>
      </c>
      <c r="F214" s="147">
        <v>0</v>
      </c>
      <c r="G214" s="147">
        <v>0</v>
      </c>
      <c r="H214" s="147">
        <v>0</v>
      </c>
      <c r="I214" s="147">
        <v>1</v>
      </c>
      <c r="J214" s="147">
        <v>0</v>
      </c>
      <c r="K214" s="147">
        <v>0</v>
      </c>
      <c r="L214" s="147">
        <v>0</v>
      </c>
      <c r="M214" s="122">
        <f t="shared" si="4"/>
        <v>0</v>
      </c>
      <c r="N214" s="139"/>
    </row>
    <row r="215" spans="1:14" x14ac:dyDescent="0.3">
      <c r="A215" s="115" t="s">
        <v>667</v>
      </c>
      <c r="B215" s="111">
        <v>136815.93457874673</v>
      </c>
      <c r="C215" s="115" t="s">
        <v>667</v>
      </c>
      <c r="D215" s="147">
        <v>0</v>
      </c>
      <c r="E215" s="147">
        <v>0</v>
      </c>
      <c r="F215" s="147">
        <v>0</v>
      </c>
      <c r="G215" s="147">
        <v>0</v>
      </c>
      <c r="H215" s="147">
        <v>1</v>
      </c>
      <c r="I215" s="147">
        <v>0</v>
      </c>
      <c r="J215" s="147">
        <v>0</v>
      </c>
      <c r="K215" s="147">
        <v>0</v>
      </c>
      <c r="L215" s="147">
        <v>0</v>
      </c>
      <c r="M215" s="122">
        <f t="shared" si="4"/>
        <v>1</v>
      </c>
      <c r="N215" s="139"/>
    </row>
    <row r="216" spans="1:14" x14ac:dyDescent="0.3">
      <c r="A216" s="115" t="s">
        <v>668</v>
      </c>
      <c r="B216" s="111">
        <v>285470.11006493756</v>
      </c>
      <c r="C216" s="115" t="s">
        <v>668</v>
      </c>
      <c r="D216" s="147">
        <v>0</v>
      </c>
      <c r="E216" s="147">
        <v>0</v>
      </c>
      <c r="F216" s="147">
        <v>0</v>
      </c>
      <c r="G216" s="147">
        <v>2.7300000000000001E-2</v>
      </c>
      <c r="H216" s="147">
        <v>0.94069999999999998</v>
      </c>
      <c r="I216" s="147">
        <v>0</v>
      </c>
      <c r="J216" s="147">
        <v>3.2000000000000001E-2</v>
      </c>
      <c r="K216" s="147">
        <v>0</v>
      </c>
      <c r="L216" s="147">
        <v>0</v>
      </c>
      <c r="M216" s="122">
        <f t="shared" si="4"/>
        <v>0.94069999999999998</v>
      </c>
      <c r="N216" s="139"/>
    </row>
    <row r="217" spans="1:14" x14ac:dyDescent="0.3">
      <c r="A217" s="115" t="s">
        <v>669</v>
      </c>
      <c r="B217" s="111">
        <v>1064868.8784101324</v>
      </c>
      <c r="C217" s="115" t="s">
        <v>669</v>
      </c>
      <c r="D217" s="147">
        <v>0</v>
      </c>
      <c r="E217" s="147">
        <v>5.7526881720430099E-2</v>
      </c>
      <c r="F217" s="147">
        <v>6.9892473118279563E-3</v>
      </c>
      <c r="G217" s="147">
        <v>9.5698924731182786E-2</v>
      </c>
      <c r="H217" s="147">
        <v>0.10806451612903224</v>
      </c>
      <c r="I217" s="147">
        <v>0.6</v>
      </c>
      <c r="J217" s="147">
        <v>0.1075268817204301</v>
      </c>
      <c r="K217" s="147">
        <v>2.419354838709677E-2</v>
      </c>
      <c r="L217" s="147">
        <v>0</v>
      </c>
      <c r="M217" s="122">
        <f t="shared" si="4"/>
        <v>0.13924731182795697</v>
      </c>
      <c r="N217" s="139"/>
    </row>
    <row r="218" spans="1:14" x14ac:dyDescent="0.3">
      <c r="A218" s="115" t="s">
        <v>670</v>
      </c>
      <c r="B218" s="111">
        <v>343240.40704527276</v>
      </c>
      <c r="C218" s="115" t="s">
        <v>670</v>
      </c>
      <c r="D218" s="147">
        <v>0</v>
      </c>
      <c r="E218" s="147">
        <v>4.0000000000000001E-3</v>
      </c>
      <c r="F218" s="147">
        <v>0.11</v>
      </c>
      <c r="G218" s="147">
        <v>0</v>
      </c>
      <c r="H218" s="147">
        <v>0.12</v>
      </c>
      <c r="I218" s="147">
        <v>0.69</v>
      </c>
      <c r="J218" s="147">
        <v>6.6000000000000003E-2</v>
      </c>
      <c r="K218" s="147">
        <v>0.01</v>
      </c>
      <c r="L218" s="147">
        <v>0</v>
      </c>
      <c r="M218" s="122">
        <f t="shared" si="4"/>
        <v>0.24</v>
      </c>
      <c r="N218" s="139"/>
    </row>
    <row r="219" spans="1:14" x14ac:dyDescent="0.3">
      <c r="A219" s="115" t="s">
        <v>671</v>
      </c>
      <c r="B219" s="111">
        <v>156174.32673861482</v>
      </c>
      <c r="C219" s="115" t="s">
        <v>671</v>
      </c>
      <c r="D219" s="147">
        <v>0</v>
      </c>
      <c r="E219" s="147">
        <v>4.0000000000000001E-3</v>
      </c>
      <c r="F219" s="147">
        <v>0.11</v>
      </c>
      <c r="G219" s="147">
        <v>0</v>
      </c>
      <c r="H219" s="147">
        <v>0.12</v>
      </c>
      <c r="I219" s="147">
        <v>0.69</v>
      </c>
      <c r="J219" s="147">
        <v>6.6000000000000003E-2</v>
      </c>
      <c r="K219" s="147">
        <v>0.01</v>
      </c>
      <c r="L219" s="147">
        <v>0</v>
      </c>
      <c r="M219" s="122">
        <f t="shared" si="4"/>
        <v>0.24</v>
      </c>
      <c r="N219" s="139"/>
    </row>
    <row r="220" spans="1:14" x14ac:dyDescent="0.3">
      <c r="A220" s="115" t="s">
        <v>672</v>
      </c>
      <c r="B220" s="111">
        <v>116390.76731506079</v>
      </c>
      <c r="C220" s="115" t="s">
        <v>672</v>
      </c>
      <c r="D220" s="147">
        <v>0</v>
      </c>
      <c r="E220" s="147">
        <v>3.2119914346895075E-3</v>
      </c>
      <c r="F220" s="147">
        <v>8.8329764453961457E-2</v>
      </c>
      <c r="G220" s="147">
        <v>0</v>
      </c>
      <c r="H220" s="147">
        <v>9.6359743040685231E-2</v>
      </c>
      <c r="I220" s="147">
        <v>0.55406852248394001</v>
      </c>
      <c r="J220" s="147">
        <v>0.25</v>
      </c>
      <c r="K220" s="147">
        <v>8.0299785867237686E-3</v>
      </c>
      <c r="L220" s="147">
        <v>0</v>
      </c>
      <c r="M220" s="122">
        <f t="shared" si="4"/>
        <v>0.19271948608137046</v>
      </c>
      <c r="N220" s="139"/>
    </row>
    <row r="221" spans="1:14" x14ac:dyDescent="0.3">
      <c r="A221" s="115" t="s">
        <v>673</v>
      </c>
      <c r="B221" s="111">
        <v>226559.04625648184</v>
      </c>
      <c r="C221" s="115" t="s">
        <v>673</v>
      </c>
      <c r="D221" s="147">
        <v>0</v>
      </c>
      <c r="E221" s="147">
        <v>3.8709677419354843E-3</v>
      </c>
      <c r="F221" s="147">
        <v>0.1064516129032258</v>
      </c>
      <c r="G221" s="147">
        <v>0</v>
      </c>
      <c r="H221" s="147">
        <v>0.17</v>
      </c>
      <c r="I221" s="147">
        <v>0.59</v>
      </c>
      <c r="J221" s="147">
        <v>0.12</v>
      </c>
      <c r="K221" s="147">
        <v>9.6774193548387084E-3</v>
      </c>
      <c r="L221" s="147">
        <v>0</v>
      </c>
      <c r="M221" s="122">
        <f t="shared" si="4"/>
        <v>0.28612903225806458</v>
      </c>
      <c r="N221" s="139"/>
    </row>
    <row r="222" spans="1:14" x14ac:dyDescent="0.3">
      <c r="A222" s="115" t="s">
        <v>674</v>
      </c>
      <c r="B222" s="111">
        <v>22028.501133320908</v>
      </c>
      <c r="C222" s="115" t="s">
        <v>674</v>
      </c>
      <c r="D222" s="147">
        <v>0</v>
      </c>
      <c r="E222" s="147">
        <v>4.2398286937901496E-3</v>
      </c>
      <c r="F222" s="147">
        <v>0.11659528907922911</v>
      </c>
      <c r="G222" s="147">
        <v>0</v>
      </c>
      <c r="H222" s="147">
        <v>0.12719486081370449</v>
      </c>
      <c r="I222" s="147">
        <v>0.73137044967880083</v>
      </c>
      <c r="J222" s="147">
        <v>0.01</v>
      </c>
      <c r="K222" s="147">
        <v>1.0599571734475375E-2</v>
      </c>
      <c r="L222" s="147">
        <v>0</v>
      </c>
      <c r="M222" s="122">
        <f t="shared" si="4"/>
        <v>0.25438972162740897</v>
      </c>
      <c r="N222" s="139"/>
    </row>
    <row r="223" spans="1:14" x14ac:dyDescent="0.3">
      <c r="A223" s="115" t="s">
        <v>675</v>
      </c>
      <c r="B223" s="111">
        <v>63841.782290414056</v>
      </c>
      <c r="C223" s="115" t="s">
        <v>675</v>
      </c>
      <c r="D223" s="147">
        <v>0</v>
      </c>
      <c r="E223" s="147">
        <v>4.0000000000000001E-3</v>
      </c>
      <c r="F223" s="147">
        <v>0.11</v>
      </c>
      <c r="G223" s="147">
        <v>0</v>
      </c>
      <c r="H223" s="147">
        <v>0.12</v>
      </c>
      <c r="I223" s="147">
        <v>0.69</v>
      </c>
      <c r="J223" s="147">
        <v>6.6000000000000003E-2</v>
      </c>
      <c r="K223" s="147">
        <v>0.01</v>
      </c>
      <c r="L223" s="147">
        <v>0</v>
      </c>
      <c r="M223" s="122">
        <f t="shared" si="4"/>
        <v>0.24</v>
      </c>
      <c r="N223" s="139"/>
    </row>
    <row r="224" spans="1:14" x14ac:dyDescent="0.3">
      <c r="A224" s="115" t="s">
        <v>676</v>
      </c>
      <c r="B224" s="111">
        <v>304434.49411026319</v>
      </c>
      <c r="C224" s="115" t="s">
        <v>676</v>
      </c>
      <c r="D224" s="147">
        <v>0</v>
      </c>
      <c r="E224" s="147">
        <v>4.1541755888650968E-3</v>
      </c>
      <c r="F224" s="147">
        <v>0.11423982869379014</v>
      </c>
      <c r="G224" s="147">
        <v>0</v>
      </c>
      <c r="H224" s="147">
        <v>0.12462526766595289</v>
      </c>
      <c r="I224" s="147">
        <v>0.71659528907922909</v>
      </c>
      <c r="J224" s="147">
        <v>0.03</v>
      </c>
      <c r="K224" s="147">
        <v>1.038543897216274E-2</v>
      </c>
      <c r="L224" s="147">
        <v>0</v>
      </c>
      <c r="M224" s="122">
        <f t="shared" si="4"/>
        <v>0.24925053533190575</v>
      </c>
      <c r="N224" s="139"/>
    </row>
    <row r="225" spans="1:14" x14ac:dyDescent="0.3">
      <c r="A225" s="115" t="s">
        <v>677</v>
      </c>
      <c r="B225" s="111">
        <v>260139.95882405655</v>
      </c>
      <c r="C225" s="115" t="s">
        <v>677</v>
      </c>
      <c r="D225" s="147">
        <v>0</v>
      </c>
      <c r="E225" s="147">
        <v>0</v>
      </c>
      <c r="F225" s="147">
        <v>0</v>
      </c>
      <c r="G225" s="147">
        <v>0</v>
      </c>
      <c r="H225" s="147">
        <v>0</v>
      </c>
      <c r="I225" s="147">
        <v>0.80299999999999994</v>
      </c>
      <c r="J225" s="147">
        <v>4.0000000000000001E-3</v>
      </c>
      <c r="K225" s="147">
        <v>0.193</v>
      </c>
      <c r="L225" s="147">
        <v>0</v>
      </c>
      <c r="M225" s="122">
        <f t="shared" si="4"/>
        <v>0.193</v>
      </c>
      <c r="N225" s="139"/>
    </row>
    <row r="226" spans="1:14" x14ac:dyDescent="0.3">
      <c r="A226" s="115" t="s">
        <v>678</v>
      </c>
      <c r="B226" s="111">
        <v>986204.88989802101</v>
      </c>
      <c r="C226" s="115" t="s">
        <v>678</v>
      </c>
      <c r="D226" s="147">
        <v>0</v>
      </c>
      <c r="E226" s="147">
        <v>4.072805139186295E-3</v>
      </c>
      <c r="F226" s="147">
        <v>0.11200214132762311</v>
      </c>
      <c r="G226" s="147">
        <v>0</v>
      </c>
      <c r="H226" s="147">
        <v>0.12218415417558884</v>
      </c>
      <c r="I226" s="147">
        <v>0.70255888650963583</v>
      </c>
      <c r="J226" s="147">
        <v>4.9000000000000002E-2</v>
      </c>
      <c r="K226" s="147">
        <v>1.0182012847965738E-2</v>
      </c>
      <c r="L226" s="147">
        <v>0</v>
      </c>
      <c r="M226" s="122">
        <f t="shared" si="4"/>
        <v>0.2443683083511777</v>
      </c>
      <c r="N226" s="139"/>
    </row>
    <row r="227" spans="1:14" x14ac:dyDescent="0.3">
      <c r="A227" s="115" t="s">
        <v>679</v>
      </c>
      <c r="B227" s="111">
        <v>58380.359569469823</v>
      </c>
      <c r="C227" s="115" t="s">
        <v>679</v>
      </c>
      <c r="D227" s="147">
        <v>0</v>
      </c>
      <c r="E227" s="147">
        <v>3.1605995717344753E-3</v>
      </c>
      <c r="F227" s="147">
        <v>8.6916488222698068E-2</v>
      </c>
      <c r="G227" s="147">
        <v>0</v>
      </c>
      <c r="H227" s="147">
        <v>9.4817987152034253E-2</v>
      </c>
      <c r="I227" s="147">
        <v>0.54520342612419692</v>
      </c>
      <c r="J227" s="147">
        <v>0.26200000000000001</v>
      </c>
      <c r="K227" s="147">
        <v>7.9014989293361877E-3</v>
      </c>
      <c r="L227" s="147">
        <v>0</v>
      </c>
      <c r="M227" s="122">
        <f t="shared" si="4"/>
        <v>0.18963597430406851</v>
      </c>
      <c r="N227" s="139"/>
    </row>
    <row r="228" spans="1:14" x14ac:dyDescent="0.3">
      <c r="A228" s="115" t="s">
        <v>680</v>
      </c>
      <c r="B228" s="111">
        <v>7224.2865340053113</v>
      </c>
      <c r="C228" s="115" t="s">
        <v>680</v>
      </c>
      <c r="D228" s="147">
        <v>0</v>
      </c>
      <c r="E228" s="147">
        <v>4.0000000000000001E-3</v>
      </c>
      <c r="F228" s="147">
        <v>0.11</v>
      </c>
      <c r="G228" s="147">
        <v>0</v>
      </c>
      <c r="H228" s="147">
        <v>0.12</v>
      </c>
      <c r="I228" s="147">
        <v>0.69</v>
      </c>
      <c r="J228" s="147">
        <v>6.6000000000000003E-2</v>
      </c>
      <c r="K228" s="147">
        <v>0.01</v>
      </c>
      <c r="L228" s="147">
        <v>0</v>
      </c>
      <c r="M228" s="122">
        <f t="shared" si="4"/>
        <v>0.24</v>
      </c>
      <c r="N228" s="139"/>
    </row>
    <row r="229" spans="1:14" x14ac:dyDescent="0.3">
      <c r="A229" s="115" t="s">
        <v>681</v>
      </c>
      <c r="B229" s="111">
        <v>7051.193529854314</v>
      </c>
      <c r="C229" s="115" t="s">
        <v>681</v>
      </c>
      <c r="D229" s="147">
        <v>0</v>
      </c>
      <c r="E229" s="147">
        <v>4.0000000000000001E-3</v>
      </c>
      <c r="F229" s="147">
        <v>0.11</v>
      </c>
      <c r="G229" s="147">
        <v>0</v>
      </c>
      <c r="H229" s="147">
        <v>0.12</v>
      </c>
      <c r="I229" s="147">
        <v>0.69</v>
      </c>
      <c r="J229" s="147">
        <v>6.6000000000000003E-2</v>
      </c>
      <c r="K229" s="147">
        <v>0.01</v>
      </c>
      <c r="L229" s="147">
        <v>0</v>
      </c>
      <c r="M229" s="122">
        <f t="shared" si="4"/>
        <v>0.24</v>
      </c>
      <c r="N229" s="139"/>
    </row>
    <row r="230" spans="1:14" x14ac:dyDescent="0.3">
      <c r="A230" s="115" t="s">
        <v>682</v>
      </c>
      <c r="B230" s="111">
        <v>8856.9967224819629</v>
      </c>
      <c r="C230" s="115" t="s">
        <v>682</v>
      </c>
      <c r="D230" s="147">
        <v>0</v>
      </c>
      <c r="E230" s="147">
        <v>0.04</v>
      </c>
      <c r="F230" s="147">
        <v>0.14000000000000001</v>
      </c>
      <c r="G230" s="147">
        <v>3.0000000000000001E-3</v>
      </c>
      <c r="H230" s="147">
        <v>0.09</v>
      </c>
      <c r="I230" s="147">
        <v>0.52700000000000002</v>
      </c>
      <c r="J230" s="147">
        <v>0.09</v>
      </c>
      <c r="K230" s="147">
        <v>0.11</v>
      </c>
      <c r="L230" s="147">
        <v>0</v>
      </c>
      <c r="M230" s="122">
        <f t="shared" si="4"/>
        <v>0.34</v>
      </c>
      <c r="N230" s="139"/>
    </row>
    <row r="231" spans="1:14" x14ac:dyDescent="0.3">
      <c r="A231" s="115" t="s">
        <v>683</v>
      </c>
      <c r="B231" s="111">
        <v>35566.918335001013</v>
      </c>
      <c r="C231" s="115" t="s">
        <v>683</v>
      </c>
      <c r="D231" s="147">
        <v>0</v>
      </c>
      <c r="E231" s="147">
        <v>4.0000000000000001E-3</v>
      </c>
      <c r="F231" s="147">
        <v>0.11</v>
      </c>
      <c r="G231" s="147">
        <v>0</v>
      </c>
      <c r="H231" s="147">
        <v>0.12</v>
      </c>
      <c r="I231" s="147">
        <v>0.69</v>
      </c>
      <c r="J231" s="147">
        <v>6.6000000000000003E-2</v>
      </c>
      <c r="K231" s="147">
        <v>0.01</v>
      </c>
      <c r="L231" s="147">
        <v>0</v>
      </c>
      <c r="M231" s="122">
        <f t="shared" si="4"/>
        <v>0.24</v>
      </c>
      <c r="N231" s="139"/>
    </row>
    <row r="232" spans="1:14" x14ac:dyDescent="0.3">
      <c r="A232" s="115" t="s">
        <v>684</v>
      </c>
      <c r="B232" s="111">
        <v>894931.98478700488</v>
      </c>
      <c r="C232" s="115" t="s">
        <v>684</v>
      </c>
      <c r="D232" s="147">
        <v>0</v>
      </c>
      <c r="E232" s="147">
        <v>7.3548387096774191E-3</v>
      </c>
      <c r="F232" s="147">
        <v>0.20225806451612904</v>
      </c>
      <c r="G232" s="147">
        <v>0</v>
      </c>
      <c r="H232" s="147">
        <v>0.22064516129032261</v>
      </c>
      <c r="I232" s="147">
        <v>0.43</v>
      </c>
      <c r="J232" s="147">
        <v>0.12135483870967743</v>
      </c>
      <c r="K232" s="147">
        <v>1.8387096774193548E-2</v>
      </c>
      <c r="L232" s="147">
        <v>0</v>
      </c>
      <c r="M232" s="122">
        <f t="shared" si="4"/>
        <v>0.44129032258064521</v>
      </c>
      <c r="N232" s="139"/>
    </row>
    <row r="233" spans="1:14" x14ac:dyDescent="0.3">
      <c r="A233" s="115" t="s">
        <v>685</v>
      </c>
      <c r="B233" s="111">
        <v>26020.470402668096</v>
      </c>
      <c r="C233" s="115" t="s">
        <v>685</v>
      </c>
      <c r="D233" s="147">
        <v>0</v>
      </c>
      <c r="E233" s="147">
        <v>4.0000000000000001E-3</v>
      </c>
      <c r="F233" s="147">
        <v>0.11</v>
      </c>
      <c r="G233" s="147">
        <v>0</v>
      </c>
      <c r="H233" s="147">
        <v>0.12</v>
      </c>
      <c r="I233" s="147">
        <v>0.69</v>
      </c>
      <c r="J233" s="147">
        <v>6.6000000000000003E-2</v>
      </c>
      <c r="K233" s="147">
        <v>0.01</v>
      </c>
      <c r="L233" s="147">
        <v>0</v>
      </c>
      <c r="M233" s="122">
        <f t="shared" si="4"/>
        <v>0.24</v>
      </c>
      <c r="N233" s="139"/>
    </row>
    <row r="234" spans="1:14" x14ac:dyDescent="0.3">
      <c r="A234" s="115" t="s">
        <v>686</v>
      </c>
      <c r="B234" s="111">
        <v>323896.36409404443</v>
      </c>
      <c r="C234" s="115" t="s">
        <v>686</v>
      </c>
      <c r="D234" s="147">
        <v>0</v>
      </c>
      <c r="E234" s="147">
        <v>4.0000000000000001E-3</v>
      </c>
      <c r="F234" s="147">
        <v>0.11</v>
      </c>
      <c r="G234" s="147">
        <v>0</v>
      </c>
      <c r="H234" s="147">
        <v>0.12</v>
      </c>
      <c r="I234" s="147">
        <v>0.69</v>
      </c>
      <c r="J234" s="147">
        <v>6.6000000000000003E-2</v>
      </c>
      <c r="K234" s="147">
        <v>0.01</v>
      </c>
      <c r="L234" s="147">
        <v>0</v>
      </c>
      <c r="M234" s="122">
        <f t="shared" si="4"/>
        <v>0.24</v>
      </c>
      <c r="N234" s="139"/>
    </row>
    <row r="235" spans="1:14" x14ac:dyDescent="0.3">
      <c r="A235" s="115" t="s">
        <v>687</v>
      </c>
      <c r="B235" s="111">
        <v>105550.63447228397</v>
      </c>
      <c r="C235" s="115" t="s">
        <v>687</v>
      </c>
      <c r="D235" s="147">
        <v>0</v>
      </c>
      <c r="E235" s="147">
        <v>4.0685224839400423E-3</v>
      </c>
      <c r="F235" s="147">
        <v>0.11188436830835118</v>
      </c>
      <c r="G235" s="147">
        <v>0</v>
      </c>
      <c r="H235" s="147">
        <v>0.12205567451820128</v>
      </c>
      <c r="I235" s="147">
        <v>0.70182012847965736</v>
      </c>
      <c r="J235" s="147">
        <v>0.05</v>
      </c>
      <c r="K235" s="147">
        <v>1.0171306209850106E-2</v>
      </c>
      <c r="L235" s="147">
        <v>0</v>
      </c>
      <c r="M235" s="122">
        <f t="shared" si="4"/>
        <v>0.24411134903640255</v>
      </c>
      <c r="N235" s="139"/>
    </row>
    <row r="236" spans="1:14" x14ac:dyDescent="0.3">
      <c r="A236" s="115" t="s">
        <v>688</v>
      </c>
      <c r="B236" s="111">
        <v>25038.441104397014</v>
      </c>
      <c r="C236" s="115" t="s">
        <v>688</v>
      </c>
      <c r="D236" s="147">
        <v>0</v>
      </c>
      <c r="E236" s="147">
        <v>4.0000000000000001E-3</v>
      </c>
      <c r="F236" s="147">
        <v>0.11</v>
      </c>
      <c r="G236" s="147">
        <v>0</v>
      </c>
      <c r="H236" s="147">
        <v>0.12</v>
      </c>
      <c r="I236" s="147">
        <v>0.69</v>
      </c>
      <c r="J236" s="147">
        <v>6.6000000000000003E-2</v>
      </c>
      <c r="K236" s="147">
        <v>0.01</v>
      </c>
      <c r="L236" s="147">
        <v>0</v>
      </c>
      <c r="M236" s="122">
        <f t="shared" si="4"/>
        <v>0.24</v>
      </c>
      <c r="N236" s="139"/>
    </row>
    <row r="237" spans="1:14" x14ac:dyDescent="0.3">
      <c r="A237" s="115" t="s">
        <v>689</v>
      </c>
      <c r="B237" s="111">
        <v>20294.665970726994</v>
      </c>
      <c r="C237" s="115" t="s">
        <v>689</v>
      </c>
      <c r="D237" s="147">
        <v>0</v>
      </c>
      <c r="E237" s="147">
        <v>4.0000000000000001E-3</v>
      </c>
      <c r="F237" s="147">
        <v>0.11</v>
      </c>
      <c r="G237" s="147">
        <v>0</v>
      </c>
      <c r="H237" s="147">
        <v>0.12</v>
      </c>
      <c r="I237" s="147">
        <v>0.69</v>
      </c>
      <c r="J237" s="147">
        <v>6.6000000000000003E-2</v>
      </c>
      <c r="K237" s="147">
        <v>0.01</v>
      </c>
      <c r="L237" s="147">
        <v>0</v>
      </c>
      <c r="M237" s="122">
        <f t="shared" si="4"/>
        <v>0.24</v>
      </c>
      <c r="N237" s="139"/>
    </row>
    <row r="238" spans="1:14" x14ac:dyDescent="0.3">
      <c r="A238" s="115" t="s">
        <v>690</v>
      </c>
      <c r="B238" s="111">
        <v>16057.433500997789</v>
      </c>
      <c r="C238" s="115" t="s">
        <v>690</v>
      </c>
      <c r="D238" s="147">
        <v>0</v>
      </c>
      <c r="E238" s="147">
        <v>4.0000000000000001E-3</v>
      </c>
      <c r="F238" s="147">
        <v>0.11</v>
      </c>
      <c r="G238" s="147">
        <v>0</v>
      </c>
      <c r="H238" s="147">
        <v>0.12</v>
      </c>
      <c r="I238" s="147">
        <v>0.69</v>
      </c>
      <c r="J238" s="147">
        <v>6.6000000000000003E-2</v>
      </c>
      <c r="K238" s="147">
        <v>0.01</v>
      </c>
      <c r="L238" s="147">
        <v>0</v>
      </c>
      <c r="M238" s="122">
        <f t="shared" si="4"/>
        <v>0.24</v>
      </c>
      <c r="N238" s="139"/>
    </row>
    <row r="239" spans="1:14" x14ac:dyDescent="0.3">
      <c r="A239" s="115" t="s">
        <v>691</v>
      </c>
      <c r="B239" s="111">
        <v>504335.48412359064</v>
      </c>
      <c r="C239" s="115" t="s">
        <v>691</v>
      </c>
      <c r="D239" s="147">
        <v>0</v>
      </c>
      <c r="E239" s="147">
        <v>3.9400428265524631E-3</v>
      </c>
      <c r="F239" s="147">
        <v>0.10835117773019272</v>
      </c>
      <c r="G239" s="147">
        <v>0</v>
      </c>
      <c r="H239" s="147">
        <v>0.11820128479657387</v>
      </c>
      <c r="I239" s="147">
        <v>0.6796573875802997</v>
      </c>
      <c r="J239" s="147">
        <v>0.08</v>
      </c>
      <c r="K239" s="147">
        <v>9.8501070663811544E-3</v>
      </c>
      <c r="L239" s="147">
        <v>0</v>
      </c>
      <c r="M239" s="122">
        <f t="shared" si="4"/>
        <v>0.23640256959314773</v>
      </c>
      <c r="N239" s="139"/>
    </row>
    <row r="240" spans="1:14" x14ac:dyDescent="0.3">
      <c r="A240" s="115" t="s">
        <v>692</v>
      </c>
      <c r="B240" s="111">
        <v>50811.733098373406</v>
      </c>
      <c r="C240" s="115" t="s">
        <v>692</v>
      </c>
      <c r="D240" s="147">
        <v>0</v>
      </c>
      <c r="E240" s="147">
        <v>4.0000000000000001E-3</v>
      </c>
      <c r="F240" s="147">
        <v>0.11</v>
      </c>
      <c r="G240" s="147">
        <v>0</v>
      </c>
      <c r="H240" s="147">
        <v>0.12</v>
      </c>
      <c r="I240" s="147">
        <v>0.69</v>
      </c>
      <c r="J240" s="147">
        <v>6.6000000000000003E-2</v>
      </c>
      <c r="K240" s="147">
        <v>0.01</v>
      </c>
      <c r="L240" s="147">
        <v>0</v>
      </c>
      <c r="M240" s="122">
        <f t="shared" si="4"/>
        <v>0.24</v>
      </c>
      <c r="N240" s="139"/>
    </row>
    <row r="241" spans="1:14" x14ac:dyDescent="0.3">
      <c r="A241" s="115" t="s">
        <v>693</v>
      </c>
      <c r="B241" s="111">
        <v>15927.561858629337</v>
      </c>
      <c r="C241" s="115" t="s">
        <v>693</v>
      </c>
      <c r="D241" s="147">
        <v>0</v>
      </c>
      <c r="E241" s="147">
        <v>4.0000000000000001E-3</v>
      </c>
      <c r="F241" s="147">
        <v>0.11</v>
      </c>
      <c r="G241" s="147">
        <v>0</v>
      </c>
      <c r="H241" s="147">
        <v>0.12</v>
      </c>
      <c r="I241" s="147">
        <v>0.69</v>
      </c>
      <c r="J241" s="147">
        <v>6.6000000000000003E-2</v>
      </c>
      <c r="K241" s="147">
        <v>0.01</v>
      </c>
      <c r="L241" s="147">
        <v>0</v>
      </c>
      <c r="M241" s="122">
        <f t="shared" si="4"/>
        <v>0.24</v>
      </c>
      <c r="N241" s="139"/>
    </row>
    <row r="242" spans="1:14" x14ac:dyDescent="0.3">
      <c r="A242" s="115" t="s">
        <v>694</v>
      </c>
      <c r="B242" s="111">
        <v>276799.63120369025</v>
      </c>
      <c r="C242" s="115" t="s">
        <v>694</v>
      </c>
      <c r="D242" s="147">
        <v>0</v>
      </c>
      <c r="E242" s="147">
        <v>3.5000000000000003E-2</v>
      </c>
      <c r="F242" s="147">
        <v>0</v>
      </c>
      <c r="G242" s="147">
        <v>0</v>
      </c>
      <c r="H242" s="147">
        <v>0</v>
      </c>
      <c r="I242" s="147">
        <v>0.96700000000000008</v>
      </c>
      <c r="J242" s="147">
        <v>0</v>
      </c>
      <c r="K242" s="147">
        <v>0</v>
      </c>
      <c r="L242" s="147">
        <v>0</v>
      </c>
      <c r="M242" s="122">
        <f t="shared" si="4"/>
        <v>0</v>
      </c>
      <c r="N242" s="139"/>
    </row>
    <row r="243" spans="1:14" x14ac:dyDescent="0.3">
      <c r="A243" s="115" t="s">
        <v>695</v>
      </c>
      <c r="B243" s="111">
        <v>194577.08334441175</v>
      </c>
      <c r="C243" s="115" t="s">
        <v>695</v>
      </c>
      <c r="D243" s="147">
        <v>0</v>
      </c>
      <c r="E243" s="147">
        <v>4.0000000000000001E-3</v>
      </c>
      <c r="F243" s="147">
        <v>0.11</v>
      </c>
      <c r="G243" s="147">
        <v>0</v>
      </c>
      <c r="H243" s="147">
        <v>0.12</v>
      </c>
      <c r="I243" s="147">
        <v>0.69</v>
      </c>
      <c r="J243" s="147">
        <v>6.6000000000000003E-2</v>
      </c>
      <c r="K243" s="147">
        <v>0.01</v>
      </c>
      <c r="L243" s="147">
        <v>0</v>
      </c>
      <c r="M243" s="122">
        <f t="shared" si="4"/>
        <v>0.24</v>
      </c>
      <c r="N243" s="139"/>
    </row>
    <row r="244" spans="1:14" x14ac:dyDescent="0.3">
      <c r="A244" s="115" t="s">
        <v>696</v>
      </c>
      <c r="B244" s="111">
        <v>252828.39209466372</v>
      </c>
      <c r="C244" s="115" t="s">
        <v>696</v>
      </c>
      <c r="D244" s="147">
        <v>0</v>
      </c>
      <c r="E244" s="147">
        <v>0</v>
      </c>
      <c r="F244" s="147">
        <v>0</v>
      </c>
      <c r="G244" s="147">
        <v>0</v>
      </c>
      <c r="H244" s="147">
        <v>0</v>
      </c>
      <c r="I244" s="147">
        <v>0.99</v>
      </c>
      <c r="J244" s="147">
        <v>0.01</v>
      </c>
      <c r="K244" s="147">
        <v>0</v>
      </c>
      <c r="L244" s="147">
        <v>0</v>
      </c>
      <c r="M244" s="122">
        <f t="shared" si="4"/>
        <v>0</v>
      </c>
      <c r="N244" s="139"/>
    </row>
    <row r="245" spans="1:14" x14ac:dyDescent="0.3">
      <c r="A245" s="115" t="s">
        <v>697</v>
      </c>
      <c r="B245" s="111">
        <v>41879.804809962385</v>
      </c>
      <c r="C245" s="115" t="s">
        <v>697</v>
      </c>
      <c r="D245" s="147">
        <v>0</v>
      </c>
      <c r="E245" s="147">
        <v>0</v>
      </c>
      <c r="F245" s="147">
        <v>0.373</v>
      </c>
      <c r="G245" s="147">
        <v>0</v>
      </c>
      <c r="H245" s="147">
        <v>0</v>
      </c>
      <c r="I245" s="147">
        <v>0.54700000000000004</v>
      </c>
      <c r="J245" s="147">
        <v>0.08</v>
      </c>
      <c r="K245" s="147">
        <v>0</v>
      </c>
      <c r="L245" s="147">
        <v>0</v>
      </c>
      <c r="M245" s="122">
        <f t="shared" si="4"/>
        <v>0.373</v>
      </c>
      <c r="N245" s="139"/>
    </row>
    <row r="246" spans="1:14" x14ac:dyDescent="0.3">
      <c r="A246" s="115" t="s">
        <v>698</v>
      </c>
      <c r="B246" s="111">
        <v>13008.010967611692</v>
      </c>
      <c r="C246" s="115" t="s">
        <v>698</v>
      </c>
      <c r="D246" s="147">
        <v>0</v>
      </c>
      <c r="E246" s="147">
        <v>0.09</v>
      </c>
      <c r="F246" s="147">
        <v>0</v>
      </c>
      <c r="G246" s="147">
        <v>0</v>
      </c>
      <c r="H246" s="147">
        <v>0</v>
      </c>
      <c r="I246" s="147">
        <v>0</v>
      </c>
      <c r="J246" s="147">
        <v>0</v>
      </c>
      <c r="K246" s="147">
        <v>0.91</v>
      </c>
      <c r="L246" s="147">
        <v>0</v>
      </c>
      <c r="M246" s="122">
        <f t="shared" si="4"/>
        <v>0.91</v>
      </c>
      <c r="N246" s="139"/>
    </row>
    <row r="247" spans="1:14" x14ac:dyDescent="0.3">
      <c r="A247" s="115" t="s">
        <v>699</v>
      </c>
      <c r="B247" s="111">
        <v>157354.61311367434</v>
      </c>
      <c r="C247" s="115" t="s">
        <v>699</v>
      </c>
      <c r="D247" s="147">
        <v>0</v>
      </c>
      <c r="E247" s="147">
        <v>4.0000000000000001E-3</v>
      </c>
      <c r="F247" s="147">
        <v>0.11</v>
      </c>
      <c r="G247" s="147">
        <v>0</v>
      </c>
      <c r="H247" s="147">
        <v>0.12</v>
      </c>
      <c r="I247" s="147">
        <v>0.69</v>
      </c>
      <c r="J247" s="147">
        <v>6.6000000000000003E-2</v>
      </c>
      <c r="K247" s="147">
        <v>0.01</v>
      </c>
      <c r="L247" s="147">
        <v>0</v>
      </c>
      <c r="M247" s="122">
        <f t="shared" si="4"/>
        <v>0.24</v>
      </c>
      <c r="N247" s="139"/>
    </row>
    <row r="248" spans="1:14" x14ac:dyDescent="0.3">
      <c r="A248" s="115" t="s">
        <v>700</v>
      </c>
      <c r="B248" s="111">
        <v>0</v>
      </c>
      <c r="C248" s="115" t="s">
        <v>700</v>
      </c>
      <c r="D248" s="147">
        <v>0</v>
      </c>
      <c r="E248" s="147">
        <v>0</v>
      </c>
      <c r="F248" s="147">
        <v>0</v>
      </c>
      <c r="G248" s="147">
        <v>0</v>
      </c>
      <c r="H248" s="147">
        <v>0</v>
      </c>
      <c r="I248" s="147">
        <v>0</v>
      </c>
      <c r="J248" s="147">
        <v>0</v>
      </c>
      <c r="K248" s="147">
        <v>0</v>
      </c>
      <c r="L248" s="147">
        <v>0</v>
      </c>
      <c r="M248" s="122">
        <f t="shared" si="4"/>
        <v>0</v>
      </c>
      <c r="N248" s="139"/>
    </row>
    <row r="249" spans="1:14" x14ac:dyDescent="0.3">
      <c r="A249" s="115" t="s">
        <v>701</v>
      </c>
      <c r="B249" s="111">
        <v>24978.321461265383</v>
      </c>
      <c r="C249" s="115" t="s">
        <v>701</v>
      </c>
      <c r="D249" s="147">
        <v>0</v>
      </c>
      <c r="E249" s="147">
        <v>4.0899357601713064E-3</v>
      </c>
      <c r="F249" s="147">
        <v>0.11247323340471091</v>
      </c>
      <c r="G249" s="147">
        <v>0</v>
      </c>
      <c r="H249" s="147">
        <v>0.12269807280513918</v>
      </c>
      <c r="I249" s="147">
        <v>0.70551391862955026</v>
      </c>
      <c r="J249" s="147">
        <v>4.4999999999999998E-2</v>
      </c>
      <c r="K249" s="147">
        <v>1.0224839400428265E-2</v>
      </c>
      <c r="L249" s="147">
        <v>0</v>
      </c>
      <c r="M249" s="122">
        <f t="shared" si="4"/>
        <v>0.24539614561027837</v>
      </c>
      <c r="N249" s="139"/>
    </row>
    <row r="250" spans="1:14" x14ac:dyDescent="0.3">
      <c r="A250" s="115" t="s">
        <v>702</v>
      </c>
      <c r="B250" s="111">
        <v>275941.22839851375</v>
      </c>
      <c r="C250" s="115" t="s">
        <v>702</v>
      </c>
      <c r="D250" s="147">
        <v>0</v>
      </c>
      <c r="E250" s="147">
        <v>3.2786885245901644E-3</v>
      </c>
      <c r="F250" s="147">
        <v>9.0163934426229511E-2</v>
      </c>
      <c r="G250" s="147">
        <v>0</v>
      </c>
      <c r="H250" s="147">
        <v>9.8360655737704916E-2</v>
      </c>
      <c r="I250" s="147">
        <v>0.64</v>
      </c>
      <c r="J250" s="147">
        <v>0.04</v>
      </c>
      <c r="K250" s="147">
        <v>8.1967213114754103E-3</v>
      </c>
      <c r="L250" s="147">
        <v>0.12</v>
      </c>
      <c r="M250" s="122">
        <f t="shared" si="4"/>
        <v>0.19672131147540983</v>
      </c>
      <c r="N250" s="139"/>
    </row>
    <row r="251" spans="1:14" x14ac:dyDescent="0.3">
      <c r="A251" s="115" t="s">
        <v>703</v>
      </c>
      <c r="B251" s="111">
        <v>2176004.8184202001</v>
      </c>
      <c r="C251" s="115" t="s">
        <v>703</v>
      </c>
      <c r="D251" s="147">
        <v>0</v>
      </c>
      <c r="E251" s="147">
        <v>0</v>
      </c>
      <c r="F251" s="147">
        <v>0</v>
      </c>
      <c r="G251" s="147">
        <v>0</v>
      </c>
      <c r="H251" s="147">
        <v>0.4</v>
      </c>
      <c r="I251" s="147">
        <v>0</v>
      </c>
      <c r="J251" s="147">
        <v>0</v>
      </c>
      <c r="K251" s="147">
        <v>0</v>
      </c>
      <c r="L251" s="147">
        <v>0.6</v>
      </c>
      <c r="M251" s="122">
        <f t="shared" si="4"/>
        <v>0.4</v>
      </c>
      <c r="N251" s="139"/>
    </row>
    <row r="252" spans="1:14" x14ac:dyDescent="0.3">
      <c r="A252" s="115" t="s">
        <v>704</v>
      </c>
      <c r="B252" s="111">
        <v>0</v>
      </c>
      <c r="C252" s="115" t="s">
        <v>704</v>
      </c>
      <c r="D252" s="147">
        <v>0</v>
      </c>
      <c r="E252" s="147">
        <v>0</v>
      </c>
      <c r="F252" s="147">
        <v>0</v>
      </c>
      <c r="G252" s="147">
        <v>0</v>
      </c>
      <c r="H252" s="147">
        <v>0</v>
      </c>
      <c r="I252" s="147">
        <v>0</v>
      </c>
      <c r="J252" s="147">
        <v>0</v>
      </c>
      <c r="K252" s="147">
        <v>0</v>
      </c>
      <c r="L252" s="147">
        <v>0</v>
      </c>
      <c r="M252" s="122">
        <f t="shared" si="4"/>
        <v>0</v>
      </c>
      <c r="N252" s="139"/>
    </row>
    <row r="253" spans="1:14" x14ac:dyDescent="0.3">
      <c r="A253" s="115" t="s">
        <v>705</v>
      </c>
      <c r="B253" s="111">
        <v>195121.3314013347</v>
      </c>
      <c r="C253" s="115" t="s">
        <v>705</v>
      </c>
      <c r="D253" s="147">
        <v>0</v>
      </c>
      <c r="E253" s="147">
        <v>4.0000000000000001E-3</v>
      </c>
      <c r="F253" s="147">
        <v>0.11</v>
      </c>
      <c r="G253" s="147">
        <v>0</v>
      </c>
      <c r="H253" s="147">
        <v>0.12</v>
      </c>
      <c r="I253" s="147">
        <v>0.69</v>
      </c>
      <c r="J253" s="147">
        <v>6.6000000000000003E-2</v>
      </c>
      <c r="K253" s="147">
        <v>0.01</v>
      </c>
      <c r="L253" s="147">
        <v>0</v>
      </c>
      <c r="M253" s="122">
        <f t="shared" si="4"/>
        <v>0.24</v>
      </c>
      <c r="N253" s="139"/>
    </row>
    <row r="254" spans="1:14" x14ac:dyDescent="0.3">
      <c r="A254" s="115" t="s">
        <v>706</v>
      </c>
      <c r="B254" s="111">
        <v>329128.57309432112</v>
      </c>
      <c r="C254" s="115" t="s">
        <v>706</v>
      </c>
      <c r="D254" s="147">
        <v>0</v>
      </c>
      <c r="E254" s="147">
        <v>9.2800000000000001E-3</v>
      </c>
      <c r="F254" s="147">
        <v>5.0999999999999997E-2</v>
      </c>
      <c r="G254" s="147">
        <v>0</v>
      </c>
      <c r="H254" s="147">
        <v>0.27839999999999998</v>
      </c>
      <c r="I254" s="147">
        <v>0.43799999999999994</v>
      </c>
      <c r="J254" s="147">
        <v>0.15312000000000001</v>
      </c>
      <c r="K254" s="147">
        <v>2.3199999999999998E-2</v>
      </c>
      <c r="L254" s="147">
        <v>4.7E-2</v>
      </c>
      <c r="M254" s="122">
        <f t="shared" si="4"/>
        <v>0.35259999999999997</v>
      </c>
      <c r="N254" s="139"/>
    </row>
    <row r="255" spans="1:14" x14ac:dyDescent="0.3">
      <c r="A255" s="115" t="s">
        <v>707</v>
      </c>
      <c r="B255" s="111">
        <v>0</v>
      </c>
      <c r="C255" s="115" t="s">
        <v>707</v>
      </c>
      <c r="D255" s="147">
        <v>0</v>
      </c>
      <c r="E255" s="147">
        <v>0</v>
      </c>
      <c r="F255" s="147">
        <v>0</v>
      </c>
      <c r="G255" s="147">
        <v>0</v>
      </c>
      <c r="H255" s="147">
        <v>0</v>
      </c>
      <c r="I255" s="147">
        <v>0</v>
      </c>
      <c r="J255" s="147">
        <v>0</v>
      </c>
      <c r="K255" s="147">
        <v>0</v>
      </c>
      <c r="L255" s="147">
        <v>0</v>
      </c>
      <c r="M255" s="122">
        <f t="shared" si="4"/>
        <v>0</v>
      </c>
      <c r="N255" s="139"/>
    </row>
    <row r="256" spans="1:14" x14ac:dyDescent="0.3">
      <c r="A256" s="115" t="s">
        <v>708</v>
      </c>
      <c r="B256" s="111">
        <v>73104.075743110239</v>
      </c>
      <c r="C256" s="115" t="s">
        <v>708</v>
      </c>
      <c r="D256" s="147">
        <v>0</v>
      </c>
      <c r="E256" s="147">
        <v>4.0000000000000001E-3</v>
      </c>
      <c r="F256" s="147">
        <v>0.11</v>
      </c>
      <c r="G256" s="147">
        <v>0</v>
      </c>
      <c r="H256" s="147">
        <v>0.12</v>
      </c>
      <c r="I256" s="147">
        <v>0.69</v>
      </c>
      <c r="J256" s="147">
        <v>6.6000000000000003E-2</v>
      </c>
      <c r="K256" s="147">
        <v>0.01</v>
      </c>
      <c r="L256" s="147">
        <v>0</v>
      </c>
      <c r="M256" s="122">
        <f t="shared" si="4"/>
        <v>0.24</v>
      </c>
      <c r="N256" s="139"/>
    </row>
    <row r="257" spans="1:14" x14ac:dyDescent="0.3">
      <c r="A257" s="115" t="s">
        <v>709</v>
      </c>
      <c r="B257" s="111">
        <v>167656.85535113412</v>
      </c>
      <c r="C257" s="115" t="s">
        <v>709</v>
      </c>
      <c r="D257" s="147">
        <v>0</v>
      </c>
      <c r="E257" s="147">
        <v>4.0000000000000001E-3</v>
      </c>
      <c r="F257" s="147">
        <v>0.11</v>
      </c>
      <c r="G257" s="147">
        <v>0</v>
      </c>
      <c r="H257" s="147">
        <v>0.12</v>
      </c>
      <c r="I257" s="147">
        <v>0.69</v>
      </c>
      <c r="J257" s="147">
        <v>6.6000000000000003E-2</v>
      </c>
      <c r="K257" s="147">
        <v>0.01</v>
      </c>
      <c r="L257" s="147">
        <v>0</v>
      </c>
      <c r="M257" s="122">
        <f t="shared" si="4"/>
        <v>0.24</v>
      </c>
      <c r="N257" s="139"/>
    </row>
    <row r="258" spans="1:14" x14ac:dyDescent="0.3">
      <c r="A258" s="115" t="s">
        <v>710</v>
      </c>
      <c r="B258" s="111">
        <v>124493.45567329055</v>
      </c>
      <c r="C258" s="115" t="s">
        <v>710</v>
      </c>
      <c r="D258" s="147">
        <v>0</v>
      </c>
      <c r="E258" s="147">
        <v>4.0000000000000001E-3</v>
      </c>
      <c r="F258" s="147">
        <v>0.11</v>
      </c>
      <c r="G258" s="147">
        <v>0</v>
      </c>
      <c r="H258" s="147">
        <v>0.12</v>
      </c>
      <c r="I258" s="147">
        <v>0.69</v>
      </c>
      <c r="J258" s="147">
        <v>6.6000000000000003E-2</v>
      </c>
      <c r="K258" s="147">
        <v>0.01</v>
      </c>
      <c r="L258" s="147">
        <v>0</v>
      </c>
      <c r="M258" s="122">
        <f t="shared" si="4"/>
        <v>0.24</v>
      </c>
      <c r="N258" s="139"/>
    </row>
    <row r="259" spans="1:14" x14ac:dyDescent="0.3">
      <c r="A259" s="115" t="s">
        <v>711</v>
      </c>
      <c r="B259" s="111">
        <v>2046.4105695513169</v>
      </c>
      <c r="C259" s="115" t="s">
        <v>711</v>
      </c>
      <c r="D259" s="147">
        <v>0</v>
      </c>
      <c r="E259" s="147">
        <v>4.0000000000000001E-3</v>
      </c>
      <c r="F259" s="147">
        <v>0.11</v>
      </c>
      <c r="G259" s="147">
        <v>0</v>
      </c>
      <c r="H259" s="147">
        <v>0.12</v>
      </c>
      <c r="I259" s="147">
        <v>0.69</v>
      </c>
      <c r="J259" s="147">
        <v>6.6000000000000003E-2</v>
      </c>
      <c r="K259" s="147">
        <v>0.01</v>
      </c>
      <c r="L259" s="147">
        <v>0</v>
      </c>
      <c r="M259" s="122">
        <f t="shared" si="4"/>
        <v>0.24</v>
      </c>
      <c r="N259" s="139"/>
    </row>
    <row r="260" spans="1:14" x14ac:dyDescent="0.3">
      <c r="A260" s="115" t="s">
        <v>712</v>
      </c>
      <c r="B260" s="111">
        <v>11713.190806767823</v>
      </c>
      <c r="C260" s="115" t="s">
        <v>712</v>
      </c>
      <c r="D260" s="147">
        <v>0</v>
      </c>
      <c r="E260" s="147">
        <v>4.0000000000000001E-3</v>
      </c>
      <c r="F260" s="147">
        <v>0.11</v>
      </c>
      <c r="G260" s="147">
        <v>0</v>
      </c>
      <c r="H260" s="147">
        <v>0.12</v>
      </c>
      <c r="I260" s="147">
        <v>0.69</v>
      </c>
      <c r="J260" s="147">
        <v>6.6000000000000003E-2</v>
      </c>
      <c r="K260" s="147">
        <v>0.01</v>
      </c>
      <c r="L260" s="147">
        <v>0</v>
      </c>
      <c r="M260" s="122">
        <f t="shared" si="4"/>
        <v>0.24</v>
      </c>
      <c r="N260" s="139"/>
    </row>
    <row r="261" spans="1:14" x14ac:dyDescent="0.3">
      <c r="A261" s="115" t="s">
        <v>713</v>
      </c>
      <c r="B261" s="111">
        <v>917.4494662719419</v>
      </c>
      <c r="C261" s="115" t="s">
        <v>713</v>
      </c>
      <c r="D261" s="147">
        <v>0</v>
      </c>
      <c r="E261" s="147">
        <v>4.0000000000000001E-3</v>
      </c>
      <c r="F261" s="147">
        <v>0.11</v>
      </c>
      <c r="G261" s="147">
        <v>0</v>
      </c>
      <c r="H261" s="147">
        <v>0.12</v>
      </c>
      <c r="I261" s="147">
        <v>0.69</v>
      </c>
      <c r="J261" s="147">
        <v>6.6000000000000003E-2</v>
      </c>
      <c r="K261" s="147">
        <v>0.01</v>
      </c>
      <c r="L261" s="147">
        <v>0</v>
      </c>
      <c r="M261" s="122">
        <f t="shared" si="4"/>
        <v>0.24</v>
      </c>
      <c r="N261" s="139"/>
    </row>
    <row r="262" spans="1:14" x14ac:dyDescent="0.3">
      <c r="A262" s="115" t="s">
        <v>714</v>
      </c>
      <c r="B262" s="111">
        <v>149979.1530272752</v>
      </c>
      <c r="C262" s="115" t="s">
        <v>714</v>
      </c>
      <c r="D262" s="147">
        <v>0</v>
      </c>
      <c r="E262" s="147">
        <v>4.0000000000000001E-3</v>
      </c>
      <c r="F262" s="147">
        <v>0.11</v>
      </c>
      <c r="G262" s="147">
        <v>0</v>
      </c>
      <c r="H262" s="147">
        <v>0.12</v>
      </c>
      <c r="I262" s="147">
        <v>0.69</v>
      </c>
      <c r="J262" s="147">
        <v>6.6000000000000003E-2</v>
      </c>
      <c r="K262" s="147">
        <v>0.01</v>
      </c>
      <c r="L262" s="147">
        <v>0</v>
      </c>
      <c r="M262" s="122">
        <f t="shared" ref="M262:M269" si="5">F262+H262+K262</f>
        <v>0.24</v>
      </c>
      <c r="N262" s="139"/>
    </row>
    <row r="263" spans="1:14" x14ac:dyDescent="0.3">
      <c r="A263" s="115" t="s">
        <v>715</v>
      </c>
      <c r="B263" s="111">
        <v>83152.231443740602</v>
      </c>
      <c r="C263" s="115" t="s">
        <v>715</v>
      </c>
      <c r="D263" s="147">
        <v>0</v>
      </c>
      <c r="E263" s="147">
        <v>1.8000000000000002E-2</v>
      </c>
      <c r="F263" s="147">
        <v>0</v>
      </c>
      <c r="G263" s="147">
        <v>0</v>
      </c>
      <c r="H263" s="147">
        <v>0</v>
      </c>
      <c r="I263" s="147">
        <v>0.96200000000000008</v>
      </c>
      <c r="J263" s="147">
        <v>0.02</v>
      </c>
      <c r="K263" s="147">
        <v>0</v>
      </c>
      <c r="L263" s="147">
        <v>0</v>
      </c>
      <c r="M263" s="122">
        <f t="shared" si="5"/>
        <v>0</v>
      </c>
      <c r="N263" s="139"/>
    </row>
    <row r="264" spans="1:14" x14ac:dyDescent="0.3">
      <c r="A264" s="115" t="s">
        <v>716</v>
      </c>
      <c r="B264" s="111">
        <v>663073.55335289577</v>
      </c>
      <c r="C264" s="115" t="s">
        <v>716</v>
      </c>
      <c r="D264" s="147">
        <v>0</v>
      </c>
      <c r="E264" s="147">
        <v>1.0838709677419363E-3</v>
      </c>
      <c r="F264" s="147">
        <v>2.9806451612903247E-2</v>
      </c>
      <c r="G264" s="147">
        <v>0</v>
      </c>
      <c r="H264" s="147">
        <v>3.2516129032258083E-2</v>
      </c>
      <c r="I264" s="147">
        <v>0.69</v>
      </c>
      <c r="J264" s="147">
        <v>1.7883870967741949E-2</v>
      </c>
      <c r="K264" s="147">
        <v>2.7096774193548405E-3</v>
      </c>
      <c r="L264" s="147">
        <v>0.22600000000000001</v>
      </c>
      <c r="M264" s="122">
        <f t="shared" si="5"/>
        <v>6.5032258064516166E-2</v>
      </c>
      <c r="N264" s="139"/>
    </row>
    <row r="265" spans="1:14" x14ac:dyDescent="0.3">
      <c r="A265" s="115" t="s">
        <v>717</v>
      </c>
      <c r="B265" s="111">
        <v>526645.92492266675</v>
      </c>
      <c r="C265" s="115" t="s">
        <v>717</v>
      </c>
      <c r="D265" s="147">
        <v>0</v>
      </c>
      <c r="E265" s="147">
        <v>0</v>
      </c>
      <c r="F265" s="147">
        <v>0</v>
      </c>
      <c r="G265" s="147">
        <v>0</v>
      </c>
      <c r="H265" s="147">
        <v>0</v>
      </c>
      <c r="I265" s="147">
        <v>0.87</v>
      </c>
      <c r="J265" s="147">
        <v>0.06</v>
      </c>
      <c r="K265" s="147">
        <v>7.0000000000000007E-2</v>
      </c>
      <c r="L265" s="147">
        <v>0</v>
      </c>
      <c r="M265" s="122">
        <f t="shared" si="5"/>
        <v>7.0000000000000007E-2</v>
      </c>
      <c r="N265" s="139"/>
    </row>
    <row r="266" spans="1:14" x14ac:dyDescent="0.3">
      <c r="A266" s="115" t="s">
        <v>718</v>
      </c>
      <c r="B266" s="111">
        <v>845815.77531946742</v>
      </c>
      <c r="C266" s="115" t="s">
        <v>718</v>
      </c>
      <c r="D266" s="147">
        <v>0</v>
      </c>
      <c r="E266" s="147">
        <v>0</v>
      </c>
      <c r="F266" s="147">
        <v>0.72</v>
      </c>
      <c r="G266" s="147">
        <v>0</v>
      </c>
      <c r="H266" s="147">
        <v>0</v>
      </c>
      <c r="I266" s="147">
        <v>0</v>
      </c>
      <c r="J266" s="147">
        <v>0.28000000000000003</v>
      </c>
      <c r="K266" s="147">
        <v>0</v>
      </c>
      <c r="L266" s="147">
        <v>0</v>
      </c>
      <c r="M266" s="122">
        <f t="shared" si="5"/>
        <v>0.72</v>
      </c>
      <c r="N266" s="139"/>
    </row>
    <row r="267" spans="1:14" x14ac:dyDescent="0.3">
      <c r="A267" s="115" t="s">
        <v>719</v>
      </c>
      <c r="B267" s="111">
        <v>200331.99124639129</v>
      </c>
      <c r="C267" s="115" t="s">
        <v>719</v>
      </c>
      <c r="D267" s="147">
        <v>0</v>
      </c>
      <c r="E267" s="147">
        <v>4.0000000000000001E-3</v>
      </c>
      <c r="F267" s="147">
        <v>0.11</v>
      </c>
      <c r="G267" s="147">
        <v>0</v>
      </c>
      <c r="H267" s="147">
        <v>0.12</v>
      </c>
      <c r="I267" s="147">
        <v>0.69</v>
      </c>
      <c r="J267" s="147">
        <v>6.6000000000000003E-2</v>
      </c>
      <c r="K267" s="147">
        <v>0.01</v>
      </c>
      <c r="L267" s="147">
        <v>0</v>
      </c>
      <c r="M267" s="122">
        <f t="shared" si="5"/>
        <v>0.24</v>
      </c>
      <c r="N267" s="139"/>
    </row>
    <row r="268" spans="1:14" x14ac:dyDescent="0.3">
      <c r="A268" s="115" t="s">
        <v>720</v>
      </c>
      <c r="B268" s="111">
        <v>140228.05209149903</v>
      </c>
      <c r="C268" s="115" t="s">
        <v>720</v>
      </c>
      <c r="D268" s="147">
        <v>0</v>
      </c>
      <c r="E268" s="147">
        <v>3.5974304068522485E-3</v>
      </c>
      <c r="F268" s="147">
        <v>9.8929336188436828E-2</v>
      </c>
      <c r="G268" s="147">
        <v>0</v>
      </c>
      <c r="H268" s="147">
        <v>0.10792291220556745</v>
      </c>
      <c r="I268" s="147">
        <v>0.62055674518201276</v>
      </c>
      <c r="J268" s="147">
        <v>0.16</v>
      </c>
      <c r="K268" s="147">
        <v>8.9935760171306195E-3</v>
      </c>
      <c r="L268" s="147">
        <v>0</v>
      </c>
      <c r="M268" s="122">
        <f t="shared" si="5"/>
        <v>0.21584582441113492</v>
      </c>
      <c r="N268" s="139"/>
    </row>
    <row r="269" spans="1:14" x14ac:dyDescent="0.3">
      <c r="A269" s="116" t="s">
        <v>473</v>
      </c>
      <c r="B269" s="113">
        <v>50362508.054360822</v>
      </c>
      <c r="C269" s="116" t="s">
        <v>473</v>
      </c>
      <c r="D269" s="117">
        <v>0</v>
      </c>
      <c r="E269" s="117">
        <v>0</v>
      </c>
      <c r="F269" s="117">
        <v>0</v>
      </c>
      <c r="G269" s="117">
        <v>0.128</v>
      </c>
      <c r="H269" s="117">
        <v>0.52600000000000002</v>
      </c>
      <c r="I269" s="117">
        <v>0</v>
      </c>
      <c r="J269" s="117">
        <v>0.34600000000000003</v>
      </c>
      <c r="K269" s="117">
        <v>0</v>
      </c>
      <c r="L269" s="117">
        <v>0</v>
      </c>
      <c r="M269" s="123">
        <f t="shared" si="5"/>
        <v>0.52600000000000002</v>
      </c>
      <c r="N269" s="140"/>
    </row>
    <row r="270" spans="1:14" x14ac:dyDescent="0.3">
      <c r="A270" s="118"/>
    </row>
    <row r="271" spans="1:14" x14ac:dyDescent="0.3">
      <c r="A271" s="118"/>
    </row>
    <row r="272" spans="1:14" x14ac:dyDescent="0.3">
      <c r="A272" s="118"/>
    </row>
    <row r="273" spans="1:1" x14ac:dyDescent="0.3">
      <c r="A273" s="1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D6CB-C465-45F1-80C1-EF99BE21246F}">
  <sheetPr codeName="Sheet3"/>
  <dimension ref="A1:K85"/>
  <sheetViews>
    <sheetView zoomScale="70" zoomScaleNormal="70" workbookViewId="0"/>
  </sheetViews>
  <sheetFormatPr defaultColWidth="8.88671875" defaultRowHeight="13.2" x14ac:dyDescent="0.25"/>
  <cols>
    <col min="1" max="1" width="44.33203125" style="4" bestFit="1" customWidth="1"/>
    <col min="2" max="2" width="8.88671875" style="51" customWidth="1"/>
    <col min="3" max="3" width="73.88671875" style="61" customWidth="1"/>
    <col min="4" max="4" width="106.88671875" style="51" bestFit="1" customWidth="1"/>
    <col min="5" max="6" width="8.88671875" style="4"/>
    <col min="7" max="7" width="22.109375" style="4" bestFit="1" customWidth="1"/>
    <col min="8" max="10" width="8.88671875" style="4"/>
    <col min="11" max="11" width="63" style="50" customWidth="1"/>
    <col min="12" max="16384" width="8.88671875" style="4"/>
  </cols>
  <sheetData>
    <row r="1" spans="1:4" x14ac:dyDescent="0.25">
      <c r="A1" s="94" t="s">
        <v>460</v>
      </c>
      <c r="B1" s="30" t="s">
        <v>395</v>
      </c>
    </row>
    <row r="2" spans="1:4" x14ac:dyDescent="0.25">
      <c r="A2" s="107" t="s">
        <v>449</v>
      </c>
      <c r="B2" s="108"/>
      <c r="C2" s="63"/>
      <c r="D2" s="108"/>
    </row>
    <row r="3" spans="1:4" x14ac:dyDescent="0.25">
      <c r="A3" s="66" t="s">
        <v>432</v>
      </c>
      <c r="B3" s="8"/>
      <c r="C3" s="30" t="s">
        <v>212</v>
      </c>
      <c r="D3" s="69" t="s">
        <v>214</v>
      </c>
    </row>
    <row r="4" spans="1:4" ht="14.4" x14ac:dyDescent="0.3">
      <c r="A4" s="32" t="s">
        <v>838</v>
      </c>
      <c r="B4" s="125">
        <v>0.13575000000000001</v>
      </c>
      <c r="C4" s="4" t="s">
        <v>996</v>
      </c>
      <c r="D4" s="41" t="s">
        <v>231</v>
      </c>
    </row>
    <row r="5" spans="1:4" ht="14.4" x14ac:dyDescent="0.3">
      <c r="A5" s="33" t="s">
        <v>839</v>
      </c>
      <c r="B5" s="126">
        <v>0.20749999999999999</v>
      </c>
      <c r="C5" s="4" t="s">
        <v>996</v>
      </c>
      <c r="D5" s="71" t="s">
        <v>231</v>
      </c>
    </row>
    <row r="6" spans="1:4" x14ac:dyDescent="0.25">
      <c r="A6" s="66" t="s">
        <v>722</v>
      </c>
      <c r="B6" s="8"/>
      <c r="C6" s="30" t="s">
        <v>212</v>
      </c>
      <c r="D6" s="69" t="s">
        <v>214</v>
      </c>
    </row>
    <row r="7" spans="1:4" x14ac:dyDescent="0.25">
      <c r="A7" s="33" t="s">
        <v>722</v>
      </c>
      <c r="B7" s="36">
        <v>1</v>
      </c>
      <c r="C7" s="3" t="s">
        <v>723</v>
      </c>
      <c r="D7" s="79"/>
    </row>
    <row r="8" spans="1:4" x14ac:dyDescent="0.25">
      <c r="A8" s="76" t="s">
        <v>381</v>
      </c>
      <c r="B8" s="75"/>
      <c r="C8" s="73"/>
      <c r="D8" s="35"/>
    </row>
    <row r="9" spans="1:4" x14ac:dyDescent="0.25">
      <c r="A9" s="76" t="s">
        <v>89</v>
      </c>
      <c r="B9" s="77">
        <f>SUM(B10:B13)</f>
        <v>1</v>
      </c>
      <c r="C9" s="73"/>
      <c r="D9" s="35"/>
    </row>
    <row r="10" spans="1:4" x14ac:dyDescent="0.25">
      <c r="A10" s="74" t="s">
        <v>382</v>
      </c>
      <c r="B10" s="75">
        <v>0.68</v>
      </c>
      <c r="C10" s="73"/>
      <c r="D10" s="68" t="s">
        <v>222</v>
      </c>
    </row>
    <row r="11" spans="1:4" x14ac:dyDescent="0.25">
      <c r="A11" s="74" t="s">
        <v>383</v>
      </c>
      <c r="B11" s="75">
        <v>0</v>
      </c>
      <c r="C11" s="73"/>
      <c r="D11" s="68" t="s">
        <v>222</v>
      </c>
    </row>
    <row r="12" spans="1:4" x14ac:dyDescent="0.25">
      <c r="A12" s="74" t="s">
        <v>185</v>
      </c>
      <c r="B12" s="75">
        <v>0.22</v>
      </c>
      <c r="C12" s="73"/>
      <c r="D12" s="68" t="s">
        <v>222</v>
      </c>
    </row>
    <row r="13" spans="1:4" x14ac:dyDescent="0.25">
      <c r="A13" s="82" t="s">
        <v>384</v>
      </c>
      <c r="B13" s="83">
        <v>0.1</v>
      </c>
      <c r="C13" s="84"/>
      <c r="D13" s="85" t="s">
        <v>222</v>
      </c>
    </row>
    <row r="14" spans="1:4" x14ac:dyDescent="0.25">
      <c r="A14" s="76" t="s">
        <v>385</v>
      </c>
      <c r="B14" s="77">
        <f>SUM(B15:B18)</f>
        <v>1</v>
      </c>
      <c r="C14" s="73"/>
      <c r="D14" s="68"/>
    </row>
    <row r="15" spans="1:4" x14ac:dyDescent="0.25">
      <c r="A15" s="74" t="s">
        <v>382</v>
      </c>
      <c r="B15" s="75">
        <v>0.08</v>
      </c>
      <c r="C15" s="73"/>
      <c r="D15" s="68" t="s">
        <v>222</v>
      </c>
    </row>
    <row r="16" spans="1:4" x14ac:dyDescent="0.25">
      <c r="A16" s="74" t="s">
        <v>383</v>
      </c>
      <c r="B16" s="75">
        <v>0.62</v>
      </c>
      <c r="C16" s="73"/>
      <c r="D16" s="68" t="s">
        <v>222</v>
      </c>
    </row>
    <row r="17" spans="1:4" x14ac:dyDescent="0.25">
      <c r="A17" s="74" t="s">
        <v>185</v>
      </c>
      <c r="B17" s="75">
        <v>0</v>
      </c>
      <c r="C17" s="73"/>
      <c r="D17" s="68" t="s">
        <v>222</v>
      </c>
    </row>
    <row r="18" spans="1:4" x14ac:dyDescent="0.25">
      <c r="A18" s="82" t="s">
        <v>384</v>
      </c>
      <c r="B18" s="83">
        <v>0.3</v>
      </c>
      <c r="C18" s="84"/>
      <c r="D18" s="85" t="s">
        <v>222</v>
      </c>
    </row>
    <row r="19" spans="1:4" x14ac:dyDescent="0.25">
      <c r="A19" s="76" t="s">
        <v>386</v>
      </c>
      <c r="B19" s="77">
        <f>SUM(B20:B23)</f>
        <v>1</v>
      </c>
      <c r="C19" s="73"/>
      <c r="D19" s="68"/>
    </row>
    <row r="20" spans="1:4" x14ac:dyDescent="0.25">
      <c r="A20" s="74" t="s">
        <v>382</v>
      </c>
      <c r="B20" s="75">
        <v>0.34</v>
      </c>
      <c r="C20" s="73"/>
      <c r="D20" s="68" t="s">
        <v>222</v>
      </c>
    </row>
    <row r="21" spans="1:4" x14ac:dyDescent="0.25">
      <c r="A21" s="74" t="s">
        <v>383</v>
      </c>
      <c r="B21" s="75">
        <v>0.66</v>
      </c>
      <c r="C21" s="73"/>
      <c r="D21" s="68" t="s">
        <v>222</v>
      </c>
    </row>
    <row r="22" spans="1:4" x14ac:dyDescent="0.25">
      <c r="A22" s="74" t="s">
        <v>185</v>
      </c>
      <c r="B22" s="75">
        <v>0</v>
      </c>
      <c r="C22" s="73"/>
      <c r="D22" s="68" t="s">
        <v>222</v>
      </c>
    </row>
    <row r="23" spans="1:4" x14ac:dyDescent="0.25">
      <c r="A23" s="82" t="s">
        <v>384</v>
      </c>
      <c r="B23" s="83">
        <v>0</v>
      </c>
      <c r="C23" s="84"/>
      <c r="D23" s="85" t="s">
        <v>222</v>
      </c>
    </row>
    <row r="24" spans="1:4" x14ac:dyDescent="0.25">
      <c r="A24" s="76" t="s">
        <v>387</v>
      </c>
      <c r="B24" s="77">
        <f>SUM(B25:B28)</f>
        <v>1</v>
      </c>
      <c r="C24" s="73"/>
      <c r="D24" s="68"/>
    </row>
    <row r="25" spans="1:4" x14ac:dyDescent="0.25">
      <c r="A25" s="74" t="s">
        <v>382</v>
      </c>
      <c r="B25" s="75">
        <v>0.56000000000000005</v>
      </c>
      <c r="C25" s="73"/>
      <c r="D25" s="68" t="s">
        <v>222</v>
      </c>
    </row>
    <row r="26" spans="1:4" x14ac:dyDescent="0.25">
      <c r="A26" s="74" t="s">
        <v>383</v>
      </c>
      <c r="B26" s="75">
        <v>0.23</v>
      </c>
      <c r="C26" s="73"/>
      <c r="D26" s="68" t="s">
        <v>222</v>
      </c>
    </row>
    <row r="27" spans="1:4" x14ac:dyDescent="0.25">
      <c r="A27" s="74" t="s">
        <v>185</v>
      </c>
      <c r="B27" s="75">
        <v>0.11</v>
      </c>
      <c r="C27" s="73"/>
      <c r="D27" s="68" t="s">
        <v>222</v>
      </c>
    </row>
    <row r="28" spans="1:4" x14ac:dyDescent="0.25">
      <c r="A28" s="82" t="s">
        <v>384</v>
      </c>
      <c r="B28" s="83">
        <v>0.1</v>
      </c>
      <c r="C28" s="84"/>
      <c r="D28" s="85" t="s">
        <v>222</v>
      </c>
    </row>
    <row r="29" spans="1:4" x14ac:dyDescent="0.25">
      <c r="A29" s="76" t="s">
        <v>388</v>
      </c>
      <c r="B29" s="77">
        <f>SUM(B30:B33)</f>
        <v>1</v>
      </c>
      <c r="C29" s="73"/>
      <c r="D29" s="68"/>
    </row>
    <row r="30" spans="1:4" x14ac:dyDescent="0.25">
      <c r="A30" s="74" t="s">
        <v>382</v>
      </c>
      <c r="B30" s="75">
        <v>0.27</v>
      </c>
      <c r="C30" s="73"/>
      <c r="D30" s="68" t="s">
        <v>222</v>
      </c>
    </row>
    <row r="31" spans="1:4" x14ac:dyDescent="0.25">
      <c r="A31" s="74" t="s">
        <v>383</v>
      </c>
      <c r="B31" s="75">
        <v>0.5</v>
      </c>
      <c r="C31" s="73"/>
      <c r="D31" s="68" t="s">
        <v>222</v>
      </c>
    </row>
    <row r="32" spans="1:4" x14ac:dyDescent="0.25">
      <c r="A32" s="74" t="s">
        <v>185</v>
      </c>
      <c r="B32" s="75">
        <v>0</v>
      </c>
      <c r="C32" s="73"/>
      <c r="D32" s="68" t="s">
        <v>222</v>
      </c>
    </row>
    <row r="33" spans="1:4" x14ac:dyDescent="0.25">
      <c r="A33" s="45" t="s">
        <v>384</v>
      </c>
      <c r="B33" s="46">
        <v>0.23</v>
      </c>
      <c r="C33" s="78"/>
      <c r="D33" s="79" t="s">
        <v>222</v>
      </c>
    </row>
    <row r="34" spans="1:4" x14ac:dyDescent="0.25">
      <c r="A34" s="76" t="s">
        <v>436</v>
      </c>
      <c r="B34" s="75"/>
      <c r="C34" s="75"/>
      <c r="D34" s="68"/>
    </row>
    <row r="35" spans="1:4" x14ac:dyDescent="0.25">
      <c r="A35" s="76" t="s">
        <v>437</v>
      </c>
      <c r="B35" s="75"/>
      <c r="C35" s="75"/>
      <c r="D35" s="68"/>
    </row>
    <row r="36" spans="1:4" x14ac:dyDescent="0.25">
      <c r="A36" s="74" t="s">
        <v>378</v>
      </c>
      <c r="B36" s="75">
        <v>0.35</v>
      </c>
      <c r="C36" s="75" t="s">
        <v>365</v>
      </c>
      <c r="D36" s="68" t="s">
        <v>450</v>
      </c>
    </row>
    <row r="37" spans="1:4" x14ac:dyDescent="0.25">
      <c r="A37" s="74" t="s">
        <v>451</v>
      </c>
      <c r="B37" s="75">
        <f>1-B36</f>
        <v>0.65</v>
      </c>
      <c r="C37" s="75"/>
      <c r="D37" s="68"/>
    </row>
    <row r="38" spans="1:4" x14ac:dyDescent="0.25">
      <c r="A38" s="74" t="s">
        <v>452</v>
      </c>
      <c r="B38" s="75"/>
      <c r="C38" s="75"/>
      <c r="D38" s="68"/>
    </row>
    <row r="39" spans="1:4" x14ac:dyDescent="0.25">
      <c r="A39" s="32" t="s">
        <v>433</v>
      </c>
      <c r="B39" s="75">
        <f>50%*(1/(B37))</f>
        <v>0.76923076923076916</v>
      </c>
      <c r="C39" s="75" t="s">
        <v>900</v>
      </c>
      <c r="D39" s="68"/>
    </row>
    <row r="40" spans="1:4" x14ac:dyDescent="0.25">
      <c r="A40" s="32" t="s">
        <v>390</v>
      </c>
      <c r="B40" s="75">
        <f>5%*(1/(B37))</f>
        <v>7.6923076923076927E-2</v>
      </c>
      <c r="C40" s="75"/>
      <c r="D40" s="68"/>
    </row>
    <row r="41" spans="1:4" x14ac:dyDescent="0.25">
      <c r="A41" s="32" t="s">
        <v>434</v>
      </c>
      <c r="B41" s="75">
        <f>5%*(1/(B37))</f>
        <v>7.6923076923076927E-2</v>
      </c>
      <c r="C41" s="75"/>
      <c r="D41" s="68"/>
    </row>
    <row r="42" spans="1:4" x14ac:dyDescent="0.25">
      <c r="A42" s="32" t="s">
        <v>379</v>
      </c>
      <c r="B42" s="75">
        <f>5%*(1/(B37))</f>
        <v>7.6923076923076927E-2</v>
      </c>
      <c r="C42" s="75"/>
    </row>
    <row r="43" spans="1:4" x14ac:dyDescent="0.25">
      <c r="A43" s="93" t="s">
        <v>435</v>
      </c>
      <c r="B43" s="83">
        <f>0%*(1/(B37))</f>
        <v>0</v>
      </c>
      <c r="C43" s="83"/>
      <c r="D43" s="85"/>
    </row>
    <row r="44" spans="1:4" x14ac:dyDescent="0.25">
      <c r="A44" s="76" t="s">
        <v>115</v>
      </c>
      <c r="B44" s="75"/>
      <c r="C44" s="73"/>
      <c r="D44" s="68"/>
    </row>
    <row r="45" spans="1:4" x14ac:dyDescent="0.25">
      <c r="A45" s="74" t="s">
        <v>378</v>
      </c>
      <c r="B45" s="75">
        <v>0.35</v>
      </c>
      <c r="C45" s="73" t="s">
        <v>365</v>
      </c>
      <c r="D45" s="68" t="s">
        <v>450</v>
      </c>
    </row>
    <row r="46" spans="1:4" x14ac:dyDescent="0.25">
      <c r="A46" s="74" t="s">
        <v>451</v>
      </c>
      <c r="B46" s="75">
        <f>1-B45</f>
        <v>0.65</v>
      </c>
      <c r="C46" s="73"/>
      <c r="D46" s="68"/>
    </row>
    <row r="47" spans="1:4" x14ac:dyDescent="0.25">
      <c r="A47" s="74" t="s">
        <v>452</v>
      </c>
      <c r="B47" s="75"/>
      <c r="C47" s="73"/>
      <c r="D47" s="68"/>
    </row>
    <row r="48" spans="1:4" x14ac:dyDescent="0.25">
      <c r="A48" s="32" t="s">
        <v>433</v>
      </c>
      <c r="B48" s="75">
        <f>50%*(1/(B46))</f>
        <v>0.76923076923076916</v>
      </c>
      <c r="C48" s="75" t="s">
        <v>900</v>
      </c>
      <c r="D48" s="68"/>
    </row>
    <row r="49" spans="1:4" x14ac:dyDescent="0.25">
      <c r="A49" s="32" t="s">
        <v>390</v>
      </c>
      <c r="B49" s="75">
        <f>5%*(1/(B46))</f>
        <v>7.6923076923076927E-2</v>
      </c>
      <c r="C49" s="73"/>
      <c r="D49" s="68"/>
    </row>
    <row r="50" spans="1:4" x14ac:dyDescent="0.25">
      <c r="A50" s="32" t="s">
        <v>434</v>
      </c>
      <c r="B50" s="75">
        <f>5%*(1/(B46))</f>
        <v>7.6923076923076927E-2</v>
      </c>
      <c r="C50" s="73"/>
      <c r="D50" s="68"/>
    </row>
    <row r="51" spans="1:4" x14ac:dyDescent="0.25">
      <c r="A51" s="32" t="s">
        <v>379</v>
      </c>
      <c r="B51" s="75">
        <f>5%*(1/(B46))</f>
        <v>7.6923076923076927E-2</v>
      </c>
      <c r="C51" s="73"/>
      <c r="D51" s="68"/>
    </row>
    <row r="52" spans="1:4" x14ac:dyDescent="0.25">
      <c r="A52" s="93" t="s">
        <v>435</v>
      </c>
      <c r="B52" s="83">
        <f>0%*(1/(B46))</f>
        <v>0</v>
      </c>
      <c r="C52" s="83"/>
      <c r="D52" s="85"/>
    </row>
    <row r="53" spans="1:4" x14ac:dyDescent="0.25">
      <c r="A53" s="76" t="s">
        <v>438</v>
      </c>
      <c r="B53" s="75"/>
      <c r="C53" s="73"/>
      <c r="D53" s="68"/>
    </row>
    <row r="54" spans="1:4" x14ac:dyDescent="0.25">
      <c r="A54" s="74" t="s">
        <v>378</v>
      </c>
      <c r="B54" s="75">
        <v>0.1</v>
      </c>
      <c r="C54" s="73" t="s">
        <v>365</v>
      </c>
      <c r="D54" s="68" t="s">
        <v>450</v>
      </c>
    </row>
    <row r="55" spans="1:4" x14ac:dyDescent="0.25">
      <c r="A55" s="74" t="s">
        <v>451</v>
      </c>
      <c r="B55" s="75">
        <f>1-B54</f>
        <v>0.9</v>
      </c>
      <c r="C55" s="73"/>
      <c r="D55" s="68"/>
    </row>
    <row r="56" spans="1:4" x14ac:dyDescent="0.25">
      <c r="A56" s="74" t="s">
        <v>452</v>
      </c>
      <c r="B56" s="75"/>
      <c r="C56" s="73"/>
      <c r="D56" s="68"/>
    </row>
    <row r="57" spans="1:4" x14ac:dyDescent="0.25">
      <c r="A57" s="32" t="s">
        <v>433</v>
      </c>
      <c r="B57" s="75">
        <f>75%*(1/(B55))</f>
        <v>0.83333333333333337</v>
      </c>
      <c r="C57" s="75" t="s">
        <v>900</v>
      </c>
      <c r="D57" s="68"/>
    </row>
    <row r="58" spans="1:4" x14ac:dyDescent="0.25">
      <c r="A58" s="32" t="s">
        <v>390</v>
      </c>
      <c r="B58" s="75">
        <f>5%*(1/(B55))</f>
        <v>5.5555555555555559E-2</v>
      </c>
      <c r="C58" s="73"/>
      <c r="D58" s="68"/>
    </row>
    <row r="59" spans="1:4" x14ac:dyDescent="0.25">
      <c r="A59" s="32" t="s">
        <v>434</v>
      </c>
      <c r="B59" s="75">
        <f>5%*(1/(B55))</f>
        <v>5.5555555555555559E-2</v>
      </c>
      <c r="C59" s="73"/>
      <c r="D59" s="68"/>
    </row>
    <row r="60" spans="1:4" x14ac:dyDescent="0.25">
      <c r="A60" s="32" t="s">
        <v>379</v>
      </c>
      <c r="B60" s="75">
        <f>5%*(1/(B55))</f>
        <v>5.5555555555555559E-2</v>
      </c>
      <c r="C60" s="73"/>
      <c r="D60" s="68"/>
    </row>
    <row r="61" spans="1:4" x14ac:dyDescent="0.25">
      <c r="A61" s="33" t="s">
        <v>435</v>
      </c>
      <c r="B61" s="75">
        <f>0%*(1/(B46))</f>
        <v>0</v>
      </c>
      <c r="C61" s="78"/>
      <c r="D61" s="79"/>
    </row>
    <row r="62" spans="1:4" x14ac:dyDescent="0.25">
      <c r="A62" s="76" t="s">
        <v>903</v>
      </c>
      <c r="B62" s="88"/>
      <c r="C62" s="73"/>
      <c r="D62" s="68"/>
    </row>
    <row r="63" spans="1:4" x14ac:dyDescent="0.25">
      <c r="A63" s="74" t="s">
        <v>446</v>
      </c>
      <c r="B63" s="75">
        <v>0.7</v>
      </c>
      <c r="C63" s="73"/>
      <c r="D63" s="68"/>
    </row>
    <row r="64" spans="1:4" x14ac:dyDescent="0.25">
      <c r="A64" s="74" t="s">
        <v>447</v>
      </c>
      <c r="B64" s="46">
        <v>0.3</v>
      </c>
      <c r="C64" s="73"/>
      <c r="D64" s="68"/>
    </row>
    <row r="65" spans="1:7" x14ac:dyDescent="0.25">
      <c r="A65" s="87" t="s">
        <v>439</v>
      </c>
      <c r="B65" s="88"/>
      <c r="C65" s="89"/>
      <c r="D65" s="90"/>
    </row>
    <row r="66" spans="1:7" ht="12.75" customHeight="1" x14ac:dyDescent="0.25">
      <c r="A66" s="74" t="s">
        <v>440</v>
      </c>
      <c r="B66" s="75">
        <f>VLOOKUP('supporting-percentages'!B1,waste!A3:M6,5,FALSE)+VLOOKUP('supporting-percentages'!B1,waste!A3:M6,7,FALSE)*0.7+VLOOKUP('supporting-percentages'!B1,waste!A3:M6,10,FALSE)</f>
        <v>0.36977269754441139</v>
      </c>
      <c r="C66" s="177" t="s">
        <v>901</v>
      </c>
      <c r="D66" s="68" t="s">
        <v>450</v>
      </c>
      <c r="G66" s="100"/>
    </row>
    <row r="67" spans="1:7" x14ac:dyDescent="0.25">
      <c r="A67" s="32" t="s">
        <v>433</v>
      </c>
      <c r="B67" s="75">
        <f>B66*0.58</f>
        <v>0.2144681645757586</v>
      </c>
      <c r="C67" s="177"/>
      <c r="D67" s="68" t="s">
        <v>459</v>
      </c>
      <c r="G67" s="101"/>
    </row>
    <row r="68" spans="1:7" x14ac:dyDescent="0.25">
      <c r="A68" s="32" t="s">
        <v>904</v>
      </c>
      <c r="B68" s="75">
        <f>B66*0.27</f>
        <v>9.9838628336991087E-2</v>
      </c>
      <c r="C68" s="177"/>
      <c r="D68" s="104"/>
      <c r="G68" s="100"/>
    </row>
    <row r="69" spans="1:7" x14ac:dyDescent="0.25">
      <c r="A69" s="32" t="s">
        <v>390</v>
      </c>
      <c r="B69" s="75">
        <f>B66*0.15</f>
        <v>5.5465904631661705E-2</v>
      </c>
      <c r="C69" s="177"/>
      <c r="D69" s="104"/>
    </row>
    <row r="70" spans="1:7" x14ac:dyDescent="0.25">
      <c r="A70" s="32" t="s">
        <v>441</v>
      </c>
      <c r="B70" s="75">
        <f>1-B66</f>
        <v>0.63022730245558867</v>
      </c>
      <c r="C70" s="177"/>
      <c r="D70" s="68"/>
    </row>
    <row r="71" spans="1:7" x14ac:dyDescent="0.25">
      <c r="A71" s="32" t="s">
        <v>434</v>
      </c>
      <c r="B71" s="75">
        <f>VLOOKUP('supporting-percentages'!B1,waste!A3:M6,7,FALSE)*(B70/(VLOOKUP('supporting-percentages'!B1,waste!A3:M6,7,FALSE)+VLOOKUP('supporting-percentages'!B1,waste!A3:M6,13,FALSE)+VLOOKUP('supporting-percentages'!B1,waste!A3:M6,9,FALSE)))</f>
        <v>0.15373166574333971</v>
      </c>
      <c r="C71" s="177"/>
      <c r="D71" s="68"/>
    </row>
    <row r="72" spans="1:7" x14ac:dyDescent="0.25">
      <c r="A72" s="32" t="s">
        <v>379</v>
      </c>
      <c r="B72" s="75">
        <f>VLOOKUP('supporting-percentages'!B1,waste!A3:M6,13,FALSE)*(B70/(VLOOKUP('supporting-percentages'!B1,waste!A3:M6,7,FALSE)+VLOOKUP('supporting-percentages'!B1,waste!A3:M6,13,FALSE)+VLOOKUP('supporting-percentages'!B1,waste!A3:M6,9,FALSE)))</f>
        <v>0.35531939159721976</v>
      </c>
      <c r="C72" s="177"/>
      <c r="D72" s="68"/>
    </row>
    <row r="73" spans="1:7" x14ac:dyDescent="0.25">
      <c r="A73" s="33" t="s">
        <v>435</v>
      </c>
      <c r="B73" s="75">
        <f>VLOOKUP('supporting-percentages'!B1,waste!A3:M6,9,FALSE)*(B70/(VLOOKUP('supporting-percentages'!B1,waste!A3:M6,7,FALSE)+VLOOKUP('supporting-percentages'!B1,waste!A3:M6,13,FALSE)+VLOOKUP('supporting-percentages'!B1,waste!A3:M6,9,FALSE)))</f>
        <v>0.12117624511502915</v>
      </c>
      <c r="C73" s="178"/>
      <c r="D73" s="68"/>
    </row>
    <row r="74" spans="1:7" x14ac:dyDescent="0.25">
      <c r="A74" s="66" t="s">
        <v>429</v>
      </c>
      <c r="B74" s="34"/>
      <c r="C74" s="102"/>
      <c r="D74" s="103"/>
    </row>
    <row r="75" spans="1:7" x14ac:dyDescent="0.25">
      <c r="A75" s="32" t="s">
        <v>389</v>
      </c>
      <c r="B75" s="92">
        <v>0.09</v>
      </c>
      <c r="C75" s="4"/>
      <c r="D75" s="68" t="s">
        <v>222</v>
      </c>
    </row>
    <row r="76" spans="1:7" x14ac:dyDescent="0.25">
      <c r="A76" s="33" t="s">
        <v>430</v>
      </c>
      <c r="B76" s="91">
        <f>1-B75</f>
        <v>0.91</v>
      </c>
      <c r="C76" s="3"/>
      <c r="D76" s="79" t="s">
        <v>222</v>
      </c>
    </row>
    <row r="77" spans="1:7" x14ac:dyDescent="0.25">
      <c r="A77" s="31" t="s">
        <v>431</v>
      </c>
      <c r="B77" s="34"/>
      <c r="C77" s="102"/>
      <c r="D77" s="103"/>
    </row>
    <row r="78" spans="1:7" ht="13.2" customHeight="1" x14ac:dyDescent="0.25">
      <c r="A78" s="74" t="s">
        <v>440</v>
      </c>
      <c r="B78" s="8">
        <f>SUM(B79:B81)</f>
        <v>0.63925801420369699</v>
      </c>
      <c r="C78" s="177" t="s">
        <v>902</v>
      </c>
      <c r="D78" s="68" t="s">
        <v>442</v>
      </c>
    </row>
    <row r="79" spans="1:7" ht="12.75" customHeight="1" x14ac:dyDescent="0.25">
      <c r="A79" s="32" t="s">
        <v>433</v>
      </c>
      <c r="B79" s="8">
        <f>(VLOOKUP(B1,waste!A3:M6,7,FALSE)*B63)*((1-B80)/(((VLOOKUP(B1,waste!A3:M6,7,FALSE)*B63))+(VLOOKUP(B1,waste!A3:M6,5,FALSE)+(VLOOKUP(B1,waste!A3:M6,7,FALSE)*B64)+(VLOOKUP(B1,waste!A3:M6,13,FALSE))+(VLOOKUP(B1,waste!A3:M6,9,FALSE)))))</f>
        <v>7.4280715883604548E-2</v>
      </c>
      <c r="C79" s="177"/>
      <c r="D79" s="68" t="s">
        <v>459</v>
      </c>
    </row>
    <row r="80" spans="1:7" x14ac:dyDescent="0.25">
      <c r="A80" s="32" t="s">
        <v>905</v>
      </c>
      <c r="B80" s="8">
        <f>woodflow!N408/woodflow!N404</f>
        <v>0.53434551938580543</v>
      </c>
      <c r="C80" s="177"/>
      <c r="D80" s="35" t="s">
        <v>227</v>
      </c>
    </row>
    <row r="81" spans="1:4" x14ac:dyDescent="0.25">
      <c r="A81" s="32" t="s">
        <v>390</v>
      </c>
      <c r="B81" s="8">
        <f>(VLOOKUP(B1,waste!A3:M6,5,FALSE))*((1-B80)/(((VLOOKUP(B1,waste!A3:M6,7,FALSE)*B63))+(VLOOKUP(B1,waste!A3:M6,5,FALSE)+(VLOOKUP(B1,waste!A3:M6,7,FALSE)*B64)+(VLOOKUP(B1,waste!A3:M6,13,FALSE))+(VLOOKUP(B1,waste!A3:M6,9,FALSE)))))</f>
        <v>3.0631778934286993E-2</v>
      </c>
      <c r="C81" s="177"/>
      <c r="D81" s="68"/>
    </row>
    <row r="82" spans="1:4" x14ac:dyDescent="0.25">
      <c r="A82" s="32" t="s">
        <v>441</v>
      </c>
      <c r="B82" s="8">
        <f>SUM(B83:B85)</f>
        <v>0.36074198579630301</v>
      </c>
      <c r="C82" s="177"/>
      <c r="D82" s="68"/>
    </row>
    <row r="83" spans="1:4" x14ac:dyDescent="0.25">
      <c r="A83" s="32" t="s">
        <v>434</v>
      </c>
      <c r="B83" s="8">
        <f>(VLOOKUP(B1,waste!A3:M6,7,FALSE)*B64)*((1-B80)/(((VLOOKUP(B1,waste!A3:M6,7,FALSE)*B63))+(VLOOKUP(B1,waste!A3:M6,5,FALSE)+(VLOOKUP(B1,waste!A3:M6,7,FALSE)*B64)+(VLOOKUP(B1,waste!A3:M6,13,FALSE))+(VLOOKUP(B1,waste!A3:M6,9,FALSE)))))</f>
        <v>3.1834592521544809E-2</v>
      </c>
      <c r="C83" s="177"/>
      <c r="D83" s="68"/>
    </row>
    <row r="84" spans="1:4" x14ac:dyDescent="0.25">
      <c r="A84" s="32" t="s">
        <v>379</v>
      </c>
      <c r="B84" s="8">
        <f>(VLOOKUP(B1,waste!A3:M6,13,FALSE))*((1-B80)/(((VLOOKUP(B1,waste!A3:M6,7,FALSE)*B63))+(VLOOKUP(B1,waste!A3:M6,5,FALSE)+(VLOOKUP(B1,waste!A3:M6,7,FALSE)*B64)+(VLOOKUP(B1,waste!A3:M6,13,FALSE))+(VLOOKUP(B1,waste!A3:M6,9,FALSE)))))</f>
        <v>0.24526389302655779</v>
      </c>
      <c r="C84" s="177"/>
      <c r="D84" s="35"/>
    </row>
    <row r="85" spans="1:4" x14ac:dyDescent="0.25">
      <c r="A85" s="33" t="s">
        <v>435</v>
      </c>
      <c r="B85" s="36">
        <f>(VLOOKUP(B1,waste!A3:M6,9,FALSE))*((1-B80)/(((VLOOKUP(B1,waste!A3:M6,7,FALSE)*B63))+(VLOOKUP(B1,waste!A3:M6,5,FALSE)+(VLOOKUP(B1,waste!A3:M6,7,FALSE)*B64)+(VLOOKUP(B1,waste!A3:M6,13,FALSE))+(VLOOKUP(B1,waste!A3:M6,9,FALSE)))))</f>
        <v>8.3643500248200373E-2</v>
      </c>
      <c r="C85" s="178"/>
      <c r="D85" s="37"/>
    </row>
  </sheetData>
  <mergeCells count="2">
    <mergeCell ref="C78:C85"/>
    <mergeCell ref="C66:C73"/>
  </mergeCells>
  <phoneticPr fontId="1" type="noConversion"/>
  <hyperlinks>
    <hyperlink ref="D10:D33" r:id="rId1" display="https://doi.org/10.1111/jiec.12613" xr:uid="{17194AE8-2F9B-4EA1-9520-E2670C3A165B}"/>
    <hyperlink ref="D5" r:id="rId2" xr:uid="{37D2078C-CEF5-4036-ACEE-14070D1EAE5E}"/>
    <hyperlink ref="D75" r:id="rId3" xr:uid="{5AA35CA9-B00A-4AD0-B3EA-2EE0069BB42B}"/>
    <hyperlink ref="D76" r:id="rId4" xr:uid="{C69D2B13-26AC-4175-B465-8DE9C0EE86FE}"/>
    <hyperlink ref="D78" r:id="rId5" display="https://doi.org/10.1111/jiec.12613" xr:uid="{F840225F-AAA9-464E-B124-CCF3A11352E4}"/>
    <hyperlink ref="D67" r:id="rId6" xr:uid="{588F6A6F-CAE0-4176-91D8-3B24A81C42F1}"/>
    <hyperlink ref="D79" r:id="rId7" xr:uid="{DAE923A6-A4E1-41EE-A852-E3DA9AC816BC}"/>
    <hyperlink ref="D4" r:id="rId8" xr:uid="{4E5AAFC4-2332-4032-B560-C1862E76C25E}"/>
  </hyperlinks>
  <pageMargins left="0.7" right="0.7" top="0.75" bottom="0.75" header="0.3" footer="0.3"/>
  <pageSetup orientation="portrait" horizontalDpi="1200" verticalDpi="120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FD4D-1172-4140-95D0-A529173832FF}">
  <sheetPr codeName="Sheet5"/>
  <dimension ref="A1:R167"/>
  <sheetViews>
    <sheetView zoomScale="70" zoomScaleNormal="70" workbookViewId="0"/>
  </sheetViews>
  <sheetFormatPr defaultColWidth="8.88671875" defaultRowHeight="14.4" x14ac:dyDescent="0.3"/>
  <cols>
    <col min="1" max="1" width="15.6640625" customWidth="1"/>
    <col min="2" max="2" width="9.109375"/>
    <col min="3" max="3" width="13" style="4" bestFit="1" customWidth="1"/>
    <col min="4" max="4" width="7.88671875" style="4" bestFit="1" customWidth="1"/>
    <col min="5" max="5" width="16.33203125" style="4" bestFit="1" customWidth="1"/>
    <col min="6" max="6" width="16.33203125" style="4" customWidth="1"/>
    <col min="7" max="7" width="13.6640625" style="4" customWidth="1"/>
    <col min="8" max="8" width="29.6640625" style="4" customWidth="1"/>
    <col min="9" max="9" width="12.88671875" style="4" bestFit="1" customWidth="1"/>
    <col min="10" max="10" width="12.88671875" style="4" customWidth="1"/>
    <col min="11" max="11" width="7.6640625" style="4" customWidth="1"/>
    <col min="12" max="12" width="16.44140625" style="4" bestFit="1" customWidth="1"/>
    <col min="13" max="13" width="7.6640625" style="4" bestFit="1" customWidth="1"/>
    <col min="14" max="14" width="21" style="4" customWidth="1"/>
    <col min="15" max="15" width="15.109375" style="4" customWidth="1"/>
    <col min="16" max="16" width="20" customWidth="1"/>
    <col min="17" max="17" width="23.5546875" style="4" bestFit="1" customWidth="1"/>
    <col min="18" max="18" width="21.5546875" style="4" bestFit="1" customWidth="1"/>
    <col min="19" max="19" width="26.6640625" style="4" customWidth="1"/>
    <col min="20" max="20" width="13.33203125" style="4" customWidth="1"/>
    <col min="21" max="21" width="12.44140625" style="4" bestFit="1" customWidth="1"/>
    <col min="22" max="16384" width="8.88671875" style="4"/>
  </cols>
  <sheetData>
    <row r="1" spans="1:18" s="5" customFormat="1" ht="13.2" x14ac:dyDescent="0.25">
      <c r="A1" s="7" t="s">
        <v>172</v>
      </c>
      <c r="B1" s="7" t="s">
        <v>171</v>
      </c>
      <c r="C1" s="7" t="s">
        <v>393</v>
      </c>
      <c r="D1" s="7" t="s">
        <v>93</v>
      </c>
      <c r="E1" s="7" t="s">
        <v>170</v>
      </c>
      <c r="F1" s="7" t="s">
        <v>169</v>
      </c>
      <c r="G1" s="7" t="s">
        <v>168</v>
      </c>
      <c r="H1" s="7" t="s">
        <v>167</v>
      </c>
      <c r="I1" s="7" t="s">
        <v>166</v>
      </c>
      <c r="J1" s="7" t="s">
        <v>165</v>
      </c>
      <c r="K1" s="7" t="s">
        <v>164</v>
      </c>
      <c r="L1" s="7" t="s">
        <v>163</v>
      </c>
      <c r="M1" s="7" t="s">
        <v>162</v>
      </c>
      <c r="N1" s="7" t="s">
        <v>161</v>
      </c>
      <c r="O1" s="7" t="s">
        <v>90</v>
      </c>
      <c r="P1" s="7" t="s">
        <v>906</v>
      </c>
      <c r="Q1" s="7" t="s">
        <v>907</v>
      </c>
      <c r="R1" s="7" t="s">
        <v>173</v>
      </c>
    </row>
    <row r="2" spans="1:18" ht="13.2" x14ac:dyDescent="0.25">
      <c r="A2" s="4" t="s">
        <v>126</v>
      </c>
      <c r="B2" s="4" t="s">
        <v>125</v>
      </c>
      <c r="C2" s="4" t="s">
        <v>395</v>
      </c>
      <c r="D2" s="4" t="s">
        <v>396</v>
      </c>
      <c r="E2" s="4">
        <v>5516</v>
      </c>
      <c r="F2" s="4" t="s">
        <v>128</v>
      </c>
      <c r="G2" s="4">
        <v>1627</v>
      </c>
      <c r="H2" s="4" t="s">
        <v>121</v>
      </c>
      <c r="I2" s="4">
        <v>2021</v>
      </c>
      <c r="J2" s="4">
        <v>2021</v>
      </c>
      <c r="K2" s="4" t="s">
        <v>143</v>
      </c>
      <c r="L2" s="6">
        <v>238909780</v>
      </c>
      <c r="M2" s="4" t="s">
        <v>397</v>
      </c>
      <c r="N2" s="4" t="s">
        <v>398</v>
      </c>
      <c r="O2" s="124">
        <f>'conversion-factors'!D4</f>
        <v>0.43047409884810928</v>
      </c>
      <c r="P2" s="6">
        <f t="shared" ref="P2:P7" si="0">L2*O2</f>
        <v>102844472.25150004</v>
      </c>
      <c r="Q2" s="9">
        <f>faostatdata[[#This Row],[Value (odmt)]]*(10^-6)</f>
        <v>102.84447225150004</v>
      </c>
      <c r="R2" s="4" t="str">
        <f t="shared" ref="R2:R7" si="1">CONCATENATE("(",E2,",",G2,")")</f>
        <v>(5516,1627)</v>
      </c>
    </row>
    <row r="3" spans="1:18" ht="13.2" x14ac:dyDescent="0.25">
      <c r="A3" s="4" t="s">
        <v>126</v>
      </c>
      <c r="B3" s="4" t="s">
        <v>125</v>
      </c>
      <c r="C3" s="4" t="s">
        <v>395</v>
      </c>
      <c r="D3" s="4" t="s">
        <v>396</v>
      </c>
      <c r="E3" s="4">
        <v>5616</v>
      </c>
      <c r="F3" s="4" t="s">
        <v>127</v>
      </c>
      <c r="G3" s="4">
        <v>1627</v>
      </c>
      <c r="H3" s="4" t="s">
        <v>121</v>
      </c>
      <c r="I3" s="4">
        <v>2021</v>
      </c>
      <c r="J3" s="4">
        <v>2021</v>
      </c>
      <c r="K3" s="4" t="s">
        <v>143</v>
      </c>
      <c r="L3" s="81"/>
      <c r="M3" s="4" t="s">
        <v>397</v>
      </c>
      <c r="N3" s="4" t="s">
        <v>398</v>
      </c>
      <c r="O3" s="124"/>
      <c r="P3" s="6">
        <f t="shared" si="0"/>
        <v>0</v>
      </c>
      <c r="Q3" s="9">
        <f>faostatdata[[#This Row],[Value (odmt)]]*(10^-6)</f>
        <v>0</v>
      </c>
      <c r="R3" s="4" t="str">
        <f t="shared" si="1"/>
        <v>(5616,1627)</v>
      </c>
    </row>
    <row r="4" spans="1:18" ht="13.2" x14ac:dyDescent="0.25">
      <c r="A4" s="4" t="s">
        <v>126</v>
      </c>
      <c r="B4" s="4" t="s">
        <v>125</v>
      </c>
      <c r="C4" s="4" t="s">
        <v>395</v>
      </c>
      <c r="D4" s="4" t="s">
        <v>396</v>
      </c>
      <c r="E4" s="4">
        <v>5916</v>
      </c>
      <c r="F4" s="4" t="s">
        <v>124</v>
      </c>
      <c r="G4" s="4">
        <v>1627</v>
      </c>
      <c r="H4" s="4" t="s">
        <v>121</v>
      </c>
      <c r="I4" s="4">
        <v>2021</v>
      </c>
      <c r="J4" s="4">
        <v>2021</v>
      </c>
      <c r="K4" s="4" t="s">
        <v>143</v>
      </c>
      <c r="L4" s="81"/>
      <c r="M4" s="4" t="s">
        <v>397</v>
      </c>
      <c r="N4" s="4" t="s">
        <v>398</v>
      </c>
      <c r="O4" s="124"/>
      <c r="P4" s="6">
        <f t="shared" si="0"/>
        <v>0</v>
      </c>
      <c r="Q4" s="9">
        <f>faostatdata[[#This Row],[Value (odmt)]]*(10^-6)</f>
        <v>0</v>
      </c>
      <c r="R4" s="4" t="str">
        <f t="shared" si="1"/>
        <v>(5916,1627)</v>
      </c>
    </row>
    <row r="5" spans="1:18" ht="13.2" x14ac:dyDescent="0.25">
      <c r="A5" s="4" t="s">
        <v>126</v>
      </c>
      <c r="B5" s="4" t="s">
        <v>125</v>
      </c>
      <c r="C5" s="4" t="s">
        <v>395</v>
      </c>
      <c r="D5" s="4" t="s">
        <v>396</v>
      </c>
      <c r="E5" s="4">
        <v>5516</v>
      </c>
      <c r="F5" s="4" t="s">
        <v>128</v>
      </c>
      <c r="G5" s="4">
        <v>1628</v>
      </c>
      <c r="H5" s="4" t="s">
        <v>120</v>
      </c>
      <c r="I5" s="4">
        <v>2021</v>
      </c>
      <c r="J5" s="4">
        <v>2021</v>
      </c>
      <c r="K5" s="4" t="s">
        <v>143</v>
      </c>
      <c r="L5" s="6">
        <v>1715240404</v>
      </c>
      <c r="M5" s="4" t="s">
        <v>397</v>
      </c>
      <c r="N5" s="4" t="s">
        <v>398</v>
      </c>
      <c r="O5" s="10">
        <f>'conversion-factors'!D5</f>
        <v>0.67090477492650058</v>
      </c>
      <c r="P5" s="6">
        <f t="shared" si="0"/>
        <v>1150762977.19046</v>
      </c>
      <c r="Q5" s="9">
        <f>faostatdata[[#This Row],[Value (odmt)]]*(10^-6)</f>
        <v>1150.7629771904599</v>
      </c>
      <c r="R5" s="4" t="str">
        <f t="shared" si="1"/>
        <v>(5516,1628)</v>
      </c>
    </row>
    <row r="6" spans="1:18" ht="13.2" x14ac:dyDescent="0.25">
      <c r="A6" s="4" t="s">
        <v>126</v>
      </c>
      <c r="B6" s="4" t="s">
        <v>125</v>
      </c>
      <c r="C6" s="4" t="s">
        <v>395</v>
      </c>
      <c r="D6" s="4" t="s">
        <v>396</v>
      </c>
      <c r="E6" s="4">
        <v>5616</v>
      </c>
      <c r="F6" s="4" t="s">
        <v>127</v>
      </c>
      <c r="G6" s="4">
        <v>1628</v>
      </c>
      <c r="H6" s="4" t="s">
        <v>120</v>
      </c>
      <c r="I6" s="4">
        <v>2021</v>
      </c>
      <c r="J6" s="4">
        <v>2021</v>
      </c>
      <c r="K6" s="4" t="s">
        <v>143</v>
      </c>
      <c r="L6" s="81"/>
      <c r="M6" s="4" t="s">
        <v>397</v>
      </c>
      <c r="N6" s="4" t="s">
        <v>398</v>
      </c>
      <c r="O6" s="10"/>
      <c r="P6" s="6">
        <f t="shared" si="0"/>
        <v>0</v>
      </c>
      <c r="Q6" s="9">
        <f>faostatdata[[#This Row],[Value (odmt)]]*(10^-6)</f>
        <v>0</v>
      </c>
      <c r="R6" s="4" t="str">
        <f t="shared" si="1"/>
        <v>(5616,1628)</v>
      </c>
    </row>
    <row r="7" spans="1:18" ht="13.2" x14ac:dyDescent="0.25">
      <c r="A7" s="4" t="s">
        <v>126</v>
      </c>
      <c r="B7" s="4" t="s">
        <v>125</v>
      </c>
      <c r="C7" s="4" t="s">
        <v>395</v>
      </c>
      <c r="D7" s="4" t="s">
        <v>396</v>
      </c>
      <c r="E7" s="4">
        <v>5916</v>
      </c>
      <c r="F7" s="4" t="s">
        <v>124</v>
      </c>
      <c r="G7" s="4">
        <v>1628</v>
      </c>
      <c r="H7" s="4" t="s">
        <v>120</v>
      </c>
      <c r="I7" s="4">
        <v>2021</v>
      </c>
      <c r="J7" s="4">
        <v>2021</v>
      </c>
      <c r="K7" s="4" t="s">
        <v>143</v>
      </c>
      <c r="L7" s="81"/>
      <c r="M7" s="4" t="s">
        <v>397</v>
      </c>
      <c r="N7" s="4" t="s">
        <v>398</v>
      </c>
      <c r="O7" s="10"/>
      <c r="P7" s="6">
        <f t="shared" si="0"/>
        <v>0</v>
      </c>
      <c r="Q7" s="9">
        <f>faostatdata[[#This Row],[Value (odmt)]]*(10^-6)</f>
        <v>0</v>
      </c>
      <c r="R7" s="4" t="str">
        <f t="shared" si="1"/>
        <v>(5916,1628)</v>
      </c>
    </row>
    <row r="8" spans="1:18" ht="13.2" x14ac:dyDescent="0.25">
      <c r="A8" s="4" t="s">
        <v>126</v>
      </c>
      <c r="B8" s="4" t="s">
        <v>125</v>
      </c>
      <c r="C8" s="4" t="s">
        <v>395</v>
      </c>
      <c r="D8" s="4" t="s">
        <v>396</v>
      </c>
      <c r="E8" s="4">
        <v>5616</v>
      </c>
      <c r="F8" s="4" t="s">
        <v>127</v>
      </c>
      <c r="G8" s="4">
        <v>1629</v>
      </c>
      <c r="H8" s="4" t="s">
        <v>160</v>
      </c>
      <c r="I8" s="4">
        <v>2021</v>
      </c>
      <c r="J8" s="4">
        <v>2021</v>
      </c>
      <c r="L8" s="81"/>
      <c r="O8" s="124"/>
      <c r="P8" s="6"/>
      <c r="Q8" s="9"/>
    </row>
    <row r="9" spans="1:18" ht="13.2" x14ac:dyDescent="0.25">
      <c r="A9" s="4" t="s">
        <v>126</v>
      </c>
      <c r="B9" s="4" t="s">
        <v>125</v>
      </c>
      <c r="C9" s="4" t="s">
        <v>395</v>
      </c>
      <c r="D9" s="4" t="s">
        <v>396</v>
      </c>
      <c r="E9" s="4">
        <v>5916</v>
      </c>
      <c r="F9" s="4" t="s">
        <v>124</v>
      </c>
      <c r="G9" s="4">
        <v>1629</v>
      </c>
      <c r="H9" s="4" t="s">
        <v>160</v>
      </c>
      <c r="I9" s="4">
        <v>2021</v>
      </c>
      <c r="J9" s="4">
        <v>2021</v>
      </c>
      <c r="L9" s="81"/>
      <c r="O9" s="124"/>
      <c r="P9" s="6"/>
      <c r="Q9" s="9"/>
    </row>
    <row r="10" spans="1:18" ht="13.2" x14ac:dyDescent="0.25">
      <c r="A10" s="4" t="s">
        <v>126</v>
      </c>
      <c r="B10" s="4" t="s">
        <v>125</v>
      </c>
      <c r="C10" s="4" t="s">
        <v>395</v>
      </c>
      <c r="D10" s="4" t="s">
        <v>396</v>
      </c>
      <c r="E10" s="4">
        <v>5616</v>
      </c>
      <c r="F10" s="4" t="s">
        <v>127</v>
      </c>
      <c r="G10" s="4">
        <v>1651</v>
      </c>
      <c r="H10" s="4" t="s">
        <v>159</v>
      </c>
      <c r="I10" s="4">
        <v>2021</v>
      </c>
      <c r="J10" s="4">
        <v>2021</v>
      </c>
      <c r="K10" s="4" t="s">
        <v>143</v>
      </c>
      <c r="L10" s="81"/>
      <c r="M10" s="4" t="s">
        <v>397</v>
      </c>
      <c r="N10" s="4" t="s">
        <v>398</v>
      </c>
      <c r="O10" s="10"/>
      <c r="P10" s="6">
        <f t="shared" ref="P10:P23" si="2">L10*O10</f>
        <v>0</v>
      </c>
      <c r="Q10" s="9">
        <f>faostatdata[[#This Row],[Value (odmt)]]*(10^-6)</f>
        <v>0</v>
      </c>
      <c r="R10" s="4" t="str">
        <f t="shared" ref="R10:R16" si="3">CONCATENATE("(",E10,",",G10,")")</f>
        <v>(5616,1651)</v>
      </c>
    </row>
    <row r="11" spans="1:18" ht="13.2" x14ac:dyDescent="0.25">
      <c r="A11" s="4" t="s">
        <v>126</v>
      </c>
      <c r="B11" s="4" t="s">
        <v>125</v>
      </c>
      <c r="C11" s="4" t="s">
        <v>395</v>
      </c>
      <c r="D11" s="4" t="s">
        <v>396</v>
      </c>
      <c r="E11" s="4">
        <v>5916</v>
      </c>
      <c r="F11" s="4" t="s">
        <v>124</v>
      </c>
      <c r="G11" s="4">
        <v>1651</v>
      </c>
      <c r="H11" s="4" t="s">
        <v>159</v>
      </c>
      <c r="I11" s="4">
        <v>2021</v>
      </c>
      <c r="J11" s="4">
        <v>2021</v>
      </c>
      <c r="K11" s="4" t="s">
        <v>143</v>
      </c>
      <c r="L11" s="81"/>
      <c r="M11" s="4" t="s">
        <v>397</v>
      </c>
      <c r="N11" s="4" t="s">
        <v>398</v>
      </c>
      <c r="O11" s="10"/>
      <c r="P11" s="6">
        <f t="shared" si="2"/>
        <v>0</v>
      </c>
      <c r="Q11" s="9">
        <f>faostatdata[[#This Row],[Value (odmt)]]*(10^-6)</f>
        <v>0</v>
      </c>
      <c r="R11" s="4" t="str">
        <f t="shared" si="3"/>
        <v>(5916,1651)</v>
      </c>
    </row>
    <row r="12" spans="1:18" ht="13.2" x14ac:dyDescent="0.25">
      <c r="A12" s="4" t="s">
        <v>126</v>
      </c>
      <c r="B12" s="4" t="s">
        <v>125</v>
      </c>
      <c r="C12" s="4" t="s">
        <v>395</v>
      </c>
      <c r="D12" s="4" t="s">
        <v>396</v>
      </c>
      <c r="E12" s="4">
        <v>5616</v>
      </c>
      <c r="F12" s="4" t="s">
        <v>127</v>
      </c>
      <c r="G12" s="4">
        <v>1657</v>
      </c>
      <c r="H12" s="4" t="s">
        <v>158</v>
      </c>
      <c r="I12" s="4">
        <v>2021</v>
      </c>
      <c r="J12" s="4">
        <v>2021</v>
      </c>
      <c r="K12" s="4" t="s">
        <v>143</v>
      </c>
      <c r="L12" s="81"/>
      <c r="M12" s="4" t="s">
        <v>397</v>
      </c>
      <c r="N12" s="4" t="s">
        <v>398</v>
      </c>
      <c r="O12" s="10"/>
      <c r="P12" s="6">
        <f t="shared" si="2"/>
        <v>0</v>
      </c>
      <c r="Q12" s="9">
        <f>faostatdata[[#This Row],[Value (odmt)]]*(10^-6)</f>
        <v>0</v>
      </c>
      <c r="R12" s="4" t="str">
        <f t="shared" si="3"/>
        <v>(5616,1657)</v>
      </c>
    </row>
    <row r="13" spans="1:18" ht="13.2" x14ac:dyDescent="0.25">
      <c r="A13" s="4" t="s">
        <v>126</v>
      </c>
      <c r="B13" s="4" t="s">
        <v>125</v>
      </c>
      <c r="C13" s="4" t="s">
        <v>395</v>
      </c>
      <c r="D13" s="4" t="s">
        <v>396</v>
      </c>
      <c r="E13" s="4">
        <v>5916</v>
      </c>
      <c r="F13" s="4" t="s">
        <v>124</v>
      </c>
      <c r="G13" s="4">
        <v>1657</v>
      </c>
      <c r="H13" s="4" t="s">
        <v>158</v>
      </c>
      <c r="I13" s="4">
        <v>2021</v>
      </c>
      <c r="J13" s="4">
        <v>2021</v>
      </c>
      <c r="K13" s="4" t="s">
        <v>143</v>
      </c>
      <c r="L13" s="81"/>
      <c r="M13" s="4" t="s">
        <v>397</v>
      </c>
      <c r="N13" s="4" t="s">
        <v>398</v>
      </c>
      <c r="O13" s="10"/>
      <c r="P13" s="6">
        <f t="shared" si="2"/>
        <v>0</v>
      </c>
      <c r="Q13" s="9">
        <f>faostatdata[[#This Row],[Value (odmt)]]*(10^-6)</f>
        <v>0</v>
      </c>
      <c r="R13" s="4" t="str">
        <f t="shared" si="3"/>
        <v>(5916,1657)</v>
      </c>
    </row>
    <row r="14" spans="1:18" ht="13.2" x14ac:dyDescent="0.25">
      <c r="A14" s="4" t="s">
        <v>126</v>
      </c>
      <c r="B14" s="4" t="s">
        <v>125</v>
      </c>
      <c r="C14" s="4" t="s">
        <v>395</v>
      </c>
      <c r="D14" s="4" t="s">
        <v>396</v>
      </c>
      <c r="E14" s="4">
        <v>5616</v>
      </c>
      <c r="F14" s="4" t="s">
        <v>127</v>
      </c>
      <c r="G14" s="4">
        <v>1670</v>
      </c>
      <c r="H14" s="4" t="s">
        <v>157</v>
      </c>
      <c r="I14" s="4">
        <v>2021</v>
      </c>
      <c r="J14" s="4">
        <v>2021</v>
      </c>
      <c r="K14" s="4" t="s">
        <v>143</v>
      </c>
      <c r="L14" s="81"/>
      <c r="M14" s="4" t="s">
        <v>397</v>
      </c>
      <c r="N14" s="4" t="s">
        <v>398</v>
      </c>
      <c r="O14" s="10"/>
      <c r="P14" s="6">
        <f t="shared" si="2"/>
        <v>0</v>
      </c>
      <c r="Q14" s="9">
        <f>faostatdata[[#This Row],[Value (odmt)]]*(10^-6)</f>
        <v>0</v>
      </c>
      <c r="R14" s="4" t="str">
        <f t="shared" si="3"/>
        <v>(5616,1670)</v>
      </c>
    </row>
    <row r="15" spans="1:18" ht="13.2" x14ac:dyDescent="0.25">
      <c r="A15" s="4" t="s">
        <v>126</v>
      </c>
      <c r="B15" s="4" t="s">
        <v>125</v>
      </c>
      <c r="C15" s="4" t="s">
        <v>395</v>
      </c>
      <c r="D15" s="4" t="s">
        <v>396</v>
      </c>
      <c r="E15" s="4">
        <v>5916</v>
      </c>
      <c r="F15" s="4" t="s">
        <v>124</v>
      </c>
      <c r="G15" s="4">
        <v>1670</v>
      </c>
      <c r="H15" s="4" t="s">
        <v>157</v>
      </c>
      <c r="I15" s="4">
        <v>2021</v>
      </c>
      <c r="J15" s="4">
        <v>2021</v>
      </c>
      <c r="K15" s="4" t="s">
        <v>143</v>
      </c>
      <c r="L15" s="81"/>
      <c r="M15" s="4" t="s">
        <v>397</v>
      </c>
      <c r="N15" s="4" t="s">
        <v>398</v>
      </c>
      <c r="O15" s="10"/>
      <c r="P15" s="6">
        <f t="shared" si="2"/>
        <v>0</v>
      </c>
      <c r="Q15" s="9">
        <f>faostatdata[[#This Row],[Value (odmt)]]*(10^-6)</f>
        <v>0</v>
      </c>
      <c r="R15" s="4" t="str">
        <f t="shared" si="3"/>
        <v>(5916,1670)</v>
      </c>
    </row>
    <row r="16" spans="1:18" ht="13.2" x14ac:dyDescent="0.25">
      <c r="A16" s="4" t="s">
        <v>126</v>
      </c>
      <c r="B16" s="4" t="s">
        <v>125</v>
      </c>
      <c r="C16" s="4" t="s">
        <v>395</v>
      </c>
      <c r="D16" s="4" t="s">
        <v>396</v>
      </c>
      <c r="E16" s="4">
        <v>5516</v>
      </c>
      <c r="F16" s="4" t="s">
        <v>128</v>
      </c>
      <c r="G16" s="4">
        <v>1601</v>
      </c>
      <c r="H16" s="4" t="s">
        <v>119</v>
      </c>
      <c r="I16" s="4">
        <v>2021</v>
      </c>
      <c r="J16" s="4">
        <v>2021</v>
      </c>
      <c r="K16" s="4" t="s">
        <v>143</v>
      </c>
      <c r="L16" s="6">
        <v>783367323</v>
      </c>
      <c r="M16" s="4" t="s">
        <v>397</v>
      </c>
      <c r="N16" s="4" t="s">
        <v>398</v>
      </c>
      <c r="O16" s="10">
        <f>'conversion-factors'!D8</f>
        <v>0.42436426351804823</v>
      </c>
      <c r="P16" s="6">
        <f t="shared" si="2"/>
        <v>332433097.08899999</v>
      </c>
      <c r="Q16" s="9">
        <f>faostatdata[[#This Row],[Value (odmt)]]*(10^-6)</f>
        <v>332.43309708899994</v>
      </c>
      <c r="R16" s="4" t="str">
        <f t="shared" si="3"/>
        <v>(5516,1601)</v>
      </c>
    </row>
    <row r="17" spans="1:18" ht="13.2" x14ac:dyDescent="0.25">
      <c r="A17" s="4" t="s">
        <v>126</v>
      </c>
      <c r="B17" s="4" t="s">
        <v>125</v>
      </c>
      <c r="C17" s="4" t="s">
        <v>395</v>
      </c>
      <c r="D17" s="4" t="s">
        <v>396</v>
      </c>
      <c r="E17" s="4">
        <v>5616</v>
      </c>
      <c r="F17" s="4" t="s">
        <v>127</v>
      </c>
      <c r="G17" s="4">
        <v>1601</v>
      </c>
      <c r="H17" s="4" t="s">
        <v>119</v>
      </c>
      <c r="I17" s="4">
        <v>2021</v>
      </c>
      <c r="J17" s="4">
        <v>2021</v>
      </c>
      <c r="L17" s="81"/>
      <c r="O17" s="10"/>
      <c r="P17" s="6"/>
      <c r="Q17" s="9"/>
    </row>
    <row r="18" spans="1:18" ht="13.2" x14ac:dyDescent="0.25">
      <c r="A18" s="4" t="s">
        <v>126</v>
      </c>
      <c r="B18" s="4" t="s">
        <v>125</v>
      </c>
      <c r="C18" s="4" t="s">
        <v>395</v>
      </c>
      <c r="D18" s="4" t="s">
        <v>396</v>
      </c>
      <c r="E18" s="4">
        <v>5916</v>
      </c>
      <c r="F18" s="4" t="s">
        <v>124</v>
      </c>
      <c r="G18" s="4">
        <v>1601</v>
      </c>
      <c r="H18" s="4" t="s">
        <v>119</v>
      </c>
      <c r="I18" s="4">
        <v>2021</v>
      </c>
      <c r="J18" s="4">
        <v>2021</v>
      </c>
      <c r="L18" s="81"/>
      <c r="O18" s="10"/>
      <c r="P18" s="6"/>
      <c r="Q18" s="9"/>
    </row>
    <row r="19" spans="1:18" ht="13.2" x14ac:dyDescent="0.25">
      <c r="A19" s="4" t="s">
        <v>126</v>
      </c>
      <c r="B19" s="4" t="s">
        <v>125</v>
      </c>
      <c r="C19" s="4" t="s">
        <v>395</v>
      </c>
      <c r="D19" s="4" t="s">
        <v>396</v>
      </c>
      <c r="E19" s="4">
        <v>5516</v>
      </c>
      <c r="F19" s="4" t="s">
        <v>128</v>
      </c>
      <c r="G19" s="4">
        <v>1604</v>
      </c>
      <c r="H19" s="4" t="s">
        <v>118</v>
      </c>
      <c r="I19" s="4">
        <v>2021</v>
      </c>
      <c r="J19" s="4">
        <v>2021</v>
      </c>
      <c r="K19" s="4" t="s">
        <v>143</v>
      </c>
      <c r="L19" s="6">
        <v>391378111</v>
      </c>
      <c r="M19" s="4" t="s">
        <v>397</v>
      </c>
      <c r="N19" s="4" t="s">
        <v>398</v>
      </c>
      <c r="O19" s="10">
        <f>'conversion-factors'!D9</f>
        <v>0.59930411172089582</v>
      </c>
      <c r="P19" s="6">
        <f t="shared" si="2"/>
        <v>234554511.15985715</v>
      </c>
      <c r="Q19" s="9">
        <f>faostatdata[[#This Row],[Value (odmt)]]*(10^-6)</f>
        <v>234.55451115985716</v>
      </c>
      <c r="R19" s="4" t="str">
        <f>CONCATENATE("(",E19,",",G19,")")</f>
        <v>(5516,1604)</v>
      </c>
    </row>
    <row r="20" spans="1:18" ht="13.2" x14ac:dyDescent="0.25">
      <c r="A20" s="4" t="s">
        <v>126</v>
      </c>
      <c r="B20" s="4" t="s">
        <v>125</v>
      </c>
      <c r="C20" s="4" t="s">
        <v>395</v>
      </c>
      <c r="D20" s="4" t="s">
        <v>396</v>
      </c>
      <c r="E20" s="4">
        <v>5616</v>
      </c>
      <c r="F20" s="4" t="s">
        <v>127</v>
      </c>
      <c r="G20" s="4">
        <v>1604</v>
      </c>
      <c r="H20" s="4" t="s">
        <v>118</v>
      </c>
      <c r="I20" s="4">
        <v>2021</v>
      </c>
      <c r="J20" s="4">
        <v>2021</v>
      </c>
      <c r="L20" s="81"/>
      <c r="O20" s="10"/>
      <c r="P20" s="6"/>
      <c r="Q20" s="9"/>
    </row>
    <row r="21" spans="1:18" ht="13.2" x14ac:dyDescent="0.25">
      <c r="A21" s="4" t="s">
        <v>126</v>
      </c>
      <c r="B21" s="4" t="s">
        <v>125</v>
      </c>
      <c r="C21" s="4" t="s">
        <v>395</v>
      </c>
      <c r="D21" s="4" t="s">
        <v>396</v>
      </c>
      <c r="E21" s="4">
        <v>5916</v>
      </c>
      <c r="F21" s="4" t="s">
        <v>124</v>
      </c>
      <c r="G21" s="4">
        <v>1604</v>
      </c>
      <c r="H21" s="4" t="s">
        <v>118</v>
      </c>
      <c r="I21" s="4">
        <v>2021</v>
      </c>
      <c r="J21" s="4">
        <v>2021</v>
      </c>
      <c r="L21" s="81"/>
      <c r="O21" s="10"/>
      <c r="P21" s="6"/>
      <c r="Q21" s="9"/>
    </row>
    <row r="22" spans="1:18" ht="13.2" x14ac:dyDescent="0.25">
      <c r="A22" s="4" t="s">
        <v>126</v>
      </c>
      <c r="B22" s="4" t="s">
        <v>125</v>
      </c>
      <c r="C22" s="4" t="s">
        <v>395</v>
      </c>
      <c r="D22" s="4" t="s">
        <v>396</v>
      </c>
      <c r="E22" s="4">
        <v>5516</v>
      </c>
      <c r="F22" s="4" t="s">
        <v>128</v>
      </c>
      <c r="G22" s="4">
        <v>1602</v>
      </c>
      <c r="H22" s="4" t="s">
        <v>156</v>
      </c>
      <c r="I22" s="4">
        <v>2021</v>
      </c>
      <c r="J22" s="4">
        <v>2021</v>
      </c>
      <c r="K22" s="4" t="s">
        <v>143</v>
      </c>
      <c r="L22" s="6">
        <v>364348520</v>
      </c>
      <c r="M22" s="4" t="s">
        <v>397</v>
      </c>
      <c r="N22" s="4" t="s">
        <v>398</v>
      </c>
      <c r="O22" s="10">
        <f>'conversion-factors'!D10</f>
        <v>0.41343024237068399</v>
      </c>
      <c r="P22" s="6">
        <f t="shared" si="2"/>
        <v>150632696.93099999</v>
      </c>
      <c r="Q22" s="9">
        <f>faostatdata[[#This Row],[Value (odmt)]]*(10^-6)</f>
        <v>150.632696931</v>
      </c>
      <c r="R22" s="4" t="str">
        <f>CONCATENATE("(",E22,",",G22,")")</f>
        <v>(5516,1602)</v>
      </c>
    </row>
    <row r="23" spans="1:18" ht="13.2" x14ac:dyDescent="0.25">
      <c r="A23" s="4" t="s">
        <v>126</v>
      </c>
      <c r="B23" s="4" t="s">
        <v>125</v>
      </c>
      <c r="C23" s="4" t="s">
        <v>395</v>
      </c>
      <c r="D23" s="4" t="s">
        <v>396</v>
      </c>
      <c r="E23" s="4">
        <v>5516</v>
      </c>
      <c r="F23" s="4" t="s">
        <v>128</v>
      </c>
      <c r="G23" s="4">
        <v>1603</v>
      </c>
      <c r="H23" s="4" t="s">
        <v>155</v>
      </c>
      <c r="I23" s="4">
        <v>2021</v>
      </c>
      <c r="J23" s="4">
        <v>2021</v>
      </c>
      <c r="K23" s="4" t="s">
        <v>143</v>
      </c>
      <c r="L23" s="6">
        <v>349073702</v>
      </c>
      <c r="M23" s="4" t="s">
        <v>397</v>
      </c>
      <c r="N23" s="4" t="s">
        <v>398</v>
      </c>
      <c r="O23" s="10">
        <f>'conversion-factors'!D11</f>
        <v>0.5115046033674</v>
      </c>
      <c r="P23" s="6">
        <f t="shared" si="2"/>
        <v>178552805.48749998</v>
      </c>
      <c r="Q23" s="9">
        <f>faostatdata[[#This Row],[Value (odmt)]]*(10^-6)</f>
        <v>178.55280548749997</v>
      </c>
      <c r="R23" s="4" t="str">
        <f>CONCATENATE("(",E23,",",G23,")")</f>
        <v>(5516,1603)</v>
      </c>
    </row>
    <row r="24" spans="1:18" ht="13.2" x14ac:dyDescent="0.25">
      <c r="A24" s="4" t="s">
        <v>126</v>
      </c>
      <c r="B24" s="4" t="s">
        <v>125</v>
      </c>
      <c r="C24" s="4" t="s">
        <v>395</v>
      </c>
      <c r="D24" s="4" t="s">
        <v>396</v>
      </c>
      <c r="E24" s="4">
        <v>5516</v>
      </c>
      <c r="F24" s="4" t="s">
        <v>128</v>
      </c>
      <c r="G24" s="4">
        <v>1614</v>
      </c>
      <c r="H24" s="4" t="s">
        <v>154</v>
      </c>
      <c r="I24" s="4">
        <v>2021</v>
      </c>
      <c r="J24" s="4">
        <v>2021</v>
      </c>
      <c r="L24" s="6"/>
      <c r="O24" s="124"/>
      <c r="P24" s="6"/>
      <c r="Q24" s="9"/>
    </row>
    <row r="25" spans="1:18" ht="13.2" x14ac:dyDescent="0.25">
      <c r="A25" s="4" t="s">
        <v>126</v>
      </c>
      <c r="B25" s="4" t="s">
        <v>125</v>
      </c>
      <c r="C25" s="4" t="s">
        <v>395</v>
      </c>
      <c r="D25" s="4" t="s">
        <v>396</v>
      </c>
      <c r="E25" s="4">
        <v>5616</v>
      </c>
      <c r="F25" s="4" t="s">
        <v>127</v>
      </c>
      <c r="G25" s="4">
        <v>1614</v>
      </c>
      <c r="H25" s="4" t="s">
        <v>154</v>
      </c>
      <c r="I25" s="4">
        <v>2021</v>
      </c>
      <c r="J25" s="4">
        <v>2021</v>
      </c>
      <c r="L25" s="81"/>
      <c r="O25" s="124"/>
      <c r="P25" s="6"/>
      <c r="Q25" s="9"/>
    </row>
    <row r="26" spans="1:18" ht="13.2" x14ac:dyDescent="0.25">
      <c r="A26" s="4" t="s">
        <v>126</v>
      </c>
      <c r="B26" s="4" t="s">
        <v>125</v>
      </c>
      <c r="C26" s="4" t="s">
        <v>395</v>
      </c>
      <c r="D26" s="4" t="s">
        <v>396</v>
      </c>
      <c r="E26" s="4">
        <v>5916</v>
      </c>
      <c r="F26" s="4" t="s">
        <v>124</v>
      </c>
      <c r="G26" s="4">
        <v>1614</v>
      </c>
      <c r="H26" s="4" t="s">
        <v>154</v>
      </c>
      <c r="I26" s="4">
        <v>2021</v>
      </c>
      <c r="J26" s="4">
        <v>2021</v>
      </c>
      <c r="L26" s="81"/>
      <c r="O26" s="124"/>
      <c r="P26" s="6"/>
      <c r="Q26" s="9"/>
    </row>
    <row r="27" spans="1:18" ht="13.2" x14ac:dyDescent="0.25">
      <c r="A27" s="4" t="s">
        <v>126</v>
      </c>
      <c r="B27" s="4" t="s">
        <v>125</v>
      </c>
      <c r="C27" s="4" t="s">
        <v>395</v>
      </c>
      <c r="D27" s="4" t="s">
        <v>396</v>
      </c>
      <c r="E27" s="4">
        <v>5516</v>
      </c>
      <c r="F27" s="4" t="s">
        <v>128</v>
      </c>
      <c r="G27" s="4">
        <v>1608</v>
      </c>
      <c r="H27" s="4" t="s">
        <v>153</v>
      </c>
      <c r="I27" s="4">
        <v>2021</v>
      </c>
      <c r="J27" s="4">
        <v>2021</v>
      </c>
      <c r="L27" s="6"/>
      <c r="O27" s="124"/>
      <c r="P27" s="6"/>
      <c r="Q27" s="9"/>
    </row>
    <row r="28" spans="1:18" ht="13.2" x14ac:dyDescent="0.25">
      <c r="A28" s="4" t="s">
        <v>126</v>
      </c>
      <c r="B28" s="4" t="s">
        <v>125</v>
      </c>
      <c r="C28" s="4" t="s">
        <v>395</v>
      </c>
      <c r="D28" s="4" t="s">
        <v>396</v>
      </c>
      <c r="E28" s="4">
        <v>5516</v>
      </c>
      <c r="F28" s="4" t="s">
        <v>128</v>
      </c>
      <c r="G28" s="4">
        <v>1611</v>
      </c>
      <c r="H28" s="4" t="s">
        <v>152</v>
      </c>
      <c r="I28" s="4">
        <v>2021</v>
      </c>
      <c r="J28" s="4">
        <v>2021</v>
      </c>
      <c r="L28" s="6"/>
      <c r="O28" s="124"/>
      <c r="P28" s="6"/>
      <c r="Q28" s="9"/>
    </row>
    <row r="29" spans="1:18" ht="13.2" x14ac:dyDescent="0.25">
      <c r="A29" s="4" t="s">
        <v>126</v>
      </c>
      <c r="B29" s="4" t="s">
        <v>125</v>
      </c>
      <c r="C29" s="4" t="s">
        <v>395</v>
      </c>
      <c r="D29" s="4" t="s">
        <v>396</v>
      </c>
      <c r="E29" s="4">
        <v>5516</v>
      </c>
      <c r="F29" s="4" t="s">
        <v>128</v>
      </c>
      <c r="G29" s="4">
        <v>1623</v>
      </c>
      <c r="H29" s="4" t="s">
        <v>151</v>
      </c>
      <c r="I29" s="4">
        <v>2021</v>
      </c>
      <c r="J29" s="4">
        <v>2021</v>
      </c>
      <c r="K29" s="4" t="s">
        <v>143</v>
      </c>
      <c r="L29" s="6">
        <v>44409974</v>
      </c>
      <c r="M29" s="4" t="s">
        <v>397</v>
      </c>
      <c r="N29" s="4" t="s">
        <v>398</v>
      </c>
      <c r="O29" s="10">
        <f>'conversion-factors'!D12</f>
        <v>0.42402388537764057</v>
      </c>
      <c r="P29" s="6">
        <f>L29*O29</f>
        <v>18830889.724999998</v>
      </c>
      <c r="Q29" s="9">
        <f>faostatdata[[#This Row],[Value (odmt)]]*(10^-6)</f>
        <v>18.830889724999995</v>
      </c>
      <c r="R29" s="4" t="str">
        <f>CONCATENATE("(",E29,",",G29,")")</f>
        <v>(5516,1623)</v>
      </c>
    </row>
    <row r="30" spans="1:18" ht="13.2" x14ac:dyDescent="0.25">
      <c r="A30" s="4" t="s">
        <v>126</v>
      </c>
      <c r="B30" s="4" t="s">
        <v>125</v>
      </c>
      <c r="C30" s="4" t="s">
        <v>395</v>
      </c>
      <c r="D30" s="4" t="s">
        <v>396</v>
      </c>
      <c r="E30" s="4">
        <v>5516</v>
      </c>
      <c r="F30" s="4" t="s">
        <v>128</v>
      </c>
      <c r="G30" s="4">
        <v>1626</v>
      </c>
      <c r="H30" s="4" t="s">
        <v>150</v>
      </c>
      <c r="I30" s="4">
        <v>2021</v>
      </c>
      <c r="J30" s="4">
        <v>2021</v>
      </c>
      <c r="K30" s="4" t="s">
        <v>143</v>
      </c>
      <c r="L30" s="6">
        <v>116116075</v>
      </c>
      <c r="M30" s="4" t="s">
        <v>397</v>
      </c>
      <c r="N30" s="4" t="s">
        <v>398</v>
      </c>
      <c r="O30" s="10">
        <f>'conversion-factors'!D13</f>
        <v>0.56009459194757127</v>
      </c>
      <c r="P30" s="6">
        <f>L30*O30</f>
        <v>65035985.64567858</v>
      </c>
      <c r="Q30" s="9">
        <f>faostatdata[[#This Row],[Value (odmt)]]*(10^-6)</f>
        <v>65.035985645678579</v>
      </c>
      <c r="R30" s="4" t="str">
        <f>CONCATENATE("(",E30,",",G30,")")</f>
        <v>(5516,1626)</v>
      </c>
    </row>
    <row r="31" spans="1:18" ht="13.2" x14ac:dyDescent="0.25">
      <c r="A31" s="4" t="s">
        <v>126</v>
      </c>
      <c r="B31" s="4" t="s">
        <v>125</v>
      </c>
      <c r="C31" s="4" t="s">
        <v>395</v>
      </c>
      <c r="D31" s="4" t="s">
        <v>396</v>
      </c>
      <c r="E31" s="4">
        <v>5616</v>
      </c>
      <c r="F31" s="4" t="s">
        <v>127</v>
      </c>
      <c r="G31" s="4">
        <v>1625</v>
      </c>
      <c r="H31" s="4" t="s">
        <v>149</v>
      </c>
      <c r="I31" s="4">
        <v>2021</v>
      </c>
      <c r="J31" s="4">
        <v>2021</v>
      </c>
      <c r="L31" s="81"/>
      <c r="O31" s="124"/>
      <c r="P31" s="6"/>
      <c r="Q31" s="9"/>
    </row>
    <row r="32" spans="1:18" ht="13.2" x14ac:dyDescent="0.25">
      <c r="A32" s="4" t="s">
        <v>126</v>
      </c>
      <c r="B32" s="4" t="s">
        <v>125</v>
      </c>
      <c r="C32" s="4" t="s">
        <v>395</v>
      </c>
      <c r="D32" s="4" t="s">
        <v>396</v>
      </c>
      <c r="E32" s="4">
        <v>5916</v>
      </c>
      <c r="F32" s="4" t="s">
        <v>124</v>
      </c>
      <c r="G32" s="4">
        <v>1625</v>
      </c>
      <c r="H32" s="4" t="s">
        <v>149</v>
      </c>
      <c r="I32" s="4">
        <v>2021</v>
      </c>
      <c r="J32" s="4">
        <v>2021</v>
      </c>
      <c r="L32" s="81"/>
      <c r="O32" s="124"/>
      <c r="P32" s="6"/>
      <c r="Q32" s="9"/>
    </row>
    <row r="33" spans="1:18" ht="13.2" x14ac:dyDescent="0.25">
      <c r="A33" s="4" t="s">
        <v>126</v>
      </c>
      <c r="B33" s="4" t="s">
        <v>125</v>
      </c>
      <c r="C33" s="4" t="s">
        <v>395</v>
      </c>
      <c r="D33" s="4" t="s">
        <v>396</v>
      </c>
      <c r="E33" s="4">
        <v>5510</v>
      </c>
      <c r="F33" s="4" t="s">
        <v>128</v>
      </c>
      <c r="G33" s="4">
        <v>1630</v>
      </c>
      <c r="H33" s="4" t="s">
        <v>117</v>
      </c>
      <c r="I33" s="4">
        <v>2021</v>
      </c>
      <c r="J33" s="4">
        <v>2021</v>
      </c>
      <c r="K33" s="4" t="s">
        <v>339</v>
      </c>
      <c r="L33" s="6">
        <v>54765019</v>
      </c>
      <c r="M33" s="4" t="s">
        <v>397</v>
      </c>
      <c r="N33" s="4" t="s">
        <v>398</v>
      </c>
      <c r="O33" s="10">
        <f>'conversion-factors'!D15</f>
        <v>0.95120192325688768</v>
      </c>
      <c r="P33" s="6">
        <f t="shared" ref="P33:P44" si="4">L33*O33</f>
        <v>52092591.399999999</v>
      </c>
      <c r="Q33" s="9">
        <f>faostatdata[[#This Row],[Value (odmt)]]*(10^-6)</f>
        <v>52.092591399999996</v>
      </c>
      <c r="R33" s="4" t="str">
        <f t="shared" ref="R33:R62" si="5">CONCATENATE("(",E33,",",G33,")")</f>
        <v>(5510,1630)</v>
      </c>
    </row>
    <row r="34" spans="1:18" ht="13.2" x14ac:dyDescent="0.25">
      <c r="A34" s="4" t="s">
        <v>126</v>
      </c>
      <c r="B34" s="4" t="s">
        <v>125</v>
      </c>
      <c r="C34" s="4" t="s">
        <v>395</v>
      </c>
      <c r="D34" s="4" t="s">
        <v>396</v>
      </c>
      <c r="E34" s="4">
        <v>5510</v>
      </c>
      <c r="F34" s="4" t="s">
        <v>128</v>
      </c>
      <c r="G34" s="4">
        <v>1694</v>
      </c>
      <c r="H34" s="4" t="s">
        <v>348</v>
      </c>
      <c r="I34" s="4">
        <v>2021</v>
      </c>
      <c r="J34" s="4">
        <v>2021</v>
      </c>
      <c r="K34" s="4" t="s">
        <v>339</v>
      </c>
      <c r="L34" s="6">
        <v>6883766</v>
      </c>
      <c r="M34" s="4" t="s">
        <v>397</v>
      </c>
      <c r="N34" s="4" t="s">
        <v>398</v>
      </c>
      <c r="O34" s="10">
        <f>'conversion-factors'!D23</f>
        <v>0.92570170165575072</v>
      </c>
      <c r="P34" s="6">
        <f t="shared" si="4"/>
        <v>6372313.9000000004</v>
      </c>
      <c r="Q34" s="9">
        <f>faostatdata[[#This Row],[Value (odmt)]]*(10^-6)</f>
        <v>6.3723139</v>
      </c>
      <c r="R34" s="4" t="str">
        <f t="shared" si="5"/>
        <v>(5510,1694)</v>
      </c>
    </row>
    <row r="35" spans="1:18" ht="13.2" x14ac:dyDescent="0.25">
      <c r="A35" s="4" t="s">
        <v>126</v>
      </c>
      <c r="B35" s="4" t="s">
        <v>125</v>
      </c>
      <c r="C35" s="4" t="s">
        <v>395</v>
      </c>
      <c r="D35" s="4" t="s">
        <v>396</v>
      </c>
      <c r="E35" s="4">
        <v>5610</v>
      </c>
      <c r="F35" s="4" t="s">
        <v>127</v>
      </c>
      <c r="G35" s="4">
        <v>1630</v>
      </c>
      <c r="H35" s="4" t="s">
        <v>117</v>
      </c>
      <c r="I35" s="4">
        <v>2021</v>
      </c>
      <c r="J35" s="4">
        <v>2021</v>
      </c>
      <c r="K35" s="4" t="s">
        <v>339</v>
      </c>
      <c r="L35" s="81"/>
      <c r="M35" s="4" t="s">
        <v>397</v>
      </c>
      <c r="N35" s="4" t="s">
        <v>398</v>
      </c>
      <c r="O35" s="10"/>
      <c r="P35" s="6">
        <f t="shared" si="4"/>
        <v>0</v>
      </c>
      <c r="Q35" s="9">
        <f>faostatdata[[#This Row],[Value (odmt)]]*(10^-6)</f>
        <v>0</v>
      </c>
      <c r="R35" s="4" t="str">
        <f t="shared" si="5"/>
        <v>(5610,1630)</v>
      </c>
    </row>
    <row r="36" spans="1:18" ht="13.2" x14ac:dyDescent="0.25">
      <c r="A36" s="4" t="s">
        <v>126</v>
      </c>
      <c r="B36" s="4" t="s">
        <v>125</v>
      </c>
      <c r="C36" s="4" t="s">
        <v>395</v>
      </c>
      <c r="D36" s="4" t="s">
        <v>396</v>
      </c>
      <c r="E36" s="4">
        <v>5610</v>
      </c>
      <c r="F36" s="4" t="s">
        <v>127</v>
      </c>
      <c r="G36" s="4">
        <v>1694</v>
      </c>
      <c r="H36" s="4" t="s">
        <v>348</v>
      </c>
      <c r="I36" s="4">
        <v>2021</v>
      </c>
      <c r="J36" s="4">
        <v>2021</v>
      </c>
      <c r="K36" s="4" t="s">
        <v>339</v>
      </c>
      <c r="L36" s="81"/>
      <c r="M36" s="4" t="s">
        <v>397</v>
      </c>
      <c r="N36" s="4" t="s">
        <v>398</v>
      </c>
      <c r="O36" s="10"/>
      <c r="P36" s="6">
        <f t="shared" si="4"/>
        <v>0</v>
      </c>
      <c r="Q36" s="9">
        <f>faostatdata[[#This Row],[Value (odmt)]]*(10^-6)</f>
        <v>0</v>
      </c>
      <c r="R36" s="4" t="str">
        <f t="shared" si="5"/>
        <v>(5610,1694)</v>
      </c>
    </row>
    <row r="37" spans="1:18" ht="13.2" x14ac:dyDescent="0.25">
      <c r="A37" s="4" t="s">
        <v>126</v>
      </c>
      <c r="B37" s="4" t="s">
        <v>125</v>
      </c>
      <c r="C37" s="4" t="s">
        <v>395</v>
      </c>
      <c r="D37" s="4" t="s">
        <v>396</v>
      </c>
      <c r="E37" s="4">
        <v>5910</v>
      </c>
      <c r="F37" s="4" t="s">
        <v>124</v>
      </c>
      <c r="G37" s="4">
        <v>1630</v>
      </c>
      <c r="H37" s="4" t="s">
        <v>117</v>
      </c>
      <c r="I37" s="4">
        <v>2021</v>
      </c>
      <c r="J37" s="4">
        <v>2021</v>
      </c>
      <c r="K37" s="4" t="s">
        <v>339</v>
      </c>
      <c r="L37" s="81"/>
      <c r="M37" s="4" t="s">
        <v>397</v>
      </c>
      <c r="N37" s="4" t="s">
        <v>398</v>
      </c>
      <c r="O37" s="10"/>
      <c r="P37" s="6">
        <f t="shared" si="4"/>
        <v>0</v>
      </c>
      <c r="Q37" s="9">
        <f>faostatdata[[#This Row],[Value (odmt)]]*(10^-6)</f>
        <v>0</v>
      </c>
      <c r="R37" s="4" t="str">
        <f t="shared" si="5"/>
        <v>(5910,1630)</v>
      </c>
    </row>
    <row r="38" spans="1:18" ht="13.2" x14ac:dyDescent="0.25">
      <c r="A38" s="4" t="s">
        <v>126</v>
      </c>
      <c r="B38" s="4" t="s">
        <v>125</v>
      </c>
      <c r="C38" s="4" t="s">
        <v>395</v>
      </c>
      <c r="D38" s="4" t="s">
        <v>396</v>
      </c>
      <c r="E38" s="4">
        <v>5910</v>
      </c>
      <c r="F38" s="4" t="s">
        <v>124</v>
      </c>
      <c r="G38" s="4">
        <v>1694</v>
      </c>
      <c r="H38" s="4" t="s">
        <v>348</v>
      </c>
      <c r="I38" s="4">
        <v>2021</v>
      </c>
      <c r="J38" s="4">
        <v>2021</v>
      </c>
      <c r="K38" s="4" t="s">
        <v>339</v>
      </c>
      <c r="L38" s="81"/>
      <c r="M38" s="4" t="s">
        <v>397</v>
      </c>
      <c r="N38" s="4" t="s">
        <v>398</v>
      </c>
      <c r="O38" s="10"/>
      <c r="P38" s="6">
        <f t="shared" si="4"/>
        <v>0</v>
      </c>
      <c r="Q38" s="9">
        <f>faostatdata[[#This Row],[Value (odmt)]]*(10^-6)</f>
        <v>0</v>
      </c>
      <c r="R38" s="4" t="str">
        <f t="shared" si="5"/>
        <v>(5910,1694)</v>
      </c>
    </row>
    <row r="39" spans="1:18" ht="13.2" x14ac:dyDescent="0.25">
      <c r="A39" s="4" t="s">
        <v>126</v>
      </c>
      <c r="B39" s="4" t="s">
        <v>125</v>
      </c>
      <c r="C39" s="4" t="s">
        <v>395</v>
      </c>
      <c r="D39" s="4" t="s">
        <v>396</v>
      </c>
      <c r="E39" s="4">
        <v>5516</v>
      </c>
      <c r="F39" s="4" t="s">
        <v>128</v>
      </c>
      <c r="G39" s="4">
        <v>1619</v>
      </c>
      <c r="H39" s="4" t="s">
        <v>92</v>
      </c>
      <c r="I39" s="4">
        <v>2021</v>
      </c>
      <c r="J39" s="4">
        <v>2021</v>
      </c>
      <c r="K39" s="4" t="s">
        <v>143</v>
      </c>
      <c r="L39" s="6">
        <v>268553562</v>
      </c>
      <c r="M39" s="4" t="s">
        <v>397</v>
      </c>
      <c r="N39" s="4" t="s">
        <v>398</v>
      </c>
      <c r="O39" s="10">
        <f>'conversion-factors'!D17</f>
        <v>0.42673365600887664</v>
      </c>
      <c r="P39" s="6">
        <f t="shared" si="4"/>
        <v>114600843.34646653</v>
      </c>
      <c r="Q39" s="9">
        <f>faostatdata[[#This Row],[Value (odmt)]]*(10^-6)</f>
        <v>114.60084334646652</v>
      </c>
      <c r="R39" s="4" t="str">
        <f t="shared" si="5"/>
        <v>(5516,1619)</v>
      </c>
    </row>
    <row r="40" spans="1:18" ht="13.2" x14ac:dyDescent="0.25">
      <c r="A40" s="4" t="s">
        <v>126</v>
      </c>
      <c r="B40" s="4" t="s">
        <v>125</v>
      </c>
      <c r="C40" s="4" t="s">
        <v>395</v>
      </c>
      <c r="D40" s="4" t="s">
        <v>396</v>
      </c>
      <c r="E40" s="4">
        <v>5616</v>
      </c>
      <c r="F40" s="4" t="s">
        <v>127</v>
      </c>
      <c r="G40" s="4">
        <v>1619</v>
      </c>
      <c r="H40" s="4" t="s">
        <v>92</v>
      </c>
      <c r="I40" s="4">
        <v>2021</v>
      </c>
      <c r="J40" s="4">
        <v>2021</v>
      </c>
      <c r="K40" s="4" t="s">
        <v>143</v>
      </c>
      <c r="L40" s="81"/>
      <c r="M40" s="4" t="s">
        <v>397</v>
      </c>
      <c r="N40" s="4" t="s">
        <v>398</v>
      </c>
      <c r="O40" s="10"/>
      <c r="P40" s="6">
        <f t="shared" si="4"/>
        <v>0</v>
      </c>
      <c r="Q40" s="9">
        <f>faostatdata[[#This Row],[Value (odmt)]]*(10^-6)</f>
        <v>0</v>
      </c>
      <c r="R40" s="4" t="str">
        <f t="shared" si="5"/>
        <v>(5616,1619)</v>
      </c>
    </row>
    <row r="41" spans="1:18" ht="13.2" x14ac:dyDescent="0.25">
      <c r="A41" s="4" t="s">
        <v>126</v>
      </c>
      <c r="B41" s="4" t="s">
        <v>125</v>
      </c>
      <c r="C41" s="4" t="s">
        <v>395</v>
      </c>
      <c r="D41" s="4" t="s">
        <v>396</v>
      </c>
      <c r="E41" s="4">
        <v>5916</v>
      </c>
      <c r="F41" s="4" t="s">
        <v>124</v>
      </c>
      <c r="G41" s="4">
        <v>1619</v>
      </c>
      <c r="H41" s="4" t="s">
        <v>92</v>
      </c>
      <c r="I41" s="4">
        <v>2021</v>
      </c>
      <c r="J41" s="4">
        <v>2021</v>
      </c>
      <c r="K41" s="4" t="s">
        <v>143</v>
      </c>
      <c r="L41" s="81"/>
      <c r="M41" s="4" t="s">
        <v>397</v>
      </c>
      <c r="N41" s="4" t="s">
        <v>398</v>
      </c>
      <c r="O41" s="10"/>
      <c r="P41" s="6">
        <f t="shared" si="4"/>
        <v>0</v>
      </c>
      <c r="Q41" s="9">
        <f>faostatdata[[#This Row],[Value (odmt)]]*(10^-6)</f>
        <v>0</v>
      </c>
      <c r="R41" s="4" t="str">
        <f t="shared" si="5"/>
        <v>(5916,1619)</v>
      </c>
    </row>
    <row r="42" spans="1:18" ht="13.2" x14ac:dyDescent="0.25">
      <c r="A42" s="4" t="s">
        <v>126</v>
      </c>
      <c r="B42" s="4" t="s">
        <v>125</v>
      </c>
      <c r="C42" s="4" t="s">
        <v>395</v>
      </c>
      <c r="D42" s="4" t="s">
        <v>396</v>
      </c>
      <c r="E42" s="4">
        <v>5516</v>
      </c>
      <c r="F42" s="4" t="s">
        <v>128</v>
      </c>
      <c r="G42" s="4">
        <v>1620</v>
      </c>
      <c r="H42" s="4" t="s">
        <v>115</v>
      </c>
      <c r="I42" s="4">
        <v>2021</v>
      </c>
      <c r="J42" s="4">
        <v>2021</v>
      </c>
      <c r="K42" s="4" t="s">
        <v>143</v>
      </c>
      <c r="L42" s="6">
        <v>238815812</v>
      </c>
      <c r="M42" s="4" t="s">
        <v>397</v>
      </c>
      <c r="N42" s="4" t="s">
        <v>398</v>
      </c>
      <c r="O42" s="124">
        <f>'conversion-factors'!D18</f>
        <v>0.42618391162579961</v>
      </c>
      <c r="P42" s="6">
        <f t="shared" si="4"/>
        <v>101779456.91625157</v>
      </c>
      <c r="Q42" s="9">
        <f>faostatdata[[#This Row],[Value (odmt)]]*(10^-6)</f>
        <v>101.77945691625156</v>
      </c>
      <c r="R42" s="4" t="str">
        <f t="shared" si="5"/>
        <v>(5516,1620)</v>
      </c>
    </row>
    <row r="43" spans="1:18" ht="13.2" x14ac:dyDescent="0.25">
      <c r="A43" s="4" t="s">
        <v>126</v>
      </c>
      <c r="B43" s="4" t="s">
        <v>125</v>
      </c>
      <c r="C43" s="4" t="s">
        <v>395</v>
      </c>
      <c r="D43" s="4" t="s">
        <v>396</v>
      </c>
      <c r="E43" s="4">
        <v>5616</v>
      </c>
      <c r="F43" s="4" t="s">
        <v>127</v>
      </c>
      <c r="G43" s="4">
        <v>1620</v>
      </c>
      <c r="H43" s="4" t="s">
        <v>115</v>
      </c>
      <c r="I43" s="4">
        <v>2021</v>
      </c>
      <c r="J43" s="4">
        <v>2021</v>
      </c>
      <c r="K43" s="4" t="s">
        <v>143</v>
      </c>
      <c r="L43" s="81"/>
      <c r="M43" s="4" t="s">
        <v>397</v>
      </c>
      <c r="N43" s="4" t="s">
        <v>398</v>
      </c>
      <c r="O43" s="124"/>
      <c r="P43" s="6">
        <f t="shared" si="4"/>
        <v>0</v>
      </c>
      <c r="Q43" s="9">
        <f>faostatdata[[#This Row],[Value (odmt)]]*(10^-6)</f>
        <v>0</v>
      </c>
      <c r="R43" s="4" t="str">
        <f t="shared" si="5"/>
        <v>(5616,1620)</v>
      </c>
    </row>
    <row r="44" spans="1:18" ht="13.2" x14ac:dyDescent="0.25">
      <c r="A44" s="4" t="s">
        <v>126</v>
      </c>
      <c r="B44" s="4" t="s">
        <v>125</v>
      </c>
      <c r="C44" s="4" t="s">
        <v>395</v>
      </c>
      <c r="D44" s="4" t="s">
        <v>396</v>
      </c>
      <c r="E44" s="4">
        <v>5916</v>
      </c>
      <c r="F44" s="4" t="s">
        <v>124</v>
      </c>
      <c r="G44" s="4">
        <v>1620</v>
      </c>
      <c r="H44" s="4" t="s">
        <v>115</v>
      </c>
      <c r="I44" s="4">
        <v>2021</v>
      </c>
      <c r="J44" s="4">
        <v>2021</v>
      </c>
      <c r="K44" s="4" t="s">
        <v>143</v>
      </c>
      <c r="L44" s="81"/>
      <c r="M44" s="4" t="s">
        <v>397</v>
      </c>
      <c r="N44" s="4" t="s">
        <v>398</v>
      </c>
      <c r="O44" s="124"/>
      <c r="P44" s="6">
        <f t="shared" si="4"/>
        <v>0</v>
      </c>
      <c r="Q44" s="9">
        <f>faostatdata[[#This Row],[Value (odmt)]]*(10^-6)</f>
        <v>0</v>
      </c>
      <c r="R44" s="4" t="str">
        <f t="shared" si="5"/>
        <v>(5916,1620)</v>
      </c>
    </row>
    <row r="45" spans="1:18" ht="13.2" x14ac:dyDescent="0.25">
      <c r="A45" s="4" t="s">
        <v>126</v>
      </c>
      <c r="B45" s="4" t="s">
        <v>125</v>
      </c>
      <c r="C45" s="4" t="s">
        <v>395</v>
      </c>
      <c r="D45" s="4" t="s">
        <v>396</v>
      </c>
      <c r="E45" s="4">
        <v>5510</v>
      </c>
      <c r="F45" s="4" t="s">
        <v>128</v>
      </c>
      <c r="G45" s="4">
        <v>1600</v>
      </c>
      <c r="H45" s="4" t="s">
        <v>148</v>
      </c>
      <c r="I45" s="4">
        <v>2021</v>
      </c>
      <c r="J45" s="4">
        <v>2021</v>
      </c>
      <c r="K45" s="4" t="s">
        <v>339</v>
      </c>
      <c r="L45" s="6">
        <v>34762815</v>
      </c>
      <c r="M45" s="4" t="s">
        <v>397</v>
      </c>
      <c r="N45" s="4" t="s">
        <v>398</v>
      </c>
      <c r="O45" s="10">
        <f>'conversion-factors'!D20</f>
        <v>0.7899819491027984</v>
      </c>
      <c r="P45" s="6">
        <f t="shared" ref="P45:P62" si="6">L45*O45</f>
        <v>27461996.349999998</v>
      </c>
      <c r="Q45" s="9">
        <f>faostatdata[[#This Row],[Value (odmt)]]*(10^-6)</f>
        <v>27.461996349999996</v>
      </c>
      <c r="R45" s="4" t="str">
        <f t="shared" si="5"/>
        <v>(5510,1600)</v>
      </c>
    </row>
    <row r="46" spans="1:18" ht="13.2" x14ac:dyDescent="0.25">
      <c r="A46" s="4" t="s">
        <v>126</v>
      </c>
      <c r="B46" s="4" t="s">
        <v>125</v>
      </c>
      <c r="C46" s="4" t="s">
        <v>395</v>
      </c>
      <c r="D46" s="4" t="s">
        <v>396</v>
      </c>
      <c r="E46" s="4">
        <v>5610</v>
      </c>
      <c r="F46" s="4" t="s">
        <v>127</v>
      </c>
      <c r="G46" s="4">
        <v>1600</v>
      </c>
      <c r="H46" s="4" t="s">
        <v>148</v>
      </c>
      <c r="I46" s="4">
        <v>2021</v>
      </c>
      <c r="J46" s="4">
        <v>2021</v>
      </c>
      <c r="K46" s="4" t="s">
        <v>339</v>
      </c>
      <c r="L46" s="81"/>
      <c r="M46" s="4" t="s">
        <v>399</v>
      </c>
      <c r="N46" s="4" t="s">
        <v>400</v>
      </c>
      <c r="O46" s="10"/>
      <c r="P46" s="6">
        <f t="shared" si="6"/>
        <v>0</v>
      </c>
      <c r="Q46" s="9">
        <f>faostatdata[[#This Row],[Value (odmt)]]*(10^-6)</f>
        <v>0</v>
      </c>
      <c r="R46" s="4" t="str">
        <f t="shared" si="5"/>
        <v>(5610,1600)</v>
      </c>
    </row>
    <row r="47" spans="1:18" ht="13.2" x14ac:dyDescent="0.25">
      <c r="A47" s="4" t="s">
        <v>126</v>
      </c>
      <c r="B47" s="4" t="s">
        <v>125</v>
      </c>
      <c r="C47" s="4" t="s">
        <v>395</v>
      </c>
      <c r="D47" s="4" t="s">
        <v>396</v>
      </c>
      <c r="E47" s="4">
        <v>5910</v>
      </c>
      <c r="F47" s="4" t="s">
        <v>124</v>
      </c>
      <c r="G47" s="4">
        <v>1600</v>
      </c>
      <c r="H47" s="4" t="s">
        <v>148</v>
      </c>
      <c r="I47" s="4">
        <v>2021</v>
      </c>
      <c r="J47" s="4">
        <v>2021</v>
      </c>
      <c r="K47" s="4" t="s">
        <v>339</v>
      </c>
      <c r="L47" s="81"/>
      <c r="M47" s="4" t="s">
        <v>399</v>
      </c>
      <c r="N47" s="4" t="s">
        <v>400</v>
      </c>
      <c r="O47" s="10"/>
      <c r="P47" s="6">
        <f t="shared" si="6"/>
        <v>0</v>
      </c>
      <c r="Q47" s="9">
        <f>faostatdata[[#This Row],[Value (odmt)]]*(10^-6)</f>
        <v>0</v>
      </c>
      <c r="R47" s="4" t="str">
        <f t="shared" si="5"/>
        <v>(5910,1600)</v>
      </c>
    </row>
    <row r="48" spans="1:18" ht="13.2" x14ac:dyDescent="0.25">
      <c r="A48" s="4" t="s">
        <v>126</v>
      </c>
      <c r="B48" s="4" t="s">
        <v>125</v>
      </c>
      <c r="C48" s="4" t="s">
        <v>395</v>
      </c>
      <c r="D48" s="4" t="s">
        <v>396</v>
      </c>
      <c r="E48" s="4">
        <v>5510</v>
      </c>
      <c r="F48" s="4" t="s">
        <v>128</v>
      </c>
      <c r="G48" s="4">
        <v>1693</v>
      </c>
      <c r="H48" s="4" t="s">
        <v>114</v>
      </c>
      <c r="I48" s="4">
        <v>2021</v>
      </c>
      <c r="J48" s="4">
        <v>2021</v>
      </c>
      <c r="K48" s="4" t="s">
        <v>339</v>
      </c>
      <c r="L48" s="6">
        <v>44502071</v>
      </c>
      <c r="M48" s="4" t="s">
        <v>397</v>
      </c>
      <c r="N48" s="4" t="s">
        <v>398</v>
      </c>
      <c r="O48" s="10">
        <f>'conversion-factors'!D22</f>
        <v>0.92175076132973688</v>
      </c>
      <c r="P48" s="6">
        <f t="shared" si="6"/>
        <v>41019817.825000003</v>
      </c>
      <c r="Q48" s="9">
        <f>faostatdata[[#This Row],[Value (odmt)]]*(10^-6)</f>
        <v>41.019817825000004</v>
      </c>
      <c r="R48" s="4" t="str">
        <f t="shared" si="5"/>
        <v>(5510,1693)</v>
      </c>
    </row>
    <row r="49" spans="1:18" ht="13.2" x14ac:dyDescent="0.25">
      <c r="A49" s="4" t="s">
        <v>126</v>
      </c>
      <c r="B49" s="4" t="s">
        <v>125</v>
      </c>
      <c r="C49" s="4" t="s">
        <v>395</v>
      </c>
      <c r="D49" s="4" t="s">
        <v>396</v>
      </c>
      <c r="E49" s="4">
        <v>5610</v>
      </c>
      <c r="F49" s="4" t="s">
        <v>127</v>
      </c>
      <c r="G49" s="4">
        <v>1693</v>
      </c>
      <c r="H49" s="4" t="s">
        <v>114</v>
      </c>
      <c r="I49" s="4">
        <v>2021</v>
      </c>
      <c r="J49" s="4">
        <v>2021</v>
      </c>
      <c r="K49" s="4" t="s">
        <v>339</v>
      </c>
      <c r="L49" s="81"/>
      <c r="M49" s="4" t="s">
        <v>397</v>
      </c>
      <c r="N49" s="4" t="s">
        <v>398</v>
      </c>
      <c r="O49" s="10"/>
      <c r="P49" s="6">
        <f t="shared" si="6"/>
        <v>0</v>
      </c>
      <c r="Q49" s="9">
        <f>faostatdata[[#This Row],[Value (odmt)]]*(10^-6)</f>
        <v>0</v>
      </c>
      <c r="R49" s="4" t="str">
        <f t="shared" si="5"/>
        <v>(5610,1693)</v>
      </c>
    </row>
    <row r="50" spans="1:18" ht="13.2" x14ac:dyDescent="0.25">
      <c r="A50" s="4" t="s">
        <v>126</v>
      </c>
      <c r="B50" s="4" t="s">
        <v>125</v>
      </c>
      <c r="C50" s="4" t="s">
        <v>395</v>
      </c>
      <c r="D50" s="4" t="s">
        <v>396</v>
      </c>
      <c r="E50" s="4">
        <v>5910</v>
      </c>
      <c r="F50" s="4" t="s">
        <v>124</v>
      </c>
      <c r="G50" s="4">
        <v>1693</v>
      </c>
      <c r="H50" s="4" t="s">
        <v>114</v>
      </c>
      <c r="I50" s="4">
        <v>2021</v>
      </c>
      <c r="J50" s="4">
        <v>2021</v>
      </c>
      <c r="K50" s="4" t="s">
        <v>339</v>
      </c>
      <c r="L50" s="81"/>
      <c r="M50" s="4" t="s">
        <v>397</v>
      </c>
      <c r="N50" s="4" t="s">
        <v>398</v>
      </c>
      <c r="O50" s="10"/>
      <c r="P50" s="6">
        <f t="shared" si="6"/>
        <v>0</v>
      </c>
      <c r="Q50" s="9">
        <f>faostatdata[[#This Row],[Value (odmt)]]*(10^-6)</f>
        <v>0</v>
      </c>
      <c r="R50" s="4" t="str">
        <f t="shared" si="5"/>
        <v>(5910,1693)</v>
      </c>
    </row>
    <row r="51" spans="1:18" ht="13.2" x14ac:dyDescent="0.25">
      <c r="A51" s="4" t="s">
        <v>126</v>
      </c>
      <c r="B51" s="4" t="s">
        <v>125</v>
      </c>
      <c r="C51" s="4" t="s">
        <v>395</v>
      </c>
      <c r="D51" s="4" t="s">
        <v>396</v>
      </c>
      <c r="E51" s="4">
        <v>5516</v>
      </c>
      <c r="F51" s="4" t="s">
        <v>128</v>
      </c>
      <c r="G51" s="4">
        <v>1632</v>
      </c>
      <c r="H51" s="4" t="s">
        <v>110</v>
      </c>
      <c r="I51" s="4">
        <v>2021</v>
      </c>
      <c r="J51" s="4">
        <v>2021</v>
      </c>
      <c r="K51" s="4" t="s">
        <v>143</v>
      </c>
      <c r="L51" s="6">
        <v>351873166</v>
      </c>
      <c r="M51" s="4" t="s">
        <v>397</v>
      </c>
      <c r="N51" s="4" t="s">
        <v>398</v>
      </c>
      <c r="O51" s="124">
        <f>'conversion-factors'!D25</f>
        <v>0.47049268181749304</v>
      </c>
      <c r="P51" s="6">
        <f t="shared" si="6"/>
        <v>165553749.53095192</v>
      </c>
      <c r="Q51" s="9">
        <f>faostatdata[[#This Row],[Value (odmt)]]*(10^-6)</f>
        <v>165.5537495309519</v>
      </c>
      <c r="R51" s="4" t="str">
        <f t="shared" si="5"/>
        <v>(5516,1632)</v>
      </c>
    </row>
    <row r="52" spans="1:18" ht="13.2" x14ac:dyDescent="0.25">
      <c r="A52" s="4" t="s">
        <v>126</v>
      </c>
      <c r="B52" s="4" t="s">
        <v>125</v>
      </c>
      <c r="C52" s="4" t="s">
        <v>395</v>
      </c>
      <c r="D52" s="4" t="s">
        <v>396</v>
      </c>
      <c r="E52" s="4">
        <v>5616</v>
      </c>
      <c r="F52" s="4" t="s">
        <v>127</v>
      </c>
      <c r="G52" s="4">
        <v>1632</v>
      </c>
      <c r="H52" s="4" t="s">
        <v>110</v>
      </c>
      <c r="I52" s="4">
        <v>2021</v>
      </c>
      <c r="J52" s="4">
        <v>2021</v>
      </c>
      <c r="K52" s="4" t="s">
        <v>143</v>
      </c>
      <c r="L52" s="81"/>
      <c r="M52" s="4" t="s">
        <v>397</v>
      </c>
      <c r="N52" s="4" t="s">
        <v>398</v>
      </c>
      <c r="O52" s="124"/>
      <c r="P52" s="6">
        <f t="shared" si="6"/>
        <v>0</v>
      </c>
      <c r="Q52" s="9">
        <f>faostatdata[[#This Row],[Value (odmt)]]*(10^-6)</f>
        <v>0</v>
      </c>
      <c r="R52" s="4" t="str">
        <f t="shared" si="5"/>
        <v>(5616,1632)</v>
      </c>
    </row>
    <row r="53" spans="1:18" ht="13.2" x14ac:dyDescent="0.25">
      <c r="A53" s="4" t="s">
        <v>126</v>
      </c>
      <c r="B53" s="4" t="s">
        <v>125</v>
      </c>
      <c r="C53" s="4" t="s">
        <v>395</v>
      </c>
      <c r="D53" s="4" t="s">
        <v>396</v>
      </c>
      <c r="E53" s="4">
        <v>5916</v>
      </c>
      <c r="F53" s="4" t="s">
        <v>124</v>
      </c>
      <c r="G53" s="4">
        <v>1632</v>
      </c>
      <c r="H53" s="4" t="s">
        <v>110</v>
      </c>
      <c r="I53" s="4">
        <v>2021</v>
      </c>
      <c r="J53" s="4">
        <v>2021</v>
      </c>
      <c r="K53" s="4" t="s">
        <v>143</v>
      </c>
      <c r="L53" s="81"/>
      <c r="M53" s="4" t="s">
        <v>397</v>
      </c>
      <c r="N53" s="4" t="s">
        <v>398</v>
      </c>
      <c r="O53" s="124"/>
      <c r="P53" s="6">
        <f t="shared" si="6"/>
        <v>0</v>
      </c>
      <c r="Q53" s="9">
        <f>faostatdata[[#This Row],[Value (odmt)]]*(10^-6)</f>
        <v>0</v>
      </c>
      <c r="R53" s="4" t="str">
        <f t="shared" si="5"/>
        <v>(5916,1632)</v>
      </c>
    </row>
    <row r="54" spans="1:18" ht="13.2" x14ac:dyDescent="0.25">
      <c r="A54" s="4" t="s">
        <v>126</v>
      </c>
      <c r="B54" s="4" t="s">
        <v>125</v>
      </c>
      <c r="C54" s="4" t="s">
        <v>395</v>
      </c>
      <c r="D54" s="4" t="s">
        <v>396</v>
      </c>
      <c r="E54" s="4">
        <v>5516</v>
      </c>
      <c r="F54" s="4" t="s">
        <v>128</v>
      </c>
      <c r="G54" s="4">
        <v>1633</v>
      </c>
      <c r="H54" s="4" t="s">
        <v>109</v>
      </c>
      <c r="I54" s="4">
        <v>2021</v>
      </c>
      <c r="J54" s="4">
        <v>2021</v>
      </c>
      <c r="K54" s="4" t="s">
        <v>143</v>
      </c>
      <c r="L54" s="6">
        <v>144341077</v>
      </c>
      <c r="M54" s="4" t="s">
        <v>397</v>
      </c>
      <c r="N54" s="4" t="s">
        <v>398</v>
      </c>
      <c r="O54" s="10">
        <f>'conversion-factors'!D26</f>
        <v>0.62143407934908224</v>
      </c>
      <c r="P54" s="6">
        <f t="shared" si="6"/>
        <v>89698464.297749996</v>
      </c>
      <c r="Q54" s="9">
        <f>faostatdata[[#This Row],[Value (odmt)]]*(10^-6)</f>
        <v>89.698464297749993</v>
      </c>
      <c r="R54" s="4" t="str">
        <f t="shared" si="5"/>
        <v>(5516,1633)</v>
      </c>
    </row>
    <row r="55" spans="1:18" ht="13.2" x14ac:dyDescent="0.25">
      <c r="A55" s="4" t="s">
        <v>126</v>
      </c>
      <c r="B55" s="4" t="s">
        <v>125</v>
      </c>
      <c r="C55" s="4" t="s">
        <v>395</v>
      </c>
      <c r="D55" s="4" t="s">
        <v>396</v>
      </c>
      <c r="E55" s="4">
        <v>5616</v>
      </c>
      <c r="F55" s="4" t="s">
        <v>127</v>
      </c>
      <c r="G55" s="4">
        <v>1633</v>
      </c>
      <c r="H55" s="4" t="s">
        <v>109</v>
      </c>
      <c r="I55" s="4">
        <v>2021</v>
      </c>
      <c r="J55" s="4">
        <v>2021</v>
      </c>
      <c r="K55" s="4" t="s">
        <v>143</v>
      </c>
      <c r="L55" s="81"/>
      <c r="M55" s="4" t="s">
        <v>397</v>
      </c>
      <c r="N55" s="4" t="s">
        <v>398</v>
      </c>
      <c r="O55" s="10"/>
      <c r="P55" s="6">
        <f t="shared" si="6"/>
        <v>0</v>
      </c>
      <c r="Q55" s="9">
        <f>faostatdata[[#This Row],[Value (odmt)]]*(10^-6)</f>
        <v>0</v>
      </c>
      <c r="R55" s="4" t="str">
        <f t="shared" si="5"/>
        <v>(5616,1633)</v>
      </c>
    </row>
    <row r="56" spans="1:18" ht="13.2" x14ac:dyDescent="0.25">
      <c r="A56" s="4" t="s">
        <v>126</v>
      </c>
      <c r="B56" s="4" t="s">
        <v>125</v>
      </c>
      <c r="C56" s="4" t="s">
        <v>395</v>
      </c>
      <c r="D56" s="4" t="s">
        <v>396</v>
      </c>
      <c r="E56" s="4">
        <v>5916</v>
      </c>
      <c r="F56" s="4" t="s">
        <v>124</v>
      </c>
      <c r="G56" s="4">
        <v>1633</v>
      </c>
      <c r="H56" s="4" t="s">
        <v>109</v>
      </c>
      <c r="I56" s="4">
        <v>2021</v>
      </c>
      <c r="J56" s="4">
        <v>2021</v>
      </c>
      <c r="K56" s="4" t="s">
        <v>143</v>
      </c>
      <c r="L56" s="81"/>
      <c r="M56" s="4" t="s">
        <v>397</v>
      </c>
      <c r="N56" s="4" t="s">
        <v>398</v>
      </c>
      <c r="O56" s="10"/>
      <c r="P56" s="6">
        <f t="shared" si="6"/>
        <v>0</v>
      </c>
      <c r="Q56" s="9">
        <f>faostatdata[[#This Row],[Value (odmt)]]*(10^-6)</f>
        <v>0</v>
      </c>
      <c r="R56" s="4" t="str">
        <f t="shared" si="5"/>
        <v>(5916,1633)</v>
      </c>
    </row>
    <row r="57" spans="1:18" ht="13.2" x14ac:dyDescent="0.25">
      <c r="A57" s="4" t="s">
        <v>126</v>
      </c>
      <c r="B57" s="4" t="s">
        <v>125</v>
      </c>
      <c r="C57" s="4" t="s">
        <v>395</v>
      </c>
      <c r="D57" s="4" t="s">
        <v>396</v>
      </c>
      <c r="E57" s="4">
        <v>5516</v>
      </c>
      <c r="F57" s="4" t="s">
        <v>128</v>
      </c>
      <c r="G57" s="4">
        <v>1634</v>
      </c>
      <c r="H57" s="4" t="s">
        <v>108</v>
      </c>
      <c r="I57" s="4">
        <v>2021</v>
      </c>
      <c r="J57" s="4">
        <v>2021</v>
      </c>
      <c r="K57" s="4" t="s">
        <v>143</v>
      </c>
      <c r="L57" s="6">
        <v>19500784</v>
      </c>
      <c r="M57" s="4" t="s">
        <v>397</v>
      </c>
      <c r="N57" s="4" t="s">
        <v>398</v>
      </c>
      <c r="O57" s="10">
        <f>'conversion-factors'!D28</f>
        <v>0.53017802732443986</v>
      </c>
      <c r="P57" s="6">
        <f t="shared" si="6"/>
        <v>10338887.192399999</v>
      </c>
      <c r="Q57" s="9">
        <f>faostatdata[[#This Row],[Value (odmt)]]*(10^-6)</f>
        <v>10.338887192399998</v>
      </c>
      <c r="R57" s="4" t="str">
        <f t="shared" si="5"/>
        <v>(5516,1634)</v>
      </c>
    </row>
    <row r="58" spans="1:18" ht="13.2" x14ac:dyDescent="0.25">
      <c r="A58" s="4" t="s">
        <v>126</v>
      </c>
      <c r="B58" s="4" t="s">
        <v>125</v>
      </c>
      <c r="C58" s="4" t="s">
        <v>395</v>
      </c>
      <c r="D58" s="4" t="s">
        <v>396</v>
      </c>
      <c r="E58" s="4">
        <v>5616</v>
      </c>
      <c r="F58" s="4" t="s">
        <v>127</v>
      </c>
      <c r="G58" s="4">
        <v>1634</v>
      </c>
      <c r="H58" s="4" t="s">
        <v>108</v>
      </c>
      <c r="I58" s="4">
        <v>2021</v>
      </c>
      <c r="J58" s="4">
        <v>2021</v>
      </c>
      <c r="K58" s="4" t="s">
        <v>143</v>
      </c>
      <c r="L58" s="81"/>
      <c r="M58" s="4" t="s">
        <v>397</v>
      </c>
      <c r="N58" s="4" t="s">
        <v>398</v>
      </c>
      <c r="O58" s="10"/>
      <c r="P58" s="6">
        <f t="shared" si="6"/>
        <v>0</v>
      </c>
      <c r="Q58" s="9">
        <f>faostatdata[[#This Row],[Value (odmt)]]*(10^-6)</f>
        <v>0</v>
      </c>
      <c r="R58" s="4" t="str">
        <f t="shared" si="5"/>
        <v>(5616,1634)</v>
      </c>
    </row>
    <row r="59" spans="1:18" ht="13.2" x14ac:dyDescent="0.25">
      <c r="A59" s="4" t="s">
        <v>126</v>
      </c>
      <c r="B59" s="4" t="s">
        <v>125</v>
      </c>
      <c r="C59" s="4" t="s">
        <v>395</v>
      </c>
      <c r="D59" s="4" t="s">
        <v>396</v>
      </c>
      <c r="E59" s="4">
        <v>5916</v>
      </c>
      <c r="F59" s="4" t="s">
        <v>124</v>
      </c>
      <c r="G59" s="4">
        <v>1634</v>
      </c>
      <c r="H59" s="4" t="s">
        <v>108</v>
      </c>
      <c r="I59" s="4">
        <v>2021</v>
      </c>
      <c r="J59" s="4">
        <v>2021</v>
      </c>
      <c r="K59" s="4" t="s">
        <v>143</v>
      </c>
      <c r="L59" s="81"/>
      <c r="M59" s="4" t="s">
        <v>397</v>
      </c>
      <c r="N59" s="4" t="s">
        <v>398</v>
      </c>
      <c r="O59" s="10"/>
      <c r="P59" s="6">
        <f t="shared" si="6"/>
        <v>0</v>
      </c>
      <c r="Q59" s="9">
        <f>faostatdata[[#This Row],[Value (odmt)]]*(10^-6)</f>
        <v>0</v>
      </c>
      <c r="R59" s="4" t="str">
        <f t="shared" si="5"/>
        <v>(5916,1634)</v>
      </c>
    </row>
    <row r="60" spans="1:18" ht="13.2" x14ac:dyDescent="0.25">
      <c r="A60" s="4" t="s">
        <v>126</v>
      </c>
      <c r="B60" s="4" t="s">
        <v>125</v>
      </c>
      <c r="C60" s="4" t="s">
        <v>395</v>
      </c>
      <c r="D60" s="4" t="s">
        <v>396</v>
      </c>
      <c r="E60" s="4">
        <v>5516</v>
      </c>
      <c r="F60" s="4" t="s">
        <v>128</v>
      </c>
      <c r="G60" s="4">
        <v>1640</v>
      </c>
      <c r="H60" s="4" t="s">
        <v>104</v>
      </c>
      <c r="I60" s="4">
        <v>2021</v>
      </c>
      <c r="J60" s="4">
        <v>2021</v>
      </c>
      <c r="K60" s="4" t="s">
        <v>143</v>
      </c>
      <c r="L60" s="6">
        <v>129892389</v>
      </c>
      <c r="M60" s="4" t="s">
        <v>397</v>
      </c>
      <c r="N60" s="4" t="s">
        <v>398</v>
      </c>
      <c r="O60" s="10">
        <f>'conversion-factors'!D30</f>
        <v>0.5553488740199396</v>
      </c>
      <c r="P60" s="6">
        <f t="shared" si="6"/>
        <v>72135591.974909991</v>
      </c>
      <c r="Q60" s="9">
        <f>faostatdata[[#This Row],[Value (odmt)]]*(10^-6)</f>
        <v>72.135591974909985</v>
      </c>
      <c r="R60" s="4" t="str">
        <f t="shared" si="5"/>
        <v>(5516,1640)</v>
      </c>
    </row>
    <row r="61" spans="1:18" ht="13.2" x14ac:dyDescent="0.25">
      <c r="A61" s="4" t="s">
        <v>126</v>
      </c>
      <c r="B61" s="4" t="s">
        <v>125</v>
      </c>
      <c r="C61" s="4" t="s">
        <v>395</v>
      </c>
      <c r="D61" s="4" t="s">
        <v>396</v>
      </c>
      <c r="E61" s="4">
        <v>5616</v>
      </c>
      <c r="F61" s="4" t="s">
        <v>127</v>
      </c>
      <c r="G61" s="4">
        <v>1640</v>
      </c>
      <c r="H61" s="4" t="s">
        <v>104</v>
      </c>
      <c r="I61" s="4">
        <v>2021</v>
      </c>
      <c r="J61" s="4">
        <v>2021</v>
      </c>
      <c r="K61" s="4" t="s">
        <v>143</v>
      </c>
      <c r="L61" s="81"/>
      <c r="M61" s="4" t="s">
        <v>397</v>
      </c>
      <c r="N61" s="4" t="s">
        <v>398</v>
      </c>
      <c r="O61" s="10"/>
      <c r="P61" s="6">
        <f t="shared" si="6"/>
        <v>0</v>
      </c>
      <c r="Q61" s="9">
        <f>faostatdata[[#This Row],[Value (odmt)]]*(10^-6)</f>
        <v>0</v>
      </c>
      <c r="R61" s="4" t="str">
        <f t="shared" si="5"/>
        <v>(5616,1640)</v>
      </c>
    </row>
    <row r="62" spans="1:18" ht="13.2" x14ac:dyDescent="0.25">
      <c r="A62" s="4" t="s">
        <v>126</v>
      </c>
      <c r="B62" s="4" t="s">
        <v>125</v>
      </c>
      <c r="C62" s="4" t="s">
        <v>395</v>
      </c>
      <c r="D62" s="4" t="s">
        <v>396</v>
      </c>
      <c r="E62" s="4">
        <v>5916</v>
      </c>
      <c r="F62" s="4" t="s">
        <v>124</v>
      </c>
      <c r="G62" s="4">
        <v>1640</v>
      </c>
      <c r="H62" s="4" t="s">
        <v>104</v>
      </c>
      <c r="I62" s="4">
        <v>2021</v>
      </c>
      <c r="J62" s="4">
        <v>2021</v>
      </c>
      <c r="K62" s="4" t="s">
        <v>143</v>
      </c>
      <c r="L62" s="81"/>
      <c r="M62" s="4" t="s">
        <v>397</v>
      </c>
      <c r="N62" s="4" t="s">
        <v>398</v>
      </c>
      <c r="O62" s="10"/>
      <c r="P62" s="6">
        <f t="shared" si="6"/>
        <v>0</v>
      </c>
      <c r="Q62" s="9">
        <f>faostatdata[[#This Row],[Value (odmt)]]*(10^-6)</f>
        <v>0</v>
      </c>
      <c r="R62" s="4" t="str">
        <f t="shared" si="5"/>
        <v>(5916,1640)</v>
      </c>
    </row>
    <row r="63" spans="1:18" ht="13.2" x14ac:dyDescent="0.25">
      <c r="A63" s="4" t="s">
        <v>126</v>
      </c>
      <c r="B63" s="4" t="s">
        <v>125</v>
      </c>
      <c r="C63" s="4" t="s">
        <v>395</v>
      </c>
      <c r="D63" s="4" t="s">
        <v>396</v>
      </c>
      <c r="E63" s="4">
        <v>5516</v>
      </c>
      <c r="F63" s="4" t="s">
        <v>128</v>
      </c>
      <c r="G63" s="4">
        <v>1646</v>
      </c>
      <c r="H63" s="4" t="s">
        <v>147</v>
      </c>
      <c r="I63" s="4">
        <v>2021</v>
      </c>
      <c r="J63" s="4">
        <v>2021</v>
      </c>
      <c r="L63" s="6"/>
      <c r="O63" s="124"/>
      <c r="P63" s="6"/>
      <c r="Q63" s="9"/>
    </row>
    <row r="64" spans="1:18" ht="13.2" x14ac:dyDescent="0.25">
      <c r="A64" s="4" t="s">
        <v>126</v>
      </c>
      <c r="B64" s="4" t="s">
        <v>125</v>
      </c>
      <c r="C64" s="4" t="s">
        <v>395</v>
      </c>
      <c r="D64" s="4" t="s">
        <v>396</v>
      </c>
      <c r="E64" s="4">
        <v>5616</v>
      </c>
      <c r="F64" s="4" t="s">
        <v>127</v>
      </c>
      <c r="G64" s="4">
        <v>1646</v>
      </c>
      <c r="H64" s="4" t="s">
        <v>147</v>
      </c>
      <c r="I64" s="4">
        <v>2021</v>
      </c>
      <c r="J64" s="4">
        <v>2021</v>
      </c>
      <c r="L64" s="81"/>
      <c r="O64" s="124"/>
      <c r="P64" s="6"/>
      <c r="Q64" s="9"/>
    </row>
    <row r="65" spans="1:18" ht="13.2" x14ac:dyDescent="0.25">
      <c r="A65" s="4" t="s">
        <v>126</v>
      </c>
      <c r="B65" s="4" t="s">
        <v>125</v>
      </c>
      <c r="C65" s="4" t="s">
        <v>395</v>
      </c>
      <c r="D65" s="4" t="s">
        <v>396</v>
      </c>
      <c r="E65" s="4">
        <v>5916</v>
      </c>
      <c r="F65" s="4" t="s">
        <v>124</v>
      </c>
      <c r="G65" s="4">
        <v>1646</v>
      </c>
      <c r="H65" s="4" t="s">
        <v>147</v>
      </c>
      <c r="I65" s="4">
        <v>2021</v>
      </c>
      <c r="J65" s="4">
        <v>2021</v>
      </c>
      <c r="L65" s="81"/>
      <c r="O65" s="124"/>
      <c r="P65" s="6"/>
      <c r="Q65" s="9"/>
    </row>
    <row r="66" spans="1:18" ht="13.2" x14ac:dyDescent="0.25">
      <c r="A66" s="4" t="s">
        <v>126</v>
      </c>
      <c r="B66" s="4" t="s">
        <v>125</v>
      </c>
      <c r="C66" s="4" t="s">
        <v>395</v>
      </c>
      <c r="D66" s="4" t="s">
        <v>396</v>
      </c>
      <c r="E66" s="4">
        <v>5516</v>
      </c>
      <c r="F66" s="4" t="s">
        <v>128</v>
      </c>
      <c r="G66" s="4">
        <v>1697</v>
      </c>
      <c r="H66" s="4" t="s">
        <v>103</v>
      </c>
      <c r="I66" s="4">
        <v>2021</v>
      </c>
      <c r="J66" s="4">
        <v>2021</v>
      </c>
      <c r="K66" s="4" t="s">
        <v>143</v>
      </c>
      <c r="L66" s="6">
        <v>108232991</v>
      </c>
      <c r="M66" s="4" t="s">
        <v>397</v>
      </c>
      <c r="N66" s="4" t="s">
        <v>398</v>
      </c>
      <c r="O66" s="10">
        <f>'conversion-factors'!D31</f>
        <v>0.52868132357705366</v>
      </c>
      <c r="P66" s="6">
        <f t="shared" ref="P66:P80" si="7">L66*O66</f>
        <v>57220760.93658334</v>
      </c>
      <c r="Q66" s="9">
        <f>faostatdata[[#This Row],[Value (odmt)]]*(10^-6)</f>
        <v>57.220760936583339</v>
      </c>
      <c r="R66" s="4" t="str">
        <f t="shared" ref="R66:R80" si="8">CONCATENATE("(",E66,",",G66,")")</f>
        <v>(5516,1697)</v>
      </c>
    </row>
    <row r="67" spans="1:18" ht="13.2" x14ac:dyDescent="0.25">
      <c r="A67" s="4" t="s">
        <v>126</v>
      </c>
      <c r="B67" s="4" t="s">
        <v>125</v>
      </c>
      <c r="C67" s="4" t="s">
        <v>395</v>
      </c>
      <c r="D67" s="4" t="s">
        <v>396</v>
      </c>
      <c r="E67" s="4">
        <v>5616</v>
      </c>
      <c r="F67" s="4" t="s">
        <v>127</v>
      </c>
      <c r="G67" s="4">
        <v>1697</v>
      </c>
      <c r="H67" s="4" t="s">
        <v>103</v>
      </c>
      <c r="I67" s="4">
        <v>2021</v>
      </c>
      <c r="J67" s="4">
        <v>2021</v>
      </c>
      <c r="K67" s="4" t="s">
        <v>143</v>
      </c>
      <c r="L67" s="81"/>
      <c r="M67" s="4" t="s">
        <v>397</v>
      </c>
      <c r="N67" s="4" t="s">
        <v>398</v>
      </c>
      <c r="O67" s="10"/>
      <c r="P67" s="6">
        <f t="shared" si="7"/>
        <v>0</v>
      </c>
      <c r="Q67" s="9">
        <f>faostatdata[[#This Row],[Value (odmt)]]*(10^-6)</f>
        <v>0</v>
      </c>
      <c r="R67" s="4" t="str">
        <f t="shared" si="8"/>
        <v>(5616,1697)</v>
      </c>
    </row>
    <row r="68" spans="1:18" ht="13.2" x14ac:dyDescent="0.25">
      <c r="A68" s="4" t="s">
        <v>126</v>
      </c>
      <c r="B68" s="4" t="s">
        <v>125</v>
      </c>
      <c r="C68" s="4" t="s">
        <v>395</v>
      </c>
      <c r="D68" s="4" t="s">
        <v>396</v>
      </c>
      <c r="E68" s="4">
        <v>5916</v>
      </c>
      <c r="F68" s="4" t="s">
        <v>124</v>
      </c>
      <c r="G68" s="4">
        <v>1697</v>
      </c>
      <c r="H68" s="4" t="s">
        <v>103</v>
      </c>
      <c r="I68" s="4">
        <v>2021</v>
      </c>
      <c r="J68" s="4">
        <v>2021</v>
      </c>
      <c r="K68" s="4" t="s">
        <v>143</v>
      </c>
      <c r="L68" s="81"/>
      <c r="M68" s="4" t="s">
        <v>397</v>
      </c>
      <c r="N68" s="4" t="s">
        <v>398</v>
      </c>
      <c r="O68" s="10"/>
      <c r="P68" s="6">
        <f t="shared" si="7"/>
        <v>0</v>
      </c>
      <c r="Q68" s="9">
        <f>faostatdata[[#This Row],[Value (odmt)]]*(10^-6)</f>
        <v>0</v>
      </c>
      <c r="R68" s="4" t="str">
        <f t="shared" si="8"/>
        <v>(5916,1697)</v>
      </c>
    </row>
    <row r="69" spans="1:18" ht="13.2" x14ac:dyDescent="0.25">
      <c r="A69" s="4" t="s">
        <v>126</v>
      </c>
      <c r="B69" s="4" t="s">
        <v>125</v>
      </c>
      <c r="C69" s="4" t="s">
        <v>395</v>
      </c>
      <c r="D69" s="4" t="s">
        <v>396</v>
      </c>
      <c r="E69" s="4">
        <v>5516</v>
      </c>
      <c r="F69" s="4" t="s">
        <v>128</v>
      </c>
      <c r="G69" s="4">
        <v>1606</v>
      </c>
      <c r="H69" s="4" t="s">
        <v>102</v>
      </c>
      <c r="I69" s="4">
        <v>2021</v>
      </c>
      <c r="J69" s="4">
        <v>2021</v>
      </c>
      <c r="K69" s="4" t="s">
        <v>143</v>
      </c>
      <c r="L69" s="6">
        <v>37071529</v>
      </c>
      <c r="M69" s="4" t="s">
        <v>397</v>
      </c>
      <c r="N69" s="4" t="s">
        <v>398</v>
      </c>
      <c r="O69" s="10">
        <f>'conversion-factors'!D32</f>
        <v>0.48442783569630643</v>
      </c>
      <c r="P69" s="6">
        <f t="shared" si="7"/>
        <v>17958480.559422858</v>
      </c>
      <c r="Q69" s="9">
        <f>faostatdata[[#This Row],[Value (odmt)]]*(10^-6)</f>
        <v>17.958480559422856</v>
      </c>
      <c r="R69" s="4" t="str">
        <f t="shared" si="8"/>
        <v>(5516,1606)</v>
      </c>
    </row>
    <row r="70" spans="1:18" ht="13.2" x14ac:dyDescent="0.25">
      <c r="A70" s="4" t="s">
        <v>126</v>
      </c>
      <c r="B70" s="4" t="s">
        <v>125</v>
      </c>
      <c r="C70" s="4" t="s">
        <v>395</v>
      </c>
      <c r="D70" s="4" t="s">
        <v>396</v>
      </c>
      <c r="E70" s="4">
        <v>5616</v>
      </c>
      <c r="F70" s="4" t="s">
        <v>127</v>
      </c>
      <c r="G70" s="4">
        <v>1606</v>
      </c>
      <c r="H70" s="4" t="s">
        <v>102</v>
      </c>
      <c r="I70" s="4">
        <v>2021</v>
      </c>
      <c r="J70" s="4">
        <v>2021</v>
      </c>
      <c r="K70" s="4" t="s">
        <v>143</v>
      </c>
      <c r="L70" s="81"/>
      <c r="M70" s="4" t="s">
        <v>397</v>
      </c>
      <c r="N70" s="4" t="s">
        <v>398</v>
      </c>
      <c r="O70" s="10"/>
      <c r="P70" s="6">
        <f t="shared" si="7"/>
        <v>0</v>
      </c>
      <c r="Q70" s="9">
        <f>faostatdata[[#This Row],[Value (odmt)]]*(10^-6)</f>
        <v>0</v>
      </c>
      <c r="R70" s="4" t="str">
        <f t="shared" si="8"/>
        <v>(5616,1606)</v>
      </c>
    </row>
    <row r="71" spans="1:18" ht="13.2" x14ac:dyDescent="0.25">
      <c r="A71" s="4" t="s">
        <v>126</v>
      </c>
      <c r="B71" s="4" t="s">
        <v>125</v>
      </c>
      <c r="C71" s="4" t="s">
        <v>395</v>
      </c>
      <c r="D71" s="4" t="s">
        <v>396</v>
      </c>
      <c r="E71" s="4">
        <v>5916</v>
      </c>
      <c r="F71" s="4" t="s">
        <v>124</v>
      </c>
      <c r="G71" s="4">
        <v>1606</v>
      </c>
      <c r="H71" s="4" t="s">
        <v>102</v>
      </c>
      <c r="I71" s="4">
        <v>2021</v>
      </c>
      <c r="J71" s="4">
        <v>2021</v>
      </c>
      <c r="K71" s="4" t="s">
        <v>143</v>
      </c>
      <c r="L71" s="81"/>
      <c r="M71" s="4" t="s">
        <v>397</v>
      </c>
      <c r="N71" s="4" t="s">
        <v>398</v>
      </c>
      <c r="O71" s="10"/>
      <c r="P71" s="6">
        <f t="shared" si="7"/>
        <v>0</v>
      </c>
      <c r="Q71" s="9">
        <f>faostatdata[[#This Row],[Value (odmt)]]*(10^-6)</f>
        <v>0</v>
      </c>
      <c r="R71" s="4" t="str">
        <f t="shared" si="8"/>
        <v>(5916,1606)</v>
      </c>
    </row>
    <row r="72" spans="1:18" ht="13.2" x14ac:dyDescent="0.25">
      <c r="A72" s="4" t="s">
        <v>126</v>
      </c>
      <c r="B72" s="4" t="s">
        <v>125</v>
      </c>
      <c r="C72" s="4" t="s">
        <v>395</v>
      </c>
      <c r="D72" s="4" t="s">
        <v>396</v>
      </c>
      <c r="E72" s="4">
        <v>5516</v>
      </c>
      <c r="F72" s="4" t="s">
        <v>128</v>
      </c>
      <c r="G72" s="4">
        <v>1647</v>
      </c>
      <c r="H72" s="4" t="s">
        <v>146</v>
      </c>
      <c r="I72" s="4">
        <v>2021</v>
      </c>
      <c r="J72" s="4">
        <v>2021</v>
      </c>
      <c r="K72" s="4" t="s">
        <v>143</v>
      </c>
      <c r="L72" s="6">
        <v>7486655</v>
      </c>
      <c r="M72" s="4" t="s">
        <v>397</v>
      </c>
      <c r="N72" s="4" t="s">
        <v>398</v>
      </c>
      <c r="O72" s="10">
        <f>'conversion-factors'!D33</f>
        <v>0.76665131312524948</v>
      </c>
      <c r="P72" s="6">
        <f t="shared" si="7"/>
        <v>5739653.8866657149</v>
      </c>
      <c r="Q72" s="9">
        <f>faostatdata[[#This Row],[Value (odmt)]]*(10^-6)</f>
        <v>5.7396538866657147</v>
      </c>
      <c r="R72" s="4" t="str">
        <f t="shared" si="8"/>
        <v>(5516,1647)</v>
      </c>
    </row>
    <row r="73" spans="1:18" ht="13.2" x14ac:dyDescent="0.25">
      <c r="A73" s="4" t="s">
        <v>126</v>
      </c>
      <c r="B73" s="4" t="s">
        <v>125</v>
      </c>
      <c r="C73" s="4" t="s">
        <v>395</v>
      </c>
      <c r="D73" s="4" t="s">
        <v>396</v>
      </c>
      <c r="E73" s="4">
        <v>5616</v>
      </c>
      <c r="F73" s="4" t="s">
        <v>127</v>
      </c>
      <c r="G73" s="4">
        <v>1647</v>
      </c>
      <c r="H73" s="4" t="s">
        <v>146</v>
      </c>
      <c r="I73" s="4">
        <v>2021</v>
      </c>
      <c r="J73" s="4">
        <v>2021</v>
      </c>
      <c r="K73" s="4" t="s">
        <v>143</v>
      </c>
      <c r="L73" s="81"/>
      <c r="M73" s="4" t="s">
        <v>397</v>
      </c>
      <c r="N73" s="4" t="s">
        <v>398</v>
      </c>
      <c r="O73" s="10"/>
      <c r="P73" s="6">
        <f t="shared" si="7"/>
        <v>0</v>
      </c>
      <c r="Q73" s="9">
        <f>faostatdata[[#This Row],[Value (odmt)]]*(10^-6)</f>
        <v>0</v>
      </c>
      <c r="R73" s="4" t="str">
        <f t="shared" si="8"/>
        <v>(5616,1647)</v>
      </c>
    </row>
    <row r="74" spans="1:18" ht="13.2" x14ac:dyDescent="0.25">
      <c r="A74" s="4" t="s">
        <v>126</v>
      </c>
      <c r="B74" s="4" t="s">
        <v>125</v>
      </c>
      <c r="C74" s="4" t="s">
        <v>395</v>
      </c>
      <c r="D74" s="4" t="s">
        <v>396</v>
      </c>
      <c r="E74" s="4">
        <v>5916</v>
      </c>
      <c r="F74" s="4" t="s">
        <v>124</v>
      </c>
      <c r="G74" s="4">
        <v>1647</v>
      </c>
      <c r="H74" s="4" t="s">
        <v>146</v>
      </c>
      <c r="I74" s="4">
        <v>2021</v>
      </c>
      <c r="J74" s="4">
        <v>2021</v>
      </c>
      <c r="K74" s="4" t="s">
        <v>143</v>
      </c>
      <c r="L74" s="81"/>
      <c r="M74" s="4" t="s">
        <v>397</v>
      </c>
      <c r="N74" s="4" t="s">
        <v>398</v>
      </c>
      <c r="O74" s="10"/>
      <c r="P74" s="6">
        <f t="shared" si="7"/>
        <v>0</v>
      </c>
      <c r="Q74" s="9">
        <f>faostatdata[[#This Row],[Value (odmt)]]*(10^-6)</f>
        <v>0</v>
      </c>
      <c r="R74" s="4" t="str">
        <f t="shared" si="8"/>
        <v>(5916,1647)</v>
      </c>
    </row>
    <row r="75" spans="1:18" ht="13.2" x14ac:dyDescent="0.25">
      <c r="A75" s="4" t="s">
        <v>126</v>
      </c>
      <c r="B75" s="4" t="s">
        <v>125</v>
      </c>
      <c r="C75" s="4" t="s">
        <v>395</v>
      </c>
      <c r="D75" s="4" t="s">
        <v>396</v>
      </c>
      <c r="E75" s="4">
        <v>5516</v>
      </c>
      <c r="F75" s="4" t="s">
        <v>128</v>
      </c>
      <c r="G75" s="4">
        <v>1648</v>
      </c>
      <c r="H75" s="4" t="s">
        <v>145</v>
      </c>
      <c r="I75" s="4">
        <v>2021</v>
      </c>
      <c r="J75" s="4">
        <v>2021</v>
      </c>
      <c r="K75" s="4" t="s">
        <v>143</v>
      </c>
      <c r="L75" s="6">
        <v>111241744</v>
      </c>
      <c r="M75" s="4" t="s">
        <v>397</v>
      </c>
      <c r="N75" s="4" t="s">
        <v>398</v>
      </c>
      <c r="O75" s="10">
        <f>'conversion-factors'!D34</f>
        <v>0.60372520011466257</v>
      </c>
      <c r="P75" s="6">
        <f t="shared" si="7"/>
        <v>67159444.157504067</v>
      </c>
      <c r="Q75" s="9">
        <f>faostatdata[[#This Row],[Value (odmt)]]*(10^-6)</f>
        <v>67.159444157504069</v>
      </c>
      <c r="R75" s="4" t="str">
        <f t="shared" si="8"/>
        <v>(5516,1648)</v>
      </c>
    </row>
    <row r="76" spans="1:18" ht="13.2" x14ac:dyDescent="0.25">
      <c r="A76" s="4" t="s">
        <v>126</v>
      </c>
      <c r="B76" s="4" t="s">
        <v>125</v>
      </c>
      <c r="C76" s="4" t="s">
        <v>395</v>
      </c>
      <c r="D76" s="4" t="s">
        <v>396</v>
      </c>
      <c r="E76" s="4">
        <v>5616</v>
      </c>
      <c r="F76" s="4" t="s">
        <v>127</v>
      </c>
      <c r="G76" s="4">
        <v>1648</v>
      </c>
      <c r="H76" s="4" t="s">
        <v>145</v>
      </c>
      <c r="I76" s="4">
        <v>2021</v>
      </c>
      <c r="J76" s="4">
        <v>2021</v>
      </c>
      <c r="K76" s="4" t="s">
        <v>143</v>
      </c>
      <c r="L76" s="81"/>
      <c r="M76" s="4" t="s">
        <v>397</v>
      </c>
      <c r="N76" s="4" t="s">
        <v>398</v>
      </c>
      <c r="O76" s="10"/>
      <c r="P76" s="6">
        <f t="shared" si="7"/>
        <v>0</v>
      </c>
      <c r="Q76" s="9">
        <f>faostatdata[[#This Row],[Value (odmt)]]*(10^-6)</f>
        <v>0</v>
      </c>
      <c r="R76" s="4" t="str">
        <f t="shared" si="8"/>
        <v>(5616,1648)</v>
      </c>
    </row>
    <row r="77" spans="1:18" ht="13.2" x14ac:dyDescent="0.25">
      <c r="A77" s="4" t="s">
        <v>126</v>
      </c>
      <c r="B77" s="4" t="s">
        <v>125</v>
      </c>
      <c r="C77" s="4" t="s">
        <v>395</v>
      </c>
      <c r="D77" s="4" t="s">
        <v>396</v>
      </c>
      <c r="E77" s="4">
        <v>5916</v>
      </c>
      <c r="F77" s="4" t="s">
        <v>124</v>
      </c>
      <c r="G77" s="4">
        <v>1648</v>
      </c>
      <c r="H77" s="4" t="s">
        <v>145</v>
      </c>
      <c r="I77" s="4">
        <v>2021</v>
      </c>
      <c r="J77" s="4">
        <v>2021</v>
      </c>
      <c r="K77" s="4" t="s">
        <v>143</v>
      </c>
      <c r="L77" s="81"/>
      <c r="M77" s="4" t="s">
        <v>397</v>
      </c>
      <c r="N77" s="4" t="s">
        <v>398</v>
      </c>
      <c r="O77" s="10"/>
      <c r="P77" s="6">
        <f t="shared" si="7"/>
        <v>0</v>
      </c>
      <c r="Q77" s="9">
        <f>faostatdata[[#This Row],[Value (odmt)]]*(10^-6)</f>
        <v>0</v>
      </c>
      <c r="R77" s="4" t="str">
        <f t="shared" si="8"/>
        <v>(5916,1648)</v>
      </c>
    </row>
    <row r="78" spans="1:18" ht="13.2" x14ac:dyDescent="0.25">
      <c r="A78" s="4" t="s">
        <v>126</v>
      </c>
      <c r="B78" s="4" t="s">
        <v>125</v>
      </c>
      <c r="C78" s="4" t="s">
        <v>395</v>
      </c>
      <c r="D78" s="4" t="s">
        <v>396</v>
      </c>
      <c r="E78" s="4">
        <v>5516</v>
      </c>
      <c r="F78" s="4" t="s">
        <v>128</v>
      </c>
      <c r="G78" s="4">
        <v>1650</v>
      </c>
      <c r="H78" s="4" t="s">
        <v>144</v>
      </c>
      <c r="I78" s="4">
        <v>2021</v>
      </c>
      <c r="J78" s="4">
        <v>2021</v>
      </c>
      <c r="K78" s="4" t="s">
        <v>143</v>
      </c>
      <c r="L78" s="6">
        <v>8513791</v>
      </c>
      <c r="M78" s="4" t="s">
        <v>397</v>
      </c>
      <c r="N78" s="4" t="s">
        <v>398</v>
      </c>
      <c r="O78" s="10">
        <f>'conversion-factors'!D35</f>
        <v>0.23695445859840816</v>
      </c>
      <c r="P78" s="6">
        <f t="shared" si="7"/>
        <v>2017380.7370249999</v>
      </c>
      <c r="Q78" s="9">
        <f>faostatdata[[#This Row],[Value (odmt)]]*(10^-6)</f>
        <v>2.0173807370249999</v>
      </c>
      <c r="R78" s="4" t="str">
        <f t="shared" si="8"/>
        <v>(5516,1650)</v>
      </c>
    </row>
    <row r="79" spans="1:18" ht="13.2" x14ac:dyDescent="0.25">
      <c r="A79" s="4" t="s">
        <v>126</v>
      </c>
      <c r="B79" s="4" t="s">
        <v>125</v>
      </c>
      <c r="C79" s="4" t="s">
        <v>395</v>
      </c>
      <c r="D79" s="4" t="s">
        <v>396</v>
      </c>
      <c r="E79" s="4">
        <v>5616</v>
      </c>
      <c r="F79" s="4" t="s">
        <v>127</v>
      </c>
      <c r="G79" s="4">
        <v>1650</v>
      </c>
      <c r="H79" s="4" t="s">
        <v>144</v>
      </c>
      <c r="I79" s="4">
        <v>2021</v>
      </c>
      <c r="J79" s="4">
        <v>2021</v>
      </c>
      <c r="K79" s="4" t="s">
        <v>143</v>
      </c>
      <c r="L79" s="81"/>
      <c r="M79" s="4" t="s">
        <v>397</v>
      </c>
      <c r="N79" s="4" t="s">
        <v>398</v>
      </c>
      <c r="O79" s="10"/>
      <c r="P79" s="6">
        <f t="shared" si="7"/>
        <v>0</v>
      </c>
      <c r="Q79" s="9">
        <f>faostatdata[[#This Row],[Value (odmt)]]*(10^-6)</f>
        <v>0</v>
      </c>
      <c r="R79" s="4" t="str">
        <f t="shared" si="8"/>
        <v>(5616,1650)</v>
      </c>
    </row>
    <row r="80" spans="1:18" ht="13.2" x14ac:dyDescent="0.25">
      <c r="A80" s="4" t="s">
        <v>126</v>
      </c>
      <c r="B80" s="4" t="s">
        <v>125</v>
      </c>
      <c r="C80" s="4" t="s">
        <v>395</v>
      </c>
      <c r="D80" s="4" t="s">
        <v>396</v>
      </c>
      <c r="E80" s="4">
        <v>5916</v>
      </c>
      <c r="F80" s="4" t="s">
        <v>124</v>
      </c>
      <c r="G80" s="4">
        <v>1650</v>
      </c>
      <c r="H80" s="4" t="s">
        <v>144</v>
      </c>
      <c r="I80" s="4">
        <v>2021</v>
      </c>
      <c r="J80" s="4">
        <v>2021</v>
      </c>
      <c r="K80" s="4" t="s">
        <v>143</v>
      </c>
      <c r="L80" s="81"/>
      <c r="M80" s="4" t="s">
        <v>397</v>
      </c>
      <c r="N80" s="4" t="s">
        <v>398</v>
      </c>
      <c r="O80" s="10"/>
      <c r="P80" s="6">
        <f t="shared" si="7"/>
        <v>0</v>
      </c>
      <c r="Q80" s="9">
        <f>faostatdata[[#This Row],[Value (odmt)]]*(10^-6)</f>
        <v>0</v>
      </c>
      <c r="R80" s="4" t="str">
        <f t="shared" si="8"/>
        <v>(5916,1650)</v>
      </c>
    </row>
    <row r="81" spans="1:18" ht="13.2" x14ac:dyDescent="0.25">
      <c r="A81" s="4" t="s">
        <v>126</v>
      </c>
      <c r="B81" s="4" t="s">
        <v>125</v>
      </c>
      <c r="C81" s="4" t="s">
        <v>395</v>
      </c>
      <c r="D81" s="4" t="s">
        <v>396</v>
      </c>
      <c r="E81" s="4">
        <v>5516</v>
      </c>
      <c r="F81" s="4" t="s">
        <v>128</v>
      </c>
      <c r="G81" s="4">
        <v>1649</v>
      </c>
      <c r="H81" s="4" t="s">
        <v>142</v>
      </c>
      <c r="I81" s="4">
        <v>2021</v>
      </c>
      <c r="J81" s="4">
        <v>2021</v>
      </c>
      <c r="L81" s="6"/>
      <c r="O81" s="124"/>
      <c r="P81" s="6"/>
      <c r="Q81" s="9"/>
    </row>
    <row r="82" spans="1:18" ht="13.2" x14ac:dyDescent="0.25">
      <c r="A82" s="4" t="s">
        <v>126</v>
      </c>
      <c r="B82" s="4" t="s">
        <v>125</v>
      </c>
      <c r="C82" s="4" t="s">
        <v>395</v>
      </c>
      <c r="D82" s="4" t="s">
        <v>396</v>
      </c>
      <c r="E82" s="4">
        <v>5616</v>
      </c>
      <c r="F82" s="4" t="s">
        <v>127</v>
      </c>
      <c r="G82" s="4">
        <v>1649</v>
      </c>
      <c r="H82" s="4" t="s">
        <v>142</v>
      </c>
      <c r="I82" s="4">
        <v>2021</v>
      </c>
      <c r="J82" s="4">
        <v>2021</v>
      </c>
      <c r="L82" s="81"/>
      <c r="O82" s="124"/>
      <c r="P82" s="6"/>
      <c r="Q82" s="9"/>
    </row>
    <row r="83" spans="1:18" ht="13.2" x14ac:dyDescent="0.25">
      <c r="A83" s="4" t="s">
        <v>126</v>
      </c>
      <c r="B83" s="4" t="s">
        <v>125</v>
      </c>
      <c r="C83" s="4" t="s">
        <v>395</v>
      </c>
      <c r="D83" s="4" t="s">
        <v>396</v>
      </c>
      <c r="E83" s="4">
        <v>5916</v>
      </c>
      <c r="F83" s="4" t="s">
        <v>124</v>
      </c>
      <c r="G83" s="4">
        <v>1649</v>
      </c>
      <c r="H83" s="4" t="s">
        <v>142</v>
      </c>
      <c r="I83" s="4">
        <v>2021</v>
      </c>
      <c r="J83" s="4">
        <v>2021</v>
      </c>
      <c r="L83" s="81"/>
      <c r="O83" s="124"/>
      <c r="P83" s="6"/>
      <c r="Q83" s="9"/>
    </row>
    <row r="84" spans="1:18" ht="13.2" x14ac:dyDescent="0.25">
      <c r="A84" s="4" t="s">
        <v>126</v>
      </c>
      <c r="B84" s="4" t="s">
        <v>125</v>
      </c>
      <c r="C84" s="4" t="s">
        <v>395</v>
      </c>
      <c r="D84" s="4" t="s">
        <v>396</v>
      </c>
      <c r="E84" s="4">
        <v>5510</v>
      </c>
      <c r="F84" s="4" t="s">
        <v>128</v>
      </c>
      <c r="G84" s="4">
        <v>1685</v>
      </c>
      <c r="H84" s="4" t="s">
        <v>98</v>
      </c>
      <c r="I84" s="4">
        <v>2021</v>
      </c>
      <c r="J84" s="4">
        <v>2021</v>
      </c>
      <c r="K84" s="4" t="s">
        <v>339</v>
      </c>
      <c r="L84" s="6">
        <v>28901549</v>
      </c>
      <c r="M84" s="4" t="s">
        <v>397</v>
      </c>
      <c r="N84" s="4" t="s">
        <v>398</v>
      </c>
      <c r="O84" s="10">
        <f>'conversion-factors'!D37</f>
        <v>0.901658869564396</v>
      </c>
      <c r="P84" s="6">
        <f t="shared" ref="P84:P115" si="9">L84*O84</f>
        <v>26059338</v>
      </c>
      <c r="Q84" s="9">
        <f>faostatdata[[#This Row],[Value (odmt)]]*(10^-6)</f>
        <v>26.059338</v>
      </c>
      <c r="R84" s="4" t="str">
        <f>CONCATENATE("(",E84,",",G84,")")</f>
        <v>(5510,1685)</v>
      </c>
    </row>
    <row r="85" spans="1:18" ht="13.2" x14ac:dyDescent="0.25">
      <c r="A85" s="4" t="s">
        <v>126</v>
      </c>
      <c r="B85" s="4" t="s">
        <v>125</v>
      </c>
      <c r="C85" s="4" t="s">
        <v>395</v>
      </c>
      <c r="D85" s="4" t="s">
        <v>396</v>
      </c>
      <c r="E85" s="4">
        <v>5610</v>
      </c>
      <c r="F85" s="4" t="s">
        <v>127</v>
      </c>
      <c r="G85" s="4">
        <v>1685</v>
      </c>
      <c r="H85" s="4" t="s">
        <v>98</v>
      </c>
      <c r="I85" s="4">
        <v>2021</v>
      </c>
      <c r="J85" s="4">
        <v>2021</v>
      </c>
      <c r="K85" s="4" t="s">
        <v>339</v>
      </c>
      <c r="L85" s="81"/>
      <c r="M85" s="4" t="s">
        <v>397</v>
      </c>
      <c r="N85" s="4" t="s">
        <v>398</v>
      </c>
      <c r="O85" s="10"/>
      <c r="P85" s="6">
        <f t="shared" si="9"/>
        <v>0</v>
      </c>
      <c r="Q85" s="9">
        <f>faostatdata[[#This Row],[Value (odmt)]]*(10^-6)</f>
        <v>0</v>
      </c>
      <c r="R85" s="4" t="str">
        <f>CONCATENATE("(",E85,",",G85,")")</f>
        <v>(5610,1685)</v>
      </c>
    </row>
    <row r="86" spans="1:18" ht="13.2" x14ac:dyDescent="0.25">
      <c r="A86" s="4" t="s">
        <v>126</v>
      </c>
      <c r="B86" s="4" t="s">
        <v>125</v>
      </c>
      <c r="C86" s="4" t="s">
        <v>395</v>
      </c>
      <c r="D86" s="4" t="s">
        <v>396</v>
      </c>
      <c r="E86" s="4">
        <v>5910</v>
      </c>
      <c r="F86" s="4" t="s">
        <v>124</v>
      </c>
      <c r="G86" s="4">
        <v>1685</v>
      </c>
      <c r="H86" s="4" t="s">
        <v>98</v>
      </c>
      <c r="I86" s="4">
        <v>2021</v>
      </c>
      <c r="J86" s="4">
        <v>2021</v>
      </c>
      <c r="K86" s="4" t="s">
        <v>339</v>
      </c>
      <c r="L86" s="81"/>
      <c r="M86" s="4" t="s">
        <v>397</v>
      </c>
      <c r="N86" s="4" t="s">
        <v>398</v>
      </c>
      <c r="O86" s="10"/>
      <c r="P86" s="6">
        <f t="shared" si="9"/>
        <v>0</v>
      </c>
      <c r="Q86" s="9">
        <f>faostatdata[[#This Row],[Value (odmt)]]*(10^-6)</f>
        <v>0</v>
      </c>
      <c r="R86" s="4" t="str">
        <f>CONCATENATE("(",E86,",",G86,")")</f>
        <v>(5910,1685)</v>
      </c>
    </row>
    <row r="87" spans="1:18" ht="13.2" x14ac:dyDescent="0.25">
      <c r="A87" s="4" t="s">
        <v>126</v>
      </c>
      <c r="B87" s="4" t="s">
        <v>125</v>
      </c>
      <c r="C87" s="4" t="s">
        <v>395</v>
      </c>
      <c r="D87" s="4" t="s">
        <v>396</v>
      </c>
      <c r="E87" s="4">
        <v>5510</v>
      </c>
      <c r="F87" s="4" t="s">
        <v>128</v>
      </c>
      <c r="G87" s="4">
        <v>1654</v>
      </c>
      <c r="H87" s="4" t="s">
        <v>141</v>
      </c>
      <c r="I87" s="4">
        <v>2021</v>
      </c>
      <c r="J87" s="4">
        <v>2021</v>
      </c>
      <c r="L87" s="6"/>
      <c r="O87" s="10"/>
      <c r="P87" s="6"/>
      <c r="Q87" s="9"/>
    </row>
    <row r="88" spans="1:18" ht="13.2" x14ac:dyDescent="0.25">
      <c r="A88" s="4" t="s">
        <v>126</v>
      </c>
      <c r="B88" s="4" t="s">
        <v>125</v>
      </c>
      <c r="C88" s="4" t="s">
        <v>395</v>
      </c>
      <c r="D88" s="4" t="s">
        <v>396</v>
      </c>
      <c r="E88" s="4">
        <v>5610</v>
      </c>
      <c r="F88" s="4" t="s">
        <v>127</v>
      </c>
      <c r="G88" s="4">
        <v>1654</v>
      </c>
      <c r="H88" s="4" t="s">
        <v>141</v>
      </c>
      <c r="I88" s="4">
        <v>2021</v>
      </c>
      <c r="J88" s="4">
        <v>2021</v>
      </c>
      <c r="L88" s="81"/>
      <c r="O88" s="10"/>
      <c r="P88" s="6"/>
      <c r="Q88" s="9"/>
    </row>
    <row r="89" spans="1:18" ht="13.2" x14ac:dyDescent="0.25">
      <c r="A89" s="4" t="s">
        <v>126</v>
      </c>
      <c r="B89" s="4" t="s">
        <v>125</v>
      </c>
      <c r="C89" s="4" t="s">
        <v>395</v>
      </c>
      <c r="D89" s="4" t="s">
        <v>396</v>
      </c>
      <c r="E89" s="4">
        <v>5910</v>
      </c>
      <c r="F89" s="4" t="s">
        <v>124</v>
      </c>
      <c r="G89" s="4">
        <v>1654</v>
      </c>
      <c r="H89" s="4" t="s">
        <v>141</v>
      </c>
      <c r="I89" s="4">
        <v>2021</v>
      </c>
      <c r="J89" s="4">
        <v>2021</v>
      </c>
      <c r="L89" s="81"/>
      <c r="O89" s="10"/>
      <c r="P89" s="6"/>
      <c r="Q89" s="9"/>
    </row>
    <row r="90" spans="1:18" ht="13.2" x14ac:dyDescent="0.25">
      <c r="A90" s="4" t="s">
        <v>126</v>
      </c>
      <c r="B90" s="4" t="s">
        <v>125</v>
      </c>
      <c r="C90" s="4" t="s">
        <v>395</v>
      </c>
      <c r="D90" s="4" t="s">
        <v>396</v>
      </c>
      <c r="E90" s="4">
        <v>5510</v>
      </c>
      <c r="F90" s="4" t="s">
        <v>128</v>
      </c>
      <c r="G90" s="4">
        <v>1655</v>
      </c>
      <c r="H90" s="4" t="s">
        <v>140</v>
      </c>
      <c r="I90" s="4">
        <v>2021</v>
      </c>
      <c r="J90" s="4">
        <v>2021</v>
      </c>
      <c r="L90" s="6"/>
      <c r="O90" s="10"/>
      <c r="P90" s="6"/>
      <c r="Q90" s="9"/>
    </row>
    <row r="91" spans="1:18" ht="13.2" x14ac:dyDescent="0.25">
      <c r="A91" s="4" t="s">
        <v>126</v>
      </c>
      <c r="B91" s="4" t="s">
        <v>125</v>
      </c>
      <c r="C91" s="4" t="s">
        <v>395</v>
      </c>
      <c r="D91" s="4" t="s">
        <v>396</v>
      </c>
      <c r="E91" s="4">
        <v>5610</v>
      </c>
      <c r="F91" s="4" t="s">
        <v>127</v>
      </c>
      <c r="G91" s="4">
        <v>1655</v>
      </c>
      <c r="H91" s="4" t="s">
        <v>140</v>
      </c>
      <c r="I91" s="4">
        <v>2021</v>
      </c>
      <c r="J91" s="4">
        <v>2021</v>
      </c>
      <c r="L91" s="81"/>
      <c r="O91" s="10"/>
      <c r="P91" s="6"/>
      <c r="Q91" s="9"/>
    </row>
    <row r="92" spans="1:18" ht="13.2" x14ac:dyDescent="0.25">
      <c r="A92" s="4" t="s">
        <v>126</v>
      </c>
      <c r="B92" s="4" t="s">
        <v>125</v>
      </c>
      <c r="C92" s="4" t="s">
        <v>395</v>
      </c>
      <c r="D92" s="4" t="s">
        <v>396</v>
      </c>
      <c r="E92" s="4">
        <v>5910</v>
      </c>
      <c r="F92" s="4" t="s">
        <v>124</v>
      </c>
      <c r="G92" s="4">
        <v>1655</v>
      </c>
      <c r="H92" s="4" t="s">
        <v>140</v>
      </c>
      <c r="I92" s="4">
        <v>2021</v>
      </c>
      <c r="J92" s="4">
        <v>2021</v>
      </c>
      <c r="L92" s="81"/>
      <c r="O92" s="10"/>
      <c r="P92" s="6"/>
      <c r="Q92" s="9"/>
    </row>
    <row r="93" spans="1:18" ht="13.2" x14ac:dyDescent="0.25">
      <c r="A93" s="4" t="s">
        <v>126</v>
      </c>
      <c r="B93" s="4" t="s">
        <v>125</v>
      </c>
      <c r="C93" s="4" t="s">
        <v>395</v>
      </c>
      <c r="D93" s="4" t="s">
        <v>396</v>
      </c>
      <c r="E93" s="4">
        <v>5510</v>
      </c>
      <c r="F93" s="4" t="s">
        <v>128</v>
      </c>
      <c r="G93" s="4">
        <v>1656</v>
      </c>
      <c r="H93" s="4" t="s">
        <v>97</v>
      </c>
      <c r="I93" s="4">
        <v>2021</v>
      </c>
      <c r="J93" s="4">
        <v>2021</v>
      </c>
      <c r="K93" s="4" t="s">
        <v>339</v>
      </c>
      <c r="L93" s="6">
        <v>156244090</v>
      </c>
      <c r="M93" s="4" t="s">
        <v>397</v>
      </c>
      <c r="N93" s="4" t="s">
        <v>398</v>
      </c>
      <c r="O93" s="10">
        <f>'conversion-factors'!D38</f>
        <v>0.87078907688604412</v>
      </c>
      <c r="P93" s="6">
        <f t="shared" si="9"/>
        <v>136055646.90000001</v>
      </c>
      <c r="Q93" s="9">
        <f>faostatdata[[#This Row],[Value (odmt)]]*(10^-6)</f>
        <v>136.0556469</v>
      </c>
      <c r="R93" s="4" t="str">
        <f>CONCATENATE("(",E93,",",G93,")")</f>
        <v>(5510,1656)</v>
      </c>
    </row>
    <row r="94" spans="1:18" ht="13.2" x14ac:dyDescent="0.25">
      <c r="A94" s="4" t="s">
        <v>126</v>
      </c>
      <c r="B94" s="4" t="s">
        <v>125</v>
      </c>
      <c r="C94" s="4" t="s">
        <v>395</v>
      </c>
      <c r="D94" s="4" t="s">
        <v>396</v>
      </c>
      <c r="E94" s="4">
        <v>5610</v>
      </c>
      <c r="F94" s="4" t="s">
        <v>127</v>
      </c>
      <c r="G94" s="4">
        <v>1656</v>
      </c>
      <c r="H94" s="4" t="s">
        <v>97</v>
      </c>
      <c r="I94" s="4">
        <v>2021</v>
      </c>
      <c r="J94" s="4">
        <v>2021</v>
      </c>
      <c r="K94" s="4" t="s">
        <v>339</v>
      </c>
      <c r="L94" s="81"/>
      <c r="M94" s="4" t="s">
        <v>397</v>
      </c>
      <c r="N94" s="4" t="s">
        <v>398</v>
      </c>
      <c r="O94" s="10"/>
      <c r="P94" s="6">
        <f t="shared" si="9"/>
        <v>0</v>
      </c>
      <c r="Q94" s="9">
        <f>faostatdata[[#This Row],[Value (odmt)]]*(10^-6)</f>
        <v>0</v>
      </c>
      <c r="R94" s="4" t="str">
        <f>CONCATENATE("(",E94,",",G94,")")</f>
        <v>(5610,1656)</v>
      </c>
    </row>
    <row r="95" spans="1:18" ht="13.2" x14ac:dyDescent="0.25">
      <c r="A95" s="4" t="s">
        <v>126</v>
      </c>
      <c r="B95" s="4" t="s">
        <v>125</v>
      </c>
      <c r="C95" s="4" t="s">
        <v>395</v>
      </c>
      <c r="D95" s="4" t="s">
        <v>396</v>
      </c>
      <c r="E95" s="4">
        <v>5910</v>
      </c>
      <c r="F95" s="4" t="s">
        <v>124</v>
      </c>
      <c r="G95" s="4">
        <v>1656</v>
      </c>
      <c r="H95" s="4" t="s">
        <v>97</v>
      </c>
      <c r="I95" s="4">
        <v>2021</v>
      </c>
      <c r="J95" s="4">
        <v>2021</v>
      </c>
      <c r="K95" s="4" t="s">
        <v>339</v>
      </c>
      <c r="L95" s="81"/>
      <c r="M95" s="4" t="s">
        <v>397</v>
      </c>
      <c r="N95" s="4" t="s">
        <v>398</v>
      </c>
      <c r="O95" s="10"/>
      <c r="P95" s="6">
        <f t="shared" si="9"/>
        <v>0</v>
      </c>
      <c r="Q95" s="9">
        <f>faostatdata[[#This Row],[Value (odmt)]]*(10^-6)</f>
        <v>0</v>
      </c>
      <c r="R95" s="4" t="str">
        <f>CONCATENATE("(",E95,",",G95,")")</f>
        <v>(5910,1656)</v>
      </c>
    </row>
    <row r="96" spans="1:18" ht="13.2" x14ac:dyDescent="0.25">
      <c r="A96" s="4" t="s">
        <v>126</v>
      </c>
      <c r="B96" s="4" t="s">
        <v>125</v>
      </c>
      <c r="C96" s="4" t="s">
        <v>395</v>
      </c>
      <c r="D96" s="4" t="s">
        <v>396</v>
      </c>
      <c r="E96" s="4">
        <v>5510</v>
      </c>
      <c r="F96" s="4" t="s">
        <v>128</v>
      </c>
      <c r="G96" s="4">
        <v>1662</v>
      </c>
      <c r="H96" s="4" t="s">
        <v>139</v>
      </c>
      <c r="I96" s="4">
        <v>2021</v>
      </c>
      <c r="J96" s="4">
        <v>2021</v>
      </c>
      <c r="K96" s="4" t="s">
        <v>339</v>
      </c>
      <c r="L96" s="6">
        <v>41459191</v>
      </c>
      <c r="M96" s="4" t="s">
        <v>397</v>
      </c>
      <c r="N96" s="4" t="s">
        <v>398</v>
      </c>
      <c r="O96" s="10"/>
      <c r="P96" s="6"/>
      <c r="Q96" s="9"/>
    </row>
    <row r="97" spans="1:18" ht="13.2" x14ac:dyDescent="0.25">
      <c r="A97" s="4" t="s">
        <v>126</v>
      </c>
      <c r="B97" s="4" t="s">
        <v>125</v>
      </c>
      <c r="C97" s="4" t="s">
        <v>395</v>
      </c>
      <c r="D97" s="4" t="s">
        <v>396</v>
      </c>
      <c r="E97" s="4">
        <v>5610</v>
      </c>
      <c r="F97" s="4" t="s">
        <v>127</v>
      </c>
      <c r="G97" s="4">
        <v>1662</v>
      </c>
      <c r="H97" s="4" t="s">
        <v>139</v>
      </c>
      <c r="I97" s="4">
        <v>2021</v>
      </c>
      <c r="J97" s="4">
        <v>2021</v>
      </c>
      <c r="K97" s="4" t="s">
        <v>339</v>
      </c>
      <c r="L97" s="81"/>
      <c r="M97" s="4" t="s">
        <v>397</v>
      </c>
      <c r="N97" s="4" t="s">
        <v>398</v>
      </c>
      <c r="O97" s="10"/>
      <c r="P97" s="6"/>
      <c r="Q97" s="9"/>
    </row>
    <row r="98" spans="1:18" ht="13.2" x14ac:dyDescent="0.25">
      <c r="A98" s="4" t="s">
        <v>126</v>
      </c>
      <c r="B98" s="4" t="s">
        <v>125</v>
      </c>
      <c r="C98" s="4" t="s">
        <v>395</v>
      </c>
      <c r="D98" s="4" t="s">
        <v>396</v>
      </c>
      <c r="E98" s="4">
        <v>5910</v>
      </c>
      <c r="F98" s="4" t="s">
        <v>124</v>
      </c>
      <c r="G98" s="4">
        <v>1662</v>
      </c>
      <c r="H98" s="4" t="s">
        <v>139</v>
      </c>
      <c r="I98" s="4">
        <v>2021</v>
      </c>
      <c r="J98" s="4">
        <v>2021</v>
      </c>
      <c r="K98" s="4" t="s">
        <v>339</v>
      </c>
      <c r="L98" s="81"/>
      <c r="M98" s="4" t="s">
        <v>397</v>
      </c>
      <c r="N98" s="4" t="s">
        <v>398</v>
      </c>
      <c r="O98" s="10"/>
      <c r="P98" s="6"/>
      <c r="Q98" s="9"/>
    </row>
    <row r="99" spans="1:18" ht="13.2" x14ac:dyDescent="0.25">
      <c r="A99" s="4" t="s">
        <v>126</v>
      </c>
      <c r="B99" s="4" t="s">
        <v>125</v>
      </c>
      <c r="C99" s="4" t="s">
        <v>395</v>
      </c>
      <c r="D99" s="4" t="s">
        <v>396</v>
      </c>
      <c r="E99" s="4">
        <v>5510</v>
      </c>
      <c r="F99" s="4" t="s">
        <v>128</v>
      </c>
      <c r="G99" s="4">
        <v>1663</v>
      </c>
      <c r="H99" s="4" t="s">
        <v>138</v>
      </c>
      <c r="I99" s="4">
        <v>2021</v>
      </c>
      <c r="J99" s="4">
        <v>2021</v>
      </c>
      <c r="K99" s="4" t="s">
        <v>339</v>
      </c>
      <c r="L99" s="6">
        <v>111642961</v>
      </c>
      <c r="M99" s="4" t="s">
        <v>397</v>
      </c>
      <c r="N99" s="4" t="s">
        <v>398</v>
      </c>
      <c r="O99" s="10"/>
      <c r="P99" s="6"/>
      <c r="Q99" s="9"/>
    </row>
    <row r="100" spans="1:18" ht="13.2" x14ac:dyDescent="0.25">
      <c r="A100" s="4" t="s">
        <v>126</v>
      </c>
      <c r="B100" s="4" t="s">
        <v>125</v>
      </c>
      <c r="C100" s="4" t="s">
        <v>395</v>
      </c>
      <c r="D100" s="4" t="s">
        <v>396</v>
      </c>
      <c r="E100" s="4">
        <v>5610</v>
      </c>
      <c r="F100" s="4" t="s">
        <v>127</v>
      </c>
      <c r="G100" s="4">
        <v>1663</v>
      </c>
      <c r="H100" s="4" t="s">
        <v>138</v>
      </c>
      <c r="I100" s="4">
        <v>2021</v>
      </c>
      <c r="J100" s="4">
        <v>2021</v>
      </c>
      <c r="K100" s="4" t="s">
        <v>339</v>
      </c>
      <c r="L100" s="81"/>
      <c r="M100" s="4" t="s">
        <v>397</v>
      </c>
      <c r="N100" s="4" t="s">
        <v>398</v>
      </c>
      <c r="O100" s="10"/>
      <c r="P100" s="6"/>
      <c r="Q100" s="9"/>
    </row>
    <row r="101" spans="1:18" ht="13.2" x14ac:dyDescent="0.25">
      <c r="A101" s="4" t="s">
        <v>126</v>
      </c>
      <c r="B101" s="4" t="s">
        <v>125</v>
      </c>
      <c r="C101" s="4" t="s">
        <v>395</v>
      </c>
      <c r="D101" s="4" t="s">
        <v>396</v>
      </c>
      <c r="E101" s="4">
        <v>5910</v>
      </c>
      <c r="F101" s="4" t="s">
        <v>124</v>
      </c>
      <c r="G101" s="4">
        <v>1663</v>
      </c>
      <c r="H101" s="4" t="s">
        <v>138</v>
      </c>
      <c r="I101" s="4">
        <v>2021</v>
      </c>
      <c r="J101" s="4">
        <v>2021</v>
      </c>
      <c r="K101" s="4" t="s">
        <v>339</v>
      </c>
      <c r="L101" s="81"/>
      <c r="M101" s="4" t="s">
        <v>397</v>
      </c>
      <c r="N101" s="4" t="s">
        <v>398</v>
      </c>
      <c r="O101" s="10"/>
      <c r="P101" s="6"/>
      <c r="Q101" s="9"/>
    </row>
    <row r="102" spans="1:18" ht="13.2" x14ac:dyDescent="0.25">
      <c r="A102" s="4" t="s">
        <v>126</v>
      </c>
      <c r="B102" s="4" t="s">
        <v>125</v>
      </c>
      <c r="C102" s="4" t="s">
        <v>395</v>
      </c>
      <c r="D102" s="4" t="s">
        <v>396</v>
      </c>
      <c r="E102" s="4">
        <v>5510</v>
      </c>
      <c r="F102" s="4" t="s">
        <v>128</v>
      </c>
      <c r="G102" s="4">
        <v>1686</v>
      </c>
      <c r="H102" s="4" t="s">
        <v>137</v>
      </c>
      <c r="I102" s="4">
        <v>2021</v>
      </c>
      <c r="J102" s="4">
        <v>2021</v>
      </c>
      <c r="K102" s="4" t="s">
        <v>339</v>
      </c>
      <c r="L102" s="6">
        <v>3141938</v>
      </c>
      <c r="M102" s="4" t="s">
        <v>397</v>
      </c>
      <c r="N102" s="4" t="s">
        <v>398</v>
      </c>
      <c r="O102" s="10"/>
      <c r="P102" s="6"/>
      <c r="Q102" s="9"/>
    </row>
    <row r="103" spans="1:18" ht="13.2" x14ac:dyDescent="0.25">
      <c r="A103" s="4" t="s">
        <v>126</v>
      </c>
      <c r="B103" s="4" t="s">
        <v>125</v>
      </c>
      <c r="C103" s="4" t="s">
        <v>395</v>
      </c>
      <c r="D103" s="4" t="s">
        <v>396</v>
      </c>
      <c r="E103" s="4">
        <v>5610</v>
      </c>
      <c r="F103" s="4" t="s">
        <v>127</v>
      </c>
      <c r="G103" s="4">
        <v>1686</v>
      </c>
      <c r="H103" s="4" t="s">
        <v>137</v>
      </c>
      <c r="I103" s="4">
        <v>2021</v>
      </c>
      <c r="J103" s="4">
        <v>2021</v>
      </c>
      <c r="K103" s="4" t="s">
        <v>339</v>
      </c>
      <c r="L103" s="81"/>
      <c r="M103" s="4" t="s">
        <v>397</v>
      </c>
      <c r="N103" s="4" t="s">
        <v>398</v>
      </c>
      <c r="O103" s="10"/>
      <c r="P103" s="6"/>
      <c r="Q103" s="9"/>
    </row>
    <row r="104" spans="1:18" ht="13.2" x14ac:dyDescent="0.25">
      <c r="A104" s="4" t="s">
        <v>126</v>
      </c>
      <c r="B104" s="4" t="s">
        <v>125</v>
      </c>
      <c r="C104" s="4" t="s">
        <v>395</v>
      </c>
      <c r="D104" s="4" t="s">
        <v>396</v>
      </c>
      <c r="E104" s="4">
        <v>5910</v>
      </c>
      <c r="F104" s="4" t="s">
        <v>124</v>
      </c>
      <c r="G104" s="4">
        <v>1686</v>
      </c>
      <c r="H104" s="4" t="s">
        <v>137</v>
      </c>
      <c r="I104" s="4">
        <v>2021</v>
      </c>
      <c r="J104" s="4">
        <v>2021</v>
      </c>
      <c r="K104" s="4" t="s">
        <v>339</v>
      </c>
      <c r="L104" s="81"/>
      <c r="M104" s="4" t="s">
        <v>397</v>
      </c>
      <c r="N104" s="4" t="s">
        <v>398</v>
      </c>
      <c r="O104" s="10"/>
      <c r="P104" s="6"/>
      <c r="Q104" s="9"/>
    </row>
    <row r="105" spans="1:18" ht="13.2" x14ac:dyDescent="0.25">
      <c r="A105" s="4" t="s">
        <v>126</v>
      </c>
      <c r="B105" s="4" t="s">
        <v>125</v>
      </c>
      <c r="C105" s="4" t="s">
        <v>395</v>
      </c>
      <c r="D105" s="4" t="s">
        <v>396</v>
      </c>
      <c r="E105" s="4">
        <v>5510</v>
      </c>
      <c r="F105" s="4" t="s">
        <v>128</v>
      </c>
      <c r="G105" s="4">
        <v>1660</v>
      </c>
      <c r="H105" s="4" t="s">
        <v>136</v>
      </c>
      <c r="I105" s="4">
        <v>2021</v>
      </c>
      <c r="J105" s="4">
        <v>2021</v>
      </c>
      <c r="L105" s="6"/>
      <c r="O105" s="10"/>
      <c r="P105" s="6"/>
      <c r="Q105" s="9"/>
    </row>
    <row r="106" spans="1:18" ht="13.2" x14ac:dyDescent="0.25">
      <c r="A106" s="4" t="s">
        <v>126</v>
      </c>
      <c r="B106" s="4" t="s">
        <v>125</v>
      </c>
      <c r="C106" s="4" t="s">
        <v>395</v>
      </c>
      <c r="D106" s="4" t="s">
        <v>396</v>
      </c>
      <c r="E106" s="4">
        <v>5610</v>
      </c>
      <c r="F106" s="4" t="s">
        <v>127</v>
      </c>
      <c r="G106" s="4">
        <v>1660</v>
      </c>
      <c r="H106" s="4" t="s">
        <v>136</v>
      </c>
      <c r="I106" s="4">
        <v>2021</v>
      </c>
      <c r="J106" s="4">
        <v>2021</v>
      </c>
      <c r="L106" s="81"/>
      <c r="O106" s="10"/>
      <c r="P106" s="6"/>
      <c r="Q106" s="9"/>
    </row>
    <row r="107" spans="1:18" ht="13.2" x14ac:dyDescent="0.25">
      <c r="A107" s="4" t="s">
        <v>126</v>
      </c>
      <c r="B107" s="4" t="s">
        <v>125</v>
      </c>
      <c r="C107" s="4" t="s">
        <v>395</v>
      </c>
      <c r="D107" s="4" t="s">
        <v>396</v>
      </c>
      <c r="E107" s="4">
        <v>5910</v>
      </c>
      <c r="F107" s="4" t="s">
        <v>124</v>
      </c>
      <c r="G107" s="4">
        <v>1660</v>
      </c>
      <c r="H107" s="4" t="s">
        <v>136</v>
      </c>
      <c r="I107" s="4">
        <v>2021</v>
      </c>
      <c r="J107" s="4">
        <v>2021</v>
      </c>
      <c r="L107" s="81"/>
      <c r="O107" s="10"/>
      <c r="P107" s="6"/>
      <c r="Q107" s="9"/>
    </row>
    <row r="108" spans="1:18" ht="13.2" x14ac:dyDescent="0.25">
      <c r="A108" s="4" t="s">
        <v>126</v>
      </c>
      <c r="B108" s="4" t="s">
        <v>125</v>
      </c>
      <c r="C108" s="4" t="s">
        <v>395</v>
      </c>
      <c r="D108" s="4" t="s">
        <v>396</v>
      </c>
      <c r="E108" s="4">
        <v>5510</v>
      </c>
      <c r="F108" s="4" t="s">
        <v>128</v>
      </c>
      <c r="G108" s="4">
        <v>1661</v>
      </c>
      <c r="H108" s="4" t="s">
        <v>135</v>
      </c>
      <c r="I108" s="4">
        <v>2021</v>
      </c>
      <c r="J108" s="4">
        <v>2021</v>
      </c>
      <c r="L108" s="6"/>
      <c r="O108" s="10"/>
      <c r="P108" s="6"/>
      <c r="Q108" s="9"/>
    </row>
    <row r="109" spans="1:18" ht="13.2" x14ac:dyDescent="0.25">
      <c r="A109" s="4" t="s">
        <v>126</v>
      </c>
      <c r="B109" s="4" t="s">
        <v>125</v>
      </c>
      <c r="C109" s="4" t="s">
        <v>395</v>
      </c>
      <c r="D109" s="4" t="s">
        <v>396</v>
      </c>
      <c r="E109" s="4">
        <v>5610</v>
      </c>
      <c r="F109" s="4" t="s">
        <v>127</v>
      </c>
      <c r="G109" s="4">
        <v>1661</v>
      </c>
      <c r="H109" s="4" t="s">
        <v>135</v>
      </c>
      <c r="I109" s="4">
        <v>2021</v>
      </c>
      <c r="J109" s="4">
        <v>2021</v>
      </c>
      <c r="L109" s="81"/>
      <c r="O109" s="10"/>
      <c r="P109" s="6"/>
      <c r="Q109" s="9"/>
    </row>
    <row r="110" spans="1:18" ht="13.2" x14ac:dyDescent="0.25">
      <c r="A110" s="4" t="s">
        <v>126</v>
      </c>
      <c r="B110" s="4" t="s">
        <v>125</v>
      </c>
      <c r="C110" s="4" t="s">
        <v>395</v>
      </c>
      <c r="D110" s="4" t="s">
        <v>396</v>
      </c>
      <c r="E110" s="4">
        <v>5910</v>
      </c>
      <c r="F110" s="4" t="s">
        <v>124</v>
      </c>
      <c r="G110" s="4">
        <v>1661</v>
      </c>
      <c r="H110" s="4" t="s">
        <v>135</v>
      </c>
      <c r="I110" s="4">
        <v>2021</v>
      </c>
      <c r="J110" s="4">
        <v>2021</v>
      </c>
      <c r="L110" s="81"/>
      <c r="O110" s="10"/>
      <c r="P110" s="6"/>
      <c r="Q110" s="9"/>
    </row>
    <row r="111" spans="1:18" ht="13.2" x14ac:dyDescent="0.25">
      <c r="A111" s="4" t="s">
        <v>126</v>
      </c>
      <c r="B111" s="4" t="s">
        <v>125</v>
      </c>
      <c r="C111" s="4" t="s">
        <v>395</v>
      </c>
      <c r="D111" s="4" t="s">
        <v>396</v>
      </c>
      <c r="E111" s="4">
        <v>5510</v>
      </c>
      <c r="F111" s="4" t="s">
        <v>128</v>
      </c>
      <c r="G111" s="4">
        <v>1667</v>
      </c>
      <c r="H111" s="4" t="s">
        <v>96</v>
      </c>
      <c r="I111" s="4">
        <v>2021</v>
      </c>
      <c r="J111" s="4">
        <v>2021</v>
      </c>
      <c r="K111" s="4" t="s">
        <v>339</v>
      </c>
      <c r="L111" s="6">
        <v>8519424</v>
      </c>
      <c r="M111" s="4" t="s">
        <v>397</v>
      </c>
      <c r="N111" s="4" t="s">
        <v>398</v>
      </c>
      <c r="O111" s="10">
        <f>'conversion-factors'!D39</f>
        <v>0.97128154438609937</v>
      </c>
      <c r="P111" s="6">
        <f t="shared" si="9"/>
        <v>8274759.2999999998</v>
      </c>
      <c r="Q111" s="9">
        <f>faostatdata[[#This Row],[Value (odmt)]]*(10^-6)</f>
        <v>8.2747592999999995</v>
      </c>
      <c r="R111" s="4" t="str">
        <f t="shared" ref="R111:R128" si="10">CONCATENATE("(",E111,",",G111,")")</f>
        <v>(5510,1667)</v>
      </c>
    </row>
    <row r="112" spans="1:18" ht="13.2" x14ac:dyDescent="0.25">
      <c r="A112" s="4" t="s">
        <v>126</v>
      </c>
      <c r="B112" s="4" t="s">
        <v>125</v>
      </c>
      <c r="C112" s="4" t="s">
        <v>395</v>
      </c>
      <c r="D112" s="4" t="s">
        <v>396</v>
      </c>
      <c r="E112" s="4">
        <v>5610</v>
      </c>
      <c r="F112" s="4" t="s">
        <v>127</v>
      </c>
      <c r="G112" s="4">
        <v>1667</v>
      </c>
      <c r="H112" s="4" t="s">
        <v>96</v>
      </c>
      <c r="I112" s="4">
        <v>2021</v>
      </c>
      <c r="J112" s="4">
        <v>2021</v>
      </c>
      <c r="K112" s="4" t="s">
        <v>339</v>
      </c>
      <c r="L112" s="81"/>
      <c r="M112" s="4" t="s">
        <v>397</v>
      </c>
      <c r="N112" s="4" t="s">
        <v>398</v>
      </c>
      <c r="O112" s="10"/>
      <c r="P112" s="6">
        <f t="shared" si="9"/>
        <v>0</v>
      </c>
      <c r="Q112" s="9">
        <f>faostatdata[[#This Row],[Value (odmt)]]*(10^-6)</f>
        <v>0</v>
      </c>
      <c r="R112" s="4" t="str">
        <f t="shared" si="10"/>
        <v>(5610,1667)</v>
      </c>
    </row>
    <row r="113" spans="1:18" ht="13.2" x14ac:dyDescent="0.25">
      <c r="A113" s="4" t="s">
        <v>126</v>
      </c>
      <c r="B113" s="4" t="s">
        <v>125</v>
      </c>
      <c r="C113" s="4" t="s">
        <v>395</v>
      </c>
      <c r="D113" s="4" t="s">
        <v>396</v>
      </c>
      <c r="E113" s="4">
        <v>5910</v>
      </c>
      <c r="F113" s="4" t="s">
        <v>124</v>
      </c>
      <c r="G113" s="4">
        <v>1667</v>
      </c>
      <c r="H113" s="4" t="s">
        <v>96</v>
      </c>
      <c r="I113" s="4">
        <v>2021</v>
      </c>
      <c r="J113" s="4">
        <v>2021</v>
      </c>
      <c r="K113" s="4" t="s">
        <v>339</v>
      </c>
      <c r="L113" s="81"/>
      <c r="M113" s="4" t="s">
        <v>397</v>
      </c>
      <c r="N113" s="4" t="s">
        <v>398</v>
      </c>
      <c r="O113" s="10"/>
      <c r="P113" s="6">
        <f t="shared" si="9"/>
        <v>0</v>
      </c>
      <c r="Q113" s="9">
        <f>faostatdata[[#This Row],[Value (odmt)]]*(10^-6)</f>
        <v>0</v>
      </c>
      <c r="R113" s="4" t="str">
        <f t="shared" si="10"/>
        <v>(5910,1667)</v>
      </c>
    </row>
    <row r="114" spans="1:18" ht="13.2" x14ac:dyDescent="0.25">
      <c r="A114" s="4" t="s">
        <v>126</v>
      </c>
      <c r="B114" s="4" t="s">
        <v>125</v>
      </c>
      <c r="C114" s="4" t="s">
        <v>395</v>
      </c>
      <c r="D114" s="4" t="s">
        <v>396</v>
      </c>
      <c r="E114" s="4">
        <v>5510</v>
      </c>
      <c r="F114" s="4" t="s">
        <v>128</v>
      </c>
      <c r="G114" s="4">
        <v>1668</v>
      </c>
      <c r="H114" s="4" t="s">
        <v>95</v>
      </c>
      <c r="I114" s="4">
        <v>2021</v>
      </c>
      <c r="J114" s="4">
        <v>2021</v>
      </c>
      <c r="K114" s="4" t="s">
        <v>339</v>
      </c>
      <c r="L114" s="6">
        <v>11547781</v>
      </c>
      <c r="M114" s="4" t="s">
        <v>397</v>
      </c>
      <c r="N114" s="4" t="s">
        <v>398</v>
      </c>
      <c r="O114" s="10">
        <f>'conversion-factors'!D40</f>
        <v>0.89203218349915026</v>
      </c>
      <c r="P114" s="6">
        <f t="shared" si="9"/>
        <v>10300992.300000001</v>
      </c>
      <c r="Q114" s="9">
        <f>faostatdata[[#This Row],[Value (odmt)]]*(10^-6)</f>
        <v>10.300992300000001</v>
      </c>
      <c r="R114" s="4" t="str">
        <f t="shared" si="10"/>
        <v>(5510,1668)</v>
      </c>
    </row>
    <row r="115" spans="1:18" ht="13.2" x14ac:dyDescent="0.25">
      <c r="A115" s="4" t="s">
        <v>126</v>
      </c>
      <c r="B115" s="4" t="s">
        <v>125</v>
      </c>
      <c r="C115" s="4" t="s">
        <v>395</v>
      </c>
      <c r="D115" s="4" t="s">
        <v>396</v>
      </c>
      <c r="E115" s="4">
        <v>5610</v>
      </c>
      <c r="F115" s="4" t="s">
        <v>127</v>
      </c>
      <c r="G115" s="4">
        <v>1668</v>
      </c>
      <c r="H115" s="4" t="s">
        <v>95</v>
      </c>
      <c r="I115" s="4">
        <v>2021</v>
      </c>
      <c r="J115" s="4">
        <v>2021</v>
      </c>
      <c r="K115" s="4" t="s">
        <v>339</v>
      </c>
      <c r="L115" s="81"/>
      <c r="M115" s="4" t="s">
        <v>397</v>
      </c>
      <c r="N115" s="4" t="s">
        <v>398</v>
      </c>
      <c r="O115" s="10"/>
      <c r="P115" s="6">
        <f t="shared" si="9"/>
        <v>0</v>
      </c>
      <c r="Q115" s="9">
        <f>faostatdata[[#This Row],[Value (odmt)]]*(10^-6)</f>
        <v>0</v>
      </c>
      <c r="R115" s="4" t="str">
        <f t="shared" si="10"/>
        <v>(5610,1668)</v>
      </c>
    </row>
    <row r="116" spans="1:18" ht="13.2" x14ac:dyDescent="0.25">
      <c r="A116" s="4" t="s">
        <v>126</v>
      </c>
      <c r="B116" s="4" t="s">
        <v>125</v>
      </c>
      <c r="C116" s="4" t="s">
        <v>395</v>
      </c>
      <c r="D116" s="4" t="s">
        <v>396</v>
      </c>
      <c r="E116" s="4">
        <v>5910</v>
      </c>
      <c r="F116" s="4" t="s">
        <v>124</v>
      </c>
      <c r="G116" s="4">
        <v>1668</v>
      </c>
      <c r="H116" s="4" t="s">
        <v>95</v>
      </c>
      <c r="I116" s="4">
        <v>2021</v>
      </c>
      <c r="J116" s="4">
        <v>2021</v>
      </c>
      <c r="K116" s="4" t="s">
        <v>339</v>
      </c>
      <c r="L116" s="81"/>
      <c r="M116" s="4" t="s">
        <v>397</v>
      </c>
      <c r="N116" s="4" t="s">
        <v>398</v>
      </c>
      <c r="O116" s="10"/>
      <c r="P116" s="6">
        <f t="shared" ref="P116:P143" si="11">L116*O116</f>
        <v>0</v>
      </c>
      <c r="Q116" s="9">
        <f>faostatdata[[#This Row],[Value (odmt)]]*(10^-6)</f>
        <v>0</v>
      </c>
      <c r="R116" s="4" t="str">
        <f t="shared" si="10"/>
        <v>(5910,1668)</v>
      </c>
    </row>
    <row r="117" spans="1:18" ht="13.2" x14ac:dyDescent="0.25">
      <c r="A117" s="4" t="s">
        <v>126</v>
      </c>
      <c r="B117" s="4" t="s">
        <v>125</v>
      </c>
      <c r="C117" s="4" t="s">
        <v>395</v>
      </c>
      <c r="D117" s="4" t="s">
        <v>396</v>
      </c>
      <c r="E117" s="4">
        <v>5510</v>
      </c>
      <c r="F117" s="4" t="s">
        <v>128</v>
      </c>
      <c r="G117" s="4">
        <v>1609</v>
      </c>
      <c r="H117" s="4" t="s">
        <v>94</v>
      </c>
      <c r="I117" s="4">
        <v>2021</v>
      </c>
      <c r="J117" s="4">
        <v>2021</v>
      </c>
      <c r="L117" s="6"/>
      <c r="O117" s="10"/>
      <c r="P117" s="6">
        <f t="shared" si="11"/>
        <v>0</v>
      </c>
      <c r="Q117" s="9">
        <f>faostatdata[[#This Row],[Value (odmt)]]*(10^-6)</f>
        <v>0</v>
      </c>
      <c r="R117" s="4" t="str">
        <f t="shared" si="10"/>
        <v>(5510,1609)</v>
      </c>
    </row>
    <row r="118" spans="1:18" ht="13.2" x14ac:dyDescent="0.25">
      <c r="A118" s="4" t="s">
        <v>126</v>
      </c>
      <c r="B118" s="4" t="s">
        <v>125</v>
      </c>
      <c r="C118" s="4" t="s">
        <v>395</v>
      </c>
      <c r="D118" s="4" t="s">
        <v>396</v>
      </c>
      <c r="E118" s="4">
        <v>5610</v>
      </c>
      <c r="F118" s="4" t="s">
        <v>127</v>
      </c>
      <c r="G118" s="4">
        <v>1609</v>
      </c>
      <c r="H118" s="4" t="s">
        <v>94</v>
      </c>
      <c r="I118" s="4">
        <v>2021</v>
      </c>
      <c r="J118" s="4">
        <v>2021</v>
      </c>
      <c r="K118" s="4" t="s">
        <v>339</v>
      </c>
      <c r="L118" s="81"/>
      <c r="M118" s="4" t="s">
        <v>397</v>
      </c>
      <c r="N118" s="4" t="s">
        <v>398</v>
      </c>
      <c r="O118" s="10"/>
      <c r="P118" s="6">
        <f t="shared" si="11"/>
        <v>0</v>
      </c>
      <c r="Q118" s="9">
        <f>faostatdata[[#This Row],[Value (odmt)]]*(10^-6)</f>
        <v>0</v>
      </c>
      <c r="R118" s="4" t="str">
        <f t="shared" si="10"/>
        <v>(5610,1609)</v>
      </c>
    </row>
    <row r="119" spans="1:18" ht="13.2" x14ac:dyDescent="0.25">
      <c r="A119" s="4" t="s">
        <v>126</v>
      </c>
      <c r="B119" s="4" t="s">
        <v>125</v>
      </c>
      <c r="C119" s="4" t="s">
        <v>395</v>
      </c>
      <c r="D119" s="4" t="s">
        <v>396</v>
      </c>
      <c r="E119" s="4">
        <v>5910</v>
      </c>
      <c r="F119" s="4" t="s">
        <v>124</v>
      </c>
      <c r="G119" s="4">
        <v>1609</v>
      </c>
      <c r="H119" s="4" t="s">
        <v>94</v>
      </c>
      <c r="I119" s="4">
        <v>2021</v>
      </c>
      <c r="J119" s="4">
        <v>2021</v>
      </c>
      <c r="K119" s="4" t="s">
        <v>339</v>
      </c>
      <c r="L119" s="81"/>
      <c r="M119" s="4" t="s">
        <v>397</v>
      </c>
      <c r="N119" s="4" t="s">
        <v>398</v>
      </c>
      <c r="O119" s="10"/>
      <c r="P119" s="6">
        <f t="shared" si="11"/>
        <v>0</v>
      </c>
      <c r="Q119" s="9">
        <f>faostatdata[[#This Row],[Value (odmt)]]*(10^-6)</f>
        <v>0</v>
      </c>
      <c r="R119" s="4" t="str">
        <f t="shared" si="10"/>
        <v>(5910,1609)</v>
      </c>
    </row>
    <row r="120" spans="1:18" ht="13.2" x14ac:dyDescent="0.25">
      <c r="A120" s="4" t="s">
        <v>126</v>
      </c>
      <c r="B120" s="4" t="s">
        <v>125</v>
      </c>
      <c r="C120" s="4" t="s">
        <v>395</v>
      </c>
      <c r="D120" s="4" t="s">
        <v>396</v>
      </c>
      <c r="E120" s="4">
        <v>5510</v>
      </c>
      <c r="F120" s="4" t="s">
        <v>128</v>
      </c>
      <c r="G120" s="4">
        <v>1669</v>
      </c>
      <c r="H120" s="4" t="s">
        <v>134</v>
      </c>
      <c r="I120" s="4">
        <v>2021</v>
      </c>
      <c r="J120" s="4">
        <v>2021</v>
      </c>
      <c r="K120" s="4" t="s">
        <v>339</v>
      </c>
      <c r="L120" s="6">
        <v>244421015</v>
      </c>
      <c r="M120" s="4" t="s">
        <v>397</v>
      </c>
      <c r="N120" s="4" t="s">
        <v>398</v>
      </c>
      <c r="O120" s="124">
        <f>'conversion-factors'!D43</f>
        <v>0.87398991653806857</v>
      </c>
      <c r="P120" s="6">
        <f t="shared" si="11"/>
        <v>213621502.5</v>
      </c>
      <c r="Q120" s="9">
        <f>faostatdata[[#This Row],[Value (odmt)]]*(10^-6)</f>
        <v>213.62150249999999</v>
      </c>
      <c r="R120" s="4" t="str">
        <f t="shared" si="10"/>
        <v>(5510,1669)</v>
      </c>
    </row>
    <row r="121" spans="1:18" ht="13.2" x14ac:dyDescent="0.25">
      <c r="A121" s="4" t="s">
        <v>126</v>
      </c>
      <c r="B121" s="4" t="s">
        <v>125</v>
      </c>
      <c r="C121" s="4" t="s">
        <v>395</v>
      </c>
      <c r="D121" s="4" t="s">
        <v>396</v>
      </c>
      <c r="E121" s="4">
        <v>5610</v>
      </c>
      <c r="F121" s="4" t="s">
        <v>127</v>
      </c>
      <c r="G121" s="4">
        <v>1669</v>
      </c>
      <c r="H121" s="4" t="s">
        <v>134</v>
      </c>
      <c r="I121" s="4">
        <v>2021</v>
      </c>
      <c r="J121" s="4">
        <v>2021</v>
      </c>
      <c r="K121" s="4" t="s">
        <v>339</v>
      </c>
      <c r="L121" s="81"/>
      <c r="M121" s="4" t="s">
        <v>397</v>
      </c>
      <c r="N121" s="4" t="s">
        <v>398</v>
      </c>
      <c r="O121" s="124"/>
      <c r="P121" s="6">
        <f t="shared" si="11"/>
        <v>0</v>
      </c>
      <c r="Q121" s="9">
        <f>faostatdata[[#This Row],[Value (odmt)]]*(10^-6)</f>
        <v>0</v>
      </c>
      <c r="R121" s="4" t="str">
        <f t="shared" si="10"/>
        <v>(5610,1669)</v>
      </c>
    </row>
    <row r="122" spans="1:18" ht="13.2" x14ac:dyDescent="0.25">
      <c r="A122" s="4" t="s">
        <v>126</v>
      </c>
      <c r="B122" s="4" t="s">
        <v>125</v>
      </c>
      <c r="C122" s="4" t="s">
        <v>395</v>
      </c>
      <c r="D122" s="4" t="s">
        <v>396</v>
      </c>
      <c r="E122" s="4">
        <v>5910</v>
      </c>
      <c r="F122" s="4" t="s">
        <v>124</v>
      </c>
      <c r="G122" s="4">
        <v>1669</v>
      </c>
      <c r="H122" s="4" t="s">
        <v>134</v>
      </c>
      <c r="I122" s="4">
        <v>2021</v>
      </c>
      <c r="J122" s="4">
        <v>2021</v>
      </c>
      <c r="K122" s="4" t="s">
        <v>339</v>
      </c>
      <c r="L122" s="81"/>
      <c r="M122" s="4" t="s">
        <v>397</v>
      </c>
      <c r="N122" s="4" t="s">
        <v>398</v>
      </c>
      <c r="O122" s="124"/>
      <c r="P122" s="6">
        <f t="shared" si="11"/>
        <v>0</v>
      </c>
      <c r="Q122" s="9">
        <f>faostatdata[[#This Row],[Value (odmt)]]*(10^-6)</f>
        <v>0</v>
      </c>
      <c r="R122" s="4" t="str">
        <f t="shared" si="10"/>
        <v>(5910,1669)</v>
      </c>
    </row>
    <row r="123" spans="1:18" ht="13.2" x14ac:dyDescent="0.25">
      <c r="A123" s="4" t="s">
        <v>126</v>
      </c>
      <c r="B123" s="4" t="s">
        <v>125</v>
      </c>
      <c r="C123" s="4" t="s">
        <v>395</v>
      </c>
      <c r="D123" s="4" t="s">
        <v>396</v>
      </c>
      <c r="E123" s="4">
        <v>5510</v>
      </c>
      <c r="F123" s="4" t="s">
        <v>128</v>
      </c>
      <c r="G123" s="4">
        <v>1671</v>
      </c>
      <c r="H123" s="4" t="s">
        <v>89</v>
      </c>
      <c r="I123" s="4">
        <v>2021</v>
      </c>
      <c r="J123" s="4">
        <v>2021</v>
      </c>
      <c r="K123" s="4" t="s">
        <v>339</v>
      </c>
      <c r="L123" s="6">
        <v>14269603</v>
      </c>
      <c r="M123" s="4" t="s">
        <v>397</v>
      </c>
      <c r="N123" s="4" t="s">
        <v>398</v>
      </c>
      <c r="O123" s="124">
        <f>'conversion-factors'!D44</f>
        <v>0.93647300839413661</v>
      </c>
      <c r="P123" s="6">
        <f t="shared" si="11"/>
        <v>13363098.049999997</v>
      </c>
      <c r="Q123" s="9">
        <f>faostatdata[[#This Row],[Value (odmt)]]*(10^-6)</f>
        <v>13.363098049999996</v>
      </c>
      <c r="R123" s="4" t="str">
        <f t="shared" si="10"/>
        <v>(5510,1671)</v>
      </c>
    </row>
    <row r="124" spans="1:18" ht="13.2" x14ac:dyDescent="0.25">
      <c r="A124" s="4" t="s">
        <v>126</v>
      </c>
      <c r="B124" s="4" t="s">
        <v>125</v>
      </c>
      <c r="C124" s="4" t="s">
        <v>395</v>
      </c>
      <c r="D124" s="4" t="s">
        <v>396</v>
      </c>
      <c r="E124" s="4">
        <v>5610</v>
      </c>
      <c r="F124" s="4" t="s">
        <v>127</v>
      </c>
      <c r="G124" s="4">
        <v>1671</v>
      </c>
      <c r="H124" s="4" t="s">
        <v>89</v>
      </c>
      <c r="I124" s="4">
        <v>2021</v>
      </c>
      <c r="J124" s="4">
        <v>2021</v>
      </c>
      <c r="K124" s="4" t="s">
        <v>339</v>
      </c>
      <c r="L124" s="81"/>
      <c r="M124" s="4" t="s">
        <v>397</v>
      </c>
      <c r="N124" s="4" t="s">
        <v>398</v>
      </c>
      <c r="O124" s="124"/>
      <c r="P124" s="6">
        <f t="shared" si="11"/>
        <v>0</v>
      </c>
      <c r="Q124" s="9">
        <f>faostatdata[[#This Row],[Value (odmt)]]*(10^-6)</f>
        <v>0</v>
      </c>
      <c r="R124" s="4" t="str">
        <f t="shared" si="10"/>
        <v>(5610,1671)</v>
      </c>
    </row>
    <row r="125" spans="1:18" ht="13.2" x14ac:dyDescent="0.25">
      <c r="A125" s="4" t="s">
        <v>126</v>
      </c>
      <c r="B125" s="4" t="s">
        <v>125</v>
      </c>
      <c r="C125" s="4" t="s">
        <v>395</v>
      </c>
      <c r="D125" s="4" t="s">
        <v>396</v>
      </c>
      <c r="E125" s="4">
        <v>5910</v>
      </c>
      <c r="F125" s="4" t="s">
        <v>124</v>
      </c>
      <c r="G125" s="4">
        <v>1671</v>
      </c>
      <c r="H125" s="4" t="s">
        <v>89</v>
      </c>
      <c r="I125" s="4">
        <v>2021</v>
      </c>
      <c r="J125" s="4">
        <v>2021</v>
      </c>
      <c r="K125" s="4" t="s">
        <v>339</v>
      </c>
      <c r="L125" s="81"/>
      <c r="M125" s="4" t="s">
        <v>397</v>
      </c>
      <c r="N125" s="4" t="s">
        <v>398</v>
      </c>
      <c r="O125" s="124"/>
      <c r="P125" s="6">
        <f t="shared" si="11"/>
        <v>0</v>
      </c>
      <c r="Q125" s="9">
        <f>faostatdata[[#This Row],[Value (odmt)]]*(10^-6)</f>
        <v>0</v>
      </c>
      <c r="R125" s="4" t="str">
        <f t="shared" si="10"/>
        <v>(5910,1671)</v>
      </c>
    </row>
    <row r="126" spans="1:18" ht="13.2" x14ac:dyDescent="0.25">
      <c r="A126" s="4" t="s">
        <v>126</v>
      </c>
      <c r="B126" s="4" t="s">
        <v>125</v>
      </c>
      <c r="C126" s="4" t="s">
        <v>395</v>
      </c>
      <c r="D126" s="4" t="s">
        <v>396</v>
      </c>
      <c r="E126" s="4">
        <v>5510</v>
      </c>
      <c r="F126" s="4" t="s">
        <v>128</v>
      </c>
      <c r="G126" s="4">
        <v>1674</v>
      </c>
      <c r="H126" s="4" t="s">
        <v>88</v>
      </c>
      <c r="I126" s="4">
        <v>2021</v>
      </c>
      <c r="J126" s="4">
        <v>2021</v>
      </c>
      <c r="K126" s="4" t="s">
        <v>339</v>
      </c>
      <c r="L126" s="6">
        <v>81679675</v>
      </c>
      <c r="M126" s="4" t="s">
        <v>397</v>
      </c>
      <c r="N126" s="4" t="s">
        <v>398</v>
      </c>
      <c r="O126" s="124">
        <f>'conversion-factors'!D45</f>
        <v>0.95404373854327895</v>
      </c>
      <c r="P126" s="6">
        <f t="shared" si="11"/>
        <v>77925982.5</v>
      </c>
      <c r="Q126" s="9">
        <f>faostatdata[[#This Row],[Value (odmt)]]*(10^-6)</f>
        <v>77.925982500000003</v>
      </c>
      <c r="R126" s="4" t="str">
        <f t="shared" si="10"/>
        <v>(5510,1674)</v>
      </c>
    </row>
    <row r="127" spans="1:18" ht="13.2" x14ac:dyDescent="0.25">
      <c r="A127" s="4" t="s">
        <v>126</v>
      </c>
      <c r="B127" s="4" t="s">
        <v>125</v>
      </c>
      <c r="C127" s="4" t="s">
        <v>395</v>
      </c>
      <c r="D127" s="4" t="s">
        <v>396</v>
      </c>
      <c r="E127" s="4">
        <v>5610</v>
      </c>
      <c r="F127" s="4" t="s">
        <v>127</v>
      </c>
      <c r="G127" s="4">
        <v>1674</v>
      </c>
      <c r="H127" s="4" t="s">
        <v>88</v>
      </c>
      <c r="I127" s="4">
        <v>2021</v>
      </c>
      <c r="J127" s="4">
        <v>2021</v>
      </c>
      <c r="K127" s="4" t="s">
        <v>339</v>
      </c>
      <c r="L127" s="81"/>
      <c r="M127" s="4" t="s">
        <v>397</v>
      </c>
      <c r="N127" s="4" t="s">
        <v>398</v>
      </c>
      <c r="O127" s="124"/>
      <c r="P127" s="6">
        <f t="shared" si="11"/>
        <v>0</v>
      </c>
      <c r="Q127" s="9">
        <f>faostatdata[[#This Row],[Value (odmt)]]*(10^-6)</f>
        <v>0</v>
      </c>
      <c r="R127" s="4" t="str">
        <f t="shared" si="10"/>
        <v>(5610,1674)</v>
      </c>
    </row>
    <row r="128" spans="1:18" ht="13.2" x14ac:dyDescent="0.25">
      <c r="A128" s="4" t="s">
        <v>126</v>
      </c>
      <c r="B128" s="4" t="s">
        <v>125</v>
      </c>
      <c r="C128" s="4" t="s">
        <v>395</v>
      </c>
      <c r="D128" s="4" t="s">
        <v>396</v>
      </c>
      <c r="E128" s="4">
        <v>5910</v>
      </c>
      <c r="F128" s="4" t="s">
        <v>124</v>
      </c>
      <c r="G128" s="4">
        <v>1674</v>
      </c>
      <c r="H128" s="4" t="s">
        <v>88</v>
      </c>
      <c r="I128" s="4">
        <v>2021</v>
      </c>
      <c r="J128" s="4">
        <v>2021</v>
      </c>
      <c r="K128" s="4" t="s">
        <v>339</v>
      </c>
      <c r="L128" s="81"/>
      <c r="M128" s="4" t="s">
        <v>397</v>
      </c>
      <c r="N128" s="4" t="s">
        <v>398</v>
      </c>
      <c r="O128" s="124"/>
      <c r="P128" s="6">
        <f t="shared" si="11"/>
        <v>0</v>
      </c>
      <c r="Q128" s="9">
        <f>faostatdata[[#This Row],[Value (odmt)]]*(10^-6)</f>
        <v>0</v>
      </c>
      <c r="R128" s="4" t="str">
        <f t="shared" si="10"/>
        <v>(5910,1674)</v>
      </c>
    </row>
    <row r="129" spans="1:18" ht="13.2" x14ac:dyDescent="0.25">
      <c r="A129" s="4" t="s">
        <v>126</v>
      </c>
      <c r="B129" s="4" t="s">
        <v>125</v>
      </c>
      <c r="C129" s="4" t="s">
        <v>395</v>
      </c>
      <c r="D129" s="4" t="s">
        <v>396</v>
      </c>
      <c r="E129" s="4">
        <v>5510</v>
      </c>
      <c r="F129" s="4" t="s">
        <v>128</v>
      </c>
      <c r="G129" s="4">
        <v>1612</v>
      </c>
      <c r="H129" s="4" t="s">
        <v>133</v>
      </c>
      <c r="I129" s="4">
        <v>2021</v>
      </c>
      <c r="J129" s="4">
        <v>2021</v>
      </c>
      <c r="K129" s="4" t="s">
        <v>339</v>
      </c>
      <c r="L129" s="6">
        <v>26602083</v>
      </c>
      <c r="M129" s="4" t="s">
        <v>397</v>
      </c>
      <c r="N129" s="4" t="s">
        <v>398</v>
      </c>
      <c r="O129" s="124"/>
      <c r="P129" s="6"/>
      <c r="Q129" s="9"/>
    </row>
    <row r="130" spans="1:18" ht="13.2" x14ac:dyDescent="0.25">
      <c r="A130" s="4" t="s">
        <v>126</v>
      </c>
      <c r="B130" s="4" t="s">
        <v>125</v>
      </c>
      <c r="C130" s="4" t="s">
        <v>395</v>
      </c>
      <c r="D130" s="4" t="s">
        <v>396</v>
      </c>
      <c r="E130" s="4">
        <v>5610</v>
      </c>
      <c r="F130" s="4" t="s">
        <v>127</v>
      </c>
      <c r="G130" s="4">
        <v>1612</v>
      </c>
      <c r="H130" s="4" t="s">
        <v>133</v>
      </c>
      <c r="I130" s="4">
        <v>2021</v>
      </c>
      <c r="J130" s="4">
        <v>2021</v>
      </c>
      <c r="K130" s="4" t="s">
        <v>339</v>
      </c>
      <c r="L130" s="81"/>
      <c r="M130" s="4" t="s">
        <v>397</v>
      </c>
      <c r="N130" s="4" t="s">
        <v>398</v>
      </c>
      <c r="O130" s="124"/>
      <c r="P130" s="6"/>
      <c r="Q130" s="9"/>
    </row>
    <row r="131" spans="1:18" ht="13.2" x14ac:dyDescent="0.25">
      <c r="A131" s="4" t="s">
        <v>126</v>
      </c>
      <c r="B131" s="4" t="s">
        <v>125</v>
      </c>
      <c r="C131" s="4" t="s">
        <v>395</v>
      </c>
      <c r="D131" s="4" t="s">
        <v>396</v>
      </c>
      <c r="E131" s="4">
        <v>5910</v>
      </c>
      <c r="F131" s="4" t="s">
        <v>124</v>
      </c>
      <c r="G131" s="4">
        <v>1612</v>
      </c>
      <c r="H131" s="4" t="s">
        <v>133</v>
      </c>
      <c r="I131" s="4">
        <v>2021</v>
      </c>
      <c r="J131" s="4">
        <v>2021</v>
      </c>
      <c r="K131" s="4" t="s">
        <v>339</v>
      </c>
      <c r="L131" s="81"/>
      <c r="M131" s="4" t="s">
        <v>397</v>
      </c>
      <c r="N131" s="4" t="s">
        <v>398</v>
      </c>
      <c r="O131" s="124"/>
      <c r="P131" s="6"/>
      <c r="Q131" s="9"/>
    </row>
    <row r="132" spans="1:18" ht="13.2" x14ac:dyDescent="0.25">
      <c r="A132" s="4" t="s">
        <v>126</v>
      </c>
      <c r="B132" s="4" t="s">
        <v>125</v>
      </c>
      <c r="C132" s="4" t="s">
        <v>395</v>
      </c>
      <c r="D132" s="4" t="s">
        <v>396</v>
      </c>
      <c r="E132" s="4">
        <v>5510</v>
      </c>
      <c r="F132" s="4" t="s">
        <v>128</v>
      </c>
      <c r="G132" s="4">
        <v>1615</v>
      </c>
      <c r="H132" s="4" t="s">
        <v>132</v>
      </c>
      <c r="I132" s="4">
        <v>2021</v>
      </c>
      <c r="J132" s="4">
        <v>2021</v>
      </c>
      <c r="K132" s="4" t="s">
        <v>339</v>
      </c>
      <c r="L132" s="6">
        <v>28212384</v>
      </c>
      <c r="M132" s="4" t="s">
        <v>397</v>
      </c>
      <c r="N132" s="4" t="s">
        <v>398</v>
      </c>
      <c r="O132" s="124"/>
      <c r="P132" s="6"/>
      <c r="Q132" s="9"/>
    </row>
    <row r="133" spans="1:18" ht="13.2" x14ac:dyDescent="0.25">
      <c r="A133" s="4" t="s">
        <v>126</v>
      </c>
      <c r="B133" s="4" t="s">
        <v>125</v>
      </c>
      <c r="C133" s="4" t="s">
        <v>395</v>
      </c>
      <c r="D133" s="4" t="s">
        <v>396</v>
      </c>
      <c r="E133" s="4">
        <v>5610</v>
      </c>
      <c r="F133" s="4" t="s">
        <v>127</v>
      </c>
      <c r="G133" s="4">
        <v>1615</v>
      </c>
      <c r="H133" s="4" t="s">
        <v>132</v>
      </c>
      <c r="I133" s="4">
        <v>2021</v>
      </c>
      <c r="J133" s="4">
        <v>2021</v>
      </c>
      <c r="K133" s="4" t="s">
        <v>339</v>
      </c>
      <c r="L133" s="81"/>
      <c r="M133" s="4" t="s">
        <v>397</v>
      </c>
      <c r="N133" s="4" t="s">
        <v>398</v>
      </c>
      <c r="O133" s="124"/>
      <c r="P133" s="6"/>
      <c r="Q133" s="9"/>
    </row>
    <row r="134" spans="1:18" ht="13.2" x14ac:dyDescent="0.25">
      <c r="A134" s="4" t="s">
        <v>126</v>
      </c>
      <c r="B134" s="4" t="s">
        <v>125</v>
      </c>
      <c r="C134" s="4" t="s">
        <v>395</v>
      </c>
      <c r="D134" s="4" t="s">
        <v>396</v>
      </c>
      <c r="E134" s="4">
        <v>5910</v>
      </c>
      <c r="F134" s="4" t="s">
        <v>124</v>
      </c>
      <c r="G134" s="4">
        <v>1615</v>
      </c>
      <c r="H134" s="4" t="s">
        <v>132</v>
      </c>
      <c r="I134" s="4">
        <v>2021</v>
      </c>
      <c r="J134" s="4">
        <v>2021</v>
      </c>
      <c r="K134" s="4" t="s">
        <v>339</v>
      </c>
      <c r="L134" s="81"/>
      <c r="M134" s="4" t="s">
        <v>397</v>
      </c>
      <c r="N134" s="4" t="s">
        <v>398</v>
      </c>
      <c r="O134" s="124"/>
      <c r="P134" s="6"/>
      <c r="Q134" s="9"/>
    </row>
    <row r="135" spans="1:18" ht="13.2" x14ac:dyDescent="0.25">
      <c r="A135" s="4" t="s">
        <v>126</v>
      </c>
      <c r="B135" s="4" t="s">
        <v>125</v>
      </c>
      <c r="C135" s="4" t="s">
        <v>395</v>
      </c>
      <c r="D135" s="4" t="s">
        <v>396</v>
      </c>
      <c r="E135" s="4">
        <v>5510</v>
      </c>
      <c r="F135" s="4" t="s">
        <v>128</v>
      </c>
      <c r="G135" s="4">
        <v>1616</v>
      </c>
      <c r="H135" s="4" t="s">
        <v>131</v>
      </c>
      <c r="I135" s="4">
        <v>2021</v>
      </c>
      <c r="J135" s="4">
        <v>2021</v>
      </c>
      <c r="K135" s="4" t="s">
        <v>339</v>
      </c>
      <c r="L135" s="6">
        <v>26820025</v>
      </c>
      <c r="M135" s="4" t="s">
        <v>397</v>
      </c>
      <c r="N135" s="4" t="s">
        <v>398</v>
      </c>
      <c r="O135" s="124"/>
      <c r="P135" s="6"/>
      <c r="Q135" s="9"/>
    </row>
    <row r="136" spans="1:18" ht="13.2" x14ac:dyDescent="0.25">
      <c r="A136" s="4" t="s">
        <v>126</v>
      </c>
      <c r="B136" s="4" t="s">
        <v>125</v>
      </c>
      <c r="C136" s="4" t="s">
        <v>395</v>
      </c>
      <c r="D136" s="4" t="s">
        <v>396</v>
      </c>
      <c r="E136" s="4">
        <v>5610</v>
      </c>
      <c r="F136" s="4" t="s">
        <v>127</v>
      </c>
      <c r="G136" s="4">
        <v>1616</v>
      </c>
      <c r="H136" s="4" t="s">
        <v>131</v>
      </c>
      <c r="I136" s="4">
        <v>2021</v>
      </c>
      <c r="J136" s="4">
        <v>2021</v>
      </c>
      <c r="K136" s="4" t="s">
        <v>339</v>
      </c>
      <c r="L136" s="81"/>
      <c r="M136" s="4" t="s">
        <v>397</v>
      </c>
      <c r="N136" s="4" t="s">
        <v>398</v>
      </c>
      <c r="O136" s="124"/>
      <c r="P136" s="6"/>
      <c r="Q136" s="9"/>
    </row>
    <row r="137" spans="1:18" ht="13.2" x14ac:dyDescent="0.25">
      <c r="A137" s="4" t="s">
        <v>126</v>
      </c>
      <c r="B137" s="4" t="s">
        <v>125</v>
      </c>
      <c r="C137" s="4" t="s">
        <v>395</v>
      </c>
      <c r="D137" s="4" t="s">
        <v>396</v>
      </c>
      <c r="E137" s="4">
        <v>5910</v>
      </c>
      <c r="F137" s="4" t="s">
        <v>124</v>
      </c>
      <c r="G137" s="4">
        <v>1616</v>
      </c>
      <c r="H137" s="4" t="s">
        <v>131</v>
      </c>
      <c r="I137" s="4">
        <v>2021</v>
      </c>
      <c r="J137" s="4">
        <v>2021</v>
      </c>
      <c r="K137" s="4" t="s">
        <v>339</v>
      </c>
      <c r="L137" s="81"/>
      <c r="M137" s="4" t="s">
        <v>397</v>
      </c>
      <c r="N137" s="4" t="s">
        <v>398</v>
      </c>
      <c r="O137" s="124"/>
      <c r="P137" s="6"/>
      <c r="Q137" s="9"/>
    </row>
    <row r="138" spans="1:18" ht="13.2" x14ac:dyDescent="0.25">
      <c r="A138" s="4" t="s">
        <v>126</v>
      </c>
      <c r="B138" s="4" t="s">
        <v>125</v>
      </c>
      <c r="C138" s="4" t="s">
        <v>395</v>
      </c>
      <c r="D138" s="4" t="s">
        <v>396</v>
      </c>
      <c r="E138" s="4">
        <v>5510</v>
      </c>
      <c r="F138" s="4" t="s">
        <v>128</v>
      </c>
      <c r="G138" s="4">
        <v>1675</v>
      </c>
      <c r="H138" s="4" t="s">
        <v>87</v>
      </c>
      <c r="I138" s="4">
        <v>2021</v>
      </c>
      <c r="J138" s="4">
        <v>2021</v>
      </c>
      <c r="K138" s="4" t="s">
        <v>339</v>
      </c>
      <c r="L138" s="6">
        <v>321393421</v>
      </c>
      <c r="M138" s="4" t="s">
        <v>397</v>
      </c>
      <c r="N138" s="4" t="s">
        <v>398</v>
      </c>
      <c r="O138" s="124"/>
      <c r="P138" s="6"/>
      <c r="Q138" s="9"/>
    </row>
    <row r="139" spans="1:18" ht="13.2" x14ac:dyDescent="0.25">
      <c r="A139" s="4" t="s">
        <v>126</v>
      </c>
      <c r="B139" s="4" t="s">
        <v>125</v>
      </c>
      <c r="C139" s="4" t="s">
        <v>395</v>
      </c>
      <c r="D139" s="4" t="s">
        <v>396</v>
      </c>
      <c r="E139" s="4">
        <v>5610</v>
      </c>
      <c r="F139" s="4" t="s">
        <v>127</v>
      </c>
      <c r="G139" s="4">
        <v>1675</v>
      </c>
      <c r="H139" s="4" t="s">
        <v>87</v>
      </c>
      <c r="I139" s="4">
        <v>2021</v>
      </c>
      <c r="J139" s="4">
        <v>2021</v>
      </c>
      <c r="K139" s="4" t="s">
        <v>339</v>
      </c>
      <c r="L139" s="81"/>
      <c r="M139" s="4" t="s">
        <v>397</v>
      </c>
      <c r="N139" s="4" t="s">
        <v>398</v>
      </c>
      <c r="O139" s="124"/>
      <c r="P139" s="6"/>
      <c r="Q139" s="9"/>
    </row>
    <row r="140" spans="1:18" ht="13.2" x14ac:dyDescent="0.25">
      <c r="A140" s="4" t="s">
        <v>126</v>
      </c>
      <c r="B140" s="4" t="s">
        <v>125</v>
      </c>
      <c r="C140" s="4" t="s">
        <v>395</v>
      </c>
      <c r="D140" s="4" t="s">
        <v>396</v>
      </c>
      <c r="E140" s="4">
        <v>5910</v>
      </c>
      <c r="F140" s="4" t="s">
        <v>124</v>
      </c>
      <c r="G140" s="4">
        <v>1675</v>
      </c>
      <c r="H140" s="4" t="s">
        <v>87</v>
      </c>
      <c r="I140" s="4">
        <v>2021</v>
      </c>
      <c r="J140" s="4">
        <v>2021</v>
      </c>
      <c r="K140" s="4" t="s">
        <v>339</v>
      </c>
      <c r="L140" s="81"/>
      <c r="M140" s="4" t="s">
        <v>397</v>
      </c>
      <c r="N140" s="4" t="s">
        <v>398</v>
      </c>
      <c r="O140" s="124"/>
      <c r="P140" s="6"/>
      <c r="Q140" s="9"/>
    </row>
    <row r="141" spans="1:18" ht="13.2" x14ac:dyDescent="0.25">
      <c r="A141" s="4" t="s">
        <v>126</v>
      </c>
      <c r="B141" s="4" t="s">
        <v>125</v>
      </c>
      <c r="C141" s="4" t="s">
        <v>395</v>
      </c>
      <c r="D141" s="4" t="s">
        <v>396</v>
      </c>
      <c r="E141" s="4">
        <v>5510</v>
      </c>
      <c r="F141" s="4" t="s">
        <v>128</v>
      </c>
      <c r="G141" s="4">
        <v>1676</v>
      </c>
      <c r="H141" s="4" t="s">
        <v>86</v>
      </c>
      <c r="I141" s="4">
        <v>2021</v>
      </c>
      <c r="J141" s="4">
        <v>2021</v>
      </c>
      <c r="K141" s="4" t="s">
        <v>339</v>
      </c>
      <c r="L141" s="6">
        <v>37732240</v>
      </c>
      <c r="M141" s="4" t="s">
        <v>397</v>
      </c>
      <c r="N141" s="4" t="s">
        <v>398</v>
      </c>
      <c r="O141" s="124">
        <f>'conversion-factors'!D47</f>
        <v>0.95168653385009727</v>
      </c>
      <c r="P141" s="6">
        <f t="shared" si="11"/>
        <v>35909264.699999996</v>
      </c>
      <c r="Q141" s="9">
        <f>faostatdata[[#This Row],[Value (odmt)]]*(10^-6)</f>
        <v>35.909264699999994</v>
      </c>
      <c r="R141" s="4" t="str">
        <f t="shared" ref="R141:R143" si="12">CONCATENATE("(",E141,",",G141,")")</f>
        <v>(5510,1676)</v>
      </c>
    </row>
    <row r="142" spans="1:18" ht="13.2" x14ac:dyDescent="0.25">
      <c r="A142" s="4" t="s">
        <v>126</v>
      </c>
      <c r="B142" s="4" t="s">
        <v>125</v>
      </c>
      <c r="C142" s="4" t="s">
        <v>395</v>
      </c>
      <c r="D142" s="4" t="s">
        <v>396</v>
      </c>
      <c r="E142" s="4">
        <v>5610</v>
      </c>
      <c r="F142" s="4" t="s">
        <v>127</v>
      </c>
      <c r="G142" s="4">
        <v>1676</v>
      </c>
      <c r="H142" s="4" t="s">
        <v>86</v>
      </c>
      <c r="I142" s="4">
        <v>2021</v>
      </c>
      <c r="J142" s="4">
        <v>2021</v>
      </c>
      <c r="K142" s="4" t="s">
        <v>339</v>
      </c>
      <c r="L142" s="81"/>
      <c r="M142" s="4" t="s">
        <v>397</v>
      </c>
      <c r="N142" s="4" t="s">
        <v>398</v>
      </c>
      <c r="O142" s="124"/>
      <c r="P142" s="6">
        <f t="shared" si="11"/>
        <v>0</v>
      </c>
      <c r="Q142" s="9">
        <f>faostatdata[[#This Row],[Value (odmt)]]*(10^-6)</f>
        <v>0</v>
      </c>
      <c r="R142" s="4" t="str">
        <f t="shared" si="12"/>
        <v>(5610,1676)</v>
      </c>
    </row>
    <row r="143" spans="1:18" ht="13.2" x14ac:dyDescent="0.25">
      <c r="A143" s="4" t="s">
        <v>126</v>
      </c>
      <c r="B143" s="4" t="s">
        <v>125</v>
      </c>
      <c r="C143" s="4" t="s">
        <v>395</v>
      </c>
      <c r="D143" s="4" t="s">
        <v>396</v>
      </c>
      <c r="E143" s="4">
        <v>5910</v>
      </c>
      <c r="F143" s="4" t="s">
        <v>124</v>
      </c>
      <c r="G143" s="4">
        <v>1676</v>
      </c>
      <c r="H143" s="4" t="s">
        <v>86</v>
      </c>
      <c r="I143" s="4">
        <v>2021</v>
      </c>
      <c r="J143" s="4">
        <v>2021</v>
      </c>
      <c r="K143" s="4" t="s">
        <v>339</v>
      </c>
      <c r="L143" s="81"/>
      <c r="M143" s="4" t="s">
        <v>397</v>
      </c>
      <c r="N143" s="4" t="s">
        <v>398</v>
      </c>
      <c r="O143" s="124"/>
      <c r="P143" s="6">
        <f t="shared" si="11"/>
        <v>0</v>
      </c>
      <c r="Q143" s="9">
        <f>faostatdata[[#This Row],[Value (odmt)]]*(10^-6)</f>
        <v>0</v>
      </c>
      <c r="R143" s="4" t="str">
        <f t="shared" si="12"/>
        <v>(5910,1676)</v>
      </c>
    </row>
    <row r="144" spans="1:18" ht="13.2" x14ac:dyDescent="0.25">
      <c r="A144" s="4" t="s">
        <v>126</v>
      </c>
      <c r="B144" s="4" t="s">
        <v>125</v>
      </c>
      <c r="C144" s="4" t="s">
        <v>395</v>
      </c>
      <c r="D144" s="4" t="s">
        <v>396</v>
      </c>
      <c r="E144" s="4">
        <v>5510</v>
      </c>
      <c r="F144" s="4" t="s">
        <v>128</v>
      </c>
      <c r="G144" s="4">
        <v>1681</v>
      </c>
      <c r="H144" s="4" t="s">
        <v>130</v>
      </c>
      <c r="I144" s="4">
        <v>2021</v>
      </c>
      <c r="J144" s="4">
        <v>2021</v>
      </c>
      <c r="L144" s="6"/>
      <c r="O144" s="124"/>
      <c r="P144" s="6"/>
      <c r="Q144" s="9"/>
    </row>
    <row r="145" spans="1:18" ht="13.2" x14ac:dyDescent="0.25">
      <c r="A145" s="4" t="s">
        <v>126</v>
      </c>
      <c r="B145" s="4" t="s">
        <v>125</v>
      </c>
      <c r="C145" s="4" t="s">
        <v>395</v>
      </c>
      <c r="D145" s="4" t="s">
        <v>396</v>
      </c>
      <c r="E145" s="4">
        <v>5610</v>
      </c>
      <c r="F145" s="4" t="s">
        <v>127</v>
      </c>
      <c r="G145" s="4">
        <v>1681</v>
      </c>
      <c r="H145" s="4" t="s">
        <v>130</v>
      </c>
      <c r="I145" s="4">
        <v>2021</v>
      </c>
      <c r="J145" s="4">
        <v>2021</v>
      </c>
      <c r="L145" s="81"/>
      <c r="O145" s="124"/>
      <c r="P145" s="6"/>
      <c r="Q145" s="9"/>
    </row>
    <row r="146" spans="1:18" ht="13.2" x14ac:dyDescent="0.25">
      <c r="A146" s="4" t="s">
        <v>126</v>
      </c>
      <c r="B146" s="4" t="s">
        <v>125</v>
      </c>
      <c r="C146" s="4" t="s">
        <v>395</v>
      </c>
      <c r="D146" s="4" t="s">
        <v>396</v>
      </c>
      <c r="E146" s="4">
        <v>5910</v>
      </c>
      <c r="F146" s="4" t="s">
        <v>124</v>
      </c>
      <c r="G146" s="4">
        <v>1681</v>
      </c>
      <c r="H146" s="4" t="s">
        <v>130</v>
      </c>
      <c r="I146" s="4">
        <v>2021</v>
      </c>
      <c r="J146" s="4">
        <v>2021</v>
      </c>
      <c r="L146" s="81"/>
      <c r="O146" s="124"/>
      <c r="P146" s="6"/>
      <c r="Q146" s="9"/>
    </row>
    <row r="147" spans="1:18" ht="13.2" x14ac:dyDescent="0.25">
      <c r="A147" s="4" t="s">
        <v>126</v>
      </c>
      <c r="B147" s="4" t="s">
        <v>125</v>
      </c>
      <c r="C147" s="4" t="s">
        <v>395</v>
      </c>
      <c r="D147" s="4" t="s">
        <v>396</v>
      </c>
      <c r="E147" s="4">
        <v>5510</v>
      </c>
      <c r="F147" s="4" t="s">
        <v>128</v>
      </c>
      <c r="G147" s="4">
        <v>1617</v>
      </c>
      <c r="H147" s="4" t="s">
        <v>85</v>
      </c>
      <c r="I147" s="4">
        <v>2021</v>
      </c>
      <c r="J147" s="4">
        <v>2021</v>
      </c>
      <c r="K147" s="4" t="s">
        <v>339</v>
      </c>
      <c r="L147" s="6">
        <v>184436440</v>
      </c>
      <c r="M147" s="4" t="s">
        <v>397</v>
      </c>
      <c r="N147" s="4" t="s">
        <v>398</v>
      </c>
      <c r="O147" s="124">
        <f>'conversion-factors'!D48</f>
        <v>0.94613437724128691</v>
      </c>
      <c r="P147" s="6">
        <f t="shared" ref="P147:P161" si="13">L147*O147</f>
        <v>174501656.29999998</v>
      </c>
      <c r="Q147" s="9">
        <f>faostatdata[[#This Row],[Value (odmt)]]*(10^-6)</f>
        <v>174.50165629999998</v>
      </c>
      <c r="R147" s="4" t="str">
        <f t="shared" ref="R147:R161" si="14">CONCATENATE("(",E147,",",G147,")")</f>
        <v>(5510,1617)</v>
      </c>
    </row>
    <row r="148" spans="1:18" ht="13.2" x14ac:dyDescent="0.25">
      <c r="A148" s="4" t="s">
        <v>126</v>
      </c>
      <c r="B148" s="4" t="s">
        <v>125</v>
      </c>
      <c r="C148" s="4" t="s">
        <v>395</v>
      </c>
      <c r="D148" s="4" t="s">
        <v>396</v>
      </c>
      <c r="E148" s="4">
        <v>5610</v>
      </c>
      <c r="F148" s="4" t="s">
        <v>127</v>
      </c>
      <c r="G148" s="4">
        <v>1617</v>
      </c>
      <c r="H148" s="4" t="s">
        <v>85</v>
      </c>
      <c r="I148" s="4">
        <v>2021</v>
      </c>
      <c r="J148" s="4">
        <v>2021</v>
      </c>
      <c r="K148" s="4" t="s">
        <v>339</v>
      </c>
      <c r="L148" s="81"/>
      <c r="M148" s="4" t="s">
        <v>397</v>
      </c>
      <c r="N148" s="4" t="s">
        <v>398</v>
      </c>
      <c r="O148" s="124"/>
      <c r="P148" s="6">
        <f t="shared" si="13"/>
        <v>0</v>
      </c>
      <c r="Q148" s="9">
        <f>faostatdata[[#This Row],[Value (odmt)]]*(10^-6)</f>
        <v>0</v>
      </c>
      <c r="R148" s="4" t="str">
        <f t="shared" si="14"/>
        <v>(5610,1617)</v>
      </c>
    </row>
    <row r="149" spans="1:18" ht="13.2" x14ac:dyDescent="0.25">
      <c r="A149" s="4" t="s">
        <v>126</v>
      </c>
      <c r="B149" s="4" t="s">
        <v>125</v>
      </c>
      <c r="C149" s="4" t="s">
        <v>395</v>
      </c>
      <c r="D149" s="4" t="s">
        <v>396</v>
      </c>
      <c r="E149" s="4">
        <v>5910</v>
      </c>
      <c r="F149" s="4" t="s">
        <v>124</v>
      </c>
      <c r="G149" s="4">
        <v>1617</v>
      </c>
      <c r="H149" s="4" t="s">
        <v>85</v>
      </c>
      <c r="I149" s="4">
        <v>2021</v>
      </c>
      <c r="J149" s="4">
        <v>2021</v>
      </c>
      <c r="K149" s="4" t="s">
        <v>339</v>
      </c>
      <c r="L149" s="81"/>
      <c r="M149" s="4" t="s">
        <v>397</v>
      </c>
      <c r="N149" s="4" t="s">
        <v>398</v>
      </c>
      <c r="O149" s="124"/>
      <c r="P149" s="6">
        <f t="shared" si="13"/>
        <v>0</v>
      </c>
      <c r="Q149" s="9">
        <f>faostatdata[[#This Row],[Value (odmt)]]*(10^-6)</f>
        <v>0</v>
      </c>
      <c r="R149" s="4" t="str">
        <f t="shared" si="14"/>
        <v>(5910,1617)</v>
      </c>
    </row>
    <row r="150" spans="1:18" ht="13.2" x14ac:dyDescent="0.25">
      <c r="A150" s="4" t="s">
        <v>126</v>
      </c>
      <c r="B150" s="4" t="s">
        <v>125</v>
      </c>
      <c r="C150" s="4" t="s">
        <v>395</v>
      </c>
      <c r="D150" s="4" t="s">
        <v>396</v>
      </c>
      <c r="E150" s="4">
        <v>5510</v>
      </c>
      <c r="F150" s="4" t="s">
        <v>128</v>
      </c>
      <c r="G150" s="4">
        <v>1618</v>
      </c>
      <c r="H150" s="4" t="s">
        <v>84</v>
      </c>
      <c r="I150" s="4">
        <v>2021</v>
      </c>
      <c r="J150" s="4">
        <v>2021</v>
      </c>
      <c r="K150" s="4" t="s">
        <v>339</v>
      </c>
      <c r="L150" s="6">
        <v>49942812</v>
      </c>
      <c r="M150" s="4" t="s">
        <v>397</v>
      </c>
      <c r="N150" s="4" t="s">
        <v>398</v>
      </c>
      <c r="O150" s="124">
        <f>'conversion-factors'!D49</f>
        <v>0.95759552045247265</v>
      </c>
      <c r="P150" s="6">
        <f t="shared" si="13"/>
        <v>47825013.049999997</v>
      </c>
      <c r="Q150" s="9">
        <f>faostatdata[[#This Row],[Value (odmt)]]*(10^-6)</f>
        <v>47.825013049999995</v>
      </c>
      <c r="R150" s="4" t="str">
        <f t="shared" si="14"/>
        <v>(5510,1618)</v>
      </c>
    </row>
    <row r="151" spans="1:18" ht="13.2" x14ac:dyDescent="0.25">
      <c r="A151" s="4" t="s">
        <v>126</v>
      </c>
      <c r="B151" s="4" t="s">
        <v>125</v>
      </c>
      <c r="C151" s="4" t="s">
        <v>395</v>
      </c>
      <c r="D151" s="4" t="s">
        <v>396</v>
      </c>
      <c r="E151" s="4">
        <v>5610</v>
      </c>
      <c r="F151" s="4" t="s">
        <v>127</v>
      </c>
      <c r="G151" s="4">
        <v>1618</v>
      </c>
      <c r="H151" s="4" t="s">
        <v>84</v>
      </c>
      <c r="I151" s="4">
        <v>2021</v>
      </c>
      <c r="J151" s="4">
        <v>2021</v>
      </c>
      <c r="K151" s="4" t="s">
        <v>339</v>
      </c>
      <c r="L151" s="81"/>
      <c r="M151" s="4" t="s">
        <v>397</v>
      </c>
      <c r="N151" s="4" t="s">
        <v>398</v>
      </c>
      <c r="O151" s="124"/>
      <c r="P151" s="6">
        <f t="shared" si="13"/>
        <v>0</v>
      </c>
      <c r="Q151" s="9">
        <f>faostatdata[[#This Row],[Value (odmt)]]*(10^-6)</f>
        <v>0</v>
      </c>
      <c r="R151" s="4" t="str">
        <f t="shared" si="14"/>
        <v>(5610,1618)</v>
      </c>
    </row>
    <row r="152" spans="1:18" ht="13.2" x14ac:dyDescent="0.25">
      <c r="A152" s="4" t="s">
        <v>126</v>
      </c>
      <c r="B152" s="4" t="s">
        <v>125</v>
      </c>
      <c r="C152" s="4" t="s">
        <v>395</v>
      </c>
      <c r="D152" s="4" t="s">
        <v>396</v>
      </c>
      <c r="E152" s="4">
        <v>5910</v>
      </c>
      <c r="F152" s="4" t="s">
        <v>124</v>
      </c>
      <c r="G152" s="4">
        <v>1618</v>
      </c>
      <c r="H152" s="4" t="s">
        <v>84</v>
      </c>
      <c r="I152" s="4">
        <v>2021</v>
      </c>
      <c r="J152" s="4">
        <v>2021</v>
      </c>
      <c r="K152" s="4" t="s">
        <v>339</v>
      </c>
      <c r="L152" s="81"/>
      <c r="M152" s="4" t="s">
        <v>397</v>
      </c>
      <c r="N152" s="4" t="s">
        <v>398</v>
      </c>
      <c r="O152" s="124"/>
      <c r="P152" s="6">
        <f t="shared" si="13"/>
        <v>0</v>
      </c>
      <c r="Q152" s="9">
        <f>faostatdata[[#This Row],[Value (odmt)]]*(10^-6)</f>
        <v>0</v>
      </c>
      <c r="R152" s="4" t="str">
        <f t="shared" si="14"/>
        <v>(5910,1618)</v>
      </c>
    </row>
    <row r="153" spans="1:18" ht="13.2" x14ac:dyDescent="0.25">
      <c r="A153" s="4" t="s">
        <v>126</v>
      </c>
      <c r="B153" s="4" t="s">
        <v>125</v>
      </c>
      <c r="C153" s="4" t="s">
        <v>395</v>
      </c>
      <c r="D153" s="4" t="s">
        <v>396</v>
      </c>
      <c r="E153" s="4">
        <v>5510</v>
      </c>
      <c r="F153" s="4" t="s">
        <v>128</v>
      </c>
      <c r="G153" s="4">
        <v>1621</v>
      </c>
      <c r="H153" s="4" t="s">
        <v>129</v>
      </c>
      <c r="I153" s="4">
        <v>2021</v>
      </c>
      <c r="J153" s="4">
        <v>2021</v>
      </c>
      <c r="K153" s="4" t="s">
        <v>339</v>
      </c>
      <c r="L153" s="6">
        <v>19369332</v>
      </c>
      <c r="M153" s="4" t="s">
        <v>397</v>
      </c>
      <c r="N153" s="4" t="s">
        <v>398</v>
      </c>
      <c r="O153" s="124">
        <f>'conversion-factors'!D50</f>
        <v>0.97600058690717872</v>
      </c>
      <c r="P153" s="6">
        <f t="shared" si="13"/>
        <v>18904479.399999999</v>
      </c>
      <c r="Q153" s="9">
        <f>faostatdata[[#This Row],[Value (odmt)]]*(10^-6)</f>
        <v>18.904479399999996</v>
      </c>
      <c r="R153" s="4" t="str">
        <f t="shared" si="14"/>
        <v>(5510,1621)</v>
      </c>
    </row>
    <row r="154" spans="1:18" ht="13.2" x14ac:dyDescent="0.25">
      <c r="A154" s="4" t="s">
        <v>126</v>
      </c>
      <c r="B154" s="4" t="s">
        <v>125</v>
      </c>
      <c r="C154" s="4" t="s">
        <v>395</v>
      </c>
      <c r="D154" s="4" t="s">
        <v>396</v>
      </c>
      <c r="E154" s="4">
        <v>5610</v>
      </c>
      <c r="F154" s="4" t="s">
        <v>127</v>
      </c>
      <c r="G154" s="4">
        <v>1621</v>
      </c>
      <c r="H154" s="4" t="s">
        <v>129</v>
      </c>
      <c r="I154" s="4">
        <v>2021</v>
      </c>
      <c r="J154" s="4">
        <v>2021</v>
      </c>
      <c r="K154" s="4" t="s">
        <v>339</v>
      </c>
      <c r="L154" s="81"/>
      <c r="M154" s="4" t="s">
        <v>397</v>
      </c>
      <c r="N154" s="4" t="s">
        <v>398</v>
      </c>
      <c r="O154" s="124"/>
      <c r="P154" s="6">
        <f t="shared" si="13"/>
        <v>0</v>
      </c>
      <c r="Q154" s="9">
        <f>faostatdata[[#This Row],[Value (odmt)]]*(10^-6)</f>
        <v>0</v>
      </c>
      <c r="R154" s="4" t="str">
        <f t="shared" si="14"/>
        <v>(5610,1621)</v>
      </c>
    </row>
    <row r="155" spans="1:18" ht="13.2" x14ac:dyDescent="0.25">
      <c r="A155" s="4" t="s">
        <v>126</v>
      </c>
      <c r="B155" s="4" t="s">
        <v>125</v>
      </c>
      <c r="C155" s="4" t="s">
        <v>395</v>
      </c>
      <c r="D155" s="4" t="s">
        <v>396</v>
      </c>
      <c r="E155" s="4">
        <v>5910</v>
      </c>
      <c r="F155" s="4" t="s">
        <v>124</v>
      </c>
      <c r="G155" s="4">
        <v>1621</v>
      </c>
      <c r="H155" s="4" t="s">
        <v>129</v>
      </c>
      <c r="I155" s="4">
        <v>2021</v>
      </c>
      <c r="J155" s="4">
        <v>2021</v>
      </c>
      <c r="K155" s="4" t="s">
        <v>339</v>
      </c>
      <c r="L155" s="81"/>
      <c r="M155" s="4" t="s">
        <v>397</v>
      </c>
      <c r="N155" s="4" t="s">
        <v>398</v>
      </c>
      <c r="O155" s="124"/>
      <c r="P155" s="6">
        <f t="shared" si="13"/>
        <v>0</v>
      </c>
      <c r="Q155" s="9">
        <f>faostatdata[[#This Row],[Value (odmt)]]*(10^-6)</f>
        <v>0</v>
      </c>
      <c r="R155" s="4" t="str">
        <f t="shared" si="14"/>
        <v>(5910,1621)</v>
      </c>
    </row>
    <row r="156" spans="1:18" ht="13.2" x14ac:dyDescent="0.25">
      <c r="A156" s="4" t="s">
        <v>126</v>
      </c>
      <c r="B156" s="4" t="s">
        <v>125</v>
      </c>
      <c r="C156" s="4" t="s">
        <v>395</v>
      </c>
      <c r="D156" s="4" t="s">
        <v>396</v>
      </c>
      <c r="E156" s="4">
        <v>5510</v>
      </c>
      <c r="F156" s="4" t="s">
        <v>128</v>
      </c>
      <c r="G156" s="4">
        <v>1622</v>
      </c>
      <c r="H156" s="4" t="s">
        <v>83</v>
      </c>
      <c r="I156" s="4">
        <v>2021</v>
      </c>
      <c r="J156" s="4">
        <v>2021</v>
      </c>
      <c r="K156" s="4" t="s">
        <v>339</v>
      </c>
      <c r="L156" s="6">
        <v>10343670</v>
      </c>
      <c r="M156" s="4" t="s">
        <v>397</v>
      </c>
      <c r="N156" s="4" t="s">
        <v>398</v>
      </c>
      <c r="O156" s="124">
        <f>'conversion-factors'!D51</f>
        <v>0.93045880233998168</v>
      </c>
      <c r="P156" s="6">
        <f t="shared" si="13"/>
        <v>9624358.7999999989</v>
      </c>
      <c r="Q156" s="9">
        <f>faostatdata[[#This Row],[Value (odmt)]]*(10^-6)</f>
        <v>9.6243587999999978</v>
      </c>
      <c r="R156" s="4" t="str">
        <f t="shared" si="14"/>
        <v>(5510,1622)</v>
      </c>
    </row>
    <row r="157" spans="1:18" ht="13.2" x14ac:dyDescent="0.25">
      <c r="A157" s="4" t="s">
        <v>126</v>
      </c>
      <c r="B157" s="4" t="s">
        <v>125</v>
      </c>
      <c r="C157" s="4" t="s">
        <v>395</v>
      </c>
      <c r="D157" s="4" t="s">
        <v>396</v>
      </c>
      <c r="E157" s="4">
        <v>5610</v>
      </c>
      <c r="F157" s="4" t="s">
        <v>127</v>
      </c>
      <c r="G157" s="4">
        <v>1622</v>
      </c>
      <c r="H157" s="4" t="s">
        <v>83</v>
      </c>
      <c r="I157" s="4">
        <v>2021</v>
      </c>
      <c r="J157" s="4">
        <v>2021</v>
      </c>
      <c r="K157" s="4" t="s">
        <v>339</v>
      </c>
      <c r="L157" s="81"/>
      <c r="M157" s="4" t="s">
        <v>397</v>
      </c>
      <c r="N157" s="4" t="s">
        <v>398</v>
      </c>
      <c r="O157" s="124"/>
      <c r="P157" s="6">
        <f t="shared" si="13"/>
        <v>0</v>
      </c>
      <c r="Q157" s="9">
        <f>faostatdata[[#This Row],[Value (odmt)]]*(10^-6)</f>
        <v>0</v>
      </c>
      <c r="R157" s="4" t="str">
        <f t="shared" si="14"/>
        <v>(5610,1622)</v>
      </c>
    </row>
    <row r="158" spans="1:18" ht="13.2" x14ac:dyDescent="0.25">
      <c r="A158" s="4" t="s">
        <v>126</v>
      </c>
      <c r="B158" s="4" t="s">
        <v>125</v>
      </c>
      <c r="C158" s="4" t="s">
        <v>395</v>
      </c>
      <c r="D158" s="4" t="s">
        <v>396</v>
      </c>
      <c r="E158" s="4">
        <v>5910</v>
      </c>
      <c r="F158" s="4" t="s">
        <v>124</v>
      </c>
      <c r="G158" s="4">
        <v>1622</v>
      </c>
      <c r="H158" s="4" t="s">
        <v>83</v>
      </c>
      <c r="I158" s="4">
        <v>2021</v>
      </c>
      <c r="J158" s="4">
        <v>2021</v>
      </c>
      <c r="K158" s="4" t="s">
        <v>339</v>
      </c>
      <c r="L158" s="81"/>
      <c r="M158" s="4" t="s">
        <v>397</v>
      </c>
      <c r="N158" s="4" t="s">
        <v>398</v>
      </c>
      <c r="O158" s="124"/>
      <c r="P158" s="6">
        <f t="shared" si="13"/>
        <v>0</v>
      </c>
      <c r="Q158" s="9">
        <f>faostatdata[[#This Row],[Value (odmt)]]*(10^-6)</f>
        <v>0</v>
      </c>
      <c r="R158" s="4" t="str">
        <f t="shared" si="14"/>
        <v>(5910,1622)</v>
      </c>
    </row>
    <row r="159" spans="1:18" ht="13.2" x14ac:dyDescent="0.25">
      <c r="A159" s="4" t="s">
        <v>126</v>
      </c>
      <c r="B159" s="4" t="s">
        <v>125</v>
      </c>
      <c r="C159" s="4" t="s">
        <v>395</v>
      </c>
      <c r="D159" s="4" t="s">
        <v>396</v>
      </c>
      <c r="E159" s="4">
        <v>5510</v>
      </c>
      <c r="F159" s="4" t="s">
        <v>128</v>
      </c>
      <c r="G159" s="4">
        <v>1683</v>
      </c>
      <c r="H159" s="4" t="s">
        <v>123</v>
      </c>
      <c r="I159" s="4">
        <v>2021</v>
      </c>
      <c r="J159" s="4">
        <v>2021</v>
      </c>
      <c r="K159" s="4" t="s">
        <v>339</v>
      </c>
      <c r="L159" s="6">
        <v>19544927</v>
      </c>
      <c r="M159" s="4" t="s">
        <v>397</v>
      </c>
      <c r="N159" s="4" t="s">
        <v>398</v>
      </c>
      <c r="O159" s="124">
        <f>'conversion-factors'!D52</f>
        <v>0.93933871945390246</v>
      </c>
      <c r="P159" s="6">
        <f t="shared" si="13"/>
        <v>18359306.700000003</v>
      </c>
      <c r="Q159" s="9">
        <f>faostatdata[[#This Row],[Value (odmt)]]*(10^-6)</f>
        <v>18.359306700000001</v>
      </c>
      <c r="R159" s="4" t="str">
        <f t="shared" si="14"/>
        <v>(5510,1683)</v>
      </c>
    </row>
    <row r="160" spans="1:18" ht="13.2" x14ac:dyDescent="0.25">
      <c r="A160" s="4" t="s">
        <v>126</v>
      </c>
      <c r="B160" s="4" t="s">
        <v>125</v>
      </c>
      <c r="C160" s="4" t="s">
        <v>395</v>
      </c>
      <c r="D160" s="4" t="s">
        <v>396</v>
      </c>
      <c r="E160" s="4">
        <v>5610</v>
      </c>
      <c r="F160" s="4" t="s">
        <v>127</v>
      </c>
      <c r="G160" s="4">
        <v>1683</v>
      </c>
      <c r="H160" s="4" t="s">
        <v>123</v>
      </c>
      <c r="I160" s="4">
        <v>2021</v>
      </c>
      <c r="J160" s="4">
        <v>2021</v>
      </c>
      <c r="K160" s="4" t="s">
        <v>339</v>
      </c>
      <c r="L160" s="81"/>
      <c r="M160" s="4" t="s">
        <v>397</v>
      </c>
      <c r="N160" s="4" t="s">
        <v>398</v>
      </c>
      <c r="O160" s="124"/>
      <c r="P160" s="6">
        <f t="shared" si="13"/>
        <v>0</v>
      </c>
      <c r="Q160" s="9">
        <f>faostatdata[[#This Row],[Value (odmt)]]*(10^-6)</f>
        <v>0</v>
      </c>
      <c r="R160" s="4" t="str">
        <f t="shared" si="14"/>
        <v>(5610,1683)</v>
      </c>
    </row>
    <row r="161" spans="1:18" ht="13.2" x14ac:dyDescent="0.25">
      <c r="A161" s="4" t="s">
        <v>126</v>
      </c>
      <c r="B161" s="4" t="s">
        <v>125</v>
      </c>
      <c r="C161" s="4" t="s">
        <v>395</v>
      </c>
      <c r="D161" s="4" t="s">
        <v>396</v>
      </c>
      <c r="E161" s="4">
        <v>5910</v>
      </c>
      <c r="F161" s="4" t="s">
        <v>124</v>
      </c>
      <c r="G161" s="4">
        <v>1683</v>
      </c>
      <c r="H161" s="4" t="s">
        <v>123</v>
      </c>
      <c r="I161" s="4">
        <v>2021</v>
      </c>
      <c r="J161" s="4">
        <v>2021</v>
      </c>
      <c r="K161" s="4" t="s">
        <v>339</v>
      </c>
      <c r="L161" s="81"/>
      <c r="M161" s="4" t="s">
        <v>397</v>
      </c>
      <c r="N161" s="4" t="s">
        <v>398</v>
      </c>
      <c r="O161" s="124"/>
      <c r="P161" s="6">
        <f t="shared" si="13"/>
        <v>0</v>
      </c>
      <c r="Q161" s="9">
        <f>faostatdata[[#This Row],[Value (odmt)]]*(10^-6)</f>
        <v>0</v>
      </c>
      <c r="R161" s="4" t="str">
        <f t="shared" si="14"/>
        <v>(5910,1683)</v>
      </c>
    </row>
    <row r="164" spans="1:18" x14ac:dyDescent="0.3">
      <c r="L164" s="6"/>
      <c r="M164" s="6"/>
      <c r="N164" s="6"/>
      <c r="O164" s="6"/>
      <c r="P164" s="6"/>
    </row>
    <row r="165" spans="1:18" x14ac:dyDescent="0.3">
      <c r="L165" s="6"/>
      <c r="M165" s="6"/>
      <c r="N165" s="6"/>
      <c r="O165" s="6"/>
      <c r="P165" s="6"/>
    </row>
    <row r="166" spans="1:18" x14ac:dyDescent="0.3">
      <c r="L166" s="6"/>
      <c r="M166" s="6"/>
      <c r="N166" s="6"/>
      <c r="O166" s="6"/>
      <c r="P166" s="6"/>
    </row>
    <row r="167" spans="1:18" x14ac:dyDescent="0.3">
      <c r="L167" s="6"/>
      <c r="M167" s="6"/>
      <c r="N167" s="6"/>
      <c r="O167" s="6"/>
      <c r="P167" s="6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A42F-2957-4754-8B3D-93BE0345FDB0}">
  <dimension ref="A1:B91"/>
  <sheetViews>
    <sheetView showGridLines="0" zoomScale="70" zoomScaleNormal="70" workbookViewId="0"/>
  </sheetViews>
  <sheetFormatPr defaultRowHeight="9.6" x14ac:dyDescent="0.2"/>
  <cols>
    <col min="1" max="1" width="80.21875" style="171" bestFit="1" customWidth="1"/>
    <col min="2" max="2" width="58.88671875" style="167" bestFit="1" customWidth="1"/>
    <col min="3" max="16384" width="8.88671875" style="167"/>
  </cols>
  <sheetData>
    <row r="1" spans="1:2" ht="13.2" x14ac:dyDescent="0.25">
      <c r="A1" s="166" t="s">
        <v>926</v>
      </c>
      <c r="B1" s="30" t="s">
        <v>927</v>
      </c>
    </row>
    <row r="2" spans="1:2" ht="13.2" x14ac:dyDescent="0.25">
      <c r="A2" s="51" t="s">
        <v>928</v>
      </c>
      <c r="B2" s="4" t="s">
        <v>911</v>
      </c>
    </row>
    <row r="3" spans="1:2" ht="13.2" x14ac:dyDescent="0.25">
      <c r="A3" s="61" t="s">
        <v>929</v>
      </c>
      <c r="B3" s="4" t="s">
        <v>912</v>
      </c>
    </row>
    <row r="4" spans="1:2" ht="13.2" x14ac:dyDescent="0.25">
      <c r="A4" s="61" t="s">
        <v>930</v>
      </c>
      <c r="B4" s="4" t="s">
        <v>913</v>
      </c>
    </row>
    <row r="5" spans="1:2" ht="13.2" x14ac:dyDescent="0.25">
      <c r="A5" s="61" t="s">
        <v>931</v>
      </c>
      <c r="B5" s="4" t="s">
        <v>914</v>
      </c>
    </row>
    <row r="6" spans="1:2" ht="13.2" x14ac:dyDescent="0.25">
      <c r="A6" s="2" t="s">
        <v>932</v>
      </c>
      <c r="B6" s="4" t="s">
        <v>915</v>
      </c>
    </row>
    <row r="7" spans="1:2" ht="13.2" x14ac:dyDescent="0.25">
      <c r="A7" s="51" t="s">
        <v>933</v>
      </c>
      <c r="B7" s="4" t="s">
        <v>207</v>
      </c>
    </row>
    <row r="8" spans="1:2" ht="13.2" x14ac:dyDescent="0.25">
      <c r="A8" s="61" t="s">
        <v>934</v>
      </c>
      <c r="B8" s="4" t="s">
        <v>61</v>
      </c>
    </row>
    <row r="9" spans="1:2" ht="13.2" x14ac:dyDescent="0.25">
      <c r="A9" s="168" t="s">
        <v>992</v>
      </c>
      <c r="B9" s="4" t="s">
        <v>258</v>
      </c>
    </row>
    <row r="10" spans="1:2" ht="13.2" x14ac:dyDescent="0.25">
      <c r="A10" s="168" t="s">
        <v>993</v>
      </c>
      <c r="B10" s="4" t="s">
        <v>259</v>
      </c>
    </row>
    <row r="11" spans="1:2" ht="13.2" x14ac:dyDescent="0.25">
      <c r="A11" s="168" t="s">
        <v>935</v>
      </c>
      <c r="B11" s="4" t="s">
        <v>343</v>
      </c>
    </row>
    <row r="12" spans="1:2" ht="13.2" x14ac:dyDescent="0.25">
      <c r="A12" s="168" t="s">
        <v>936</v>
      </c>
      <c r="B12" s="4" t="s">
        <v>344</v>
      </c>
    </row>
    <row r="13" spans="1:2" ht="13.2" x14ac:dyDescent="0.25">
      <c r="A13" s="169" t="s">
        <v>937</v>
      </c>
      <c r="B13" s="4" t="s">
        <v>62</v>
      </c>
    </row>
    <row r="14" spans="1:2" ht="13.2" x14ac:dyDescent="0.25">
      <c r="A14" s="170" t="s">
        <v>938</v>
      </c>
      <c r="B14" s="4" t="s">
        <v>260</v>
      </c>
    </row>
    <row r="15" spans="1:2" ht="13.2" x14ac:dyDescent="0.25">
      <c r="A15" s="170" t="s">
        <v>939</v>
      </c>
      <c r="B15" s="4" t="s">
        <v>261</v>
      </c>
    </row>
    <row r="16" spans="1:2" ht="13.2" x14ac:dyDescent="0.25">
      <c r="A16" s="169" t="s">
        <v>940</v>
      </c>
      <c r="B16" s="4" t="s">
        <v>63</v>
      </c>
    </row>
    <row r="17" spans="1:2" ht="13.2" x14ac:dyDescent="0.25">
      <c r="A17" s="170" t="s">
        <v>941</v>
      </c>
      <c r="B17" s="4" t="s">
        <v>263</v>
      </c>
    </row>
    <row r="18" spans="1:2" ht="13.2" x14ac:dyDescent="0.25">
      <c r="A18" s="170" t="s">
        <v>942</v>
      </c>
      <c r="B18" s="4" t="s">
        <v>264</v>
      </c>
    </row>
    <row r="19" spans="1:2" ht="13.2" x14ac:dyDescent="0.25">
      <c r="A19" s="169" t="s">
        <v>943</v>
      </c>
      <c r="B19" s="4" t="s">
        <v>64</v>
      </c>
    </row>
    <row r="20" spans="1:2" ht="13.2" x14ac:dyDescent="0.25">
      <c r="A20" s="170" t="s">
        <v>944</v>
      </c>
      <c r="B20" s="4" t="s">
        <v>265</v>
      </c>
    </row>
    <row r="21" spans="1:2" ht="13.2" x14ac:dyDescent="0.25">
      <c r="A21" s="170" t="s">
        <v>945</v>
      </c>
      <c r="B21" s="4" t="s">
        <v>266</v>
      </c>
    </row>
    <row r="22" spans="1:2" ht="13.2" x14ac:dyDescent="0.25">
      <c r="A22" s="51" t="s">
        <v>946</v>
      </c>
      <c r="B22" s="4" t="s">
        <v>208</v>
      </c>
    </row>
    <row r="23" spans="1:2" ht="13.2" x14ac:dyDescent="0.25">
      <c r="A23" s="51" t="s">
        <v>947</v>
      </c>
      <c r="B23" s="4" t="s">
        <v>66</v>
      </c>
    </row>
    <row r="24" spans="1:2" ht="13.2" x14ac:dyDescent="0.25">
      <c r="A24" s="61" t="s">
        <v>117</v>
      </c>
      <c r="B24" s="4" t="s">
        <v>55</v>
      </c>
    </row>
    <row r="25" spans="1:2" ht="13.2" x14ac:dyDescent="0.25">
      <c r="A25" s="61" t="s">
        <v>948</v>
      </c>
      <c r="B25" s="4" t="s">
        <v>175</v>
      </c>
    </row>
    <row r="26" spans="1:2" ht="13.2" x14ac:dyDescent="0.25">
      <c r="A26" s="51" t="s">
        <v>949</v>
      </c>
      <c r="B26" s="4" t="s">
        <v>65</v>
      </c>
    </row>
    <row r="27" spans="1:2" ht="13.2" x14ac:dyDescent="0.25">
      <c r="A27" s="61" t="s">
        <v>92</v>
      </c>
      <c r="B27" s="4" t="s">
        <v>53</v>
      </c>
    </row>
    <row r="28" spans="1:2" ht="13.2" x14ac:dyDescent="0.25">
      <c r="A28" s="61" t="s">
        <v>115</v>
      </c>
      <c r="B28" s="4" t="s">
        <v>54</v>
      </c>
    </row>
    <row r="29" spans="1:2" ht="13.2" x14ac:dyDescent="0.25">
      <c r="A29" s="51" t="s">
        <v>252</v>
      </c>
      <c r="B29" s="4" t="s">
        <v>47</v>
      </c>
    </row>
    <row r="30" spans="1:2" ht="13.2" x14ac:dyDescent="0.25">
      <c r="A30" s="51" t="s">
        <v>112</v>
      </c>
      <c r="B30" s="4" t="s">
        <v>48</v>
      </c>
    </row>
    <row r="31" spans="1:2" ht="13.2" x14ac:dyDescent="0.25">
      <c r="A31" s="61" t="s">
        <v>950</v>
      </c>
      <c r="B31" s="4" t="s">
        <v>267</v>
      </c>
    </row>
    <row r="32" spans="1:2" ht="13.2" x14ac:dyDescent="0.25">
      <c r="A32" s="61" t="s">
        <v>951</v>
      </c>
      <c r="B32" s="4" t="s">
        <v>268</v>
      </c>
    </row>
    <row r="33" spans="1:2" ht="13.2" x14ac:dyDescent="0.25">
      <c r="A33" s="51" t="s">
        <v>952</v>
      </c>
      <c r="B33" s="4" t="s">
        <v>49</v>
      </c>
    </row>
    <row r="34" spans="1:2" ht="13.2" x14ac:dyDescent="0.25">
      <c r="A34" s="51" t="s">
        <v>107</v>
      </c>
      <c r="B34" s="4" t="s">
        <v>52</v>
      </c>
    </row>
    <row r="35" spans="1:2" ht="13.2" x14ac:dyDescent="0.25">
      <c r="A35" s="61" t="s">
        <v>104</v>
      </c>
      <c r="B35" s="4" t="s">
        <v>44</v>
      </c>
    </row>
    <row r="36" spans="1:2" ht="13.2" x14ac:dyDescent="0.25">
      <c r="A36" s="61" t="s">
        <v>103</v>
      </c>
      <c r="B36" s="4" t="s">
        <v>45</v>
      </c>
    </row>
    <row r="37" spans="1:2" ht="13.2" x14ac:dyDescent="0.25">
      <c r="A37" s="61" t="s">
        <v>953</v>
      </c>
      <c r="B37" s="4" t="s">
        <v>76</v>
      </c>
    </row>
    <row r="38" spans="1:2" ht="13.2" x14ac:dyDescent="0.25">
      <c r="A38" s="61" t="s">
        <v>954</v>
      </c>
      <c r="B38" s="4" t="s">
        <v>274</v>
      </c>
    </row>
    <row r="39" spans="1:2" ht="13.2" x14ac:dyDescent="0.25">
      <c r="A39" s="168" t="s">
        <v>955</v>
      </c>
      <c r="B39" s="4" t="s">
        <v>176</v>
      </c>
    </row>
    <row r="40" spans="1:2" ht="13.2" x14ac:dyDescent="0.25">
      <c r="A40" s="168" t="s">
        <v>956</v>
      </c>
      <c r="B40" s="4" t="s">
        <v>205</v>
      </c>
    </row>
    <row r="41" spans="1:2" ht="13.2" x14ac:dyDescent="0.25">
      <c r="A41" s="168" t="s">
        <v>957</v>
      </c>
      <c r="B41" s="4" t="s">
        <v>75</v>
      </c>
    </row>
    <row r="42" spans="1:2" ht="13.2" x14ac:dyDescent="0.25">
      <c r="A42" s="51" t="s">
        <v>958</v>
      </c>
      <c r="B42" s="4" t="s">
        <v>42</v>
      </c>
    </row>
    <row r="43" spans="1:2" ht="13.2" x14ac:dyDescent="0.25">
      <c r="A43" s="61" t="s">
        <v>185</v>
      </c>
      <c r="B43" s="4" t="s">
        <v>70</v>
      </c>
    </row>
    <row r="44" spans="1:2" ht="13.2" x14ac:dyDescent="0.25">
      <c r="A44" s="61" t="s">
        <v>383</v>
      </c>
      <c r="B44" s="4" t="s">
        <v>71</v>
      </c>
    </row>
    <row r="45" spans="1:2" ht="13.2" x14ac:dyDescent="0.25">
      <c r="A45" s="61" t="s">
        <v>187</v>
      </c>
      <c r="B45" s="4" t="s">
        <v>72</v>
      </c>
    </row>
    <row r="46" spans="1:2" ht="13.2" x14ac:dyDescent="0.25">
      <c r="A46" s="61" t="s">
        <v>188</v>
      </c>
      <c r="B46" s="4" t="s">
        <v>77</v>
      </c>
    </row>
    <row r="47" spans="1:2" ht="13.2" x14ac:dyDescent="0.25">
      <c r="A47" s="51" t="s">
        <v>959</v>
      </c>
      <c r="B47" s="4" t="s">
        <v>43</v>
      </c>
    </row>
    <row r="48" spans="1:2" ht="13.2" x14ac:dyDescent="0.25">
      <c r="A48" s="51" t="s">
        <v>217</v>
      </c>
      <c r="B48" s="4" t="s">
        <v>50</v>
      </c>
    </row>
    <row r="49" spans="1:2" ht="13.2" x14ac:dyDescent="0.25">
      <c r="A49" s="61" t="s">
        <v>89</v>
      </c>
      <c r="B49" s="4" t="s">
        <v>78</v>
      </c>
    </row>
    <row r="50" spans="1:2" ht="13.2" x14ac:dyDescent="0.25">
      <c r="A50" s="61" t="s">
        <v>960</v>
      </c>
      <c r="B50" s="4" t="s">
        <v>79</v>
      </c>
    </row>
    <row r="51" spans="1:2" ht="13.2" x14ac:dyDescent="0.25">
      <c r="A51" s="61" t="s">
        <v>961</v>
      </c>
      <c r="B51" s="4" t="s">
        <v>67</v>
      </c>
    </row>
    <row r="52" spans="1:2" ht="13.2" x14ac:dyDescent="0.25">
      <c r="A52" s="61" t="s">
        <v>962</v>
      </c>
      <c r="B52" s="4" t="s">
        <v>68</v>
      </c>
    </row>
    <row r="53" spans="1:2" ht="13.2" x14ac:dyDescent="0.25">
      <c r="A53" s="61" t="s">
        <v>87</v>
      </c>
      <c r="B53" s="4" t="s">
        <v>69</v>
      </c>
    </row>
    <row r="54" spans="1:2" ht="13.2" x14ac:dyDescent="0.25">
      <c r="A54" s="51" t="s">
        <v>963</v>
      </c>
      <c r="B54" s="4" t="s">
        <v>51</v>
      </c>
    </row>
    <row r="55" spans="1:2" ht="13.2" x14ac:dyDescent="0.25">
      <c r="A55" s="61" t="s">
        <v>964</v>
      </c>
      <c r="B55" s="4" t="s">
        <v>36</v>
      </c>
    </row>
    <row r="56" spans="1:2" ht="13.2" x14ac:dyDescent="0.25">
      <c r="A56" s="61" t="s">
        <v>965</v>
      </c>
      <c r="B56" s="4" t="s">
        <v>37</v>
      </c>
    </row>
    <row r="57" spans="1:2" ht="13.2" x14ac:dyDescent="0.25">
      <c r="A57" s="61" t="s">
        <v>966</v>
      </c>
      <c r="B57" s="4" t="s">
        <v>275</v>
      </c>
    </row>
    <row r="58" spans="1:2" ht="13.2" x14ac:dyDescent="0.25">
      <c r="A58" s="168" t="s">
        <v>411</v>
      </c>
      <c r="B58" s="4" t="s">
        <v>39</v>
      </c>
    </row>
    <row r="59" spans="1:2" ht="13.2" x14ac:dyDescent="0.25">
      <c r="A59" s="168" t="s">
        <v>967</v>
      </c>
      <c r="B59" s="4" t="s">
        <v>40</v>
      </c>
    </row>
    <row r="60" spans="1:2" ht="13.2" x14ac:dyDescent="0.25">
      <c r="A60" s="61" t="s">
        <v>968</v>
      </c>
      <c r="B60" s="4" t="s">
        <v>41</v>
      </c>
    </row>
    <row r="61" spans="1:2" ht="13.2" x14ac:dyDescent="0.25">
      <c r="A61" s="61" t="s">
        <v>969</v>
      </c>
      <c r="B61" s="4" t="s">
        <v>38</v>
      </c>
    </row>
    <row r="62" spans="1:2" ht="13.2" x14ac:dyDescent="0.25">
      <c r="A62" s="51" t="s">
        <v>970</v>
      </c>
      <c r="B62" s="4" t="s">
        <v>59</v>
      </c>
    </row>
    <row r="63" spans="1:2" ht="13.2" x14ac:dyDescent="0.25">
      <c r="A63" s="61" t="s">
        <v>971</v>
      </c>
      <c r="B63" s="4" t="s">
        <v>408</v>
      </c>
    </row>
    <row r="64" spans="1:2" ht="13.2" x14ac:dyDescent="0.25">
      <c r="A64" s="61" t="s">
        <v>972</v>
      </c>
      <c r="B64" s="4" t="s">
        <v>31</v>
      </c>
    </row>
    <row r="65" spans="1:2" ht="13.2" x14ac:dyDescent="0.25">
      <c r="A65" s="61" t="s">
        <v>973</v>
      </c>
      <c r="B65" s="4" t="s">
        <v>32</v>
      </c>
    </row>
    <row r="66" spans="1:2" ht="13.2" x14ac:dyDescent="0.25">
      <c r="A66" s="61" t="s">
        <v>974</v>
      </c>
      <c r="B66" s="4" t="s">
        <v>33</v>
      </c>
    </row>
    <row r="67" spans="1:2" ht="13.2" x14ac:dyDescent="0.25">
      <c r="A67" s="61" t="s">
        <v>975</v>
      </c>
      <c r="B67" s="4" t="s">
        <v>34</v>
      </c>
    </row>
    <row r="68" spans="1:2" ht="13.2" x14ac:dyDescent="0.25">
      <c r="A68" s="61" t="s">
        <v>976</v>
      </c>
      <c r="B68" s="4" t="s">
        <v>35</v>
      </c>
    </row>
    <row r="69" spans="1:2" ht="13.2" x14ac:dyDescent="0.25">
      <c r="A69" s="61" t="s">
        <v>977</v>
      </c>
      <c r="B69" s="4" t="s">
        <v>57</v>
      </c>
    </row>
    <row r="70" spans="1:2" ht="13.2" x14ac:dyDescent="0.25">
      <c r="A70" s="51" t="s">
        <v>978</v>
      </c>
      <c r="B70" s="4" t="s">
        <v>58</v>
      </c>
    </row>
    <row r="71" spans="1:2" ht="13.2" x14ac:dyDescent="0.25">
      <c r="A71" s="61" t="s">
        <v>979</v>
      </c>
      <c r="B71" s="4" t="s">
        <v>29</v>
      </c>
    </row>
    <row r="72" spans="1:2" ht="13.2" x14ac:dyDescent="0.25">
      <c r="A72" s="61" t="s">
        <v>980</v>
      </c>
      <c r="B72" s="4" t="s">
        <v>73</v>
      </c>
    </row>
    <row r="73" spans="1:2" ht="13.2" x14ac:dyDescent="0.25">
      <c r="A73" s="61" t="s">
        <v>981</v>
      </c>
      <c r="B73" s="4" t="s">
        <v>30</v>
      </c>
    </row>
    <row r="74" spans="1:2" ht="13.2" x14ac:dyDescent="0.25">
      <c r="A74" s="61" t="s">
        <v>982</v>
      </c>
      <c r="B74" s="4" t="s">
        <v>80</v>
      </c>
    </row>
    <row r="75" spans="1:2" ht="13.2" x14ac:dyDescent="0.25">
      <c r="A75" s="61" t="s">
        <v>983</v>
      </c>
      <c r="B75" s="4" t="s">
        <v>235</v>
      </c>
    </row>
    <row r="76" spans="1:2" ht="13.2" x14ac:dyDescent="0.25">
      <c r="A76" s="61" t="s">
        <v>179</v>
      </c>
      <c r="B76" s="4" t="s">
        <v>74</v>
      </c>
    </row>
    <row r="77" spans="1:2" ht="13.2" x14ac:dyDescent="0.25">
      <c r="A77" s="51" t="s">
        <v>995</v>
      </c>
      <c r="B77" s="4" t="s">
        <v>60</v>
      </c>
    </row>
    <row r="78" spans="1:2" ht="13.2" x14ac:dyDescent="0.25">
      <c r="A78" s="61" t="s">
        <v>984</v>
      </c>
      <c r="B78" s="4" t="s">
        <v>371</v>
      </c>
    </row>
    <row r="79" spans="1:2" ht="13.2" x14ac:dyDescent="0.25">
      <c r="A79" s="61" t="s">
        <v>985</v>
      </c>
      <c r="B79" s="4" t="s">
        <v>372</v>
      </c>
    </row>
    <row r="80" spans="1:2" ht="13.2" x14ac:dyDescent="0.25">
      <c r="A80" s="51" t="s">
        <v>451</v>
      </c>
      <c r="B80" s="4" t="s">
        <v>350</v>
      </c>
    </row>
    <row r="81" spans="1:2" ht="13.2" x14ac:dyDescent="0.25">
      <c r="A81" s="61" t="s">
        <v>440</v>
      </c>
      <c r="B81" s="4" t="s">
        <v>392</v>
      </c>
    </row>
    <row r="82" spans="1:2" ht="13.2" x14ac:dyDescent="0.25">
      <c r="A82" s="168" t="s">
        <v>433</v>
      </c>
      <c r="B82" s="4" t="s">
        <v>351</v>
      </c>
    </row>
    <row r="83" spans="1:2" ht="13.2" x14ac:dyDescent="0.25">
      <c r="A83" s="168" t="s">
        <v>986</v>
      </c>
      <c r="B83" s="4" t="s">
        <v>916</v>
      </c>
    </row>
    <row r="84" spans="1:2" ht="13.2" x14ac:dyDescent="0.25">
      <c r="A84" s="168" t="s">
        <v>987</v>
      </c>
      <c r="B84" s="4" t="s">
        <v>917</v>
      </c>
    </row>
    <row r="85" spans="1:2" ht="13.2" x14ac:dyDescent="0.25">
      <c r="A85" s="168" t="s">
        <v>390</v>
      </c>
      <c r="B85" s="4" t="s">
        <v>391</v>
      </c>
    </row>
    <row r="86" spans="1:2" ht="13.2" x14ac:dyDescent="0.25">
      <c r="A86" s="61" t="s">
        <v>441</v>
      </c>
      <c r="B86" s="4" t="s">
        <v>403</v>
      </c>
    </row>
    <row r="87" spans="1:2" ht="13.2" x14ac:dyDescent="0.25">
      <c r="A87" s="168" t="s">
        <v>434</v>
      </c>
      <c r="B87" s="4" t="s">
        <v>406</v>
      </c>
    </row>
    <row r="88" spans="1:2" ht="13.2" x14ac:dyDescent="0.25">
      <c r="A88" s="168" t="s">
        <v>379</v>
      </c>
      <c r="B88" s="4" t="s">
        <v>352</v>
      </c>
    </row>
    <row r="89" spans="1:2" ht="13.2" x14ac:dyDescent="0.25">
      <c r="A89" s="168" t="s">
        <v>435</v>
      </c>
      <c r="B89" s="4" t="s">
        <v>373</v>
      </c>
    </row>
    <row r="90" spans="1:2" ht="13.2" x14ac:dyDescent="0.25">
      <c r="A90" s="51" t="s">
        <v>988</v>
      </c>
      <c r="B90" s="4" t="s">
        <v>335</v>
      </c>
    </row>
    <row r="91" spans="1:2" ht="13.2" x14ac:dyDescent="0.25">
      <c r="A91" s="51" t="s">
        <v>989</v>
      </c>
      <c r="B91" s="4" t="s">
        <v>336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7FD-FC2B-4F69-A33E-C0F0503A502D}">
  <sheetPr codeName="Sheet6"/>
  <dimension ref="A1:P110"/>
  <sheetViews>
    <sheetView zoomScale="70" zoomScaleNormal="70" workbookViewId="0">
      <selection activeCell="J2" sqref="J2"/>
    </sheetView>
  </sheetViews>
  <sheetFormatPr defaultColWidth="8.88671875" defaultRowHeight="14.4" x14ac:dyDescent="0.3"/>
  <cols>
    <col min="1" max="1" width="39.88671875" style="13" customWidth="1"/>
    <col min="2" max="2" width="14.88671875" style="13" customWidth="1"/>
    <col min="3" max="3" width="16" style="13" bestFit="1" customWidth="1"/>
    <col min="4" max="4" width="7" style="13" customWidth="1"/>
    <col min="5" max="5" width="10.44140625" style="13" bestFit="1" customWidth="1"/>
    <col min="6" max="6" width="16.33203125" style="13" customWidth="1"/>
    <col min="7" max="7" width="16.33203125" style="1" bestFit="1" customWidth="1"/>
    <col min="8" max="8" width="15.109375" style="1" bestFit="1" customWidth="1"/>
    <col min="9" max="9" width="23.6640625" style="1" bestFit="1" customWidth="1"/>
    <col min="10" max="10" width="21.109375" style="47" bestFit="1" customWidth="1"/>
    <col min="11" max="11" width="11.6640625" style="13" bestFit="1" customWidth="1"/>
    <col min="12" max="12" width="31.33203125" style="13" bestFit="1" customWidth="1"/>
    <col min="13" max="13" width="20.6640625" style="13" customWidth="1"/>
    <col min="14" max="14" width="8.88671875" style="13"/>
    <col min="15" max="15" width="11.44140625" style="13" bestFit="1" customWidth="1"/>
    <col min="16" max="16" width="10.5546875" style="13" bestFit="1" customWidth="1"/>
    <col min="17" max="16384" width="8.88671875" style="13"/>
  </cols>
  <sheetData>
    <row r="1" spans="1:13" x14ac:dyDescent="0.3">
      <c r="A1" s="5" t="s">
        <v>4</v>
      </c>
      <c r="B1" s="5" t="s">
        <v>0</v>
      </c>
      <c r="C1" s="5" t="s">
        <v>226</v>
      </c>
      <c r="D1" s="5" t="s">
        <v>1</v>
      </c>
      <c r="E1" s="5" t="s">
        <v>2</v>
      </c>
      <c r="F1" s="5" t="s">
        <v>5</v>
      </c>
      <c r="G1" s="148" t="s">
        <v>6</v>
      </c>
      <c r="H1" s="148" t="s">
        <v>7</v>
      </c>
      <c r="I1" s="148" t="s">
        <v>8</v>
      </c>
      <c r="J1" s="160" t="s">
        <v>910</v>
      </c>
      <c r="K1" s="5" t="s">
        <v>210</v>
      </c>
      <c r="L1" s="5" t="s">
        <v>212</v>
      </c>
      <c r="M1" s="5" t="s">
        <v>214</v>
      </c>
    </row>
    <row r="2" spans="1:13" x14ac:dyDescent="0.3">
      <c r="A2" s="5" t="s">
        <v>911</v>
      </c>
      <c r="B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-2653.7391003993448</v>
      </c>
      <c r="C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" s="5">
        <v>2021</v>
      </c>
      <c r="E2" s="5" t="str">
        <f>faostatdata[[#This Row],[Area Code]]</f>
        <v>Global</v>
      </c>
      <c r="F2" s="161" t="s">
        <v>18</v>
      </c>
      <c r="G2" s="162" t="s">
        <v>262</v>
      </c>
      <c r="H2" s="163" t="s">
        <v>18</v>
      </c>
      <c r="I2" s="163" t="s">
        <v>206</v>
      </c>
      <c r="J2" s="157">
        <f>(SUM(woodflow!N2:N23)+woodflow!N26+woodflow!N31+woodflow!N36+woodflow!N41)*-1</f>
        <v>-2653.7391003993448</v>
      </c>
      <c r="K2" s="148" t="s">
        <v>921</v>
      </c>
      <c r="L2" s="148" t="s">
        <v>232</v>
      </c>
      <c r="M2" s="5"/>
    </row>
    <row r="3" spans="1:13" x14ac:dyDescent="0.3">
      <c r="A3" s="5" t="s">
        <v>912</v>
      </c>
      <c r="B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-604.74115599649997</v>
      </c>
      <c r="C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" s="5">
        <v>2021</v>
      </c>
      <c r="E3" s="5" t="str">
        <f>$E$2</f>
        <v>Global</v>
      </c>
      <c r="F3" s="161" t="s">
        <v>18</v>
      </c>
      <c r="G3" s="163" t="s">
        <v>262</v>
      </c>
      <c r="H3" s="163" t="s">
        <v>262</v>
      </c>
      <c r="I3" s="148" t="s">
        <v>3</v>
      </c>
      <c r="J3" s="157">
        <f>('faostat-data'!Q2+'faostat-data'!Q16+'faostat-data'!Q22+'faostat-data'!Q29)*-1</f>
        <v>-604.74115599649997</v>
      </c>
      <c r="K3" s="148" t="s">
        <v>921</v>
      </c>
      <c r="L3" s="5"/>
      <c r="M3" s="5" t="s">
        <v>227</v>
      </c>
    </row>
    <row r="4" spans="1:13" x14ac:dyDescent="0.3">
      <c r="A4" s="5" t="s">
        <v>913</v>
      </c>
      <c r="B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-1628.9062794834954</v>
      </c>
      <c r="C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" s="5">
        <v>2021</v>
      </c>
      <c r="E4" s="5" t="str">
        <f t="shared" ref="E4:E67" si="0">$E$2</f>
        <v>Global</v>
      </c>
      <c r="F4" s="161" t="s">
        <v>18</v>
      </c>
      <c r="G4" s="163" t="s">
        <v>18</v>
      </c>
      <c r="H4" s="163" t="s">
        <v>262</v>
      </c>
      <c r="I4" s="148" t="s">
        <v>3</v>
      </c>
      <c r="J4" s="157">
        <f>('faostat-data'!Q5+'faostat-data'!Q19+'faostat-data'!Q23+'faostat-data'!Q30)*-1</f>
        <v>-1628.9062794834954</v>
      </c>
      <c r="K4" s="148" t="s">
        <v>921</v>
      </c>
      <c r="L4" s="5"/>
      <c r="M4" s="5" t="s">
        <v>227</v>
      </c>
    </row>
    <row r="5" spans="1:13" x14ac:dyDescent="0.3">
      <c r="A5" s="5" t="s">
        <v>914</v>
      </c>
      <c r="B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-420.09166491935019</v>
      </c>
      <c r="C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" s="5">
        <v>2021</v>
      </c>
      <c r="E5" s="5" t="str">
        <f t="shared" si="0"/>
        <v>Global</v>
      </c>
      <c r="F5" s="161" t="s">
        <v>18</v>
      </c>
      <c r="G5" s="163" t="s">
        <v>269</v>
      </c>
      <c r="H5" s="163" t="s">
        <v>262</v>
      </c>
      <c r="I5" s="148" t="s">
        <v>3</v>
      </c>
      <c r="J5" s="157">
        <f>(woodflow!N26+woodflow!N31+woodflow!N36+woodflow!N41)*-1</f>
        <v>-420.09166491935019</v>
      </c>
      <c r="K5" s="148" t="s">
        <v>921</v>
      </c>
      <c r="L5" s="148" t="s">
        <v>232</v>
      </c>
      <c r="M5" s="5"/>
    </row>
    <row r="6" spans="1:13" x14ac:dyDescent="0.3">
      <c r="A6" s="5"/>
      <c r="B6" s="5"/>
      <c r="C6" s="5"/>
      <c r="D6" s="5"/>
      <c r="E6" s="5"/>
      <c r="F6" s="161"/>
      <c r="G6" s="148"/>
      <c r="H6" s="148"/>
      <c r="I6" s="148"/>
      <c r="J6" s="157"/>
      <c r="K6" s="148"/>
      <c r="L6" s="5"/>
      <c r="M6" s="5"/>
    </row>
    <row r="7" spans="1:13" x14ac:dyDescent="0.3">
      <c r="A7" s="5" t="s">
        <v>915</v>
      </c>
      <c r="B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-0.20100000000000001</v>
      </c>
      <c r="C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" s="5">
        <v>2021</v>
      </c>
      <c r="E7" s="5" t="str">
        <f t="shared" si="0"/>
        <v>Global</v>
      </c>
      <c r="F7" s="161" t="s">
        <v>18</v>
      </c>
      <c r="G7" s="163" t="s">
        <v>270</v>
      </c>
      <c r="H7" s="163" t="s">
        <v>262</v>
      </c>
      <c r="I7" s="148" t="s">
        <v>3</v>
      </c>
      <c r="J7" s="157">
        <f>woodflow!N46*-1</f>
        <v>-0.20100000000000001</v>
      </c>
      <c r="K7" s="148" t="s">
        <v>921</v>
      </c>
      <c r="L7" s="148" t="s">
        <v>232</v>
      </c>
      <c r="M7" s="153"/>
    </row>
    <row r="8" spans="1:13" x14ac:dyDescent="0.3">
      <c r="A8" s="5"/>
      <c r="B8" s="5"/>
      <c r="C8" s="5"/>
      <c r="D8" s="5"/>
      <c r="E8" s="5"/>
      <c r="F8" s="161"/>
      <c r="G8" s="148"/>
      <c r="H8" s="148"/>
      <c r="I8" s="148"/>
      <c r="J8" s="157"/>
      <c r="K8" s="148"/>
      <c r="L8" s="5"/>
      <c r="M8" s="5"/>
    </row>
    <row r="9" spans="1:13" x14ac:dyDescent="0.3">
      <c r="A9" s="5" t="s">
        <v>207</v>
      </c>
      <c r="B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" s="5">
        <v>2021</v>
      </c>
      <c r="E9" s="5" t="str">
        <f t="shared" si="0"/>
        <v>Global</v>
      </c>
      <c r="F9" s="161" t="s">
        <v>18</v>
      </c>
      <c r="G9" s="163" t="s">
        <v>18</v>
      </c>
      <c r="H9" s="148" t="s">
        <v>18</v>
      </c>
      <c r="I9" s="163" t="s">
        <v>331</v>
      </c>
      <c r="J9" s="157">
        <v>0</v>
      </c>
      <c r="K9" s="148" t="s">
        <v>228</v>
      </c>
      <c r="L9" s="5"/>
      <c r="M9" s="5"/>
    </row>
    <row r="10" spans="1:13" x14ac:dyDescent="0.3">
      <c r="A10" s="5" t="s">
        <v>61</v>
      </c>
      <c r="B1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" s="5">
        <v>2021</v>
      </c>
      <c r="E10" s="5" t="str">
        <f t="shared" si="0"/>
        <v>Global</v>
      </c>
      <c r="F10" s="161" t="s">
        <v>18</v>
      </c>
      <c r="G10" s="163" t="s">
        <v>269</v>
      </c>
      <c r="H10" s="163" t="s">
        <v>18</v>
      </c>
      <c r="I10" s="163" t="s">
        <v>327</v>
      </c>
      <c r="J10" s="157">
        <v>0</v>
      </c>
      <c r="K10" s="148" t="s">
        <v>228</v>
      </c>
      <c r="L10" s="5"/>
      <c r="M10" s="5"/>
    </row>
    <row r="11" spans="1:13" x14ac:dyDescent="0.3">
      <c r="A11" s="5" t="s">
        <v>258</v>
      </c>
      <c r="B1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" s="5">
        <v>2021</v>
      </c>
      <c r="E11" s="5" t="str">
        <f t="shared" si="0"/>
        <v>Global</v>
      </c>
      <c r="F11" s="161" t="s">
        <v>18</v>
      </c>
      <c r="G11" s="163" t="s">
        <v>271</v>
      </c>
      <c r="H11" s="163" t="s">
        <v>262</v>
      </c>
      <c r="I11" s="148" t="s">
        <v>3</v>
      </c>
      <c r="J11" s="157">
        <v>0</v>
      </c>
      <c r="K11" s="148" t="s">
        <v>228</v>
      </c>
      <c r="L11" s="5"/>
      <c r="M11" s="5"/>
    </row>
    <row r="12" spans="1:13" x14ac:dyDescent="0.3">
      <c r="A12" s="5" t="s">
        <v>259</v>
      </c>
      <c r="B1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2" s="5">
        <v>2021</v>
      </c>
      <c r="E12" s="5" t="str">
        <f t="shared" si="0"/>
        <v>Global</v>
      </c>
      <c r="F12" s="161" t="s">
        <v>18</v>
      </c>
      <c r="G12" s="163" t="s">
        <v>272</v>
      </c>
      <c r="H12" s="163" t="s">
        <v>262</v>
      </c>
      <c r="I12" s="148" t="s">
        <v>3</v>
      </c>
      <c r="J12" s="157">
        <v>0</v>
      </c>
      <c r="K12" s="148" t="s">
        <v>228</v>
      </c>
      <c r="L12" s="5"/>
      <c r="M12" s="5"/>
    </row>
    <row r="13" spans="1:13" x14ac:dyDescent="0.3">
      <c r="A13" s="5" t="s">
        <v>343</v>
      </c>
      <c r="B1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3" s="5">
        <v>2021</v>
      </c>
      <c r="E13" s="5" t="str">
        <f t="shared" si="0"/>
        <v>Global</v>
      </c>
      <c r="F13" s="161" t="s">
        <v>18</v>
      </c>
      <c r="G13" s="163" t="s">
        <v>270</v>
      </c>
      <c r="H13" s="163" t="s">
        <v>18</v>
      </c>
      <c r="I13" s="163" t="s">
        <v>345</v>
      </c>
      <c r="J13" s="157">
        <v>0</v>
      </c>
      <c r="K13" s="148" t="s">
        <v>228</v>
      </c>
      <c r="L13" s="5"/>
      <c r="M13" s="5"/>
    </row>
    <row r="14" spans="1:13" x14ac:dyDescent="0.3">
      <c r="A14" s="5" t="s">
        <v>344</v>
      </c>
      <c r="B1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4" s="5">
        <v>2021</v>
      </c>
      <c r="E14" s="5" t="str">
        <f t="shared" si="0"/>
        <v>Global</v>
      </c>
      <c r="F14" s="161" t="s">
        <v>18</v>
      </c>
      <c r="G14" s="163" t="s">
        <v>271</v>
      </c>
      <c r="H14" s="163" t="s">
        <v>18</v>
      </c>
      <c r="I14" s="163" t="s">
        <v>346</v>
      </c>
      <c r="J14" s="157">
        <v>0</v>
      </c>
      <c r="K14" s="148" t="s">
        <v>228</v>
      </c>
      <c r="L14" s="5"/>
      <c r="M14" s="5"/>
    </row>
    <row r="15" spans="1:13" x14ac:dyDescent="0.3">
      <c r="A15" s="5" t="s">
        <v>62</v>
      </c>
      <c r="B1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5" s="5">
        <v>2021</v>
      </c>
      <c r="E15" s="5" t="str">
        <f t="shared" si="0"/>
        <v>Global</v>
      </c>
      <c r="F15" s="161" t="s">
        <v>18</v>
      </c>
      <c r="G15" s="163" t="s">
        <v>272</v>
      </c>
      <c r="H15" s="163" t="s">
        <v>18</v>
      </c>
      <c r="I15" s="163" t="s">
        <v>328</v>
      </c>
      <c r="J15" s="157">
        <v>0</v>
      </c>
      <c r="K15" s="148" t="s">
        <v>228</v>
      </c>
      <c r="L15" s="5"/>
      <c r="M15" s="5"/>
    </row>
    <row r="16" spans="1:13" x14ac:dyDescent="0.3">
      <c r="A16" s="5" t="s">
        <v>260</v>
      </c>
      <c r="B1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6" s="5">
        <v>2021</v>
      </c>
      <c r="E16" s="5" t="str">
        <f t="shared" si="0"/>
        <v>Global</v>
      </c>
      <c r="F16" s="161" t="s">
        <v>18</v>
      </c>
      <c r="G16" s="163" t="s">
        <v>273</v>
      </c>
      <c r="H16" s="163" t="s">
        <v>262</v>
      </c>
      <c r="I16" s="148" t="s">
        <v>3</v>
      </c>
      <c r="J16" s="157">
        <v>0</v>
      </c>
      <c r="K16" s="148" t="s">
        <v>228</v>
      </c>
      <c r="L16" s="5"/>
      <c r="M16" s="5"/>
    </row>
    <row r="17" spans="1:13" x14ac:dyDescent="0.3">
      <c r="A17" s="5" t="s">
        <v>261</v>
      </c>
      <c r="B1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7" s="5">
        <v>2021</v>
      </c>
      <c r="E17" s="5" t="str">
        <f t="shared" si="0"/>
        <v>Global</v>
      </c>
      <c r="F17" s="161" t="s">
        <v>18</v>
      </c>
      <c r="G17" s="163" t="s">
        <v>276</v>
      </c>
      <c r="H17" s="163" t="s">
        <v>262</v>
      </c>
      <c r="I17" s="148" t="s">
        <v>3</v>
      </c>
      <c r="J17" s="157">
        <v>0</v>
      </c>
      <c r="K17" s="148" t="s">
        <v>228</v>
      </c>
      <c r="L17" s="5"/>
      <c r="M17" s="5"/>
    </row>
    <row r="18" spans="1:13" x14ac:dyDescent="0.3">
      <c r="A18" s="5" t="s">
        <v>63</v>
      </c>
      <c r="B1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8" s="5">
        <v>2021</v>
      </c>
      <c r="E18" s="5" t="str">
        <f t="shared" si="0"/>
        <v>Global</v>
      </c>
      <c r="F18" s="161" t="s">
        <v>18</v>
      </c>
      <c r="G18" s="163" t="s">
        <v>273</v>
      </c>
      <c r="H18" s="163" t="s">
        <v>18</v>
      </c>
      <c r="I18" s="163" t="s">
        <v>329</v>
      </c>
      <c r="J18" s="157">
        <v>0</v>
      </c>
      <c r="K18" s="148" t="s">
        <v>228</v>
      </c>
      <c r="L18" s="5"/>
      <c r="M18" s="5"/>
    </row>
    <row r="19" spans="1:13" x14ac:dyDescent="0.3">
      <c r="A19" s="5" t="s">
        <v>263</v>
      </c>
      <c r="B1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9" s="5">
        <v>2021</v>
      </c>
      <c r="E19" s="5" t="str">
        <f t="shared" si="0"/>
        <v>Global</v>
      </c>
      <c r="F19" s="161" t="s">
        <v>18</v>
      </c>
      <c r="G19" s="163" t="s">
        <v>277</v>
      </c>
      <c r="H19" s="163" t="s">
        <v>262</v>
      </c>
      <c r="I19" s="148" t="s">
        <v>3</v>
      </c>
      <c r="J19" s="157">
        <v>0</v>
      </c>
      <c r="K19" s="148" t="s">
        <v>228</v>
      </c>
      <c r="L19" s="5"/>
      <c r="M19" s="5"/>
    </row>
    <row r="20" spans="1:13" x14ac:dyDescent="0.3">
      <c r="A20" s="5" t="s">
        <v>264</v>
      </c>
      <c r="B2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0" s="5">
        <v>2021</v>
      </c>
      <c r="E20" s="5" t="str">
        <f t="shared" si="0"/>
        <v>Global</v>
      </c>
      <c r="F20" s="161" t="s">
        <v>18</v>
      </c>
      <c r="G20" s="163" t="s">
        <v>278</v>
      </c>
      <c r="H20" s="163" t="s">
        <v>262</v>
      </c>
      <c r="I20" s="148" t="s">
        <v>3</v>
      </c>
      <c r="J20" s="157">
        <v>0</v>
      </c>
      <c r="K20" s="148" t="s">
        <v>228</v>
      </c>
      <c r="L20" s="5"/>
      <c r="M20" s="5"/>
    </row>
    <row r="21" spans="1:13" x14ac:dyDescent="0.3">
      <c r="A21" s="5" t="s">
        <v>64</v>
      </c>
      <c r="B2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1" s="5">
        <v>2021</v>
      </c>
      <c r="E21" s="5" t="str">
        <f t="shared" si="0"/>
        <v>Global</v>
      </c>
      <c r="F21" s="161" t="s">
        <v>18</v>
      </c>
      <c r="G21" s="163" t="s">
        <v>276</v>
      </c>
      <c r="H21" s="163" t="s">
        <v>18</v>
      </c>
      <c r="I21" s="163" t="s">
        <v>330</v>
      </c>
      <c r="J21" s="157">
        <v>0</v>
      </c>
      <c r="K21" s="148" t="s">
        <v>228</v>
      </c>
      <c r="L21" s="5"/>
      <c r="M21" s="5"/>
    </row>
    <row r="22" spans="1:13" x14ac:dyDescent="0.3">
      <c r="A22" s="5" t="s">
        <v>265</v>
      </c>
      <c r="B2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2" s="5">
        <v>2021</v>
      </c>
      <c r="E22" s="5" t="str">
        <f t="shared" si="0"/>
        <v>Global</v>
      </c>
      <c r="F22" s="161" t="s">
        <v>18</v>
      </c>
      <c r="G22" s="163" t="s">
        <v>279</v>
      </c>
      <c r="H22" s="163" t="s">
        <v>262</v>
      </c>
      <c r="I22" s="148" t="s">
        <v>3</v>
      </c>
      <c r="J22" s="157">
        <v>0</v>
      </c>
      <c r="K22" s="148" t="s">
        <v>228</v>
      </c>
      <c r="L22" s="5"/>
      <c r="M22" s="5"/>
    </row>
    <row r="23" spans="1:13" x14ac:dyDescent="0.3">
      <c r="A23" s="5" t="s">
        <v>266</v>
      </c>
      <c r="B2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3" s="5">
        <v>2021</v>
      </c>
      <c r="E23" s="5" t="str">
        <f t="shared" si="0"/>
        <v>Global</v>
      </c>
      <c r="F23" s="161" t="s">
        <v>18</v>
      </c>
      <c r="G23" s="163" t="s">
        <v>280</v>
      </c>
      <c r="H23" s="163" t="s">
        <v>262</v>
      </c>
      <c r="I23" s="148" t="s">
        <v>3</v>
      </c>
      <c r="J23" s="157">
        <v>0</v>
      </c>
      <c r="K23" s="148" t="s">
        <v>228</v>
      </c>
      <c r="L23" s="5"/>
      <c r="M23" s="5"/>
    </row>
    <row r="24" spans="1:13" x14ac:dyDescent="0.3">
      <c r="A24" s="5"/>
      <c r="B24" s="5"/>
      <c r="C24" s="5"/>
      <c r="D24" s="5"/>
      <c r="E24" s="5"/>
      <c r="F24" s="161"/>
      <c r="G24" s="148"/>
      <c r="H24" s="148"/>
      <c r="I24" s="148"/>
      <c r="J24" s="157"/>
      <c r="K24" s="148"/>
      <c r="L24" s="5"/>
      <c r="M24" s="5"/>
    </row>
    <row r="25" spans="1:13" x14ac:dyDescent="0.3">
      <c r="A25" s="5" t="s">
        <v>208</v>
      </c>
      <c r="B2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5" s="5">
        <v>2021</v>
      </c>
      <c r="E25" s="5" t="str">
        <f t="shared" si="0"/>
        <v>Global</v>
      </c>
      <c r="F25" s="161" t="s">
        <v>18</v>
      </c>
      <c r="G25" s="163" t="s">
        <v>281</v>
      </c>
      <c r="H25" s="163" t="s">
        <v>262</v>
      </c>
      <c r="I25" s="148" t="s">
        <v>3</v>
      </c>
      <c r="J25" s="157">
        <v>0</v>
      </c>
      <c r="K25" s="148" t="s">
        <v>228</v>
      </c>
      <c r="L25" s="5"/>
      <c r="M25" s="5"/>
    </row>
    <row r="26" spans="1:13" x14ac:dyDescent="0.3">
      <c r="A26" s="5"/>
      <c r="B26" s="5"/>
      <c r="C26" s="5"/>
      <c r="D26" s="5"/>
      <c r="E26" s="5"/>
      <c r="F26" s="161"/>
      <c r="G26" s="148"/>
      <c r="H26" s="148"/>
      <c r="I26" s="148"/>
      <c r="J26" s="157"/>
      <c r="K26" s="148"/>
      <c r="L26" s="5"/>
      <c r="M26" s="5"/>
    </row>
    <row r="27" spans="1:13" x14ac:dyDescent="0.3">
      <c r="A27" s="5" t="s">
        <v>66</v>
      </c>
      <c r="B2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7" s="5">
        <v>2021</v>
      </c>
      <c r="E27" s="5" t="str">
        <f t="shared" si="0"/>
        <v>Global</v>
      </c>
      <c r="F27" s="161" t="s">
        <v>18</v>
      </c>
      <c r="G27" s="163" t="s">
        <v>277</v>
      </c>
      <c r="H27" s="163" t="s">
        <v>18</v>
      </c>
      <c r="I27" s="163" t="s">
        <v>229</v>
      </c>
      <c r="J27" s="157">
        <v>0</v>
      </c>
      <c r="K27" s="148" t="s">
        <v>228</v>
      </c>
      <c r="L27" s="5"/>
      <c r="M27" s="5"/>
    </row>
    <row r="28" spans="1:13" x14ac:dyDescent="0.3">
      <c r="A28" s="5" t="s">
        <v>55</v>
      </c>
      <c r="B2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8" s="5">
        <v>2021</v>
      </c>
      <c r="E28" s="5" t="str">
        <f t="shared" si="0"/>
        <v>Global</v>
      </c>
      <c r="F28" s="161" t="s">
        <v>18</v>
      </c>
      <c r="G28" s="163" t="s">
        <v>282</v>
      </c>
      <c r="H28" s="163" t="s">
        <v>262</v>
      </c>
      <c r="I28" s="148" t="s">
        <v>3</v>
      </c>
      <c r="J28" s="157">
        <v>0</v>
      </c>
      <c r="K28" s="148" t="s">
        <v>228</v>
      </c>
      <c r="L28" s="5"/>
      <c r="M28" s="5"/>
    </row>
    <row r="29" spans="1:13" x14ac:dyDescent="0.3">
      <c r="A29" s="5" t="s">
        <v>175</v>
      </c>
      <c r="B2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2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29" s="5">
        <v>2021</v>
      </c>
      <c r="E29" s="5" t="str">
        <f t="shared" si="0"/>
        <v>Global</v>
      </c>
      <c r="F29" s="161" t="s">
        <v>18</v>
      </c>
      <c r="G29" s="163" t="s">
        <v>283</v>
      </c>
      <c r="H29" s="163" t="s">
        <v>262</v>
      </c>
      <c r="I29" s="148" t="s">
        <v>3</v>
      </c>
      <c r="J29" s="157">
        <v>0</v>
      </c>
      <c r="K29" s="148" t="s">
        <v>228</v>
      </c>
      <c r="L29" s="5"/>
      <c r="M29" s="5"/>
    </row>
    <row r="30" spans="1:13" x14ac:dyDescent="0.3">
      <c r="A30" s="5"/>
      <c r="B30" s="5"/>
      <c r="C30" s="5"/>
      <c r="D30" s="5"/>
      <c r="E30" s="5"/>
      <c r="F30" s="161"/>
      <c r="G30" s="148"/>
      <c r="H30" s="148"/>
      <c r="I30" s="148"/>
      <c r="J30" s="157"/>
      <c r="K30" s="148"/>
      <c r="L30" s="5"/>
      <c r="M30" s="5"/>
    </row>
    <row r="31" spans="1:13" x14ac:dyDescent="0.3">
      <c r="A31" s="5" t="s">
        <v>65</v>
      </c>
      <c r="B3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1" s="5">
        <v>2021</v>
      </c>
      <c r="E31" s="5" t="str">
        <f t="shared" si="0"/>
        <v>Global</v>
      </c>
      <c r="F31" s="161" t="s">
        <v>18</v>
      </c>
      <c r="G31" s="163" t="s">
        <v>278</v>
      </c>
      <c r="H31" s="163" t="s">
        <v>18</v>
      </c>
      <c r="I31" s="163" t="s">
        <v>334</v>
      </c>
      <c r="J31" s="157">
        <v>0</v>
      </c>
      <c r="K31" s="148" t="s">
        <v>228</v>
      </c>
      <c r="L31" s="5"/>
      <c r="M31" s="5"/>
    </row>
    <row r="32" spans="1:13" x14ac:dyDescent="0.3">
      <c r="A32" s="5" t="s">
        <v>53</v>
      </c>
      <c r="B3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2" s="5">
        <v>2021</v>
      </c>
      <c r="E32" s="5" t="str">
        <f t="shared" si="0"/>
        <v>Global</v>
      </c>
      <c r="F32" s="161" t="s">
        <v>18</v>
      </c>
      <c r="G32" s="163" t="s">
        <v>284</v>
      </c>
      <c r="H32" s="163" t="s">
        <v>262</v>
      </c>
      <c r="I32" s="148" t="s">
        <v>3</v>
      </c>
      <c r="J32" s="157">
        <v>0</v>
      </c>
      <c r="K32" s="148" t="s">
        <v>228</v>
      </c>
      <c r="L32" s="5"/>
      <c r="M32" s="5"/>
    </row>
    <row r="33" spans="1:13" x14ac:dyDescent="0.3">
      <c r="A33" s="5" t="s">
        <v>54</v>
      </c>
      <c r="B3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3" s="5">
        <v>2021</v>
      </c>
      <c r="E33" s="5" t="str">
        <f t="shared" si="0"/>
        <v>Global</v>
      </c>
      <c r="F33" s="161" t="s">
        <v>18</v>
      </c>
      <c r="G33" s="163" t="s">
        <v>285</v>
      </c>
      <c r="H33" s="163" t="s">
        <v>262</v>
      </c>
      <c r="I33" s="148" t="s">
        <v>3</v>
      </c>
      <c r="J33" s="157">
        <v>0</v>
      </c>
      <c r="K33" s="148" t="s">
        <v>228</v>
      </c>
      <c r="L33" s="5"/>
      <c r="M33" s="5"/>
    </row>
    <row r="34" spans="1:13" x14ac:dyDescent="0.3">
      <c r="A34" s="5"/>
      <c r="B34" s="5"/>
      <c r="C34" s="5"/>
      <c r="D34" s="5"/>
      <c r="E34" s="5"/>
      <c r="F34" s="161"/>
      <c r="G34" s="148"/>
      <c r="H34" s="148"/>
      <c r="I34" s="148"/>
      <c r="J34" s="157"/>
      <c r="K34" s="148"/>
      <c r="L34" s="5"/>
      <c r="M34" s="5"/>
    </row>
    <row r="35" spans="1:13" x14ac:dyDescent="0.3">
      <c r="A35" s="5" t="s">
        <v>47</v>
      </c>
      <c r="B3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5" s="5">
        <v>2021</v>
      </c>
      <c r="E35" s="5" t="str">
        <f t="shared" si="0"/>
        <v>Global</v>
      </c>
      <c r="F35" s="161" t="s">
        <v>18</v>
      </c>
      <c r="G35" s="163" t="s">
        <v>286</v>
      </c>
      <c r="H35" s="163" t="s">
        <v>262</v>
      </c>
      <c r="I35" s="148" t="s">
        <v>3</v>
      </c>
      <c r="J35" s="157">
        <v>0</v>
      </c>
      <c r="K35" s="148" t="s">
        <v>228</v>
      </c>
      <c r="L35" s="5"/>
      <c r="M35" s="5"/>
    </row>
    <row r="36" spans="1:13" x14ac:dyDescent="0.3">
      <c r="A36" s="5"/>
      <c r="B36" s="5"/>
      <c r="C36" s="5"/>
      <c r="D36" s="5"/>
      <c r="E36" s="5"/>
      <c r="F36" s="161"/>
      <c r="G36" s="148"/>
      <c r="H36" s="148"/>
      <c r="I36" s="148"/>
      <c r="J36" s="157"/>
      <c r="K36" s="148"/>
      <c r="L36" s="5"/>
      <c r="M36" s="5"/>
    </row>
    <row r="37" spans="1:13" x14ac:dyDescent="0.3">
      <c r="A37" s="5" t="s">
        <v>48</v>
      </c>
      <c r="B3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7" s="5">
        <v>2021</v>
      </c>
      <c r="E37" s="5" t="str">
        <f t="shared" si="0"/>
        <v>Global</v>
      </c>
      <c r="F37" s="161" t="s">
        <v>18</v>
      </c>
      <c r="G37" s="163" t="s">
        <v>279</v>
      </c>
      <c r="H37" s="163" t="s">
        <v>18</v>
      </c>
      <c r="I37" s="163" t="s">
        <v>355</v>
      </c>
      <c r="J37" s="157">
        <v>0</v>
      </c>
      <c r="K37" s="148" t="s">
        <v>228</v>
      </c>
      <c r="L37" s="5"/>
      <c r="M37" s="5"/>
    </row>
    <row r="38" spans="1:13" x14ac:dyDescent="0.3">
      <c r="A38" s="5" t="s">
        <v>267</v>
      </c>
      <c r="B3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8" s="5">
        <v>2021</v>
      </c>
      <c r="E38" s="5" t="str">
        <f t="shared" si="0"/>
        <v>Global</v>
      </c>
      <c r="F38" s="161" t="s">
        <v>18</v>
      </c>
      <c r="G38" s="163" t="s">
        <v>287</v>
      </c>
      <c r="H38" s="163" t="s">
        <v>262</v>
      </c>
      <c r="I38" s="148" t="s">
        <v>3</v>
      </c>
      <c r="J38" s="157">
        <v>0</v>
      </c>
      <c r="K38" s="148" t="s">
        <v>228</v>
      </c>
      <c r="L38" s="5"/>
      <c r="M38" s="5"/>
    </row>
    <row r="39" spans="1:13" x14ac:dyDescent="0.3">
      <c r="A39" s="5" t="s">
        <v>268</v>
      </c>
      <c r="B3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3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39" s="5">
        <v>2021</v>
      </c>
      <c r="E39" s="5" t="str">
        <f t="shared" si="0"/>
        <v>Global</v>
      </c>
      <c r="F39" s="161" t="s">
        <v>18</v>
      </c>
      <c r="G39" s="163" t="s">
        <v>288</v>
      </c>
      <c r="H39" s="163" t="s">
        <v>262</v>
      </c>
      <c r="I39" s="148" t="s">
        <v>3</v>
      </c>
      <c r="J39" s="157">
        <v>0</v>
      </c>
      <c r="K39" s="148" t="s">
        <v>228</v>
      </c>
      <c r="L39" s="5"/>
      <c r="M39" s="5"/>
    </row>
    <row r="40" spans="1:13" x14ac:dyDescent="0.3">
      <c r="A40" s="5"/>
      <c r="B40" s="5"/>
      <c r="C40" s="5"/>
      <c r="D40" s="5"/>
      <c r="E40" s="5"/>
      <c r="F40" s="161"/>
      <c r="G40" s="148"/>
      <c r="H40" s="148"/>
      <c r="I40" s="148"/>
      <c r="J40" s="157"/>
      <c r="K40" s="148"/>
      <c r="L40" s="5"/>
      <c r="M40" s="5"/>
    </row>
    <row r="41" spans="1:13" x14ac:dyDescent="0.3">
      <c r="A41" s="5" t="s">
        <v>49</v>
      </c>
      <c r="B4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1" s="5">
        <v>2021</v>
      </c>
      <c r="E41" s="5" t="str">
        <f t="shared" si="0"/>
        <v>Global</v>
      </c>
      <c r="F41" s="161" t="s">
        <v>18</v>
      </c>
      <c r="G41" s="163" t="s">
        <v>289</v>
      </c>
      <c r="H41" s="163" t="s">
        <v>262</v>
      </c>
      <c r="I41" s="148" t="s">
        <v>3</v>
      </c>
      <c r="J41" s="157">
        <v>0</v>
      </c>
      <c r="K41" s="148" t="s">
        <v>228</v>
      </c>
      <c r="L41" s="5"/>
      <c r="M41" s="5"/>
    </row>
    <row r="42" spans="1:13" x14ac:dyDescent="0.3">
      <c r="A42" s="5"/>
      <c r="B42" s="5"/>
      <c r="C42" s="5"/>
      <c r="D42" s="5"/>
      <c r="E42" s="5"/>
      <c r="F42" s="161"/>
      <c r="G42" s="148"/>
      <c r="H42" s="148"/>
      <c r="I42" s="148"/>
      <c r="J42" s="157"/>
      <c r="K42" s="148"/>
      <c r="L42" s="5"/>
      <c r="M42" s="5"/>
    </row>
    <row r="43" spans="1:13" x14ac:dyDescent="0.3">
      <c r="A43" s="5" t="s">
        <v>52</v>
      </c>
      <c r="B4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3" s="5">
        <v>2021</v>
      </c>
      <c r="E43" s="5" t="str">
        <f t="shared" si="0"/>
        <v>Global</v>
      </c>
      <c r="F43" s="161" t="s">
        <v>18</v>
      </c>
      <c r="G43" s="163" t="s">
        <v>280</v>
      </c>
      <c r="H43" s="163" t="s">
        <v>18</v>
      </c>
      <c r="I43" s="163" t="s">
        <v>356</v>
      </c>
      <c r="J43" s="157">
        <v>0</v>
      </c>
      <c r="K43" s="148" t="s">
        <v>228</v>
      </c>
      <c r="L43" s="5"/>
      <c r="M43" s="5"/>
    </row>
    <row r="44" spans="1:13" x14ac:dyDescent="0.3">
      <c r="A44" s="5" t="s">
        <v>44</v>
      </c>
      <c r="B4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4" s="5">
        <v>2021</v>
      </c>
      <c r="E44" s="5" t="str">
        <f t="shared" si="0"/>
        <v>Global</v>
      </c>
      <c r="F44" s="161" t="s">
        <v>18</v>
      </c>
      <c r="G44" s="163" t="s">
        <v>290</v>
      </c>
      <c r="H44" s="163" t="s">
        <v>262</v>
      </c>
      <c r="I44" s="148" t="s">
        <v>3</v>
      </c>
      <c r="J44" s="157">
        <v>0</v>
      </c>
      <c r="K44" s="148" t="s">
        <v>228</v>
      </c>
      <c r="L44" s="5"/>
      <c r="M44" s="5"/>
    </row>
    <row r="45" spans="1:13" x14ac:dyDescent="0.3">
      <c r="A45" s="5" t="s">
        <v>45</v>
      </c>
      <c r="B4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5" s="5">
        <v>2021</v>
      </c>
      <c r="E45" s="5" t="str">
        <f t="shared" si="0"/>
        <v>Global</v>
      </c>
      <c r="F45" s="161" t="s">
        <v>18</v>
      </c>
      <c r="G45" s="163" t="s">
        <v>291</v>
      </c>
      <c r="H45" s="163" t="s">
        <v>262</v>
      </c>
      <c r="I45" s="148" t="s">
        <v>3</v>
      </c>
      <c r="J45" s="157">
        <v>0</v>
      </c>
      <c r="K45" s="148" t="s">
        <v>228</v>
      </c>
      <c r="L45" s="5"/>
      <c r="M45" s="5"/>
    </row>
    <row r="46" spans="1:13" x14ac:dyDescent="0.3">
      <c r="A46" s="5" t="s">
        <v>76</v>
      </c>
      <c r="B4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6" s="5">
        <v>2021</v>
      </c>
      <c r="E46" s="5" t="str">
        <f t="shared" si="0"/>
        <v>Global</v>
      </c>
      <c r="F46" s="161" t="s">
        <v>18</v>
      </c>
      <c r="G46" s="163" t="s">
        <v>292</v>
      </c>
      <c r="H46" s="163" t="s">
        <v>262</v>
      </c>
      <c r="I46" s="148" t="s">
        <v>3</v>
      </c>
      <c r="J46" s="157">
        <v>0</v>
      </c>
      <c r="K46" s="148" t="s">
        <v>228</v>
      </c>
      <c r="L46" s="5"/>
      <c r="M46" s="5"/>
    </row>
    <row r="47" spans="1:13" x14ac:dyDescent="0.3">
      <c r="A47" s="5" t="s">
        <v>274</v>
      </c>
      <c r="B4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7" s="5">
        <v>2021</v>
      </c>
      <c r="E47" s="5" t="str">
        <f t="shared" si="0"/>
        <v>Global</v>
      </c>
      <c r="F47" s="161" t="s">
        <v>18</v>
      </c>
      <c r="G47" s="163" t="s">
        <v>281</v>
      </c>
      <c r="H47" s="163" t="s">
        <v>18</v>
      </c>
      <c r="I47" s="163" t="s">
        <v>357</v>
      </c>
      <c r="J47" s="157">
        <v>0</v>
      </c>
      <c r="K47" s="148" t="s">
        <v>228</v>
      </c>
      <c r="L47" s="5"/>
      <c r="M47" s="5"/>
    </row>
    <row r="48" spans="1:13" x14ac:dyDescent="0.3">
      <c r="A48" s="5" t="s">
        <v>176</v>
      </c>
      <c r="B4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8" s="5">
        <v>2021</v>
      </c>
      <c r="E48" s="5" t="str">
        <f t="shared" si="0"/>
        <v>Global</v>
      </c>
      <c r="F48" s="161" t="s">
        <v>18</v>
      </c>
      <c r="G48" s="163" t="s">
        <v>293</v>
      </c>
      <c r="H48" s="163" t="s">
        <v>262</v>
      </c>
      <c r="I48" s="148" t="s">
        <v>3</v>
      </c>
      <c r="J48" s="157">
        <v>0</v>
      </c>
      <c r="K48" s="148" t="s">
        <v>228</v>
      </c>
      <c r="L48" s="5"/>
      <c r="M48" s="5"/>
    </row>
    <row r="49" spans="1:13" x14ac:dyDescent="0.3">
      <c r="A49" s="5" t="s">
        <v>205</v>
      </c>
      <c r="B4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4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49" s="5">
        <v>2021</v>
      </c>
      <c r="E49" s="5" t="str">
        <f t="shared" si="0"/>
        <v>Global</v>
      </c>
      <c r="F49" s="161" t="s">
        <v>18</v>
      </c>
      <c r="G49" s="163" t="s">
        <v>294</v>
      </c>
      <c r="H49" s="163" t="s">
        <v>262</v>
      </c>
      <c r="I49" s="148" t="s">
        <v>3</v>
      </c>
      <c r="J49" s="157">
        <v>0</v>
      </c>
      <c r="K49" s="148" t="s">
        <v>228</v>
      </c>
      <c r="L49" s="5"/>
      <c r="M49" s="5"/>
    </row>
    <row r="50" spans="1:13" x14ac:dyDescent="0.3">
      <c r="A50" s="5" t="s">
        <v>75</v>
      </c>
      <c r="B5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0" s="5">
        <v>2021</v>
      </c>
      <c r="E50" s="5" t="str">
        <f t="shared" si="0"/>
        <v>Global</v>
      </c>
      <c r="F50" s="161" t="s">
        <v>18</v>
      </c>
      <c r="G50" s="163" t="s">
        <v>295</v>
      </c>
      <c r="H50" s="163" t="s">
        <v>262</v>
      </c>
      <c r="I50" s="148" t="s">
        <v>3</v>
      </c>
      <c r="J50" s="157">
        <v>0</v>
      </c>
      <c r="K50" s="148" t="s">
        <v>228</v>
      </c>
      <c r="L50" s="5"/>
      <c r="M50" s="5"/>
    </row>
    <row r="51" spans="1:13" x14ac:dyDescent="0.3">
      <c r="A51" s="5"/>
      <c r="B51" s="5"/>
      <c r="C51" s="5"/>
      <c r="D51" s="5"/>
      <c r="E51" s="5"/>
      <c r="F51" s="161"/>
      <c r="G51" s="148"/>
      <c r="H51" s="148"/>
      <c r="I51" s="148"/>
      <c r="J51" s="157"/>
      <c r="K51" s="148"/>
      <c r="L51" s="5"/>
      <c r="M51" s="5"/>
    </row>
    <row r="52" spans="1:13" x14ac:dyDescent="0.3">
      <c r="A52" s="5" t="s">
        <v>42</v>
      </c>
      <c r="B5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2" s="5">
        <v>2021</v>
      </c>
      <c r="E52" s="5" t="str">
        <f t="shared" si="0"/>
        <v>Global</v>
      </c>
      <c r="F52" s="161" t="s">
        <v>18</v>
      </c>
      <c r="G52" s="163" t="s">
        <v>282</v>
      </c>
      <c r="H52" s="163" t="s">
        <v>18</v>
      </c>
      <c r="I52" s="163" t="s">
        <v>358</v>
      </c>
      <c r="J52" s="157">
        <v>0</v>
      </c>
      <c r="K52" s="148" t="s">
        <v>228</v>
      </c>
      <c r="L52" s="5"/>
      <c r="M52" s="5"/>
    </row>
    <row r="53" spans="1:13" x14ac:dyDescent="0.3">
      <c r="A53" s="5" t="s">
        <v>70</v>
      </c>
      <c r="B5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3" s="5">
        <v>2021</v>
      </c>
      <c r="E53" s="5" t="str">
        <f t="shared" si="0"/>
        <v>Global</v>
      </c>
      <c r="F53" s="161" t="s">
        <v>18</v>
      </c>
      <c r="G53" s="163" t="s">
        <v>296</v>
      </c>
      <c r="H53" s="163" t="s">
        <v>262</v>
      </c>
      <c r="I53" s="148" t="s">
        <v>3</v>
      </c>
      <c r="J53" s="157">
        <v>0</v>
      </c>
      <c r="K53" s="148" t="s">
        <v>228</v>
      </c>
      <c r="L53" s="5"/>
      <c r="M53" s="5"/>
    </row>
    <row r="54" spans="1:13" x14ac:dyDescent="0.3">
      <c r="A54" s="5" t="s">
        <v>71</v>
      </c>
      <c r="B5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4" s="5">
        <v>2021</v>
      </c>
      <c r="E54" s="5" t="str">
        <f t="shared" si="0"/>
        <v>Global</v>
      </c>
      <c r="F54" s="161" t="s">
        <v>18</v>
      </c>
      <c r="G54" s="163" t="s">
        <v>297</v>
      </c>
      <c r="H54" s="163" t="s">
        <v>262</v>
      </c>
      <c r="I54" s="148" t="s">
        <v>3</v>
      </c>
      <c r="J54" s="157">
        <v>0</v>
      </c>
      <c r="K54" s="148" t="s">
        <v>228</v>
      </c>
      <c r="L54" s="5"/>
      <c r="M54" s="5"/>
    </row>
    <row r="55" spans="1:13" x14ac:dyDescent="0.3">
      <c r="A55" s="5" t="s">
        <v>72</v>
      </c>
      <c r="B5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5" s="5">
        <v>2021</v>
      </c>
      <c r="E55" s="5" t="str">
        <f t="shared" si="0"/>
        <v>Global</v>
      </c>
      <c r="F55" s="161" t="s">
        <v>18</v>
      </c>
      <c r="G55" s="163" t="s">
        <v>298</v>
      </c>
      <c r="H55" s="163" t="s">
        <v>262</v>
      </c>
      <c r="I55" s="148" t="s">
        <v>3</v>
      </c>
      <c r="J55" s="157">
        <v>0</v>
      </c>
      <c r="K55" s="148" t="s">
        <v>228</v>
      </c>
      <c r="L55" s="5"/>
      <c r="M55" s="5"/>
    </row>
    <row r="56" spans="1:13" x14ac:dyDescent="0.3">
      <c r="A56" s="5" t="s">
        <v>77</v>
      </c>
      <c r="B5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5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6" s="5">
        <v>2021</v>
      </c>
      <c r="E56" s="5" t="str">
        <f t="shared" si="0"/>
        <v>Global</v>
      </c>
      <c r="F56" s="161" t="s">
        <v>18</v>
      </c>
      <c r="G56" s="163" t="s">
        <v>299</v>
      </c>
      <c r="H56" s="163" t="s">
        <v>262</v>
      </c>
      <c r="I56" s="148" t="s">
        <v>3</v>
      </c>
      <c r="J56" s="157">
        <v>0</v>
      </c>
      <c r="K56" s="148" t="s">
        <v>228</v>
      </c>
      <c r="L56" s="5"/>
      <c r="M56" s="5"/>
    </row>
    <row r="57" spans="1:13" x14ac:dyDescent="0.3">
      <c r="A57" s="5"/>
      <c r="B57" s="5"/>
      <c r="C57" s="5"/>
      <c r="D57" s="5"/>
      <c r="E57" s="5"/>
      <c r="F57" s="161"/>
      <c r="G57" s="148"/>
      <c r="H57" s="148"/>
      <c r="I57" s="148"/>
      <c r="J57" s="157"/>
      <c r="K57" s="148"/>
      <c r="L57" s="5"/>
      <c r="M57" s="5"/>
    </row>
    <row r="58" spans="1:13" x14ac:dyDescent="0.3">
      <c r="A58" s="5" t="s">
        <v>43</v>
      </c>
      <c r="B5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-56.865574580000008</v>
      </c>
      <c r="C5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58" s="5">
        <v>2021</v>
      </c>
      <c r="E58" s="5" t="str">
        <f t="shared" si="0"/>
        <v>Global</v>
      </c>
      <c r="F58" s="161" t="s">
        <v>18</v>
      </c>
      <c r="G58" s="163" t="s">
        <v>300</v>
      </c>
      <c r="H58" s="163" t="s">
        <v>262</v>
      </c>
      <c r="I58" s="148" t="s">
        <v>3</v>
      </c>
      <c r="J58" s="157">
        <f>(woodflow!N296+'faostat-data'!Q116-'faostat-data'!Q115)*(-1)</f>
        <v>-56.865574580000008</v>
      </c>
      <c r="K58" s="148" t="s">
        <v>921</v>
      </c>
      <c r="L58" s="148" t="s">
        <v>232</v>
      </c>
      <c r="M58" s="5"/>
    </row>
    <row r="59" spans="1:13" x14ac:dyDescent="0.3">
      <c r="A59" s="5"/>
      <c r="B59" s="5"/>
      <c r="C59" s="5"/>
      <c r="D59" s="5"/>
      <c r="E59" s="5"/>
      <c r="F59" s="161"/>
      <c r="G59" s="148"/>
      <c r="H59" s="148"/>
      <c r="I59" s="148"/>
      <c r="J59" s="157"/>
      <c r="K59" s="148"/>
      <c r="L59" s="5"/>
      <c r="M59" s="5"/>
    </row>
    <row r="60" spans="1:13" x14ac:dyDescent="0.3">
      <c r="A60" s="5" t="s">
        <v>50</v>
      </c>
      <c r="B6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0" s="5">
        <v>2021</v>
      </c>
      <c r="E60" s="5" t="str">
        <f t="shared" si="0"/>
        <v>Global</v>
      </c>
      <c r="F60" s="161" t="s">
        <v>18</v>
      </c>
      <c r="G60" s="163" t="s">
        <v>283</v>
      </c>
      <c r="H60" s="163" t="s">
        <v>18</v>
      </c>
      <c r="I60" s="163" t="s">
        <v>359</v>
      </c>
      <c r="J60" s="157">
        <v>0</v>
      </c>
      <c r="K60" s="148" t="s">
        <v>228</v>
      </c>
      <c r="L60" s="5"/>
      <c r="M60" s="5"/>
    </row>
    <row r="61" spans="1:13" x14ac:dyDescent="0.3">
      <c r="A61" s="5" t="s">
        <v>78</v>
      </c>
      <c r="B6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1" s="5">
        <v>2021</v>
      </c>
      <c r="E61" s="5" t="str">
        <f t="shared" si="0"/>
        <v>Global</v>
      </c>
      <c r="F61" s="161" t="s">
        <v>18</v>
      </c>
      <c r="G61" s="163" t="s">
        <v>301</v>
      </c>
      <c r="H61" s="163" t="s">
        <v>262</v>
      </c>
      <c r="I61" s="148" t="s">
        <v>3</v>
      </c>
      <c r="J61" s="157">
        <v>0</v>
      </c>
      <c r="K61" s="148" t="s">
        <v>228</v>
      </c>
      <c r="L61" s="5"/>
      <c r="M61" s="5"/>
    </row>
    <row r="62" spans="1:13" x14ac:dyDescent="0.3">
      <c r="A62" s="5" t="s">
        <v>79</v>
      </c>
      <c r="B6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2" s="5">
        <v>2021</v>
      </c>
      <c r="E62" s="5" t="str">
        <f t="shared" si="0"/>
        <v>Global</v>
      </c>
      <c r="F62" s="161" t="s">
        <v>18</v>
      </c>
      <c r="G62" s="163" t="s">
        <v>302</v>
      </c>
      <c r="H62" s="163" t="s">
        <v>262</v>
      </c>
      <c r="I62" s="148" t="s">
        <v>3</v>
      </c>
      <c r="J62" s="157">
        <v>0</v>
      </c>
      <c r="K62" s="148" t="s">
        <v>228</v>
      </c>
      <c r="L62" s="5"/>
      <c r="M62" s="5"/>
    </row>
    <row r="63" spans="1:13" x14ac:dyDescent="0.3">
      <c r="A63" s="5" t="s">
        <v>67</v>
      </c>
      <c r="B6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3" s="5">
        <v>2021</v>
      </c>
      <c r="E63" s="5" t="str">
        <f>$E$2</f>
        <v>Global</v>
      </c>
      <c r="F63" s="161" t="s">
        <v>18</v>
      </c>
      <c r="G63" s="163" t="s">
        <v>303</v>
      </c>
      <c r="H63" s="163" t="s">
        <v>262</v>
      </c>
      <c r="I63" s="148" t="s">
        <v>3</v>
      </c>
      <c r="J63" s="157">
        <v>0</v>
      </c>
      <c r="K63" s="148" t="s">
        <v>228</v>
      </c>
      <c r="L63" s="5"/>
      <c r="M63" s="5"/>
    </row>
    <row r="64" spans="1:13" x14ac:dyDescent="0.3">
      <c r="A64" s="5" t="s">
        <v>68</v>
      </c>
      <c r="B6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4" s="5">
        <v>2021</v>
      </c>
      <c r="E64" s="5" t="str">
        <f t="shared" si="0"/>
        <v>Global</v>
      </c>
      <c r="F64" s="161" t="s">
        <v>18</v>
      </c>
      <c r="G64" s="163" t="s">
        <v>304</v>
      </c>
      <c r="H64" s="163" t="s">
        <v>262</v>
      </c>
      <c r="I64" s="148" t="s">
        <v>3</v>
      </c>
      <c r="J64" s="157">
        <v>0</v>
      </c>
      <c r="K64" s="148" t="s">
        <v>228</v>
      </c>
      <c r="L64" s="5"/>
      <c r="M64" s="5"/>
    </row>
    <row r="65" spans="1:16" x14ac:dyDescent="0.3">
      <c r="A65" s="5" t="s">
        <v>69</v>
      </c>
      <c r="B6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5" s="5">
        <v>2021</v>
      </c>
      <c r="E65" s="5" t="str">
        <f t="shared" si="0"/>
        <v>Global</v>
      </c>
      <c r="F65" s="161" t="s">
        <v>18</v>
      </c>
      <c r="G65" s="163" t="s">
        <v>305</v>
      </c>
      <c r="H65" s="163" t="s">
        <v>262</v>
      </c>
      <c r="I65" s="148" t="s">
        <v>3</v>
      </c>
      <c r="J65" s="157">
        <v>0</v>
      </c>
      <c r="K65" s="148" t="s">
        <v>228</v>
      </c>
      <c r="L65" s="5"/>
      <c r="M65" s="5"/>
    </row>
    <row r="66" spans="1:16" x14ac:dyDescent="0.3">
      <c r="A66" s="5"/>
      <c r="B66" s="5"/>
      <c r="C66" s="5"/>
      <c r="D66" s="5"/>
      <c r="E66" s="5"/>
      <c r="F66" s="161"/>
      <c r="G66" s="148"/>
      <c r="H66" s="148"/>
      <c r="I66" s="148"/>
      <c r="J66" s="157"/>
      <c r="K66" s="148"/>
      <c r="L66" s="5"/>
      <c r="M66" s="5"/>
    </row>
    <row r="67" spans="1:16" x14ac:dyDescent="0.3">
      <c r="A67" s="5" t="s">
        <v>51</v>
      </c>
      <c r="B6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7" s="5">
        <v>2021</v>
      </c>
      <c r="E67" s="5" t="str">
        <f t="shared" si="0"/>
        <v>Global</v>
      </c>
      <c r="F67" s="161" t="s">
        <v>18</v>
      </c>
      <c r="G67" s="163" t="s">
        <v>284</v>
      </c>
      <c r="H67" s="163" t="s">
        <v>18</v>
      </c>
      <c r="I67" s="163" t="s">
        <v>360</v>
      </c>
      <c r="J67" s="157">
        <v>0</v>
      </c>
      <c r="K67" s="148" t="s">
        <v>228</v>
      </c>
      <c r="L67" s="5"/>
      <c r="M67" s="5"/>
    </row>
    <row r="68" spans="1:16" x14ac:dyDescent="0.3">
      <c r="A68" s="5" t="s">
        <v>36</v>
      </c>
      <c r="B6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8" s="5">
        <v>2021</v>
      </c>
      <c r="E68" s="5" t="str">
        <f t="shared" ref="E68:E110" si="1">$E$2</f>
        <v>Global</v>
      </c>
      <c r="F68" s="161" t="s">
        <v>18</v>
      </c>
      <c r="G68" s="163" t="s">
        <v>306</v>
      </c>
      <c r="H68" s="163" t="s">
        <v>262</v>
      </c>
      <c r="I68" s="148" t="s">
        <v>3</v>
      </c>
      <c r="J68" s="157">
        <v>0</v>
      </c>
      <c r="K68" s="148" t="s">
        <v>228</v>
      </c>
      <c r="L68" s="5"/>
      <c r="M68" s="5"/>
    </row>
    <row r="69" spans="1:16" x14ac:dyDescent="0.3">
      <c r="A69" s="5" t="s">
        <v>37</v>
      </c>
      <c r="B6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6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69" s="5">
        <v>2021</v>
      </c>
      <c r="E69" s="5" t="str">
        <f t="shared" si="1"/>
        <v>Global</v>
      </c>
      <c r="F69" s="161" t="s">
        <v>18</v>
      </c>
      <c r="G69" s="163" t="s">
        <v>307</v>
      </c>
      <c r="H69" s="163" t="s">
        <v>262</v>
      </c>
      <c r="I69" s="148" t="s">
        <v>3</v>
      </c>
      <c r="J69" s="157">
        <v>0</v>
      </c>
      <c r="K69" s="148" t="s">
        <v>228</v>
      </c>
      <c r="L69" s="5"/>
      <c r="M69" s="5"/>
    </row>
    <row r="70" spans="1:16" x14ac:dyDescent="0.3">
      <c r="A70" s="5" t="s">
        <v>275</v>
      </c>
      <c r="B7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0" s="5">
        <v>2021</v>
      </c>
      <c r="E70" s="5" t="str">
        <f t="shared" si="1"/>
        <v>Global</v>
      </c>
      <c r="F70" s="161" t="s">
        <v>18</v>
      </c>
      <c r="G70" s="163" t="s">
        <v>285</v>
      </c>
      <c r="H70" s="163" t="s">
        <v>18</v>
      </c>
      <c r="I70" s="163" t="s">
        <v>363</v>
      </c>
      <c r="J70" s="157">
        <v>0</v>
      </c>
      <c r="K70" s="148" t="s">
        <v>228</v>
      </c>
      <c r="L70" s="5"/>
      <c r="M70" s="5"/>
    </row>
    <row r="71" spans="1:16" x14ac:dyDescent="0.3">
      <c r="A71" s="5" t="s">
        <v>39</v>
      </c>
      <c r="B7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1" s="5">
        <v>2021</v>
      </c>
      <c r="E71" s="5" t="str">
        <f t="shared" si="1"/>
        <v>Global</v>
      </c>
      <c r="F71" s="161" t="s">
        <v>18</v>
      </c>
      <c r="G71" s="163" t="s">
        <v>308</v>
      </c>
      <c r="H71" s="163" t="s">
        <v>262</v>
      </c>
      <c r="I71" s="148" t="s">
        <v>3</v>
      </c>
      <c r="J71" s="157">
        <v>0</v>
      </c>
      <c r="K71" s="148" t="s">
        <v>228</v>
      </c>
      <c r="L71" s="5"/>
      <c r="M71" s="5"/>
    </row>
    <row r="72" spans="1:16" x14ac:dyDescent="0.3">
      <c r="A72" s="5" t="s">
        <v>40</v>
      </c>
      <c r="B72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2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2" s="5">
        <v>2021</v>
      </c>
      <c r="E72" s="5" t="str">
        <f t="shared" si="1"/>
        <v>Global</v>
      </c>
      <c r="F72" s="161" t="s">
        <v>18</v>
      </c>
      <c r="G72" s="163" t="s">
        <v>309</v>
      </c>
      <c r="H72" s="163" t="s">
        <v>262</v>
      </c>
      <c r="I72" s="148" t="s">
        <v>3</v>
      </c>
      <c r="J72" s="157">
        <v>0</v>
      </c>
      <c r="K72" s="148" t="s">
        <v>228</v>
      </c>
      <c r="L72" s="5"/>
      <c r="M72" s="5"/>
    </row>
    <row r="73" spans="1:16" x14ac:dyDescent="0.3">
      <c r="A73" s="5" t="s">
        <v>41</v>
      </c>
      <c r="B7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3" s="5">
        <v>2021</v>
      </c>
      <c r="E73" s="5" t="str">
        <f t="shared" si="1"/>
        <v>Global</v>
      </c>
      <c r="F73" s="161" t="s">
        <v>18</v>
      </c>
      <c r="G73" s="163" t="s">
        <v>310</v>
      </c>
      <c r="H73" s="163" t="s">
        <v>262</v>
      </c>
      <c r="I73" s="148" t="s">
        <v>3</v>
      </c>
      <c r="J73" s="157">
        <v>0</v>
      </c>
      <c r="K73" s="148" t="s">
        <v>228</v>
      </c>
      <c r="L73" s="5"/>
      <c r="M73" s="5"/>
    </row>
    <row r="74" spans="1:16" x14ac:dyDescent="0.3">
      <c r="A74" s="5" t="s">
        <v>38</v>
      </c>
      <c r="B7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7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4" s="5">
        <v>2021</v>
      </c>
      <c r="E74" s="5" t="str">
        <f t="shared" si="1"/>
        <v>Global</v>
      </c>
      <c r="F74" s="161" t="s">
        <v>18</v>
      </c>
      <c r="G74" s="163" t="s">
        <v>311</v>
      </c>
      <c r="H74" s="163" t="s">
        <v>262</v>
      </c>
      <c r="I74" s="148" t="s">
        <v>3</v>
      </c>
      <c r="J74" s="157">
        <v>0</v>
      </c>
      <c r="K74" s="148" t="s">
        <v>228</v>
      </c>
      <c r="L74" s="5"/>
      <c r="M74" s="5"/>
    </row>
    <row r="75" spans="1:16" x14ac:dyDescent="0.3">
      <c r="A75" s="5"/>
      <c r="B75" s="5"/>
      <c r="C75" s="5"/>
      <c r="D75" s="5"/>
      <c r="E75" s="5"/>
      <c r="F75" s="161"/>
      <c r="G75" s="148"/>
      <c r="H75" s="148"/>
      <c r="I75" s="148"/>
      <c r="J75" s="157"/>
      <c r="K75" s="148"/>
      <c r="L75" s="5"/>
      <c r="M75" s="5"/>
    </row>
    <row r="76" spans="1:16" x14ac:dyDescent="0.3">
      <c r="A76" s="5" t="s">
        <v>59</v>
      </c>
      <c r="B7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2264.6920515473935</v>
      </c>
      <c r="D76" s="5">
        <v>2021</v>
      </c>
      <c r="E76" s="5" t="str">
        <f t="shared" si="1"/>
        <v>Global</v>
      </c>
      <c r="F76" s="161" t="s">
        <v>18</v>
      </c>
      <c r="G76" s="163" t="s">
        <v>286</v>
      </c>
      <c r="H76" s="163" t="s">
        <v>18</v>
      </c>
      <c r="I76" s="163" t="s">
        <v>361</v>
      </c>
      <c r="J76" s="157">
        <f>SUM(J77:J83)</f>
        <v>2264.6920515473935</v>
      </c>
      <c r="K76" s="148" t="s">
        <v>920</v>
      </c>
      <c r="L76" s="148" t="s">
        <v>232</v>
      </c>
      <c r="M76" s="5"/>
    </row>
    <row r="77" spans="1:16" x14ac:dyDescent="0.3">
      <c r="A77" s="5" t="s">
        <v>408</v>
      </c>
      <c r="B7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1881.2987612296329</v>
      </c>
      <c r="D77" s="5">
        <v>2021</v>
      </c>
      <c r="E77" s="5" t="str">
        <f t="shared" si="1"/>
        <v>Global</v>
      </c>
      <c r="F77" s="161" t="s">
        <v>18</v>
      </c>
      <c r="G77" s="163" t="s">
        <v>312</v>
      </c>
      <c r="H77" s="163" t="s">
        <v>262</v>
      </c>
      <c r="I77" s="148" t="s">
        <v>3</v>
      </c>
      <c r="J77" s="157">
        <f>woodflow!N55+woodflow!N56+woodflow!N100+woodflow!N104+woodflow!N158+woodflow!N476</f>
        <v>1881.2987612296329</v>
      </c>
      <c r="K77" s="148" t="s">
        <v>920</v>
      </c>
      <c r="L77" s="148" t="s">
        <v>232</v>
      </c>
      <c r="M77" s="5"/>
    </row>
    <row r="78" spans="1:16" x14ac:dyDescent="0.3">
      <c r="A78" s="5" t="s">
        <v>31</v>
      </c>
      <c r="B7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13.100188675499998</v>
      </c>
      <c r="C7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78" s="5">
        <v>2021</v>
      </c>
      <c r="E78" s="5" t="str">
        <f t="shared" si="1"/>
        <v>Global</v>
      </c>
      <c r="F78" s="161" t="s">
        <v>18</v>
      </c>
      <c r="G78" s="163" t="s">
        <v>313</v>
      </c>
      <c r="H78" s="163" t="s">
        <v>262</v>
      </c>
      <c r="I78" s="148" t="s">
        <v>3</v>
      </c>
      <c r="J78" s="157">
        <f>woodflow!N314*'supporting-percentages'!B75</f>
        <v>13.100188675499998</v>
      </c>
      <c r="K78" s="148" t="s">
        <v>921</v>
      </c>
      <c r="L78" s="148" t="s">
        <v>232</v>
      </c>
      <c r="M78" s="5"/>
    </row>
    <row r="79" spans="1:16" x14ac:dyDescent="0.3">
      <c r="A79" s="5" t="s">
        <v>32</v>
      </c>
      <c r="B79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79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57.391807171688072</v>
      </c>
      <c r="D79" s="5">
        <v>2021</v>
      </c>
      <c r="E79" s="5" t="str">
        <f t="shared" si="1"/>
        <v>Global</v>
      </c>
      <c r="F79" s="161" t="s">
        <v>18</v>
      </c>
      <c r="G79" s="163" t="s">
        <v>314</v>
      </c>
      <c r="H79" s="163" t="s">
        <v>262</v>
      </c>
      <c r="I79" s="148" t="s">
        <v>3</v>
      </c>
      <c r="J79" s="157">
        <f>(woodflow!N322+woodflow!N336+woodflow!N346)-(woodflow!N379+woodflow!N389)</f>
        <v>57.391807171688072</v>
      </c>
      <c r="K79" s="148" t="s">
        <v>920</v>
      </c>
      <c r="L79" s="148" t="s">
        <v>232</v>
      </c>
      <c r="M79" s="5"/>
      <c r="P79" s="47"/>
    </row>
    <row r="80" spans="1:16" x14ac:dyDescent="0.3">
      <c r="A80" s="5" t="s">
        <v>33</v>
      </c>
      <c r="B80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0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152.87860903073306</v>
      </c>
      <c r="D80" s="5">
        <v>2021</v>
      </c>
      <c r="E80" s="5" t="str">
        <f t="shared" si="1"/>
        <v>Global</v>
      </c>
      <c r="F80" s="161" t="s">
        <v>18</v>
      </c>
      <c r="G80" s="163" t="s">
        <v>315</v>
      </c>
      <c r="H80" s="163" t="s">
        <v>262</v>
      </c>
      <c r="I80" s="148" t="s">
        <v>3</v>
      </c>
      <c r="J80" s="157">
        <f>(woodflow!N107+woodflow!N337+woodflow!N352+woodflow!N358)-woodflow!N380</f>
        <v>152.87860903073306</v>
      </c>
      <c r="K80" s="148" t="s">
        <v>920</v>
      </c>
      <c r="L80" s="148" t="s">
        <v>232</v>
      </c>
      <c r="M80" s="5"/>
      <c r="O80" s="47"/>
      <c r="P80" s="47"/>
    </row>
    <row r="81" spans="1:13" x14ac:dyDescent="0.3">
      <c r="A81" s="5" t="s">
        <v>34</v>
      </c>
      <c r="B8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97.168146508918142</v>
      </c>
      <c r="D81" s="5">
        <v>2021</v>
      </c>
      <c r="E81" s="5" t="str">
        <f t="shared" si="1"/>
        <v>Global</v>
      </c>
      <c r="F81" s="161" t="s">
        <v>18</v>
      </c>
      <c r="G81" s="163" t="s">
        <v>316</v>
      </c>
      <c r="H81" s="163" t="s">
        <v>262</v>
      </c>
      <c r="I81" s="148" t="s">
        <v>3</v>
      </c>
      <c r="J81" s="157">
        <f>(woodflow!N108+woodflow!N338+woodflow!N364)-woodflow!N381</f>
        <v>97.168146508918142</v>
      </c>
      <c r="K81" s="148" t="s">
        <v>920</v>
      </c>
      <c r="L81" s="148" t="s">
        <v>232</v>
      </c>
      <c r="M81" s="5"/>
    </row>
    <row r="82" spans="1:13" x14ac:dyDescent="0.3">
      <c r="A82" s="5" t="s">
        <v>35</v>
      </c>
      <c r="B8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8.2747592999999995</v>
      </c>
      <c r="D82" s="5">
        <v>2021</v>
      </c>
      <c r="E82" s="5" t="str">
        <f t="shared" si="1"/>
        <v>Global</v>
      </c>
      <c r="F82" s="161" t="s">
        <v>18</v>
      </c>
      <c r="G82" s="163" t="s">
        <v>317</v>
      </c>
      <c r="H82" s="163" t="s">
        <v>262</v>
      </c>
      <c r="I82" s="148" t="s">
        <v>3</v>
      </c>
      <c r="J82" s="157">
        <f>woodflow!N311</f>
        <v>8.2747592999999995</v>
      </c>
      <c r="K82" s="148" t="s">
        <v>920</v>
      </c>
      <c r="L82" s="148" t="s">
        <v>232</v>
      </c>
      <c r="M82" s="5"/>
    </row>
    <row r="83" spans="1:13" x14ac:dyDescent="0.3">
      <c r="A83" s="5" t="s">
        <v>57</v>
      </c>
      <c r="B8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54.579779630921031</v>
      </c>
      <c r="D83" s="5">
        <v>2021</v>
      </c>
      <c r="E83" s="5" t="str">
        <f t="shared" si="1"/>
        <v>Global</v>
      </c>
      <c r="F83" s="161" t="s">
        <v>18</v>
      </c>
      <c r="G83" s="163" t="s">
        <v>318</v>
      </c>
      <c r="H83" s="163" t="s">
        <v>262</v>
      </c>
      <c r="I83" s="148" t="s">
        <v>3</v>
      </c>
      <c r="J83" s="157">
        <f>(woodflow!N110+woodflow!N340+woodflow!N370)-woodflow!N383</f>
        <v>54.579779630921031</v>
      </c>
      <c r="K83" s="148" t="s">
        <v>920</v>
      </c>
      <c r="L83" s="148" t="s">
        <v>232</v>
      </c>
      <c r="M83" s="5"/>
    </row>
    <row r="84" spans="1:13" x14ac:dyDescent="0.3">
      <c r="A84" s="5"/>
      <c r="B84" s="5"/>
      <c r="C84" s="5"/>
      <c r="D84" s="5"/>
      <c r="E84" s="5"/>
      <c r="F84" s="161"/>
      <c r="G84" s="148"/>
      <c r="H84" s="148"/>
      <c r="I84" s="148"/>
      <c r="J84" s="157"/>
      <c r="K84" s="148"/>
      <c r="L84" s="5"/>
      <c r="M84" s="5"/>
    </row>
    <row r="85" spans="1:13" x14ac:dyDescent="0.3">
      <c r="A85" s="5" t="s">
        <v>58</v>
      </c>
      <c r="B8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8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155.06510827539753</v>
      </c>
      <c r="D85" s="5">
        <v>2021</v>
      </c>
      <c r="E85" s="5" t="str">
        <f t="shared" si="1"/>
        <v>Global</v>
      </c>
      <c r="F85" s="161" t="s">
        <v>18</v>
      </c>
      <c r="G85" s="163" t="s">
        <v>287</v>
      </c>
      <c r="H85" s="163" t="s">
        <v>18</v>
      </c>
      <c r="I85" s="163" t="s">
        <v>362</v>
      </c>
      <c r="J85" s="157">
        <f>SUM(J86:J91)</f>
        <v>155.06510827539753</v>
      </c>
      <c r="K85" s="148" t="s">
        <v>920</v>
      </c>
      <c r="L85" s="148" t="s">
        <v>232</v>
      </c>
      <c r="M85" s="5"/>
    </row>
    <row r="86" spans="1:13" x14ac:dyDescent="0.3">
      <c r="A86" s="5" t="s">
        <v>29</v>
      </c>
      <c r="B86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6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6" s="5" t="s">
        <v>19</v>
      </c>
      <c r="E86" s="5" t="str">
        <f t="shared" si="1"/>
        <v>Global</v>
      </c>
      <c r="F86" s="161" t="s">
        <v>18</v>
      </c>
      <c r="G86" s="163" t="s">
        <v>319</v>
      </c>
      <c r="H86" s="163" t="s">
        <v>262</v>
      </c>
      <c r="I86" s="148" t="s">
        <v>3</v>
      </c>
      <c r="J86" s="157">
        <v>0</v>
      </c>
      <c r="K86" s="148" t="s">
        <v>228</v>
      </c>
      <c r="L86" s="5"/>
      <c r="M86" s="5"/>
    </row>
    <row r="87" spans="1:13" x14ac:dyDescent="0.3">
      <c r="A87" s="5" t="s">
        <v>73</v>
      </c>
      <c r="B87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7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7" s="5" t="s">
        <v>19</v>
      </c>
      <c r="E87" s="5" t="str">
        <f t="shared" si="1"/>
        <v>Global</v>
      </c>
      <c r="F87" s="161" t="s">
        <v>18</v>
      </c>
      <c r="G87" s="163" t="s">
        <v>320</v>
      </c>
      <c r="H87" s="163" t="s">
        <v>262</v>
      </c>
      <c r="I87" s="148" t="s">
        <v>3</v>
      </c>
      <c r="J87" s="157">
        <v>0</v>
      </c>
      <c r="K87" s="148" t="s">
        <v>228</v>
      </c>
      <c r="L87" s="5"/>
      <c r="M87" s="5"/>
    </row>
    <row r="88" spans="1:13" x14ac:dyDescent="0.3">
      <c r="A88" s="5" t="s">
        <v>30</v>
      </c>
      <c r="B8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8" s="5" t="s">
        <v>19</v>
      </c>
      <c r="E88" s="5" t="str">
        <f t="shared" si="1"/>
        <v>Global</v>
      </c>
      <c r="F88" s="161" t="s">
        <v>18</v>
      </c>
      <c r="G88" s="163" t="s">
        <v>321</v>
      </c>
      <c r="H88" s="163" t="s">
        <v>262</v>
      </c>
      <c r="I88" s="148" t="s">
        <v>3</v>
      </c>
      <c r="J88" s="157">
        <v>0</v>
      </c>
      <c r="K88" s="148" t="s">
        <v>228</v>
      </c>
      <c r="L88" s="5"/>
      <c r="M88" s="5"/>
    </row>
    <row r="89" spans="1:13" x14ac:dyDescent="0.3">
      <c r="A89" s="5" t="s">
        <v>80</v>
      </c>
      <c r="B8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8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89" s="5" t="s">
        <v>19</v>
      </c>
      <c r="E89" s="5" t="str">
        <f t="shared" si="1"/>
        <v>Global</v>
      </c>
      <c r="F89" s="161" t="s">
        <v>18</v>
      </c>
      <c r="G89" s="163" t="s">
        <v>322</v>
      </c>
      <c r="H89" s="163" t="s">
        <v>262</v>
      </c>
      <c r="I89" s="148" t="s">
        <v>3</v>
      </c>
      <c r="J89" s="157">
        <v>0</v>
      </c>
      <c r="K89" s="148" t="s">
        <v>228</v>
      </c>
      <c r="L89" s="5"/>
      <c r="M89" s="5"/>
    </row>
    <row r="90" spans="1:13" x14ac:dyDescent="0.3">
      <c r="A90" s="5" t="s">
        <v>235</v>
      </c>
      <c r="B9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0" s="5">
        <v>2021</v>
      </c>
      <c r="E90" s="5" t="str">
        <f t="shared" si="1"/>
        <v>Global</v>
      </c>
      <c r="F90" s="161" t="s">
        <v>18</v>
      </c>
      <c r="G90" s="163" t="s">
        <v>323</v>
      </c>
      <c r="H90" s="163" t="s">
        <v>262</v>
      </c>
      <c r="I90" s="148" t="s">
        <v>3</v>
      </c>
      <c r="J90" s="157">
        <v>0</v>
      </c>
      <c r="K90" s="148" t="s">
        <v>228</v>
      </c>
      <c r="L90" s="5"/>
      <c r="M90" s="5"/>
    </row>
    <row r="91" spans="1:13" x14ac:dyDescent="0.3">
      <c r="A91" s="5" t="s">
        <v>74</v>
      </c>
      <c r="B91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1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155.06510827539753</v>
      </c>
      <c r="D91" s="5" t="s">
        <v>19</v>
      </c>
      <c r="E91" s="5" t="str">
        <f t="shared" si="1"/>
        <v>Global</v>
      </c>
      <c r="F91" s="161" t="s">
        <v>18</v>
      </c>
      <c r="G91" s="163" t="s">
        <v>324</v>
      </c>
      <c r="H91" s="163" t="s">
        <v>262</v>
      </c>
      <c r="I91" s="148" t="s">
        <v>3</v>
      </c>
      <c r="J91" s="157">
        <f>woodflow!N94+woodflow!N97+woodflow!N119+woodflow!N155+woodflow!N185+woodflow!N194+woodflow!N227</f>
        <v>155.06510827539753</v>
      </c>
      <c r="K91" s="148" t="s">
        <v>920</v>
      </c>
      <c r="L91" s="148" t="s">
        <v>232</v>
      </c>
      <c r="M91" s="5"/>
    </row>
    <row r="92" spans="1:13" x14ac:dyDescent="0.3">
      <c r="A92" s="5"/>
      <c r="B92" s="5"/>
      <c r="C92" s="5"/>
      <c r="D92" s="5"/>
      <c r="E92" s="5"/>
      <c r="F92" s="161"/>
      <c r="G92" s="148"/>
      <c r="H92" s="148"/>
      <c r="I92" s="148"/>
      <c r="J92" s="157"/>
      <c r="K92" s="148"/>
      <c r="L92" s="5"/>
      <c r="M92" s="5"/>
    </row>
    <row r="93" spans="1:13" x14ac:dyDescent="0.3">
      <c r="A93" s="5" t="s">
        <v>60</v>
      </c>
      <c r="B93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3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3" s="5">
        <v>2021</v>
      </c>
      <c r="E93" s="5" t="str">
        <f t="shared" si="1"/>
        <v>Global</v>
      </c>
      <c r="F93" s="161" t="s">
        <v>18</v>
      </c>
      <c r="G93" s="163" t="s">
        <v>288</v>
      </c>
      <c r="H93" s="163" t="s">
        <v>18</v>
      </c>
      <c r="I93" s="163" t="s">
        <v>374</v>
      </c>
      <c r="J93" s="157">
        <v>0</v>
      </c>
      <c r="K93" s="148" t="s">
        <v>228</v>
      </c>
      <c r="L93" s="148"/>
      <c r="M93" s="5"/>
    </row>
    <row r="94" spans="1:13" x14ac:dyDescent="0.3">
      <c r="A94" s="5" t="s">
        <v>371</v>
      </c>
      <c r="B94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4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4" s="5">
        <v>2021</v>
      </c>
      <c r="E94" s="5" t="str">
        <f t="shared" si="1"/>
        <v>Global</v>
      </c>
      <c r="F94" s="161">
        <v>1</v>
      </c>
      <c r="G94" s="163" t="s">
        <v>325</v>
      </c>
      <c r="H94" s="163" t="s">
        <v>262</v>
      </c>
      <c r="I94" s="148" t="s">
        <v>3</v>
      </c>
      <c r="J94" s="157">
        <v>0</v>
      </c>
      <c r="K94" s="148" t="s">
        <v>228</v>
      </c>
      <c r="L94" s="148"/>
      <c r="M94" s="5"/>
    </row>
    <row r="95" spans="1:13" x14ac:dyDescent="0.3">
      <c r="A95" s="5" t="s">
        <v>372</v>
      </c>
      <c r="B95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5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5" s="5">
        <v>2021</v>
      </c>
      <c r="E95" s="5" t="str">
        <f t="shared" si="1"/>
        <v>Global</v>
      </c>
      <c r="F95" s="161">
        <v>1</v>
      </c>
      <c r="G95" s="163" t="s">
        <v>326</v>
      </c>
      <c r="H95" s="163" t="s">
        <v>262</v>
      </c>
      <c r="I95" s="148" t="s">
        <v>3</v>
      </c>
      <c r="J95" s="157">
        <v>0</v>
      </c>
      <c r="K95" s="148" t="s">
        <v>228</v>
      </c>
      <c r="L95" s="148"/>
      <c r="M95" s="5"/>
    </row>
    <row r="96" spans="1:13" x14ac:dyDescent="0.3">
      <c r="A96" s="5"/>
      <c r="B96" s="5"/>
      <c r="C96" s="5"/>
      <c r="D96" s="5"/>
      <c r="E96" s="5"/>
      <c r="F96" s="161"/>
      <c r="G96" s="148"/>
      <c r="H96" s="148"/>
      <c r="I96" s="148"/>
      <c r="J96" s="157"/>
      <c r="K96" s="5"/>
      <c r="L96" s="5"/>
      <c r="M96" s="5"/>
    </row>
    <row r="97" spans="1:13" x14ac:dyDescent="0.3">
      <c r="A97" s="5" t="s">
        <v>350</v>
      </c>
      <c r="B97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7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365.60534668710449</v>
      </c>
      <c r="D97" s="5">
        <v>2021</v>
      </c>
      <c r="E97" s="5" t="str">
        <f t="shared" si="1"/>
        <v>Global</v>
      </c>
      <c r="F97" s="161" t="s">
        <v>18</v>
      </c>
      <c r="G97" s="163" t="s">
        <v>289</v>
      </c>
      <c r="H97" s="163" t="s">
        <v>18</v>
      </c>
      <c r="I97" s="163" t="s">
        <v>405</v>
      </c>
      <c r="J97" s="157">
        <f>J99+J100+J101+J102+J104+J105+J106</f>
        <v>365.60534668710449</v>
      </c>
      <c r="K97" s="148" t="s">
        <v>920</v>
      </c>
      <c r="L97" s="148" t="s">
        <v>232</v>
      </c>
      <c r="M97" s="5"/>
    </row>
    <row r="98" spans="1:13" x14ac:dyDescent="0.3">
      <c r="A98" s="5" t="s">
        <v>392</v>
      </c>
      <c r="B98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98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65.451863499746509</v>
      </c>
      <c r="D98" s="5">
        <v>2021</v>
      </c>
      <c r="E98" s="5" t="str">
        <f t="shared" si="1"/>
        <v>Global</v>
      </c>
      <c r="F98" s="161" t="s">
        <v>18</v>
      </c>
      <c r="G98" s="163" t="s">
        <v>290</v>
      </c>
      <c r="H98" s="163" t="s">
        <v>18</v>
      </c>
      <c r="I98" s="163" t="s">
        <v>404</v>
      </c>
      <c r="J98" s="157">
        <f>J99+J100+J101+J102</f>
        <v>65.451863499746509</v>
      </c>
      <c r="K98" s="148" t="s">
        <v>920</v>
      </c>
      <c r="L98" s="148" t="s">
        <v>232</v>
      </c>
      <c r="M98" s="5"/>
    </row>
    <row r="99" spans="1:13" x14ac:dyDescent="0.3">
      <c r="A99" s="5" t="s">
        <v>351</v>
      </c>
      <c r="B99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99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99" s="5">
        <v>2021</v>
      </c>
      <c r="E99" s="5" t="str">
        <f t="shared" si="1"/>
        <v>Global</v>
      </c>
      <c r="F99" s="161" t="s">
        <v>18</v>
      </c>
      <c r="G99" s="163" t="s">
        <v>332</v>
      </c>
      <c r="H99" s="163" t="s">
        <v>262</v>
      </c>
      <c r="I99" s="148" t="s">
        <v>3</v>
      </c>
      <c r="J99" s="157">
        <v>0</v>
      </c>
      <c r="K99" s="148" t="s">
        <v>228</v>
      </c>
      <c r="L99" s="148"/>
      <c r="M99" s="5"/>
    </row>
    <row r="100" spans="1:13" x14ac:dyDescent="0.3">
      <c r="A100" s="5" t="s">
        <v>916</v>
      </c>
      <c r="B10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0" s="5">
        <v>2021</v>
      </c>
      <c r="E100" s="5" t="str">
        <f t="shared" si="1"/>
        <v>Global</v>
      </c>
      <c r="F100" s="161" t="s">
        <v>18</v>
      </c>
      <c r="G100" s="163" t="s">
        <v>333</v>
      </c>
      <c r="H100" s="163" t="s">
        <v>262</v>
      </c>
      <c r="I100" s="148" t="s">
        <v>3</v>
      </c>
      <c r="J100" s="157">
        <v>0</v>
      </c>
      <c r="K100" s="148" t="s">
        <v>228</v>
      </c>
      <c r="L100" s="148"/>
      <c r="M100" s="5"/>
    </row>
    <row r="101" spans="1:13" x14ac:dyDescent="0.3">
      <c r="A101" s="5" t="s">
        <v>917</v>
      </c>
      <c r="B101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1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1" s="5">
        <v>2021</v>
      </c>
      <c r="E101" s="5" t="str">
        <f t="shared" si="1"/>
        <v>Global</v>
      </c>
      <c r="F101" s="161" t="s">
        <v>18</v>
      </c>
      <c r="G101" s="163" t="s">
        <v>337</v>
      </c>
      <c r="H101" s="163" t="s">
        <v>262</v>
      </c>
      <c r="I101" s="148" t="s">
        <v>3</v>
      </c>
      <c r="J101" s="157">
        <v>0</v>
      </c>
      <c r="K101" s="148" t="s">
        <v>228</v>
      </c>
      <c r="L101" s="148"/>
      <c r="M101" s="5"/>
    </row>
    <row r="102" spans="1:13" x14ac:dyDescent="0.3">
      <c r="A102" s="5" t="s">
        <v>391</v>
      </c>
      <c r="B102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2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65.451863499746509</v>
      </c>
      <c r="D102" s="5">
        <v>2021</v>
      </c>
      <c r="E102" s="5" t="str">
        <f t="shared" si="1"/>
        <v>Global</v>
      </c>
      <c r="F102" s="161" t="s">
        <v>18</v>
      </c>
      <c r="G102" s="163" t="s">
        <v>338</v>
      </c>
      <c r="H102" s="163" t="s">
        <v>262</v>
      </c>
      <c r="I102" s="163" t="s">
        <v>3</v>
      </c>
      <c r="J102" s="157">
        <f>woodflow!N397+woodflow!N409+woodflow!N424+woodflow!N439+woodflow!N454+woodflow!N466</f>
        <v>65.451863499746509</v>
      </c>
      <c r="K102" s="148" t="s">
        <v>920</v>
      </c>
      <c r="L102" s="148" t="s">
        <v>232</v>
      </c>
      <c r="M102" s="5"/>
    </row>
    <row r="103" spans="1:13" x14ac:dyDescent="0.3">
      <c r="A103" s="5" t="s">
        <v>403</v>
      </c>
      <c r="B103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3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300.15348318735801</v>
      </c>
      <c r="D103" s="5">
        <v>2021</v>
      </c>
      <c r="E103" s="5" t="str">
        <f t="shared" si="1"/>
        <v>Global</v>
      </c>
      <c r="F103" s="161" t="s">
        <v>18</v>
      </c>
      <c r="G103" s="163" t="s">
        <v>291</v>
      </c>
      <c r="H103" s="163" t="s">
        <v>18</v>
      </c>
      <c r="I103" s="148" t="s">
        <v>407</v>
      </c>
      <c r="J103" s="157">
        <f>J104+J105+J106</f>
        <v>300.15348318735801</v>
      </c>
      <c r="K103" s="148" t="s">
        <v>920</v>
      </c>
      <c r="L103" s="148" t="s">
        <v>232</v>
      </c>
      <c r="M103" s="5"/>
    </row>
    <row r="104" spans="1:13" x14ac:dyDescent="0.3">
      <c r="A104" s="5" t="s">
        <v>406</v>
      </c>
      <c r="B104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4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56.79488531956931</v>
      </c>
      <c r="D104" s="5">
        <v>2021</v>
      </c>
      <c r="E104" s="5" t="str">
        <f t="shared" si="1"/>
        <v>Global</v>
      </c>
      <c r="F104" s="161" t="s">
        <v>18</v>
      </c>
      <c r="G104" s="163" t="s">
        <v>349</v>
      </c>
      <c r="H104" s="163" t="s">
        <v>262</v>
      </c>
      <c r="I104" s="148" t="s">
        <v>3</v>
      </c>
      <c r="J104" s="157">
        <f>woodflow!N399+woodflow!N411+woodflow!N426+woodflow!N441+woodflow!N456+woodflow!N468</f>
        <v>56.79488531956931</v>
      </c>
      <c r="K104" s="148" t="s">
        <v>920</v>
      </c>
      <c r="L104" s="148" t="s">
        <v>232</v>
      </c>
      <c r="M104" s="5"/>
    </row>
    <row r="105" spans="1:13" x14ac:dyDescent="0.3">
      <c r="A105" s="5" t="s">
        <v>352</v>
      </c>
      <c r="B105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5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192.94724072682291</v>
      </c>
      <c r="D105" s="5">
        <v>2021</v>
      </c>
      <c r="E105" s="5" t="str">
        <f t="shared" si="1"/>
        <v>Global</v>
      </c>
      <c r="F105" s="161" t="s">
        <v>18</v>
      </c>
      <c r="G105" s="163" t="s">
        <v>353</v>
      </c>
      <c r="H105" s="163" t="s">
        <v>262</v>
      </c>
      <c r="I105" s="148" t="s">
        <v>3</v>
      </c>
      <c r="J105" s="157">
        <f>woodflow!N400+woodflow!N412+woodflow!N427+woodflow!N442+woodflow!N457+woodflow!N469</f>
        <v>192.94724072682291</v>
      </c>
      <c r="K105" s="148" t="s">
        <v>920</v>
      </c>
      <c r="L105" s="148" t="s">
        <v>232</v>
      </c>
      <c r="M105" s="5"/>
    </row>
    <row r="106" spans="1:13" x14ac:dyDescent="0.3">
      <c r="A106" s="5" t="s">
        <v>373</v>
      </c>
      <c r="B106" s="5" t="str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nan</v>
      </c>
      <c r="C106" s="5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>50.411357140965769</v>
      </c>
      <c r="D106" s="5">
        <v>2021</v>
      </c>
      <c r="E106" s="5" t="str">
        <f t="shared" si="1"/>
        <v>Global</v>
      </c>
      <c r="F106" s="161" t="s">
        <v>18</v>
      </c>
      <c r="G106" s="163" t="s">
        <v>354</v>
      </c>
      <c r="H106" s="163" t="s">
        <v>262</v>
      </c>
      <c r="I106" s="148" t="s">
        <v>3</v>
      </c>
      <c r="J106" s="157">
        <f>woodflow!N401+woodflow!N413+woodflow!N428+woodflow!N443+woodflow!N458+woodflow!N470</f>
        <v>50.411357140965769</v>
      </c>
      <c r="K106" s="148" t="s">
        <v>920</v>
      </c>
      <c r="L106" s="148" t="s">
        <v>232</v>
      </c>
      <c r="M106" s="5"/>
    </row>
    <row r="107" spans="1:13" x14ac:dyDescent="0.3">
      <c r="A107" s="5"/>
      <c r="B107" s="5"/>
      <c r="C107" s="5"/>
      <c r="D107" s="5"/>
      <c r="E107" s="5"/>
      <c r="F107" s="161"/>
      <c r="G107" s="148"/>
      <c r="H107" s="148"/>
      <c r="I107" s="148"/>
      <c r="J107" s="157"/>
      <c r="K107" s="5"/>
      <c r="L107" s="5"/>
      <c r="M107" s="5"/>
    </row>
    <row r="108" spans="1:13" x14ac:dyDescent="0.3">
      <c r="A108" s="5" t="s">
        <v>335</v>
      </c>
      <c r="B108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08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08" s="5">
        <v>2021</v>
      </c>
      <c r="E108" s="5" t="str">
        <f t="shared" si="1"/>
        <v>Global</v>
      </c>
      <c r="F108" s="161" t="s">
        <v>18</v>
      </c>
      <c r="G108" s="163" t="s">
        <v>364</v>
      </c>
      <c r="H108" s="163" t="s">
        <v>262</v>
      </c>
      <c r="I108" s="148" t="s">
        <v>3</v>
      </c>
      <c r="J108" s="157">
        <v>0</v>
      </c>
      <c r="K108" s="148" t="s">
        <v>921</v>
      </c>
      <c r="L108" s="148"/>
      <c r="M108" s="5"/>
    </row>
    <row r="109" spans="1:13" x14ac:dyDescent="0.3">
      <c r="A109" s="5"/>
      <c r="B109" s="5"/>
      <c r="C109" s="5"/>
      <c r="D109" s="5"/>
      <c r="E109" s="5"/>
      <c r="F109" s="161"/>
      <c r="G109" s="148"/>
      <c r="H109" s="148"/>
      <c r="I109" s="148"/>
      <c r="J109" s="157"/>
      <c r="K109" s="148"/>
      <c r="L109" s="148"/>
      <c r="M109" s="5"/>
    </row>
    <row r="110" spans="1:13" x14ac:dyDescent="0.3">
      <c r="A110" s="5" t="s">
        <v>336</v>
      </c>
      <c r="B110" s="5">
        <f>IF(woodstock[[#This Row],[data-info]]="Observed",woodstock[[#This Row],[quantity-input (Modmt)]],IF(woodstock[[#This Row],[data-info]]="No Change",0,IF(woodstock[[#This Row],[data-info]]="Prior","nan",IF(woodstock[[#This Row],[data-info]]="BaMFA","nan"))))</f>
        <v>0</v>
      </c>
      <c r="C110" s="5" t="str">
        <f>IF(woodstock[[#This Row],[data-info]]="Observed","",IF(woodstock[[#This Row],[data-info]]="No Change","",IF(woodstock[[#This Row],[data-info]]="Prior",woodstock[[#This Row],[quantity-input (Modmt)]],IF(woodstock[[#This Row],[data-info]]="BaMFA",""))))</f>
        <v/>
      </c>
      <c r="D110" s="5">
        <v>2021</v>
      </c>
      <c r="E110" s="5" t="str">
        <f t="shared" si="1"/>
        <v>Global</v>
      </c>
      <c r="F110" s="161" t="s">
        <v>18</v>
      </c>
      <c r="G110" s="163" t="s">
        <v>368</v>
      </c>
      <c r="H110" s="163" t="s">
        <v>262</v>
      </c>
      <c r="I110" s="148" t="s">
        <v>3</v>
      </c>
      <c r="J110" s="157">
        <v>0</v>
      </c>
      <c r="K110" s="148" t="s">
        <v>921</v>
      </c>
      <c r="L110" s="148"/>
      <c r="M110" s="5"/>
    </row>
  </sheetData>
  <phoneticPr fontId="1" type="noConversion"/>
  <conditionalFormatting sqref="J2:J110">
    <cfRule type="expression" dxfId="16" priority="1">
      <formula>K2="BaMFA"</formula>
    </cfRule>
    <cfRule type="expression" dxfId="15" priority="2">
      <formula>K2="No Change"</formula>
    </cfRule>
    <cfRule type="expression" dxfId="14" priority="3">
      <formula>K2="Prior"</formula>
    </cfRule>
    <cfRule type="expression" dxfId="13" priority="4">
      <formula>K2="Observed"</formula>
    </cfRule>
  </conditionalFormatting>
  <conditionalFormatting sqref="K2:K110">
    <cfRule type="containsText" dxfId="12" priority="5" operator="containsText" text="BaMFA">
      <formula>NOT(ISERROR(SEARCH("BaMFA",K2)))</formula>
    </cfRule>
    <cfRule type="containsText" dxfId="11" priority="6" operator="containsText" text="No Change">
      <formula>NOT(ISERROR(SEARCH("No Change",K2)))</formula>
    </cfRule>
    <cfRule type="containsText" dxfId="10" priority="7" operator="containsText" text="Observed">
      <formula>NOT(ISERROR(SEARCH("Observed",K2)))</formula>
    </cfRule>
    <cfRule type="containsText" dxfId="9" priority="8" operator="containsText" text="Prior">
      <formula>NOT(ISERROR(SEARCH("Prior",K2)))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G A A B Q S w M E F A A C A A g A S K + s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B I r 6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S K + s V s b K C j H 5 A w A A n 1 w A A B M A H A B G b 3 J t d W x h c y 9 T Z W N 0 a W 9 u M S 5 t I K I Y A C i g F A A A A A A A A A A A A A A A A A A A A A A A A A A A A O 1 b X U / b M B R 9 r 8 R / s M J L K 4 V q K V 9 l U x + g p d q k M T H a b Q 9 k Q i Z x i 4 V j d 7 H D i F D / + 5 w m a 0 O b A E O 0 m p X L Q 6 n t G 3 / c n H N y f e N K 4 i k q O B q k / 5 0 P t Z q 8 w S H x E W Z R Q D m N g h E T v 1 E H M a K 2 a k j / D U Q U e k T X d O V d s y e 8 K C B c 1 f u U k W Z X c K U L s m 5 1 3 7 v f J A m l i + N W q + X 2 i L x V Y u K e x V 3 h E + m e 4 J h I i j k 6 6 x + 7 p 4 w k X Q x D 7 N 2 S c C f A l O + I k I 4 p x 2 z H E 5 O 4 y M K d z y / Q P T L X x w q 7 j + b c V P f K a t i X P c J o Q B U J O 5 Z t 2 a g r t B G X H c e x 0 S n 3 h E / 5 u O O 0 9 l s 2 + h o J R Q Y q Z q S z + N r 8 I j j 5 2 b D T x W 9 b e l m o T 0 O p 0 I X 2 C 5 b o I 8 G + X q m l P T L E 1 / q C 8 1 A E + u q s v p 7 6 y 0 a X W f 0 x Y w M P M x z K j g q j f N f d G 8 z H B A 3 j C V n 0 p h f N 5 U i E Q T r x p F H W n 5 i G / f B g 9 f V I e q l K 2 y J F 7 t X U R g + W E i t V v y L M F V X x q i 0 N i K 7 8 x N X B X j M Z c l b L h I c T l K y Y 9 7 W 7 e R R c k 3 C U j r x 0 4 a J 9 N o m l 1 n O N N 6 6 0 d z w i Z W J a 3 M m K W V F f g + h 6 k l q k 4 8 l R k S t W r J Z 8 M 2 1 s 1 S g v u i 0 F / N A X e 7 e m E W Q 2 6 W c Y 0 n 4 d Q T K Y + 2 9 O D P 9 l z F g Z P 2 F E B p u 1 M S D A U n q C 6 z t 6 R / w C 7 O b R 9 g y 0 X w D q Z 8 H q L 6 N 1 2 3 q s 5 / V W w z I N s 2 s U 9 f 8 S s 6 D i b 6 / i T x E j F X I T m Q F q X n E 1 3 z U P s 6 D m o O b r V P O U G H t A D C A G E A M d j 8 c h G W N F r p L J X A 1 o M G H k 6 n t 7 r e T o a V x L o t y y w Q H l g P J 1 o v w i c U 0 h w t P 7 l 9 y T D G z 1 h 8 + U E z m r O t H i H c b / C P w f Q v g J 6 F E v x K M c 5 O X O T N 2 L Z p b B H / G I s b + f C c w b 0 w X w B h N G V c Y I d B 2 j O V U W K J y Z p B Z z R F t p 2 d E u n D X r C 1 K 7 o f b l S T z v p T 4 j 3 B K V G s n 9 y D p o J l 3 M C 6 1 8 Y T d f 2 M s X 9 v O F g 3 z h M F 9 o 5 w t H 1 v S V d C t 3 U c K 7 / D o e I y 6 / q O K W 3 d K W v d K W / d K W g 9 K W w 9 K W d m n L 0 W u C o 0 J + l G 5 4 g S R A k g q S Z G k H s Q 8 7 C I i t I L Z a J c Y B E A O I A c Q o e I N g Y D Y W 3 i B U / A 3 C o X m Y B T U H N d + A m h v 4 C g H U v G p q X p z Z K Q t E I L M D m R 3 I 7 L T N E 3 Y I e S D k 2 U D I Y 2 D O E 0 K e q o U 8 y 6 A 1 M B 8 J o K 0 s a N M Q x H l n H m g h B o E Y Z A 0 x S P E O t i z 5 A j t Y 2 M F W e Q e b x T w G Z u 0 h 5 q l 4 z H N k H m Y h 5 I G Q Z w N p F w M T k q D m F V d z x z E P t C D n I O f r P x / p G P h D c m A G M G M D g Y 6 B W w A I d K o e 6 B h 4 q h f k H O R 8 Y 6 n 6 s k M D k K q H V H 2 V U / X Z 4 8 P A Y 8 T w + I D H x w b 2 y Q a e N g N m A D P e i h l b t a 1 y b h h 4 q A 2 4 A d x 4 K 2 7 8 A V B L A Q I t A B Q A A g A I A E i v r F a L o I C O p g A A A P Y A A A A S A A A A A A A A A A A A A A A A A A A A A A B D b 2 5 m a W c v U G F j a 2 F n Z S 5 4 b W x Q S w E C L Q A U A A I A C A B I r 6 x W U 3 I 4 L J s A A A D h A A A A E w A A A A A A A A A A A A A A A A D y A A A A W 0 N v b n R l b n R f V H l w Z X N d L n h t b F B L A Q I t A B Q A A g A I A E i v r F b G y g o x + Q M A A J 9 c A A A T A A A A A A A A A A A A A A A A A N o B A A B G b 3 J t d W x h c y 9 T Z W N 0 a W 9 u M S 5 t U E s F B g A A A A A D A A M A w g A A A C A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b A Q A A A A A A c J s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s d W 1 p b m l 1 b W Z s b 3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D U 6 M D g u N j I w N z k 1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L 0 F 1 d G 9 S Z W 1 v d m V k Q 2 9 s d W 1 u c z E u e 0 Z y b 2 0 s M H 0 m c X V v d D s s J n F 1 b 3 Q 7 U 2 V j d G l v b j E v Y W x 1 b W l u a X V t Z m x v d y 9 B d X R v U m V t b 3 Z l Z E N v b H V t b n M x L n t 0 b y w x f S Z x d W 9 0 O y w m c X V v d D t T Z W N 0 a W 9 u M S 9 h b H V t a W 5 p d W 1 m b G 9 3 L 0 F 1 d G 9 S Z W 1 v d m V k Q 2 9 s d W 1 u c z E u e 3 F 1 Y W 5 0 a X R 5 L D J 9 J n F 1 b 3 Q 7 L C Z x d W 9 0 O 1 N l Y 3 R p b 2 4 x L 2 F s d W 1 p b m l 1 b W Z s b 3 c v Q X V 0 b 1 J l b W 9 2 Z W R D b 2 x 1 b W 5 z M S 5 7 d G l t Z S w z f S Z x d W 9 0 O y w m c X V v d D t T Z W N 0 a W 9 u M S 9 h b H V t a W 5 p d W 1 m b G 9 3 L 0 F 1 d G 9 S Z W 1 v d m V k Q 2 9 s d W 1 u c z E u e 2 x v Y 2 F 0 a W 9 u L D R 9 J n F 1 b 3 Q 7 L C Z x d W 9 0 O 1 N l Y 3 R p b 2 4 x L 2 F s d W 1 p b m l 1 b W Z s b 3 c v Q X V 0 b 1 J l b W 9 2 Z W R D b 2 x 1 b W 5 z M S 5 7 R m x v d 2 5 1 b W J l c m Z y b 2 0 s N X 0 m c X V v d D s s J n F 1 b 3 Q 7 U 2 V j d G l v b j E v Y W x 1 b W l u a X V t Z m x v d y 9 B d X R v U m V t b 3 Z l Z E N v b H V t b n M x L n t G b G 9 3 b n V t Y m V y d G 8 s N n 0 m c X V v d D s s J n F 1 b 3 Q 7 U 2 V j d G l v b j E v Y W x 1 b W l u a X V t Z m x v d y 9 B d X R v U m V t b 3 Z l Z E N v b H V t b n M x L n t Q Y X J l b n R Q c m 9 j Z X N z R m x v d 2 Z y b 2 0 s N 3 0 m c X V v d D s s J n F 1 b 3 Q 7 U 2 V j d G l v b j E v Y W x 1 b W l u a X V t Z m x v d y 9 B d X R v U m V t b 3 Z l Z E N v b H V t b n M x L n t Q Y X J l b n R Q c m 9 j Z X N z R m x v d 3 R v L D h 9 J n F 1 b 3 Q 7 L C Z x d W 9 0 O 1 N l Y 3 R p b 2 4 x L 2 F s d W 1 p b m l 1 b W Z s b 3 c v Q X V 0 b 1 J l b W 9 2 Z W R D b 2 x 1 b W 5 z M S 5 7 U 3 V i c H J v Y 2 V z c 2 5 1 b W J l c n N m c m 9 t L D l 9 J n F 1 b 3 Q 7 L C Z x d W 9 0 O 1 N l Y 3 R p b 2 4 x L 2 F s d W 1 p b m l 1 b W Z s b 3 c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v Q X V 0 b 1 J l b W 9 2 Z W R D b 2 x 1 b W 5 z M S 5 7 R n J v b S w w f S Z x d W 9 0 O y w m c X V v d D t T Z W N 0 a W 9 u M S 9 h b H V t a W 5 p d W 1 m b G 9 3 L 0 F 1 d G 9 S Z W 1 v d m V k Q 2 9 s d W 1 u c z E u e 3 R v L D F 9 J n F 1 b 3 Q 7 L C Z x d W 9 0 O 1 N l Y 3 R p b 2 4 x L 2 F s d W 1 p b m l 1 b W Z s b 3 c v Q X V 0 b 1 J l b W 9 2 Z W R D b 2 x 1 b W 5 z M S 5 7 c X V h b n R p d H k s M n 0 m c X V v d D s s J n F 1 b 3 Q 7 U 2 V j d G l v b j E v Y W x 1 b W l u a X V t Z m x v d y 9 B d X R v U m V t b 3 Z l Z E N v b H V t b n M x L n t 0 a W 1 l L D N 9 J n F 1 b 3 Q 7 L C Z x d W 9 0 O 1 N l Y 3 R p b 2 4 x L 2 F s d W 1 p b m l 1 b W Z s b 3 c v Q X V 0 b 1 J l b W 9 2 Z W R D b 2 x 1 b W 5 z M S 5 7 b G 9 j Y X R p b 2 4 s N H 0 m c X V v d D s s J n F 1 b 3 Q 7 U 2 V j d G l v b j E v Y W x 1 b W l u a X V t Z m x v d y 9 B d X R v U m V t b 3 Z l Z E N v b H V t b n M x L n t G b G 9 3 b n V t Y m V y Z n J v b S w 1 f S Z x d W 9 0 O y w m c X V v d D t T Z W N 0 a W 9 u M S 9 h b H V t a W 5 p d W 1 m b G 9 3 L 0 F 1 d G 9 S Z W 1 v d m V k Q 2 9 s d W 1 u c z E u e 0 Z s b 3 d u d W 1 i Z X J 0 b y w 2 f S Z x d W 9 0 O y w m c X V v d D t T Z W N 0 a W 9 u M S 9 h b H V t a W 5 p d W 1 m b G 9 3 L 0 F 1 d G 9 S Z W 1 v d m V k Q 2 9 s d W 1 u c z E u e 1 B h c m V u d F B y b 2 N l c 3 N G b G 9 3 Z n J v b S w 3 f S Z x d W 9 0 O y w m c X V v d D t T Z W N 0 a W 9 u M S 9 h b H V t a W 5 p d W 1 m b G 9 3 L 0 F 1 d G 9 S Z W 1 v d m V k Q 2 9 s d W 1 u c z E u e 1 B h c m V u d F B y b 2 N l c 3 N G b G 9 3 d G 8 s O H 0 m c X V v d D s s J n F 1 b 3 Q 7 U 2 V j d G l v b j E v Y W x 1 b W l u a X V t Z m x v d y 9 B d X R v U m V t b 3 Z l Z E N v b H V t b n M x L n t T d W J w c m 9 j Z X N z b n V t Y m V y c 2 Z y b 2 0 s O X 0 m c X V v d D s s J n F 1 b 3 Q 7 U 2 V j d G l v b j E v Y W x 1 b W l u a X V t Z m x v d y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z d G 9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N p b X B s Z V 9 W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M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M 1 Q x M T o 0 M j o 0 M S 4 y N j A 1 N D c 2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n Z 3 J l Z 2 F 0 Z V 9 G b G 9 3 X 1 N p b X B s Z V 9 W O C 9 B d X R v U m V t b 3 Z l Z E N v b H V t b n M x L n t G c m 9 t L D B 9 J n F 1 b 3 Q 7 L C Z x d W 9 0 O 1 N l Y 3 R p b 2 4 x L 0 F n Z 3 J l Z 2 F 0 Z V 9 G b G 9 3 X 1 N p b X B s Z V 9 W O C 9 B d X R v U m V t b 3 Z l Z E N v b H V t b n M x L n t 0 b y w x f S Z x d W 9 0 O y w m c X V v d D t T Z W N 0 a W 9 u M S 9 B Z 2 d y Z W d h d G V f R m x v d 1 9 T a W 1 w b G V f V j g v Q X V 0 b 1 J l b W 9 2 Z W R D b 2 x 1 b W 5 z M S 5 7 c X V h b n R p d H k s M n 0 m c X V v d D s s J n F 1 b 3 Q 7 U 2 V j d G l v b j E v Q W d n c m V n Y X R l X 0 Z s b 3 d f U 2 l t c G x l X 1 Y 4 L 0 F 1 d G 9 S Z W 1 v d m V k Q 2 9 s d W 1 u c z E u e 3 R p b W U s M 3 0 m c X V v d D s s J n F 1 b 3 Q 7 U 2 V j d G l v b j E v Q W d n c m V n Y X R l X 0 Z s b 3 d f U 2 l t c G x l X 1 Y 4 L 0 F 1 d G 9 S Z W 1 v d m V k Q 2 9 s d W 1 u c z E u e 2 x v Y 2 F 0 a W 9 u L D R 9 J n F 1 b 3 Q 7 L C Z x d W 9 0 O 1 N l Y 3 R p b 2 4 x L 0 F n Z 3 J l Z 2 F 0 Z V 9 G b G 9 3 X 1 N p b X B s Z V 9 W O C 9 B d X R v U m V t b 3 Z l Z E N v b H V t b n M x L n t G b G 9 3 b n V t Y m V y Z n J v b S w 1 f S Z x d W 9 0 O y w m c X V v d D t T Z W N 0 a W 9 u M S 9 B Z 2 d y Z W d h d G V f R m x v d 1 9 T a W 1 w b G V f V j g v Q X V 0 b 1 J l b W 9 2 Z W R D b 2 x 1 b W 5 z M S 5 7 R m x v d 2 5 1 b W J l c n R v L D Z 9 J n F 1 b 3 Q 7 L C Z x d W 9 0 O 1 N l Y 3 R p b 2 4 x L 0 F n Z 3 J l Z 2 F 0 Z V 9 G b G 9 3 X 1 N p b X B s Z V 9 W O C 9 B d X R v U m V t b 3 Z l Z E N v b H V t b n M x L n t Q Y X J l b n R Q c m 9 j Z X N z R m x v d 2 Z y b 2 0 s N 3 0 m c X V v d D s s J n F 1 b 3 Q 7 U 2 V j d G l v b j E v Q W d n c m V n Y X R l X 0 Z s b 3 d f U 2 l t c G x l X 1 Y 4 L 0 F 1 d G 9 S Z W 1 v d m V k Q 2 9 s d W 1 u c z E u e 1 B h c m V u d F B y b 2 N l c 3 N G b G 9 3 d G 8 s O H 0 m c X V v d D s s J n F 1 b 3 Q 7 U 2 V j d G l v b j E v Q W d n c m V n Y X R l X 0 Z s b 3 d f U 2 l t c G x l X 1 Y 4 L 0 F 1 d G 9 S Z W 1 v d m V k Q 2 9 s d W 1 u c z E u e 1 N 1 Y n B y b 2 N l c 3 N u d W 1 i Z X J z Z n J v b S w 5 f S Z x d W 9 0 O y w m c X V v d D t T Z W N 0 a W 9 u M S 9 B Z 2 d y Z W d h d G V f R m x v d 1 9 T a W 1 w b G V f V j g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Z 3 J l Z 2 F 0 Z V 9 G b G 9 3 X 1 J h d G l v L 0 F 1 d G 9 S Z W 1 v d m V k Q 2 9 s d W 1 u c z E u e 0 N v b H V t b j E u M S w w f S Z x d W 9 0 O y w m c X V v d D t T Z W N 0 a W 9 u M S 9 B Z 2 d y Z W d h d G V f R m x v d 1 9 S Y X R p b y 9 B d X R v U m V t b 3 Z l Z E N v b H V t b n M x L n t D b 2 x 1 b W 4 x L j I s M X 0 m c X V v d D s s J n F 1 b 3 Q 7 U 2 V j d G l v b j E v Q W d n c m V n Y X R l X 0 Z s b 3 d f U m F 0 a W 8 v Q X V 0 b 1 J l b W 9 2 Z W R D b 2 x 1 b W 5 z M S 5 7 Q 2 9 s d W 1 u M S 4 z L D J 9 J n F 1 b 3 Q 7 L C Z x d W 9 0 O 1 N l Y 3 R p b 2 4 x L 0 F n Z 3 J l Z 2 F 0 Z V 9 G b G 9 3 X 1 J h d G l v L 0 F 1 d G 9 S Z W 1 v d m V k Q 2 9 s d W 1 u c z E u e 0 N v b H V t b j E u N C w z f S Z x d W 9 0 O y w m c X V v d D t T Z W N 0 a W 9 u M S 9 B Z 2 d y Z W d h d G V f R m x v d 1 9 S Y X R p b y 9 B d X R v U m V t b 3 Z l Z E N v b H V t b n M x L n t D b 2 x 1 b W 4 x L j U s N H 0 m c X V v d D s s J n F 1 b 3 Q 7 U 2 V j d G l v b j E v Q W d n c m V n Y X R l X 0 Z s b 3 d f U m F 0 a W 8 v Q X V 0 b 1 J l b W 9 2 Z W R D b 2 x 1 b W 5 z M S 5 7 Q 2 9 s d W 1 u M S 4 2 L D V 9 J n F 1 b 3 Q 7 L C Z x d W 9 0 O 1 N l Y 3 R p b 2 4 x L 0 F n Z 3 J l Z 2 F 0 Z V 9 G b G 9 3 X 1 J h d G l v L 0 F 1 d G 9 S Z W 1 v d m V k Q 2 9 s d W 1 u c z E u e 0 N v b H V t b j E u N y w 2 f S Z x d W 9 0 O y w m c X V v d D t T Z W N 0 a W 9 u M S 9 B Z 2 d y Z W d h d G V f R m x v d 1 9 S Y X R p b y 9 B d X R v U m V t b 3 Z l Z E N v b H V t b n M x L n t D b 2 x 1 b W 4 x L j g s N 3 0 m c X V v d D s s J n F 1 b 3 Q 7 U 2 V j d G l v b j E v Q W d n c m V n Y X R l X 0 Z s b 3 d f U m F 0 a W 8 v Q X V 0 b 1 J l b W 9 2 Z W R D b 2 x 1 b W 5 z M S 5 7 Q 2 9 s d W 1 u M S 4 5 L D h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d y Z W d h d G V f R m x v d 1 9 S Y X R p b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D o x N T o x M C 4 5 M z k x N T M 4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d n c m V n Y X R l X 0 Z s b 3 d f U m F 0 a W 8 v Q X V 0 b 1 J l b W 9 2 Z W R D b 2 x 1 b W 5 z M S 5 7 Q 2 9 s d W 1 u M S 4 x L D B 9 J n F 1 b 3 Q 7 L C Z x d W 9 0 O 1 N l Y 3 R p b 2 4 x L 0 F n Z 3 J l Z 2 F 0 Z V 9 G b G 9 3 X 1 J h d G l v L 0 F 1 d G 9 S Z W 1 v d m V k Q 2 9 s d W 1 u c z E u e 0 N v b H V t b j E u M i w x f S Z x d W 9 0 O y w m c X V v d D t T Z W N 0 a W 9 u M S 9 B Z 2 d y Z W d h d G V f R m x v d 1 9 S Y X R p b y 9 B d X R v U m V t b 3 Z l Z E N v b H V t b n M x L n t D b 2 x 1 b W 4 x L j M s M n 0 m c X V v d D s s J n F 1 b 3 Q 7 U 2 V j d G l v b j E v Q W d n c m V n Y X R l X 0 Z s b 3 d f U m F 0 a W 8 v Q X V 0 b 1 J l b W 9 2 Z W R D b 2 x 1 b W 5 z M S 5 7 Q 2 9 s d W 1 u M S 4 0 L D N 9 J n F 1 b 3 Q 7 L C Z x d W 9 0 O 1 N l Y 3 R p b 2 4 x L 0 F n Z 3 J l Z 2 F 0 Z V 9 G b G 9 3 X 1 J h d G l v L 0 F 1 d G 9 S Z W 1 v d m V k Q 2 9 s d W 1 u c z E u e 0 N v b H V t b j E u N S w 0 f S Z x d W 9 0 O y w m c X V v d D t T Z W N 0 a W 9 u M S 9 B Z 2 d y Z W d h d G V f R m x v d 1 9 S Y X R p b y 9 B d X R v U m V t b 3 Z l Z E N v b H V t b n M x L n t D b 2 x 1 b W 4 x L j Y s N X 0 m c X V v d D s s J n F 1 b 3 Q 7 U 2 V j d G l v b j E v Q W d n c m V n Y X R l X 0 Z s b 3 d f U m F 0 a W 8 v Q X V 0 b 1 J l b W 9 2 Z W R D b 2 x 1 b W 5 z M S 5 7 Q 2 9 s d W 1 u M S 4 3 L D Z 9 J n F 1 b 3 Q 7 L C Z x d W 9 0 O 1 N l Y 3 R p b 2 4 x L 0 F n Z 3 J l Z 2 F 0 Z V 9 G b G 9 3 X 1 J h d G l v L 0 F 1 d G 9 S Z W 1 v d m V k Q 2 9 s d W 1 u c z E u e 0 N v b H V t b j E u O C w 3 f S Z x d W 9 0 O y w m c X V v d D t T Z W N 0 a W 9 u M S 9 B Z 2 d y Z W d h d G V f R m x v d 1 9 S Y X R p b y 9 B d X R v U m V t b 3 Z l Z E N v b H V t b n M x L n t D b 2 x 1 b W 4 x L j k s O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R m l s b F R h c m d l d C I g V m F s d W U 9 I n N 3 b 2 9 k Z m x v d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G a W x s V G F y Z 2 V 0 I i B W Y W x 1 Z T 0 i c 3 d v b 2 R z d G 9 j a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3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n Z 3 J l Z 2 F 0 Z V 9 G b G 9 3 X 1 J h d G l v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w O j E 1 O j E w L j k z O T E 1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D o 1 N D o 1 O C 4 z N z g y N T k x W i I g L z 4 8 R W 5 0 c n k g V H l w Z T 0 i R m l s b E N v b H V t b l R 5 c G V z I i B W Y W x 1 Z T 0 i c 0 J n W U R C Z 0 1 E Q X d Z P S I g L z 4 8 R W 5 0 c n k g V H l w Z T 0 i R m l s b E N v b H V t b k 5 h b W V z I i B W Y W x 1 Z T 0 i c 1 s m c X V v d D t Q c m 9 j Z X N z J n F 1 b 3 Q 7 L C Z x d W 9 0 O 3 F 1 Y W 5 0 a X R 5 J n F 1 b 3 Q 7 L C Z x d W 9 0 O 3 R p b W U m c X V v d D s s J n F 1 b 3 Q 7 b G 9 j Y X R p b 2 4 m c X V v d D s s J n F 1 b 3 Q 7 b W F z c 2 N v b n N l c n Z l Z C Z x d W 9 0 O y w m c X V v d D t Q c m 9 j Z X N z b n V t Y m V y J n F 1 b 3 Q 7 L C Z x d W 9 0 O 1 B h c m V u d F B y b 2 N l c 3 M m c X V v d D s s J n F 1 b 3 Q 7 U 3 V i c H J v Y 2 V z c 2 5 1 b W J l c n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w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D E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9 v Z H J h d G l v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5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c 3 R v Y 2 s l M j A o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g 6 N T Q 6 N T g u M z c 4 M j U 5 M V o i I C 8 + P E V u d H J 5 I F R 5 c G U 9 I k Z p b G x D b 2 x 1 b W 5 U e X B l c y I g V m F s d W U 9 I n N C Z 1 l E Q m d N R E F 3 W T 0 i I C 8 + P E V u d H J 5 I F R 5 c G U 9 I k Z p b G x D b 2 x 1 b W 5 O Y W 1 l c y I g V m F s d W U 9 I n N b J n F 1 b 3 Q 7 U H J v Y 2 V z c y Z x d W 9 0 O y w m c X V v d D t x d W F u d G l 0 e S Z x d W 9 0 O y w m c X V v d D t 0 a W 1 l J n F 1 b 3 Q 7 L C Z x d W 9 0 O 2 x v Y 2 F 0 a W 9 u J n F 1 b 3 Q 7 L C Z x d W 9 0 O 2 1 h c 3 N j b 2 5 z Z X J 2 Z W Q m c X V v d D s s J n F 1 b 3 Q 7 U H J v Y 2 V z c 2 5 1 b W J l c i Z x d W 9 0 O y w m c X V v d D t Q Y X J l b n R Q c m 9 j Z X N z J n F 1 b 3 Q 7 L C Z x d W 9 0 O 1 N 1 Y n B y b 2 N l c 3 N u d W 1 i Z X J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1 b W l u a X V t c 3 R v Y 2 s v Q X V 0 b 1 J l b W 9 2 Z W R D b 2 x 1 b W 5 z M S 5 7 U H J v Y 2 V z c y w w f S Z x d W 9 0 O y w m c X V v d D t T Z W N 0 a W 9 u M S 9 h b H V t a W 5 p d W 1 z d G 9 j a y 9 B d X R v U m V t b 3 Z l Z E N v b H V t b n M x L n t x d W F u d G l 0 e S w x f S Z x d W 9 0 O y w m c X V v d D t T Z W N 0 a W 9 u M S 9 h b H V t a W 5 p d W 1 z d G 9 j a y 9 B d X R v U m V t b 3 Z l Z E N v b H V t b n M x L n t 0 a W 1 l L D J 9 J n F 1 b 3 Q 7 L C Z x d W 9 0 O 1 N l Y 3 R p b 2 4 x L 2 F s d W 1 p b m l 1 b X N 0 b 2 N r L 0 F 1 d G 9 S Z W 1 v d m V k Q 2 9 s d W 1 u c z E u e 2 x v Y 2 F 0 a W 9 u L D N 9 J n F 1 b 3 Q 7 L C Z x d W 9 0 O 1 N l Y 3 R p b 2 4 x L 2 F s d W 1 p b m l 1 b X N 0 b 2 N r L 0 F 1 d G 9 S Z W 1 v d m V k Q 2 9 s d W 1 u c z E u e 2 1 h c 3 N j b 2 5 z Z X J 2 Z W Q s N H 0 m c X V v d D s s J n F 1 b 3 Q 7 U 2 V j d G l v b j E v Y W x 1 b W l u a X V t c 3 R v Y 2 s v Q X V 0 b 1 J l b W 9 2 Z W R D b 2 x 1 b W 5 z M S 5 7 U H J v Y 2 V z c 2 5 1 b W J l c i w 1 f S Z x d W 9 0 O y w m c X V v d D t T Z W N 0 a W 9 u M S 9 h b H V t a W 5 p d W 1 z d G 9 j a y 9 B d X R v U m V t b 3 Z l Z E N v b H V t b n M x L n t Q Y X J l b n R Q c m 9 j Z X N z L D Z 9 J n F 1 b 3 Q 7 L C Z x d W 9 0 O 1 N l Y 3 R p b 2 4 x L 2 F s d W 1 p b m l 1 b X N 0 b 2 N r L 0 F 1 d G 9 S Z W 1 v d m V k Q 2 9 s d W 1 u c z E u e 1 N 1 Y n B y b 2 N l c 3 N u d W 1 i Z X J z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x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X N 0 b 2 N r J T I w K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4 O j U 0 O j U 4 L j M 3 O D I 1 O T F a I i A v P j x F b n R y e S B U e X B l P S J G a W x s Q 2 9 s d W 1 u V H l w Z X M i I F Z h b H V l P S J z Q m d Z R E J n T U R B d 1 k 9 I i A v P j x F b n R y e S B U e X B l P S J G a W x s Q 2 9 s d W 1 u T m F t Z X M i I F Z h b H V l P S J z W y Z x d W 9 0 O 1 B y b 2 N l c 3 M m c X V v d D s s J n F 1 b 3 Q 7 c X V h b n R p d H k m c X V v d D s s J n F 1 b 3 Q 7 d G l t Z S Z x d W 9 0 O y w m c X V v d D t s b 2 N h d G l v b i Z x d W 9 0 O y w m c X V v d D t t Y X N z Y 2 9 u c 2 V y d m V k J n F 1 b 3 Q 7 L C Z x d W 9 0 O 1 B y b 2 N l c 3 N u d W 1 i Z X I m c X V v d D s s J n F 1 b 3 Q 7 U G F y Z W 5 0 U H J v Y 2 V z c y Z x d W 9 0 O y w m c X V v d D t T d W J w c m 9 j Z X N z b n V t Y m V y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X N 0 b 2 N r L 0 F 1 d G 9 S Z W 1 v d m V k Q 2 9 s d W 1 u c z E u e 1 B y b 2 N l c 3 M s M H 0 m c X V v d D s s J n F 1 b 3 Q 7 U 2 V j d G l v b j E v Y W x 1 b W l u a X V t c 3 R v Y 2 s v Q X V 0 b 1 J l b W 9 2 Z W R D b 2 x 1 b W 5 z M S 5 7 c X V h b n R p d H k s M X 0 m c X V v d D s s J n F 1 b 3 Q 7 U 2 V j d G l v b j E v Y W x 1 b W l u a X V t c 3 R v Y 2 s v Q X V 0 b 1 J l b W 9 2 Z W R D b 2 x 1 b W 5 z M S 5 7 d G l t Z S w y f S Z x d W 9 0 O y w m c X V v d D t T Z W N 0 a W 9 u M S 9 h b H V t a W 5 p d W 1 z d G 9 j a y 9 B d X R v U m V t b 3 Z l Z E N v b H V t b n M x L n t s b 2 N h d G l v b i w z f S Z x d W 9 0 O y w m c X V v d D t T Z W N 0 a W 9 u M S 9 h b H V t a W 5 p d W 1 z d G 9 j a y 9 B d X R v U m V t b 3 Z l Z E N v b H V t b n M x L n t t Y X N z Y 2 9 u c 2 V y d m V k L D R 9 J n F 1 b 3 Q 7 L C Z x d W 9 0 O 1 N l Y 3 R p b 2 4 x L 2 F s d W 1 p b m l 1 b X N 0 b 2 N r L 0 F 1 d G 9 S Z W 1 v d m V k Q 2 9 s d W 1 u c z E u e 1 B y b 2 N l c 3 N u d W 1 i Z X I s N X 0 m c X V v d D s s J n F 1 b 3 Q 7 U 2 V j d G l v b j E v Y W x 1 b W l u a X V t c 3 R v Y 2 s v Q X V 0 b 1 J l b W 9 2 Z W R D b 2 x 1 b W 5 z M S 5 7 U G F y Z W 5 0 U H J v Y 2 V z c y w 2 f S Z x d W 9 0 O y w m c X V v d D t T Z W N 0 a W 9 u M S 9 h b H V t a W 5 p d W 1 z d G 9 j a y 9 B d X R v U m V t b 3 Z l Z E N v b H V t b n M x L n t T d W J w c m 9 j Z X N z b n V t Y m V y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H V t a W 5 p d W 1 z d G 9 j a y 9 B d X R v U m V t b 3 Z l Z E N v b H V t b n M x L n t Q c m 9 j Z X N z L D B 9 J n F 1 b 3 Q 7 L C Z x d W 9 0 O 1 N l Y 3 R p b 2 4 x L 2 F s d W 1 p b m l 1 b X N 0 b 2 N r L 0 F 1 d G 9 S Z W 1 v d m V k Q 2 9 s d W 1 u c z E u e 3 F 1 Y W 5 0 a X R 5 L D F 9 J n F 1 b 3 Q 7 L C Z x d W 9 0 O 1 N l Y 3 R p b 2 4 x L 2 F s d W 1 p b m l 1 b X N 0 b 2 N r L 0 F 1 d G 9 S Z W 1 v d m V k Q 2 9 s d W 1 u c z E u e 3 R p b W U s M n 0 m c X V v d D s s J n F 1 b 3 Q 7 U 2 V j d G l v b j E v Y W x 1 b W l u a X V t c 3 R v Y 2 s v Q X V 0 b 1 J l b W 9 2 Z W R D b 2 x 1 b W 5 z M S 5 7 b G 9 j Y X R p b 2 4 s M 3 0 m c X V v d D s s J n F 1 b 3 Q 7 U 2 V j d G l v b j E v Y W x 1 b W l u a X V t c 3 R v Y 2 s v Q X V 0 b 1 J l b W 9 2 Z W R D b 2 x 1 b W 5 z M S 5 7 b W F z c 2 N v b n N l c n Z l Z C w 0 f S Z x d W 9 0 O y w m c X V v d D t T Z W N 0 a W 9 u M S 9 h b H V t a W 5 p d W 1 z d G 9 j a y 9 B d X R v U m V t b 3 Z l Z E N v b H V t b n M x L n t Q c m 9 j Z X N z b n V t Y m V y L D V 9 J n F 1 b 3 Q 7 L C Z x d W 9 0 O 1 N l Y 3 R p b 2 4 x L 2 F s d W 1 p b m l 1 b X N 0 b 2 N r L 0 F 1 d G 9 S Z W 1 v d m V k Q 2 9 s d W 1 u c z E u e 1 B h c m V u d F B y b 2 N l c 3 M s N n 0 m c X V v d D s s J n F 1 b 3 Q 7 U 2 V j d G l v b j E v Y W x 1 b W l u a X V t c 3 R v Y 2 s v Q X V 0 b 1 J l b W 9 2 Z W R D b 2 x 1 b W 5 z M S 5 7 U 3 V i c H J v Y 2 V z c 2 5 1 b W J l c n M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W d n c m V n Y X R l X 0 Z s b 3 d f U m F 0 a W 8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A 6 M T U 6 M T A u O T M 5 M T U z O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Z 2 d y Z W d h d G V f R m x v d 1 9 S Y X R p b y 9 B d X R v U m V t b 3 Z l Z E N v b H V t b n M x L n t D b 2 x 1 b W 4 x L j E s M H 0 m c X V v d D s s J n F 1 b 3 Q 7 U 2 V j d G l v b j E v Q W d n c m V n Y X R l X 0 Z s b 3 d f U m F 0 a W 8 v Q X V 0 b 1 J l b W 9 2 Z W R D b 2 x 1 b W 5 z M S 5 7 Q 2 9 s d W 1 u M S 4 y L D F 9 J n F 1 b 3 Q 7 L C Z x d W 9 0 O 1 N l Y 3 R p b 2 4 x L 0 F n Z 3 J l Z 2 F 0 Z V 9 G b G 9 3 X 1 J h d G l v L 0 F 1 d G 9 S Z W 1 v d m V k Q 2 9 s d W 1 u c z E u e 0 N v b H V t b j E u M y w y f S Z x d W 9 0 O y w m c X V v d D t T Z W N 0 a W 9 u M S 9 B Z 2 d y Z W d h d G V f R m x v d 1 9 S Y X R p b y 9 B d X R v U m V t b 3 Z l Z E N v b H V t b n M x L n t D b 2 x 1 b W 4 x L j Q s M 3 0 m c X V v d D s s J n F 1 b 3 Q 7 U 2 V j d G l v b j E v Q W d n c m V n Y X R l X 0 Z s b 3 d f U m F 0 a W 8 v Q X V 0 b 1 J l b W 9 2 Z W R D b 2 x 1 b W 5 z M S 5 7 Q 2 9 s d W 1 u M S 4 1 L D R 9 J n F 1 b 3 Q 7 L C Z x d W 9 0 O 1 N l Y 3 R p b 2 4 x L 0 F n Z 3 J l Z 2 F 0 Z V 9 G b G 9 3 X 1 J h d G l v L 0 F 1 d G 9 S Z W 1 v d m V k Q 2 9 s d W 1 u c z E u e 0 N v b H V t b j E u N i w 1 f S Z x d W 9 0 O y w m c X V v d D t T Z W N 0 a W 9 u M S 9 B Z 2 d y Z W d h d G V f R m x v d 1 9 S Y X R p b y 9 B d X R v U m V t b 3 Z l Z E N v b H V t b n M x L n t D b 2 x 1 b W 4 x L j c s N n 0 m c X V v d D s s J n F 1 b 3 Q 7 U 2 V j d G l v b j E v Q W d n c m V n Y X R l X 0 Z s b 3 d f U m F 0 a W 8 v Q X V 0 b 1 J l b W 9 2 Z W R D b 2 x 1 b W 5 z M S 5 7 Q 2 9 s d W 1 u M S 4 4 L D d 9 J n F 1 b 3 Q 7 L C Z x d W 9 0 O 1 N l Y 3 R p b 2 4 x L 0 F n Z 3 J l Z 2 F 0 Z V 9 G b G 9 3 X 1 J h d G l v L 0 F 1 d G 9 S Z W 1 v d m V k Q 2 9 s d W 1 u c z E u e 0 N v b H V t b j E u O S w 4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s d W 1 p b m l 1 b W Z s b 3 c l M j A o M T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2 V D E 5 O j I 0 O j U 0 L j U 5 N j A 4 N z l a I i A v P j x F b n R y e S B U e X B l P S J G a W x s Q 2 9 s d W 1 u V H l w Z X M i I F Z h b H V l P S J z Q m d Z R 0 F 3 W U R B d 0 1 E Q m d Z P S I g L z 4 8 R W 5 0 c n k g V H l w Z T 0 i R m l s b E N v b H V t b k 5 h b W V z I i B W Y W x 1 Z T 0 i c 1 s m c X V v d D t G c m 9 t J n F 1 b 3 Q 7 L C Z x d W 9 0 O 3 R v J n F 1 b 3 Q 7 L C Z x d W 9 0 O 3 F 1 Y W 5 0 a X R 5 J n F 1 b 3 Q 7 L C Z x d W 9 0 O 3 R p b W U m c X V v d D s s J n F 1 b 3 Q 7 b G 9 j Y X R p b 2 4 m c X V v d D s s J n F 1 b 3 Q 7 R m x v d 2 5 1 b W J l c m Z y b 2 0 m c X V v d D s s J n F 1 b 3 Q 7 R m x v d 2 5 1 b W J l c n R v J n F 1 b 3 Q 7 L C Z x d W 9 0 O 1 B h c m V u d F B y b 2 N l c 3 N G b G 9 3 Z n J v b S Z x d W 9 0 O y w m c X V v d D t Q Y X J l b n R Q c m 9 j Z X N z R m x v d 3 R v J n F 1 b 3 Q 7 L C Z x d W 9 0 O 1 N 1 Y n B y b 2 N l c 3 N u d W 1 i Z X J z Z n J v b S Z x d W 9 0 O y w m c X V v d D t T d W J w c m 9 j Z X N z b n V t Y m V y c 3 R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Z U M T k 6 M j Q 6 N T Q u N T k 2 M D g 3 O V o i I C 8 + P E V u d H J 5 I F R 5 c G U 9 I k Z p b G x D b 2 x 1 b W 5 U e X B l c y I g V m F s d W U 9 I n N C Z 1 l H Q X d Z R E F 3 T U R C Z 1 k 9 I i A v P j x F b n R y e S B U e X B l P S J G a W x s Q 2 9 s d W 1 u T m F t Z X M i I F Z h b H V l P S J z W y Z x d W 9 0 O 0 Z y b 2 0 m c X V v d D s s J n F 1 b 3 Q 7 d G 8 m c X V v d D s s J n F 1 b 3 Q 7 c X V h b n R p d H k m c X V v d D s s J n F 1 b 3 Q 7 d G l t Z S Z x d W 9 0 O y w m c X V v d D t s b 2 N h d G l v b i Z x d W 9 0 O y w m c X V v d D t G b G 9 3 b n V t Y m V y Z n J v b S Z x d W 9 0 O y w m c X V v d D t G b G 9 3 b n V t Y m V y d G 8 m c X V v d D s s J n F 1 b 3 Q 7 U G F y Z W 5 0 U H J v Y 2 V z c 0 Z s b 3 d m c m 9 t J n F 1 b 3 Q 7 L C Z x d W 9 0 O 1 B h c m V u d F B y b 2 N l c 3 N G b G 9 3 d G 8 m c X V v d D s s J n F 1 b 3 Q 7 U 3 V i c H J v Y 2 V z c 2 5 1 b W J l c n N m c m 9 t J n F 1 b 3 Q 7 L C Z x d W 9 0 O 1 N 1 Y n B y b 2 N l c 3 N u d W 1 i Z X J z d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F s d W 1 p b m l 1 b W Z s b 3 c g K D I p L 0 F 1 d G 9 S Z W 1 v d m V k Q 2 9 s d W 1 u c z E u e 0 Z y b 2 0 s M H 0 m c X V v d D s s J n F 1 b 3 Q 7 U 2 V j d G l v b j E v Y W x 1 b W l u a X V t Z m x v d y A o M i k v Q X V 0 b 1 J l b W 9 2 Z W R D b 2 x 1 b W 5 z M S 5 7 d G 8 s M X 0 m c X V v d D s s J n F 1 b 3 Q 7 U 2 V j d G l v b j E v Y W x 1 b W l u a X V t Z m x v d y A o M i k v Q X V 0 b 1 J l b W 9 2 Z W R D b 2 x 1 b W 5 z M S 5 7 c X V h b n R p d H k s M n 0 m c X V v d D s s J n F 1 b 3 Q 7 U 2 V j d G l v b j E v Y W x 1 b W l u a X V t Z m x v d y A o M i k v Q X V 0 b 1 J l b W 9 2 Z W R D b 2 x 1 b W 5 z M S 5 7 d G l t Z S w z f S Z x d W 9 0 O y w m c X V v d D t T Z W N 0 a W 9 u M S 9 h b H V t a W 5 p d W 1 m b G 9 3 I C g y K S 9 B d X R v U m V t b 3 Z l Z E N v b H V t b n M x L n t s b 2 N h d G l v b i w 0 f S Z x d W 9 0 O y w m c X V v d D t T Z W N 0 a W 9 u M S 9 h b H V t a W 5 p d W 1 m b G 9 3 I C g y K S 9 B d X R v U m V t b 3 Z l Z E N v b H V t b n M x L n t G b G 9 3 b n V t Y m V y Z n J v b S w 1 f S Z x d W 9 0 O y w m c X V v d D t T Z W N 0 a W 9 u M S 9 h b H V t a W 5 p d W 1 m b G 9 3 I C g y K S 9 B d X R v U m V t b 3 Z l Z E N v b H V t b n M x L n t G b G 9 3 b n V t Y m V y d G 8 s N n 0 m c X V v d D s s J n F 1 b 3 Q 7 U 2 V j d G l v b j E v Y W x 1 b W l u a X V t Z m x v d y A o M i k v Q X V 0 b 1 J l b W 9 2 Z W R D b 2 x 1 b W 5 z M S 5 7 U G F y Z W 5 0 U H J v Y 2 V z c 0 Z s b 3 d m c m 9 t L D d 9 J n F 1 b 3 Q 7 L C Z x d W 9 0 O 1 N l Y 3 R p b 2 4 x L 2 F s d W 1 p b m l 1 b W Z s b 3 c g K D I p L 0 F 1 d G 9 S Z W 1 v d m V k Q 2 9 s d W 1 u c z E u e 1 B h c m V u d F B y b 2 N l c 3 N G b G 9 3 d G 8 s O H 0 m c X V v d D s s J n F 1 b 3 Q 7 U 2 V j d G l v b j E v Y W x 1 b W l u a X V t Z m x v d y A o M i k v Q X V 0 b 1 J l b W 9 2 Z W R D b 2 x 1 b W 5 z M S 5 7 U 3 V i c H J v Y 2 V z c 2 5 1 b W J l c n N m c m 9 t L D l 9 J n F 1 b 3 Q 7 L C Z x d W 9 0 O 1 N l Y 3 R p b 2 4 x L 2 F s d W 1 p b m l 1 b W Z s b 3 c g K D I p L 0 F 1 d G 9 S Z W 1 v d m V k Q 2 9 s d W 1 u c z E u e 1 N 1 Y n B y b 2 N l c 3 N u d W 1 i Z X J z d G 8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2 l t c G x l X 1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N p b X B s Z V 9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T a W 1 w b G V f V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X N 0 b 2 N r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X 0 Z s b 3 d f U m F 0 a W 8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z d G 9 j a y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c 3 R v Y 2 s l M j A o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V 9 G b G 9 3 X 1 J h d G l v J T I w K D U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f R m x v d 1 9 S Y X R p b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W 1 p b m l 1 b W Z s b 3 c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1 b W l u a X V t Z m x v d y U y M C g x N S k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x 1 b W l u a X V t Z m x v d y U y M C g x N i k 8 L 0 l 0 Z W 1 Q Y X R o P j w v S X R l b U x v Y 2 F 0 a W 9 u P j x T d G F i b G V F b n R y a W V z P j x F b n R y e S B U e X B l P S J G a W x s R X J y b 3 J D b 2 R l I i B W Y W x 1 Z T 0 i c 1 V u a 2 5 v d 2 4 i I C 8 + P E V u d H J 5 I F R 5 c G U 9 I l J l c 3 V s d F R 5 c G U i I F Z h b H V l P S J z R X h j Z X B 0 a W 9 u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y 0 w M i 0 x N l Q x O T o y N D o 1 N C 4 1 O T Y w O D c 5 W i I g L z 4 8 R W 5 0 c n k g V H l w Z T 0 i R m l s b E N v b H V t b l R 5 c G V z I i B W Y W x 1 Z T 0 i c 0 J n W U d B d 1 l E Q X d N R E J n W T 0 i I C 8 + P E V u d H J 5 I F R 5 c G U 9 I k Z p b G x D b 2 x 1 b W 5 O Y W 1 l c y I g V m F s d W U 9 I n N b J n F 1 b 3 Q 7 R n J v b S Z x d W 9 0 O y w m c X V v d D t 0 b y Z x d W 9 0 O y w m c X V v d D t x d W F u d G l 0 e S Z x d W 9 0 O y w m c X V v d D t 0 a W 1 l J n F 1 b 3 Q 7 L C Z x d W 9 0 O 2 x v Y 2 F 0 a W 9 u J n F 1 b 3 Q 7 L C Z x d W 9 0 O 0 Z s b 3 d u d W 1 i Z X J m c m 9 t J n F 1 b 3 Q 7 L C Z x d W 9 0 O 0 Z s b 3 d u d W 1 i Z X J 0 b y Z x d W 9 0 O y w m c X V v d D t Q Y X J l b n R Q c m 9 j Z X N z R m x v d 2 Z y b 2 0 m c X V v d D s s J n F 1 b 3 Q 7 U G F y Z W 5 0 U H J v Y 2 V z c 0 Z s b 3 d 0 b y Z x d W 9 0 O y w m c X V v d D t T d W J w c m 9 j Z X N z b n V t Y m V y c 2 Z y b 2 0 m c X V v d D s s J n F 1 b 3 Q 7 U 3 V i c H J v Y 2 V z c 2 5 1 b W J l c n N 0 b y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E 0 N C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H V t a W 5 p d W 1 m b G 9 3 I C g y K S 9 B d X R v U m V t b 3 Z l Z E N v b H V t b n M x L n t G c m 9 t L D B 9 J n F 1 b 3 Q 7 L C Z x d W 9 0 O 1 N l Y 3 R p b 2 4 x L 2 F s d W 1 p b m l 1 b W Z s b 3 c g K D I p L 0 F 1 d G 9 S Z W 1 v d m V k Q 2 9 s d W 1 u c z E u e 3 R v L D F 9 J n F 1 b 3 Q 7 L C Z x d W 9 0 O 1 N l Y 3 R p b 2 4 x L 2 F s d W 1 p b m l 1 b W Z s b 3 c g K D I p L 0 F 1 d G 9 S Z W 1 v d m V k Q 2 9 s d W 1 u c z E u e 3 F 1 Y W 5 0 a X R 5 L D J 9 J n F 1 b 3 Q 7 L C Z x d W 9 0 O 1 N l Y 3 R p b 2 4 x L 2 F s d W 1 p b m l 1 b W Z s b 3 c g K D I p L 0 F 1 d G 9 S Z W 1 v d m V k Q 2 9 s d W 1 u c z E u e 3 R p b W U s M 3 0 m c X V v d D s s J n F 1 b 3 Q 7 U 2 V j d G l v b j E v Y W x 1 b W l u a X V t Z m x v d y A o M i k v Q X V 0 b 1 J l b W 9 2 Z W R D b 2 x 1 b W 5 z M S 5 7 b G 9 j Y X R p b 2 4 s N H 0 m c X V v d D s s J n F 1 b 3 Q 7 U 2 V j d G l v b j E v Y W x 1 b W l u a X V t Z m x v d y A o M i k v Q X V 0 b 1 J l b W 9 2 Z W R D b 2 x 1 b W 5 z M S 5 7 R m x v d 2 5 1 b W J l c m Z y b 2 0 s N X 0 m c X V v d D s s J n F 1 b 3 Q 7 U 2 V j d G l v b j E v Y W x 1 b W l u a X V t Z m x v d y A o M i k v Q X V 0 b 1 J l b W 9 2 Z W R D b 2 x 1 b W 5 z M S 5 7 R m x v d 2 5 1 b W J l c n R v L D Z 9 J n F 1 b 3 Q 7 L C Z x d W 9 0 O 1 N l Y 3 R p b 2 4 x L 2 F s d W 1 p b m l 1 b W Z s b 3 c g K D I p L 0 F 1 d G 9 S Z W 1 v d m V k Q 2 9 s d W 1 u c z E u e 1 B h c m V u d F B y b 2 N l c 3 N G b G 9 3 Z n J v b S w 3 f S Z x d W 9 0 O y w m c X V v d D t T Z W N 0 a W 9 u M S 9 h b H V t a W 5 p d W 1 m b G 9 3 I C g y K S 9 B d X R v U m V t b 3 Z l Z E N v b H V t b n M x L n t Q Y X J l b n R Q c m 9 j Z X N z R m x v d 3 R v L D h 9 J n F 1 b 3 Q 7 L C Z x d W 9 0 O 1 N l Y 3 R p b 2 4 x L 2 F s d W 1 p b m l 1 b W Z s b 3 c g K D I p L 0 F 1 d G 9 S Z W 1 v d m V k Q 2 9 s d W 1 u c z E u e 1 N 1 Y n B y b 2 N l c 3 N u d W 1 i Z X J z Z n J v b S w 5 f S Z x d W 9 0 O y w m c X V v d D t T Z W N 0 a W 9 u M S 9 h b H V t a W 5 p d W 1 m b G 9 3 I C g y K S 9 B d X R v U m V t b 3 Z l Z E N v b H V t b n M x L n t T d W J w c m 9 j Z X N z b n V t Y m V y c 3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W x 1 b W l u a X V t Z m x v d y A o M i k v Q X V 0 b 1 J l b W 9 2 Z W R D b 2 x 1 b W 5 z M S 5 7 R n J v b S w w f S Z x d W 9 0 O y w m c X V v d D t T Z W N 0 a W 9 u M S 9 h b H V t a W 5 p d W 1 m b G 9 3 I C g y K S 9 B d X R v U m V t b 3 Z l Z E N v b H V t b n M x L n t 0 b y w x f S Z x d W 9 0 O y w m c X V v d D t T Z W N 0 a W 9 u M S 9 h b H V t a W 5 p d W 1 m b G 9 3 I C g y K S 9 B d X R v U m V t b 3 Z l Z E N v b H V t b n M x L n t x d W F u d G l 0 e S w y f S Z x d W 9 0 O y w m c X V v d D t T Z W N 0 a W 9 u M S 9 h b H V t a W 5 p d W 1 m b G 9 3 I C g y K S 9 B d X R v U m V t b 3 Z l Z E N v b H V t b n M x L n t 0 a W 1 l L D N 9 J n F 1 b 3 Q 7 L C Z x d W 9 0 O 1 N l Y 3 R p b 2 4 x L 2 F s d W 1 p b m l 1 b W Z s b 3 c g K D I p L 0 F 1 d G 9 S Z W 1 v d m V k Q 2 9 s d W 1 u c z E u e 2 x v Y 2 F 0 a W 9 u L D R 9 J n F 1 b 3 Q 7 L C Z x d W 9 0 O 1 N l Y 3 R p b 2 4 x L 2 F s d W 1 p b m l 1 b W Z s b 3 c g K D I p L 0 F 1 d G 9 S Z W 1 v d m V k Q 2 9 s d W 1 u c z E u e 0 Z s b 3 d u d W 1 i Z X J m c m 9 t L D V 9 J n F 1 b 3 Q 7 L C Z x d W 9 0 O 1 N l Y 3 R p b 2 4 x L 2 F s d W 1 p b m l 1 b W Z s b 3 c g K D I p L 0 F 1 d G 9 S Z W 1 v d m V k Q 2 9 s d W 1 u c z E u e 0 Z s b 3 d u d W 1 i Z X J 0 b y w 2 f S Z x d W 9 0 O y w m c X V v d D t T Z W N 0 a W 9 u M S 9 h b H V t a W 5 p d W 1 m b G 9 3 I C g y K S 9 B d X R v U m V t b 3 Z l Z E N v b H V t b n M x L n t Q Y X J l b n R Q c m 9 j Z X N z R m x v d 2 Z y b 2 0 s N 3 0 m c X V v d D s s J n F 1 b 3 Q 7 U 2 V j d G l v b j E v Y W x 1 b W l u a X V t Z m x v d y A o M i k v Q X V 0 b 1 J l b W 9 2 Z W R D b 2 x 1 b W 5 z M S 5 7 U G F y Z W 5 0 U H J v Y 2 V z c 0 Z s b 3 d 0 b y w 4 f S Z x d W 9 0 O y w m c X V v d D t T Z W N 0 a W 9 u M S 9 h b H V t a W 5 p d W 1 m b G 9 3 I C g y K S 9 B d X R v U m V t b 3 Z l Z E N v b H V t b n M x L n t T d W J w c m 9 j Z X N z b n V t Y m V y c 2 Z y b 2 0 s O X 0 m c X V v d D s s J n F 1 b 3 Q 7 U 2 V j d G l v b j E v Y W x 1 b W l u a X V t Z m x v d y A o M i k v Q X V 0 b 1 J l b W 9 2 Z W R D b 2 x 1 b W 5 z M S 5 7 U 3 V i c H J v Y 2 V z c 2 5 1 b W J l c n N 0 b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H V t a W 5 p d W 1 m b G 9 3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V t a W 5 p d W 1 m b G 9 3 J T I w K D E 2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j 6 / 5 b 5 m P T b c H l n 9 v K e a e A A A A A A I A A A A A A B B m A A A A A Q A A I A A A A L r h i U d 3 W y F C U s T y U 3 9 8 F k I H X 3 c K E 3 E u c K h s R j i I N 7 p B A A A A A A 6 A A A A A A g A A I A A A A M + H E W A r J I h D K J q a Z a h C J K p o k X / n Q E r B x g / O + 6 n A h y e f U A A A A D U o l k E P L S C T U s 8 J e a 4 I c q 7 W u e B 3 4 q m m R Z O h H S 9 f E N G A a v o K + V X 6 o 4 V H v 6 f O i / J g g G c + i B 6 o J F m m t 8 I f P h m T x O T j 1 5 O A t i N x x G A S 2 H A / 0 4 R G Q A A A A E b I 4 0 D Z P F / s / 5 n D D O f o x 8 2 9 R A f M / S B l s + 6 D f w g O K h R S S j F S J X n k h D 2 + 3 F J V t O Q n Q X z l U Y l G Y N x M F G S + F t H M n M U = < / D a t a M a s h u p > 
</file>

<file path=customXml/itemProps1.xml><?xml version="1.0" encoding="utf-8"?>
<ds:datastoreItem xmlns:ds="http://schemas.openxmlformats.org/officeDocument/2006/customXml" ds:itemID="{4A902C82-E295-4BF2-AEE6-F1EB33EE2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regions-conversion-factors</vt:lpstr>
      <vt:lpstr>conversion-factors</vt:lpstr>
      <vt:lpstr>production-mass-balance</vt:lpstr>
      <vt:lpstr>waste</vt:lpstr>
      <vt:lpstr>supporting-percentages</vt:lpstr>
      <vt:lpstr>faostat-data</vt:lpstr>
      <vt:lpstr>woodclass</vt:lpstr>
      <vt:lpstr>woodstock</vt:lpstr>
      <vt:lpstr>woodflow</vt:lpstr>
      <vt:lpstr>woodratio</vt:lpstr>
      <vt:lpstr>changesinstocks-input</vt:lpstr>
      <vt:lpstr>changesinstocks-prior-input</vt:lpstr>
      <vt:lpstr>flows-input</vt:lpstr>
      <vt:lpstr>flows-prior-input</vt:lpstr>
      <vt:lpstr>ratios-input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Yayla, Alperen</dc:creator>
  <cp:lastModifiedBy>Yayla, Alperen</cp:lastModifiedBy>
  <dcterms:created xsi:type="dcterms:W3CDTF">2023-02-16T18:44:36Z</dcterms:created>
  <dcterms:modified xsi:type="dcterms:W3CDTF">2024-03-14T22:45:24Z</dcterms:modified>
</cp:coreProperties>
</file>