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y222\Desktop\Supplementary-Data-S2\2.BaMFA\regions\data\"/>
    </mc:Choice>
  </mc:AlternateContent>
  <xr:revisionPtr revIDLastSave="0" documentId="13_ncr:1_{ED374D30-E536-4805-AB94-EF60BBDA41C8}" xr6:coauthVersionLast="47" xr6:coauthVersionMax="47" xr10:uidLastSave="{00000000-0000-0000-0000-000000000000}"/>
  <bookViews>
    <workbookView xWindow="17904" yWindow="0" windowWidth="18192" windowHeight="23376" xr2:uid="{CC57C832-81AE-439A-9140-C8CCFD51753E}"/>
  </bookViews>
  <sheets>
    <sheet name="contents" sheetId="48" r:id="rId1"/>
    <sheet name="conversion-factors" sheetId="30" r:id="rId2"/>
    <sheet name="production-mass-balance" sheetId="33" r:id="rId3"/>
    <sheet name="waste" sheetId="47" r:id="rId4"/>
    <sheet name="supporting-percentages" sheetId="35" r:id="rId5"/>
    <sheet name="faostat-data" sheetId="31" r:id="rId6"/>
    <sheet name="woodclass" sheetId="49" r:id="rId7"/>
    <sheet name="woodstock" sheetId="18" r:id="rId8"/>
    <sheet name="woodflow" sheetId="17" r:id="rId9"/>
    <sheet name="woodratio" sheetId="29" r:id="rId10"/>
    <sheet name="changesinstocks-input" sheetId="43" r:id="rId11"/>
    <sheet name="changesinstocks-prior-input" sheetId="42" r:id="rId12"/>
    <sheet name="flows-input" sheetId="44" r:id="rId13"/>
    <sheet name="flows-prior-input" sheetId="45" r:id="rId14"/>
    <sheet name="ratios-input" sheetId="46" r:id="rId15"/>
  </sheets>
  <definedNames>
    <definedName name="_xlnm._FilterDatabase" localSheetId="10" hidden="1">'changesinstocks-input'!$A$1:$B$24</definedName>
    <definedName name="_xlnm._FilterDatabase" localSheetId="11" hidden="1">'changesinstocks-prior-input'!$A$1:$P$18</definedName>
    <definedName name="_xlnm._FilterDatabase" localSheetId="12" hidden="1">'flows-input'!$A$1:$A$4</definedName>
    <definedName name="_xlnm._FilterDatabase" localSheetId="13" hidden="1">'flows-prior-input'!$A$1:$V$132</definedName>
    <definedName name="ExternalData_1" localSheetId="9" hidden="1">woodratio!$A$1:$I$156</definedName>
    <definedName name="ExternalData_2" localSheetId="8" hidden="1">woodflow!$B$1:$N$646</definedName>
    <definedName name="ExternalData_2" localSheetId="7" hidden="1">woodstock!$A$1:$I$110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6" i="17" l="1"/>
  <c r="D646" i="17"/>
  <c r="E643" i="17"/>
  <c r="D643" i="17"/>
  <c r="E640" i="17"/>
  <c r="D640" i="17"/>
  <c r="E639" i="17"/>
  <c r="D639" i="17"/>
  <c r="E638" i="17"/>
  <c r="D638" i="17"/>
  <c r="E637" i="17"/>
  <c r="D637" i="17"/>
  <c r="E636" i="17"/>
  <c r="D636" i="17"/>
  <c r="E635" i="17"/>
  <c r="D635" i="17"/>
  <c r="E634" i="17"/>
  <c r="D634" i="17"/>
  <c r="E631" i="17"/>
  <c r="D631" i="17"/>
  <c r="E630" i="17"/>
  <c r="D630" i="17"/>
  <c r="E629" i="17"/>
  <c r="D629" i="17"/>
  <c r="E628" i="17"/>
  <c r="D628" i="17"/>
  <c r="E627" i="17"/>
  <c r="D627" i="17"/>
  <c r="E626" i="17"/>
  <c r="E623" i="17"/>
  <c r="D623" i="17"/>
  <c r="E620" i="17"/>
  <c r="D620" i="17"/>
  <c r="E619" i="17"/>
  <c r="D619" i="17"/>
  <c r="E618" i="17"/>
  <c r="D618" i="17"/>
  <c r="E617" i="17"/>
  <c r="D617" i="17"/>
  <c r="E616" i="17"/>
  <c r="E613" i="17"/>
  <c r="D613" i="17"/>
  <c r="E612" i="17"/>
  <c r="D612" i="17"/>
  <c r="E611" i="17"/>
  <c r="D611" i="17"/>
  <c r="E610" i="17"/>
  <c r="D610" i="17"/>
  <c r="E609" i="17"/>
  <c r="D609" i="17"/>
  <c r="E608" i="17"/>
  <c r="D608" i="17"/>
  <c r="E607" i="17"/>
  <c r="E604" i="17"/>
  <c r="D604" i="17"/>
  <c r="E601" i="17"/>
  <c r="D601" i="17"/>
  <c r="E600" i="17"/>
  <c r="D600" i="17"/>
  <c r="E599" i="17"/>
  <c r="E596" i="17"/>
  <c r="D596" i="17"/>
  <c r="E593" i="17"/>
  <c r="D593" i="17"/>
  <c r="E592" i="17"/>
  <c r="D592" i="17"/>
  <c r="E591" i="17"/>
  <c r="E588" i="17"/>
  <c r="D588" i="17"/>
  <c r="E587" i="17"/>
  <c r="D587" i="17"/>
  <c r="E584" i="17"/>
  <c r="D584" i="17"/>
  <c r="E581" i="17"/>
  <c r="D581" i="17"/>
  <c r="E580" i="17"/>
  <c r="D580" i="17"/>
  <c r="E579" i="17"/>
  <c r="D579" i="17"/>
  <c r="E578" i="17"/>
  <c r="D578" i="17"/>
  <c r="E575" i="17"/>
  <c r="D575" i="17"/>
  <c r="E574" i="17"/>
  <c r="D574" i="17"/>
  <c r="E573" i="17"/>
  <c r="D573" i="17"/>
  <c r="E572" i="17"/>
  <c r="D572" i="17"/>
  <c r="E569" i="17"/>
  <c r="D569" i="17"/>
  <c r="E568" i="17"/>
  <c r="D568" i="17"/>
  <c r="E565" i="17"/>
  <c r="D565" i="17"/>
  <c r="E562" i="17"/>
  <c r="D562" i="17"/>
  <c r="E559" i="17"/>
  <c r="D559" i="17"/>
  <c r="E558" i="17"/>
  <c r="D558" i="17"/>
  <c r="E557" i="17"/>
  <c r="D557" i="17"/>
  <c r="E556" i="17"/>
  <c r="D556" i="17"/>
  <c r="E555" i="17"/>
  <c r="D555" i="17"/>
  <c r="E554" i="17"/>
  <c r="D554" i="17"/>
  <c r="E553" i="17"/>
  <c r="D553" i="17"/>
  <c r="E550" i="17"/>
  <c r="D550" i="17"/>
  <c r="E549" i="17"/>
  <c r="D549" i="17"/>
  <c r="E548" i="17"/>
  <c r="D548" i="17"/>
  <c r="E547" i="17"/>
  <c r="D547" i="17"/>
  <c r="E546" i="17"/>
  <c r="D546" i="17"/>
  <c r="E545" i="17"/>
  <c r="E542" i="17"/>
  <c r="D542" i="17"/>
  <c r="E539" i="17"/>
  <c r="D539" i="17"/>
  <c r="E538" i="17"/>
  <c r="D538" i="17"/>
  <c r="E537" i="17"/>
  <c r="D537" i="17"/>
  <c r="E536" i="17"/>
  <c r="D536" i="17"/>
  <c r="E535" i="17"/>
  <c r="E532" i="17"/>
  <c r="D532" i="17"/>
  <c r="E531" i="17"/>
  <c r="D531" i="17"/>
  <c r="E530" i="17"/>
  <c r="D530" i="17"/>
  <c r="E529" i="17"/>
  <c r="D529" i="17"/>
  <c r="E528" i="17"/>
  <c r="D528" i="17"/>
  <c r="E527" i="17"/>
  <c r="D527" i="17"/>
  <c r="E526" i="17"/>
  <c r="E523" i="17"/>
  <c r="D523" i="17"/>
  <c r="E520" i="17"/>
  <c r="D520" i="17"/>
  <c r="E519" i="17"/>
  <c r="D519" i="17"/>
  <c r="E518" i="17"/>
  <c r="E515" i="17"/>
  <c r="D515" i="17"/>
  <c r="E512" i="17"/>
  <c r="D512" i="17"/>
  <c r="E511" i="17"/>
  <c r="D511" i="17"/>
  <c r="E510" i="17"/>
  <c r="E507" i="17"/>
  <c r="D507" i="17"/>
  <c r="E506" i="17"/>
  <c r="D506" i="17"/>
  <c r="E503" i="17"/>
  <c r="D503" i="17"/>
  <c r="E500" i="17"/>
  <c r="D500" i="17"/>
  <c r="E499" i="17"/>
  <c r="D499" i="17"/>
  <c r="E498" i="17"/>
  <c r="D498" i="17"/>
  <c r="E497" i="17"/>
  <c r="D497" i="17"/>
  <c r="E494" i="17"/>
  <c r="D494" i="17"/>
  <c r="E493" i="17"/>
  <c r="D493" i="17"/>
  <c r="E492" i="17"/>
  <c r="D492" i="17"/>
  <c r="E491" i="17"/>
  <c r="D491" i="17"/>
  <c r="E488" i="17"/>
  <c r="D488" i="17"/>
  <c r="E487" i="17"/>
  <c r="D487" i="17"/>
  <c r="E484" i="17"/>
  <c r="E481" i="17"/>
  <c r="D481" i="17"/>
  <c r="E480" i="17"/>
  <c r="D480" i="17"/>
  <c r="E479" i="17"/>
  <c r="D476" i="17"/>
  <c r="E473" i="17"/>
  <c r="E470" i="17"/>
  <c r="D470" i="17"/>
  <c r="D469" i="17"/>
  <c r="E468" i="17"/>
  <c r="D468" i="17"/>
  <c r="D467" i="17"/>
  <c r="D466" i="17"/>
  <c r="E465" i="17"/>
  <c r="D465" i="17"/>
  <c r="E464" i="17"/>
  <c r="D464" i="17"/>
  <c r="D463" i="17"/>
  <c r="D462" i="17"/>
  <c r="E461" i="17"/>
  <c r="E458" i="17"/>
  <c r="D458" i="17"/>
  <c r="D457" i="17"/>
  <c r="D456" i="17"/>
  <c r="D455" i="17"/>
  <c r="D454" i="17"/>
  <c r="E453" i="17"/>
  <c r="D453" i="17"/>
  <c r="E452" i="17"/>
  <c r="D452" i="17"/>
  <c r="D451" i="17"/>
  <c r="D450" i="17"/>
  <c r="E449" i="17"/>
  <c r="E446" i="17"/>
  <c r="E443" i="17"/>
  <c r="D443" i="17"/>
  <c r="D442" i="17"/>
  <c r="D441" i="17"/>
  <c r="D440" i="17"/>
  <c r="D439" i="17"/>
  <c r="E438" i="17"/>
  <c r="D438" i="17"/>
  <c r="E437" i="17"/>
  <c r="D437" i="17"/>
  <c r="D436" i="17"/>
  <c r="D435" i="17"/>
  <c r="E434" i="17"/>
  <c r="E431" i="17"/>
  <c r="E428" i="17"/>
  <c r="D428" i="17"/>
  <c r="D427" i="17"/>
  <c r="D426" i="17"/>
  <c r="D425" i="17"/>
  <c r="D424" i="17"/>
  <c r="E423" i="17"/>
  <c r="D423" i="17"/>
  <c r="E422" i="17"/>
  <c r="D422" i="17"/>
  <c r="D421" i="17"/>
  <c r="D420" i="17"/>
  <c r="E419" i="17"/>
  <c r="E416" i="17"/>
  <c r="D413" i="17"/>
  <c r="D412" i="17"/>
  <c r="D411" i="17"/>
  <c r="D410" i="17"/>
  <c r="D409" i="17"/>
  <c r="E408" i="17"/>
  <c r="E407" i="17"/>
  <c r="D407" i="17"/>
  <c r="D406" i="17"/>
  <c r="D405" i="17"/>
  <c r="E404" i="17"/>
  <c r="D401" i="17"/>
  <c r="D400" i="17"/>
  <c r="D399" i="17"/>
  <c r="D398" i="17"/>
  <c r="D397" i="17"/>
  <c r="E396" i="17"/>
  <c r="D396" i="17"/>
  <c r="D395" i="17"/>
  <c r="D394" i="17"/>
  <c r="D393" i="17"/>
  <c r="E392" i="17"/>
  <c r="E389" i="17"/>
  <c r="E386" i="17"/>
  <c r="D383" i="17"/>
  <c r="E382" i="17"/>
  <c r="D382" i="17"/>
  <c r="D381" i="17"/>
  <c r="D380" i="17"/>
  <c r="D379" i="17"/>
  <c r="E378" i="17"/>
  <c r="D378" i="17"/>
  <c r="E377" i="17"/>
  <c r="D377" i="17"/>
  <c r="E376" i="17"/>
  <c r="E373" i="17"/>
  <c r="E370" i="17"/>
  <c r="E367" i="17"/>
  <c r="E364" i="17"/>
  <c r="E361" i="17"/>
  <c r="E358" i="17"/>
  <c r="E355" i="17"/>
  <c r="E352" i="17"/>
  <c r="E349" i="17"/>
  <c r="E346" i="17"/>
  <c r="E343" i="17"/>
  <c r="D340" i="17"/>
  <c r="E339" i="17"/>
  <c r="D339" i="17"/>
  <c r="D338" i="17"/>
  <c r="D337" i="17"/>
  <c r="D336" i="17"/>
  <c r="E335" i="17"/>
  <c r="D335" i="17"/>
  <c r="E334" i="17"/>
  <c r="D334" i="17"/>
  <c r="E333" i="17"/>
  <c r="E330" i="17"/>
  <c r="D330" i="17"/>
  <c r="E329" i="17"/>
  <c r="D329" i="17"/>
  <c r="E328" i="17"/>
  <c r="D328" i="17"/>
  <c r="E327" i="17"/>
  <c r="D327" i="17"/>
  <c r="E326" i="17"/>
  <c r="D326" i="17"/>
  <c r="E325" i="17"/>
  <c r="E322" i="17"/>
  <c r="D322" i="17"/>
  <c r="E319" i="17"/>
  <c r="D319" i="17"/>
  <c r="E318" i="17"/>
  <c r="D318" i="17"/>
  <c r="E317" i="17"/>
  <c r="D317" i="17"/>
  <c r="E316" i="17"/>
  <c r="D316" i="17"/>
  <c r="E315" i="17"/>
  <c r="D315" i="17"/>
  <c r="E314" i="17"/>
  <c r="E311" i="17"/>
  <c r="D311" i="17"/>
  <c r="E308" i="17"/>
  <c r="E307" i="17"/>
  <c r="D307" i="17"/>
  <c r="E306" i="17"/>
  <c r="E305" i="17"/>
  <c r="E304" i="17"/>
  <c r="E301" i="17"/>
  <c r="D301" i="17"/>
  <c r="E300" i="17"/>
  <c r="D300" i="17"/>
  <c r="E299" i="17"/>
  <c r="D299" i="17"/>
  <c r="E298" i="17"/>
  <c r="D298" i="17"/>
  <c r="E297" i="17"/>
  <c r="D297" i="17"/>
  <c r="E296" i="17"/>
  <c r="E293" i="17"/>
  <c r="D293" i="17"/>
  <c r="E292" i="17"/>
  <c r="D292" i="17"/>
  <c r="E291" i="17"/>
  <c r="D291" i="17"/>
  <c r="E290" i="17"/>
  <c r="D290" i="17"/>
  <c r="E289" i="17"/>
  <c r="D289" i="17"/>
  <c r="E288" i="17"/>
  <c r="E285" i="17"/>
  <c r="D285" i="17"/>
  <c r="E284" i="17"/>
  <c r="D284" i="17"/>
  <c r="E283" i="17"/>
  <c r="D283" i="17"/>
  <c r="E282" i="17"/>
  <c r="D282" i="17"/>
  <c r="E281" i="17"/>
  <c r="D281" i="17"/>
  <c r="E280" i="17"/>
  <c r="E277" i="17"/>
  <c r="D277" i="17"/>
  <c r="E276" i="17"/>
  <c r="D276" i="17"/>
  <c r="E275" i="17"/>
  <c r="D275" i="17"/>
  <c r="E274" i="17"/>
  <c r="D274" i="17"/>
  <c r="E273" i="17"/>
  <c r="D273" i="17"/>
  <c r="E272" i="17"/>
  <c r="E269" i="17"/>
  <c r="D269" i="17"/>
  <c r="D266" i="17"/>
  <c r="D265" i="17"/>
  <c r="D264" i="17"/>
  <c r="E263" i="17"/>
  <c r="D263" i="17"/>
  <c r="D262" i="17"/>
  <c r="E261" i="17"/>
  <c r="D261" i="17"/>
  <c r="E260" i="17"/>
  <c r="D260" i="17"/>
  <c r="D257" i="17"/>
  <c r="D256" i="17"/>
  <c r="D255" i="17"/>
  <c r="E254" i="17"/>
  <c r="D254" i="17"/>
  <c r="D253" i="17"/>
  <c r="E252" i="17"/>
  <c r="D252" i="17"/>
  <c r="E251" i="17"/>
  <c r="D251" i="17"/>
  <c r="E248" i="17"/>
  <c r="D248" i="17"/>
  <c r="D245" i="17"/>
  <c r="D244" i="17"/>
  <c r="D243" i="17"/>
  <c r="E242" i="17"/>
  <c r="D241" i="17"/>
  <c r="E240" i="17"/>
  <c r="D240" i="17"/>
  <c r="E239" i="17"/>
  <c r="D239" i="17"/>
  <c r="D236" i="17"/>
  <c r="D235" i="17"/>
  <c r="D234" i="17"/>
  <c r="E233" i="17"/>
  <c r="D233" i="17"/>
  <c r="D232" i="17"/>
  <c r="E231" i="17"/>
  <c r="D231" i="17"/>
  <c r="E230" i="17"/>
  <c r="D230" i="17"/>
  <c r="E227" i="17"/>
  <c r="E226" i="17"/>
  <c r="D226" i="17"/>
  <c r="E225" i="17"/>
  <c r="D225" i="17"/>
  <c r="E224" i="17"/>
  <c r="E223" i="17"/>
  <c r="E222" i="17"/>
  <c r="E221" i="17"/>
  <c r="D221" i="17"/>
  <c r="D218" i="17"/>
  <c r="D217" i="17"/>
  <c r="D216" i="17"/>
  <c r="D215" i="17"/>
  <c r="D214" i="17"/>
  <c r="E213" i="17"/>
  <c r="D213" i="17"/>
  <c r="E212" i="17"/>
  <c r="D212" i="17"/>
  <c r="E209" i="17"/>
  <c r="D209" i="17"/>
  <c r="D206" i="17"/>
  <c r="D205" i="17"/>
  <c r="D204" i="17"/>
  <c r="D203" i="17"/>
  <c r="D202" i="17"/>
  <c r="E201" i="17"/>
  <c r="D201" i="17"/>
  <c r="E200" i="17"/>
  <c r="D200" i="17"/>
  <c r="E197" i="17"/>
  <c r="D197" i="17"/>
  <c r="D194" i="17"/>
  <c r="E193" i="17"/>
  <c r="D193" i="17"/>
  <c r="E192" i="17"/>
  <c r="D192" i="17"/>
  <c r="D191" i="17"/>
  <c r="D190" i="17"/>
  <c r="D189" i="17"/>
  <c r="E188" i="17"/>
  <c r="D188" i="17"/>
  <c r="D185" i="17"/>
  <c r="E184" i="17"/>
  <c r="D184" i="17"/>
  <c r="E183" i="17"/>
  <c r="D183" i="17"/>
  <c r="D182" i="17"/>
  <c r="D181" i="17"/>
  <c r="D180" i="17"/>
  <c r="E179" i="17"/>
  <c r="D179" i="17"/>
  <c r="D176" i="17"/>
  <c r="D175" i="17"/>
  <c r="D174" i="17"/>
  <c r="D173" i="17"/>
  <c r="D172" i="17"/>
  <c r="D171" i="17"/>
  <c r="E170" i="17"/>
  <c r="D170" i="17"/>
  <c r="D167" i="17"/>
  <c r="D166" i="17"/>
  <c r="D165" i="17"/>
  <c r="D164" i="17"/>
  <c r="D163" i="17"/>
  <c r="D162" i="17"/>
  <c r="E161" i="17"/>
  <c r="D161" i="17"/>
  <c r="E158" i="17"/>
  <c r="D158" i="17"/>
  <c r="E155" i="17"/>
  <c r="D155" i="17"/>
  <c r="E152" i="17"/>
  <c r="D152" i="17"/>
  <c r="E149" i="17"/>
  <c r="D149" i="17"/>
  <c r="E148" i="17"/>
  <c r="D148" i="17"/>
  <c r="E147" i="17"/>
  <c r="E144" i="17"/>
  <c r="D144" i="17"/>
  <c r="E143" i="17"/>
  <c r="D143" i="17"/>
  <c r="E142" i="17"/>
  <c r="E139" i="17"/>
  <c r="D139" i="17"/>
  <c r="E138" i="17"/>
  <c r="D138" i="17"/>
  <c r="E137" i="17"/>
  <c r="E134" i="17"/>
  <c r="D134" i="17"/>
  <c r="E131" i="17"/>
  <c r="D131" i="17"/>
  <c r="E128" i="17"/>
  <c r="D128" i="17"/>
  <c r="E125" i="17"/>
  <c r="D125" i="17"/>
  <c r="E122" i="17"/>
  <c r="D122" i="17"/>
  <c r="D119" i="17"/>
  <c r="E118" i="17"/>
  <c r="D118" i="17"/>
  <c r="E117" i="17"/>
  <c r="D117" i="17"/>
  <c r="D116" i="17"/>
  <c r="D115" i="17"/>
  <c r="D114" i="17"/>
  <c r="E113" i="17"/>
  <c r="D110" i="17"/>
  <c r="E109" i="17"/>
  <c r="D109" i="17"/>
  <c r="E108" i="17"/>
  <c r="D108" i="17"/>
  <c r="D107" i="17"/>
  <c r="E106" i="17"/>
  <c r="D106" i="17"/>
  <c r="E105" i="17"/>
  <c r="D105" i="17"/>
  <c r="D104" i="17"/>
  <c r="E103" i="17"/>
  <c r="E100" i="17"/>
  <c r="D100" i="17"/>
  <c r="E97" i="17"/>
  <c r="D97" i="17"/>
  <c r="E94" i="17"/>
  <c r="D94" i="17"/>
  <c r="E91" i="17"/>
  <c r="D91" i="17"/>
  <c r="E90" i="17"/>
  <c r="D90" i="17"/>
  <c r="E89" i="17"/>
  <c r="D89" i="17"/>
  <c r="E88" i="17"/>
  <c r="D88" i="17"/>
  <c r="E87" i="17"/>
  <c r="D87" i="17"/>
  <c r="E86" i="17"/>
  <c r="D86" i="17"/>
  <c r="E85" i="17"/>
  <c r="D82" i="17"/>
  <c r="D81" i="17"/>
  <c r="E80" i="17"/>
  <c r="E77" i="17"/>
  <c r="D77" i="17"/>
  <c r="E76" i="17"/>
  <c r="D76" i="17"/>
  <c r="E75" i="17"/>
  <c r="D75" i="17"/>
  <c r="E74" i="17"/>
  <c r="D74" i="17"/>
  <c r="D73" i="17"/>
  <c r="D70" i="17"/>
  <c r="D69" i="17"/>
  <c r="E68" i="17"/>
  <c r="D68" i="17"/>
  <c r="D65" i="17"/>
  <c r="D64" i="17"/>
  <c r="E63" i="17"/>
  <c r="D63" i="17"/>
  <c r="E60" i="17"/>
  <c r="D60" i="17"/>
  <c r="E59" i="17"/>
  <c r="D59" i="17"/>
  <c r="D56" i="17"/>
  <c r="D55" i="17"/>
  <c r="E54" i="17"/>
  <c r="D51" i="17"/>
  <c r="E50" i="17"/>
  <c r="D50" i="17"/>
  <c r="E49" i="17"/>
  <c r="E46" i="17"/>
  <c r="D46" i="17"/>
  <c r="D43" i="17"/>
  <c r="D42" i="17"/>
  <c r="E41" i="17"/>
  <c r="D38" i="17"/>
  <c r="D37" i="17"/>
  <c r="E36" i="17"/>
  <c r="D33" i="17"/>
  <c r="D32" i="17"/>
  <c r="E31" i="17"/>
  <c r="D28" i="17"/>
  <c r="D27" i="17"/>
  <c r="E26" i="17"/>
  <c r="E23" i="17"/>
  <c r="D23" i="17"/>
  <c r="E20" i="17"/>
  <c r="D20" i="17"/>
  <c r="E17" i="17"/>
  <c r="D17" i="17"/>
  <c r="E14" i="17"/>
  <c r="D14" i="17"/>
  <c r="E11" i="17"/>
  <c r="D11" i="17"/>
  <c r="E8" i="17"/>
  <c r="D8" i="17"/>
  <c r="E5" i="17"/>
  <c r="D5" i="17"/>
  <c r="E2" i="17"/>
  <c r="D2" i="17"/>
  <c r="C110" i="18"/>
  <c r="B110" i="18"/>
  <c r="C108" i="18"/>
  <c r="B108" i="18"/>
  <c r="B106" i="18"/>
  <c r="B105" i="18"/>
  <c r="B104" i="18"/>
  <c r="B103" i="18"/>
  <c r="B102" i="18"/>
  <c r="C101" i="18"/>
  <c r="B101" i="18"/>
  <c r="C100" i="18"/>
  <c r="B100" i="18"/>
  <c r="C99" i="18"/>
  <c r="B99" i="18"/>
  <c r="B98" i="18"/>
  <c r="B97" i="18"/>
  <c r="C95" i="18"/>
  <c r="B95" i="18"/>
  <c r="C94" i="18"/>
  <c r="B94" i="18"/>
  <c r="C93" i="18"/>
  <c r="B93" i="18"/>
  <c r="B91" i="18"/>
  <c r="C90" i="18"/>
  <c r="B90" i="18"/>
  <c r="C89" i="18"/>
  <c r="B89" i="18"/>
  <c r="C88" i="18"/>
  <c r="B88" i="18"/>
  <c r="C87" i="18"/>
  <c r="B87" i="18"/>
  <c r="C86" i="18"/>
  <c r="B86" i="18"/>
  <c r="B85" i="18"/>
  <c r="B83" i="18"/>
  <c r="B82" i="18"/>
  <c r="B81" i="18"/>
  <c r="B80" i="18"/>
  <c r="B79" i="18"/>
  <c r="C78" i="18"/>
  <c r="B77" i="18"/>
  <c r="B76" i="18"/>
  <c r="C74" i="18"/>
  <c r="B74" i="18"/>
  <c r="C73" i="18"/>
  <c r="B73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8" i="18"/>
  <c r="C56" i="18"/>
  <c r="B56" i="18"/>
  <c r="C55" i="18"/>
  <c r="B55" i="18"/>
  <c r="C54" i="18"/>
  <c r="B54" i="18"/>
  <c r="C53" i="18"/>
  <c r="B53" i="18"/>
  <c r="C52" i="18"/>
  <c r="B52" i="18"/>
  <c r="C50" i="18"/>
  <c r="B50" i="18"/>
  <c r="C49" i="18"/>
  <c r="B49" i="18"/>
  <c r="C48" i="18"/>
  <c r="B48" i="18"/>
  <c r="C47" i="18"/>
  <c r="B47" i="18"/>
  <c r="C46" i="18"/>
  <c r="B46" i="18"/>
  <c r="C45" i="18"/>
  <c r="B45" i="18"/>
  <c r="C44" i="18"/>
  <c r="B44" i="18"/>
  <c r="C43" i="18"/>
  <c r="B43" i="18"/>
  <c r="C41" i="18"/>
  <c r="B41" i="18"/>
  <c r="C39" i="18"/>
  <c r="B39" i="18"/>
  <c r="C38" i="18"/>
  <c r="B38" i="18"/>
  <c r="C37" i="18"/>
  <c r="B37" i="18"/>
  <c r="C35" i="18"/>
  <c r="B35" i="18"/>
  <c r="C33" i="18"/>
  <c r="B33" i="18"/>
  <c r="C32" i="18"/>
  <c r="B32" i="18"/>
  <c r="C31" i="18"/>
  <c r="B31" i="18"/>
  <c r="C29" i="18"/>
  <c r="B29" i="18"/>
  <c r="C28" i="18"/>
  <c r="B28" i="18"/>
  <c r="C27" i="18"/>
  <c r="B27" i="18"/>
  <c r="C25" i="18"/>
  <c r="B25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7" i="18"/>
  <c r="B5" i="18"/>
  <c r="C4" i="18"/>
  <c r="B4" i="18"/>
  <c r="C3" i="18"/>
  <c r="B3" i="18"/>
  <c r="C2" i="18"/>
  <c r="I11" i="29" l="1"/>
  <c r="I10" i="29"/>
  <c r="I6" i="29"/>
  <c r="B42" i="33"/>
  <c r="B39" i="33"/>
  <c r="B34" i="33"/>
  <c r="B31" i="33"/>
  <c r="B23" i="33"/>
  <c r="B20" i="33"/>
  <c r="B26" i="33" s="1"/>
  <c r="C35" i="30"/>
  <c r="B35" i="30"/>
  <c r="E35" i="30" s="1"/>
  <c r="C34" i="30"/>
  <c r="E34" i="30" s="1"/>
  <c r="E33" i="30"/>
  <c r="C33" i="30"/>
  <c r="C32" i="30"/>
  <c r="E32" i="30" s="1"/>
  <c r="E31" i="30"/>
  <c r="C31" i="30"/>
  <c r="B30" i="30"/>
  <c r="E30" i="30" s="1"/>
  <c r="B28" i="30"/>
  <c r="E28" i="30" s="1"/>
  <c r="C26" i="30"/>
  <c r="E26" i="30" s="1"/>
  <c r="E25" i="30"/>
  <c r="B18" i="30"/>
  <c r="E18" i="30" s="1"/>
  <c r="E17" i="30"/>
  <c r="B13" i="30"/>
  <c r="E13" i="30" s="1"/>
  <c r="E12" i="30"/>
  <c r="B12" i="30"/>
  <c r="E11" i="30"/>
  <c r="E10" i="30"/>
  <c r="E9" i="30"/>
  <c r="E8" i="30"/>
  <c r="B7" i="30"/>
  <c r="E7" i="30" s="1"/>
  <c r="E6" i="30"/>
  <c r="B6" i="30"/>
  <c r="E5" i="30"/>
  <c r="E4" i="30"/>
  <c r="B1" i="35" l="1"/>
  <c r="B1" i="33"/>
  <c r="P33" i="31"/>
  <c r="P34" i="31"/>
  <c r="P45" i="31"/>
  <c r="P48" i="31"/>
  <c r="P84" i="31"/>
  <c r="P93" i="31"/>
  <c r="P111" i="31"/>
  <c r="P114" i="31"/>
  <c r="P117" i="31"/>
  <c r="P120" i="31"/>
  <c r="P123" i="31"/>
  <c r="P126" i="31"/>
  <c r="P141" i="31"/>
  <c r="P147" i="31"/>
  <c r="P150" i="31"/>
  <c r="P153" i="31"/>
  <c r="P156" i="31"/>
  <c r="P159" i="31"/>
  <c r="B65" i="35" l="1"/>
  <c r="I156" i="29" l="1"/>
  <c r="I155" i="29"/>
  <c r="I154" i="29"/>
  <c r="C125" i="29" l="1"/>
  <c r="G125" i="29" s="1"/>
  <c r="D125" i="29"/>
  <c r="N50" i="17"/>
  <c r="C2" i="29"/>
  <c r="D2" i="29"/>
  <c r="H2" i="29" s="1"/>
  <c r="C3" i="29"/>
  <c r="D3" i="29"/>
  <c r="H3" i="29" s="1"/>
  <c r="C115" i="29"/>
  <c r="D115" i="29"/>
  <c r="H115" i="29" s="1"/>
  <c r="C116" i="29"/>
  <c r="D116" i="29"/>
  <c r="H116" i="29" s="1"/>
  <c r="C117" i="29"/>
  <c r="D117" i="29"/>
  <c r="H117" i="29" s="1"/>
  <c r="D114" i="29"/>
  <c r="H114" i="29" s="1"/>
  <c r="C114" i="29"/>
  <c r="A387" i="17"/>
  <c r="A388" i="17"/>
  <c r="F377" i="17"/>
  <c r="H377" i="17"/>
  <c r="I377" i="17"/>
  <c r="J377" i="17"/>
  <c r="K377" i="17"/>
  <c r="L377" i="17"/>
  <c r="M377" i="17"/>
  <c r="F378" i="17"/>
  <c r="H378" i="17"/>
  <c r="I378" i="17"/>
  <c r="J378" i="17"/>
  <c r="K378" i="17"/>
  <c r="L378" i="17"/>
  <c r="M378" i="17"/>
  <c r="F379" i="17"/>
  <c r="H379" i="17"/>
  <c r="I379" i="17"/>
  <c r="J379" i="17"/>
  <c r="K379" i="17"/>
  <c r="L379" i="17"/>
  <c r="M379" i="17"/>
  <c r="F380" i="17"/>
  <c r="H380" i="17"/>
  <c r="I380" i="17"/>
  <c r="J380" i="17"/>
  <c r="K380" i="17"/>
  <c r="L380" i="17"/>
  <c r="M380" i="17"/>
  <c r="F381" i="17"/>
  <c r="H381" i="17"/>
  <c r="I381" i="17"/>
  <c r="J381" i="17"/>
  <c r="K381" i="17"/>
  <c r="L381" i="17"/>
  <c r="M381" i="17"/>
  <c r="F382" i="17"/>
  <c r="H382" i="17"/>
  <c r="I382" i="17"/>
  <c r="J382" i="17"/>
  <c r="K382" i="17"/>
  <c r="L382" i="17"/>
  <c r="M382" i="17"/>
  <c r="F383" i="17"/>
  <c r="H383" i="17"/>
  <c r="I383" i="17"/>
  <c r="J383" i="17"/>
  <c r="K383" i="17"/>
  <c r="L383" i="17"/>
  <c r="M383" i="17"/>
  <c r="M376" i="17"/>
  <c r="L376" i="17"/>
  <c r="G114" i="29" s="1"/>
  <c r="G115" i="29" s="1"/>
  <c r="G116" i="29" s="1"/>
  <c r="G117" i="29" s="1"/>
  <c r="K376" i="17"/>
  <c r="J376" i="17"/>
  <c r="I376" i="17"/>
  <c r="H376" i="17"/>
  <c r="F376" i="17"/>
  <c r="A384" i="17"/>
  <c r="A391" i="17"/>
  <c r="A376" i="17"/>
  <c r="A377" i="17"/>
  <c r="A378" i="17"/>
  <c r="A379" i="17"/>
  <c r="A380" i="17"/>
  <c r="A381" i="17"/>
  <c r="A382" i="17"/>
  <c r="A383" i="17"/>
  <c r="B68" i="35"/>
  <c r="B69" i="35" l="1"/>
  <c r="B66" i="35"/>
  <c r="B67" i="35"/>
  <c r="B72" i="35" l="1"/>
  <c r="B71" i="35"/>
  <c r="B70" i="35"/>
  <c r="I51" i="29"/>
  <c r="I46" i="29"/>
  <c r="I45" i="29"/>
  <c r="N428" i="17"/>
  <c r="N443" i="17"/>
  <c r="N458" i="17"/>
  <c r="N470" i="17"/>
  <c r="N468" i="17"/>
  <c r="B54" i="35"/>
  <c r="B58" i="35" s="1"/>
  <c r="I150" i="29" s="1"/>
  <c r="B45" i="35"/>
  <c r="B51" i="35" s="1"/>
  <c r="B36" i="35"/>
  <c r="B39" i="35" s="1"/>
  <c r="I137" i="29" s="1"/>
  <c r="I124" i="29" l="1"/>
  <c r="I125" i="29"/>
  <c r="I123" i="29"/>
  <c r="B41" i="35"/>
  <c r="I139" i="29" s="1"/>
  <c r="B57" i="35"/>
  <c r="B56" i="35"/>
  <c r="I148" i="29" s="1"/>
  <c r="B59" i="35"/>
  <c r="I151" i="29" s="1"/>
  <c r="B38" i="35"/>
  <c r="I136" i="29" s="1"/>
  <c r="B40" i="35"/>
  <c r="I138" i="29" s="1"/>
  <c r="B42" i="35"/>
  <c r="I149" i="29"/>
  <c r="B47" i="35"/>
  <c r="I142" i="29" s="1"/>
  <c r="B60" i="35"/>
  <c r="B48" i="35"/>
  <c r="I143" i="29" s="1"/>
  <c r="B50" i="35"/>
  <c r="I145" i="29" s="1"/>
  <c r="B49" i="35"/>
  <c r="I144" i="29" s="1"/>
  <c r="I122" i="29"/>
  <c r="I120" i="29"/>
  <c r="I121" i="29"/>
  <c r="B75" i="35" l="1"/>
  <c r="B91" i="33"/>
  <c r="B92" i="33" s="1"/>
  <c r="B93" i="33" s="1"/>
  <c r="B96" i="33"/>
  <c r="B99" i="33" s="1"/>
  <c r="B103" i="33"/>
  <c r="B110" i="33"/>
  <c r="B111" i="33" s="1"/>
  <c r="B112" i="33" s="1"/>
  <c r="D123" i="29"/>
  <c r="D124" i="29"/>
  <c r="C123" i="29"/>
  <c r="G123" i="29" s="1"/>
  <c r="C124" i="29"/>
  <c r="G124" i="29" s="1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86" i="17"/>
  <c r="A389" i="17"/>
  <c r="A390" i="17"/>
  <c r="A385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439" i="17"/>
  <c r="A440" i="17"/>
  <c r="A441" i="17"/>
  <c r="A442" i="17"/>
  <c r="A443" i="17"/>
  <c r="A444" i="17"/>
  <c r="A445" i="17"/>
  <c r="A446" i="17"/>
  <c r="A447" i="17"/>
  <c r="A448" i="17"/>
  <c r="A449" i="17"/>
  <c r="A450" i="17"/>
  <c r="A451" i="17"/>
  <c r="A452" i="17"/>
  <c r="A453" i="17"/>
  <c r="A454" i="17"/>
  <c r="A455" i="17"/>
  <c r="A456" i="17"/>
  <c r="A457" i="17"/>
  <c r="A458" i="17"/>
  <c r="A459" i="17"/>
  <c r="A460" i="17"/>
  <c r="A461" i="17"/>
  <c r="A462" i="17"/>
  <c r="A463" i="17"/>
  <c r="A464" i="17"/>
  <c r="A465" i="17"/>
  <c r="A466" i="17"/>
  <c r="A467" i="17"/>
  <c r="A468" i="17"/>
  <c r="A469" i="17"/>
  <c r="A470" i="17"/>
  <c r="A471" i="17"/>
  <c r="A472" i="17"/>
  <c r="A473" i="17"/>
  <c r="A474" i="17"/>
  <c r="A475" i="17"/>
  <c r="A476" i="17"/>
  <c r="A477" i="17"/>
  <c r="A478" i="17"/>
  <c r="A479" i="17"/>
  <c r="A480" i="17"/>
  <c r="A481" i="17"/>
  <c r="A482" i="17"/>
  <c r="A483" i="17"/>
  <c r="A484" i="17"/>
  <c r="A485" i="17"/>
  <c r="A486" i="17"/>
  <c r="A487" i="17"/>
  <c r="A488" i="17"/>
  <c r="A489" i="17"/>
  <c r="A490" i="17"/>
  <c r="A491" i="17"/>
  <c r="A492" i="17"/>
  <c r="A493" i="17"/>
  <c r="A494" i="17"/>
  <c r="A495" i="17"/>
  <c r="A496" i="17"/>
  <c r="A497" i="17"/>
  <c r="A498" i="17"/>
  <c r="A499" i="17"/>
  <c r="A500" i="17"/>
  <c r="A501" i="17"/>
  <c r="A502" i="17"/>
  <c r="A503" i="17"/>
  <c r="A504" i="17"/>
  <c r="A505" i="17"/>
  <c r="A506" i="17"/>
  <c r="A507" i="17"/>
  <c r="A508" i="17"/>
  <c r="A509" i="17"/>
  <c r="A510" i="17"/>
  <c r="A511" i="17"/>
  <c r="A512" i="17"/>
  <c r="A513" i="17"/>
  <c r="A514" i="17"/>
  <c r="A515" i="17"/>
  <c r="A516" i="17"/>
  <c r="A517" i="17"/>
  <c r="A518" i="17"/>
  <c r="A519" i="17"/>
  <c r="A520" i="17"/>
  <c r="A521" i="17"/>
  <c r="A522" i="17"/>
  <c r="A523" i="17"/>
  <c r="A524" i="17"/>
  <c r="A525" i="17"/>
  <c r="A526" i="17"/>
  <c r="A527" i="17"/>
  <c r="A528" i="17"/>
  <c r="A529" i="17"/>
  <c r="A530" i="17"/>
  <c r="A531" i="17"/>
  <c r="A532" i="17"/>
  <c r="A533" i="17"/>
  <c r="A534" i="17"/>
  <c r="A535" i="17"/>
  <c r="A536" i="17"/>
  <c r="A537" i="17"/>
  <c r="A538" i="17"/>
  <c r="A539" i="17"/>
  <c r="A540" i="17"/>
  <c r="A541" i="17"/>
  <c r="A542" i="17"/>
  <c r="A543" i="17"/>
  <c r="A544" i="17"/>
  <c r="A545" i="17"/>
  <c r="A546" i="17"/>
  <c r="A547" i="17"/>
  <c r="A548" i="17"/>
  <c r="A549" i="17"/>
  <c r="A550" i="17"/>
  <c r="A551" i="17"/>
  <c r="A552" i="17"/>
  <c r="A553" i="17"/>
  <c r="A554" i="17"/>
  <c r="A555" i="17"/>
  <c r="A556" i="17"/>
  <c r="A557" i="17"/>
  <c r="A558" i="17"/>
  <c r="A559" i="17"/>
  <c r="A560" i="17"/>
  <c r="A561" i="17"/>
  <c r="A562" i="17"/>
  <c r="A563" i="17"/>
  <c r="A564" i="17"/>
  <c r="A565" i="17"/>
  <c r="A566" i="17"/>
  <c r="A567" i="17"/>
  <c r="A568" i="17"/>
  <c r="A569" i="17"/>
  <c r="A570" i="17"/>
  <c r="A571" i="17"/>
  <c r="A572" i="17"/>
  <c r="A573" i="17"/>
  <c r="A574" i="17"/>
  <c r="A575" i="17"/>
  <c r="A576" i="17"/>
  <c r="A577" i="17"/>
  <c r="A578" i="17"/>
  <c r="A579" i="17"/>
  <c r="A580" i="17"/>
  <c r="A581" i="17"/>
  <c r="A582" i="17"/>
  <c r="A583" i="17"/>
  <c r="A584" i="17"/>
  <c r="A585" i="17"/>
  <c r="A586" i="17"/>
  <c r="A587" i="17"/>
  <c r="A588" i="17"/>
  <c r="A589" i="17"/>
  <c r="A590" i="17"/>
  <c r="A591" i="17"/>
  <c r="A592" i="17"/>
  <c r="A593" i="17"/>
  <c r="A594" i="17"/>
  <c r="A595" i="17"/>
  <c r="A596" i="17"/>
  <c r="A597" i="17"/>
  <c r="A598" i="17"/>
  <c r="A599" i="17"/>
  <c r="A600" i="17"/>
  <c r="A601" i="17"/>
  <c r="A602" i="17"/>
  <c r="A603" i="17"/>
  <c r="A604" i="17"/>
  <c r="A605" i="17"/>
  <c r="A606" i="17"/>
  <c r="A607" i="17"/>
  <c r="A608" i="17"/>
  <c r="A609" i="17"/>
  <c r="A610" i="17"/>
  <c r="A611" i="17"/>
  <c r="A612" i="17"/>
  <c r="A613" i="17"/>
  <c r="A614" i="17"/>
  <c r="A615" i="17"/>
  <c r="A616" i="17"/>
  <c r="A617" i="17"/>
  <c r="A618" i="17"/>
  <c r="A619" i="17"/>
  <c r="A620" i="17"/>
  <c r="A621" i="17"/>
  <c r="A622" i="17"/>
  <c r="A623" i="17"/>
  <c r="A624" i="17"/>
  <c r="A625" i="17"/>
  <c r="A626" i="17"/>
  <c r="A627" i="17"/>
  <c r="A628" i="17"/>
  <c r="A629" i="17"/>
  <c r="A630" i="17"/>
  <c r="A631" i="17"/>
  <c r="A632" i="17"/>
  <c r="A633" i="17"/>
  <c r="A634" i="17"/>
  <c r="A635" i="17"/>
  <c r="A636" i="17"/>
  <c r="A637" i="17"/>
  <c r="A638" i="17"/>
  <c r="A639" i="17"/>
  <c r="A640" i="17"/>
  <c r="A641" i="17"/>
  <c r="A642" i="17"/>
  <c r="A643" i="17"/>
  <c r="A644" i="17"/>
  <c r="A645" i="17"/>
  <c r="A646" i="17"/>
  <c r="M470" i="17"/>
  <c r="L470" i="17"/>
  <c r="K470" i="17"/>
  <c r="J470" i="17"/>
  <c r="I470" i="17"/>
  <c r="H470" i="17"/>
  <c r="F470" i="17"/>
  <c r="M469" i="17"/>
  <c r="L469" i="17"/>
  <c r="K469" i="17"/>
  <c r="J469" i="17"/>
  <c r="I469" i="17"/>
  <c r="H469" i="17"/>
  <c r="F469" i="17"/>
  <c r="M468" i="17"/>
  <c r="L468" i="17"/>
  <c r="K468" i="17"/>
  <c r="J468" i="17"/>
  <c r="I468" i="17"/>
  <c r="H468" i="17"/>
  <c r="F468" i="17"/>
  <c r="M467" i="17"/>
  <c r="L467" i="17"/>
  <c r="K467" i="17"/>
  <c r="J467" i="17"/>
  <c r="I467" i="17"/>
  <c r="H467" i="17"/>
  <c r="F467" i="17"/>
  <c r="M466" i="17"/>
  <c r="L466" i="17"/>
  <c r="K466" i="17"/>
  <c r="J466" i="17"/>
  <c r="I466" i="17"/>
  <c r="H466" i="17"/>
  <c r="F466" i="17"/>
  <c r="M465" i="17"/>
  <c r="L465" i="17"/>
  <c r="K465" i="17"/>
  <c r="J465" i="17"/>
  <c r="I465" i="17"/>
  <c r="H465" i="17"/>
  <c r="F465" i="17"/>
  <c r="M464" i="17"/>
  <c r="L464" i="17"/>
  <c r="K464" i="17"/>
  <c r="J464" i="17"/>
  <c r="I464" i="17"/>
  <c r="H464" i="17"/>
  <c r="F464" i="17"/>
  <c r="M463" i="17"/>
  <c r="L463" i="17"/>
  <c r="K463" i="17"/>
  <c r="J463" i="17"/>
  <c r="I463" i="17"/>
  <c r="H463" i="17"/>
  <c r="F463" i="17"/>
  <c r="M462" i="17"/>
  <c r="L462" i="17"/>
  <c r="K462" i="17"/>
  <c r="J462" i="17"/>
  <c r="I462" i="17"/>
  <c r="H462" i="17"/>
  <c r="F462" i="17"/>
  <c r="M461" i="17"/>
  <c r="H154" i="29" s="1"/>
  <c r="H155" i="29" s="1"/>
  <c r="H156" i="29" s="1"/>
  <c r="L461" i="17"/>
  <c r="K461" i="17"/>
  <c r="J461" i="17"/>
  <c r="I461" i="17"/>
  <c r="H461" i="17"/>
  <c r="F461" i="17"/>
  <c r="C155" i="29"/>
  <c r="G155" i="29" s="1"/>
  <c r="D155" i="29"/>
  <c r="E155" i="29"/>
  <c r="C156" i="29"/>
  <c r="G156" i="29" s="1"/>
  <c r="D156" i="29"/>
  <c r="E156" i="29"/>
  <c r="E154" i="29"/>
  <c r="D154" i="29"/>
  <c r="C154" i="29"/>
  <c r="G154" i="29" s="1"/>
  <c r="E151" i="29"/>
  <c r="D151" i="29"/>
  <c r="C151" i="29"/>
  <c r="G151" i="29" s="1"/>
  <c r="E150" i="29"/>
  <c r="D150" i="29"/>
  <c r="C150" i="29"/>
  <c r="G150" i="29" s="1"/>
  <c r="E149" i="29"/>
  <c r="D149" i="29"/>
  <c r="C149" i="29"/>
  <c r="G149" i="29" s="1"/>
  <c r="E148" i="29"/>
  <c r="D148" i="29"/>
  <c r="C148" i="29"/>
  <c r="G148" i="29" s="1"/>
  <c r="F450" i="17"/>
  <c r="H450" i="17"/>
  <c r="I450" i="17"/>
  <c r="J450" i="17"/>
  <c r="K450" i="17"/>
  <c r="L450" i="17"/>
  <c r="M450" i="17"/>
  <c r="F451" i="17"/>
  <c r="H451" i="17"/>
  <c r="I451" i="17"/>
  <c r="J451" i="17"/>
  <c r="K451" i="17"/>
  <c r="L451" i="17"/>
  <c r="M451" i="17"/>
  <c r="F452" i="17"/>
  <c r="H452" i="17"/>
  <c r="I452" i="17"/>
  <c r="J452" i="17"/>
  <c r="K452" i="17"/>
  <c r="L452" i="17"/>
  <c r="M452" i="17"/>
  <c r="F453" i="17"/>
  <c r="H453" i="17"/>
  <c r="I453" i="17"/>
  <c r="J453" i="17"/>
  <c r="K453" i="17"/>
  <c r="L453" i="17"/>
  <c r="M453" i="17"/>
  <c r="F454" i="17"/>
  <c r="H454" i="17"/>
  <c r="I454" i="17"/>
  <c r="J454" i="17"/>
  <c r="K454" i="17"/>
  <c r="L454" i="17"/>
  <c r="M454" i="17"/>
  <c r="F455" i="17"/>
  <c r="H455" i="17"/>
  <c r="I455" i="17"/>
  <c r="J455" i="17"/>
  <c r="K455" i="17"/>
  <c r="L455" i="17"/>
  <c r="M455" i="17"/>
  <c r="F456" i="17"/>
  <c r="H456" i="17"/>
  <c r="I456" i="17"/>
  <c r="J456" i="17"/>
  <c r="K456" i="17"/>
  <c r="L456" i="17"/>
  <c r="M456" i="17"/>
  <c r="F457" i="17"/>
  <c r="H457" i="17"/>
  <c r="I457" i="17"/>
  <c r="J457" i="17"/>
  <c r="K457" i="17"/>
  <c r="L457" i="17"/>
  <c r="M457" i="17"/>
  <c r="F458" i="17"/>
  <c r="H458" i="17"/>
  <c r="I458" i="17"/>
  <c r="J458" i="17"/>
  <c r="K458" i="17"/>
  <c r="L458" i="17"/>
  <c r="M458" i="17"/>
  <c r="M449" i="17"/>
  <c r="H148" i="29" s="1"/>
  <c r="H149" i="29" s="1"/>
  <c r="H150" i="29" s="1"/>
  <c r="H151" i="29" s="1"/>
  <c r="L449" i="17"/>
  <c r="K449" i="17"/>
  <c r="J449" i="17"/>
  <c r="I449" i="17"/>
  <c r="H449" i="17"/>
  <c r="F449" i="17"/>
  <c r="E145" i="29"/>
  <c r="D145" i="29"/>
  <c r="C145" i="29"/>
  <c r="G145" i="29" s="1"/>
  <c r="E144" i="29"/>
  <c r="D144" i="29"/>
  <c r="C144" i="29"/>
  <c r="G144" i="29" s="1"/>
  <c r="E143" i="29"/>
  <c r="D143" i="29"/>
  <c r="C143" i="29"/>
  <c r="G143" i="29" s="1"/>
  <c r="E142" i="29"/>
  <c r="D142" i="29"/>
  <c r="C142" i="29"/>
  <c r="G142" i="29" s="1"/>
  <c r="C137" i="29"/>
  <c r="G137" i="29" s="1"/>
  <c r="D137" i="29"/>
  <c r="E137" i="29"/>
  <c r="C138" i="29"/>
  <c r="G138" i="29" s="1"/>
  <c r="D138" i="29"/>
  <c r="E138" i="29"/>
  <c r="C139" i="29"/>
  <c r="G139" i="29" s="1"/>
  <c r="D139" i="29"/>
  <c r="E139" i="29"/>
  <c r="E136" i="29"/>
  <c r="D136" i="29"/>
  <c r="C136" i="29"/>
  <c r="G136" i="29" s="1"/>
  <c r="M411" i="17"/>
  <c r="L411" i="17"/>
  <c r="K411" i="17"/>
  <c r="J411" i="17"/>
  <c r="I411" i="17"/>
  <c r="H411" i="17"/>
  <c r="F411" i="17"/>
  <c r="F399" i="17"/>
  <c r="H399" i="17"/>
  <c r="I399" i="17"/>
  <c r="J399" i="17"/>
  <c r="K399" i="17"/>
  <c r="L399" i="17"/>
  <c r="M399" i="17"/>
  <c r="F398" i="17"/>
  <c r="H398" i="17"/>
  <c r="I398" i="17"/>
  <c r="J398" i="17"/>
  <c r="K398" i="17"/>
  <c r="L398" i="17"/>
  <c r="M398" i="17"/>
  <c r="F410" i="17"/>
  <c r="H410" i="17"/>
  <c r="I410" i="17"/>
  <c r="J410" i="17"/>
  <c r="K410" i="17"/>
  <c r="L410" i="17"/>
  <c r="M410" i="17"/>
  <c r="M443" i="17"/>
  <c r="L443" i="17"/>
  <c r="K443" i="17"/>
  <c r="J443" i="17"/>
  <c r="I443" i="17"/>
  <c r="H443" i="17"/>
  <c r="F443" i="17"/>
  <c r="M442" i="17"/>
  <c r="L442" i="17"/>
  <c r="K442" i="17"/>
  <c r="J442" i="17"/>
  <c r="I442" i="17"/>
  <c r="H442" i="17"/>
  <c r="F442" i="17"/>
  <c r="M441" i="17"/>
  <c r="L441" i="17"/>
  <c r="K441" i="17"/>
  <c r="J441" i="17"/>
  <c r="I441" i="17"/>
  <c r="H441" i="17"/>
  <c r="F441" i="17"/>
  <c r="M440" i="17"/>
  <c r="L440" i="17"/>
  <c r="K440" i="17"/>
  <c r="J440" i="17"/>
  <c r="I440" i="17"/>
  <c r="H440" i="17"/>
  <c r="F440" i="17"/>
  <c r="M439" i="17"/>
  <c r="L439" i="17"/>
  <c r="K439" i="17"/>
  <c r="J439" i="17"/>
  <c r="I439" i="17"/>
  <c r="H439" i="17"/>
  <c r="F439" i="17"/>
  <c r="M438" i="17"/>
  <c r="L438" i="17"/>
  <c r="K438" i="17"/>
  <c r="J438" i="17"/>
  <c r="I438" i="17"/>
  <c r="H438" i="17"/>
  <c r="F438" i="17"/>
  <c r="M437" i="17"/>
  <c r="L437" i="17"/>
  <c r="K437" i="17"/>
  <c r="J437" i="17"/>
  <c r="I437" i="17"/>
  <c r="H437" i="17"/>
  <c r="F437" i="17"/>
  <c r="M436" i="17"/>
  <c r="L436" i="17"/>
  <c r="K436" i="17"/>
  <c r="J436" i="17"/>
  <c r="I436" i="17"/>
  <c r="H436" i="17"/>
  <c r="F436" i="17"/>
  <c r="M435" i="17"/>
  <c r="L435" i="17"/>
  <c r="K435" i="17"/>
  <c r="J435" i="17"/>
  <c r="I435" i="17"/>
  <c r="H435" i="17"/>
  <c r="F435" i="17"/>
  <c r="M434" i="17"/>
  <c r="H142" i="29" s="1"/>
  <c r="H143" i="29" s="1"/>
  <c r="H144" i="29" s="1"/>
  <c r="H145" i="29" s="1"/>
  <c r="L434" i="17"/>
  <c r="K434" i="17"/>
  <c r="J434" i="17"/>
  <c r="I434" i="17"/>
  <c r="H434" i="17"/>
  <c r="F434" i="17"/>
  <c r="F420" i="17"/>
  <c r="H420" i="17"/>
  <c r="I420" i="17"/>
  <c r="J420" i="17"/>
  <c r="K420" i="17"/>
  <c r="L420" i="17"/>
  <c r="M420" i="17"/>
  <c r="F421" i="17"/>
  <c r="H421" i="17"/>
  <c r="I421" i="17"/>
  <c r="J421" i="17"/>
  <c r="K421" i="17"/>
  <c r="L421" i="17"/>
  <c r="M421" i="17"/>
  <c r="F422" i="17"/>
  <c r="H422" i="17"/>
  <c r="I422" i="17"/>
  <c r="J422" i="17"/>
  <c r="K422" i="17"/>
  <c r="L422" i="17"/>
  <c r="M422" i="17"/>
  <c r="F423" i="17"/>
  <c r="H423" i="17"/>
  <c r="I423" i="17"/>
  <c r="J423" i="17"/>
  <c r="K423" i="17"/>
  <c r="L423" i="17"/>
  <c r="M423" i="17"/>
  <c r="F424" i="17"/>
  <c r="H424" i="17"/>
  <c r="I424" i="17"/>
  <c r="J424" i="17"/>
  <c r="K424" i="17"/>
  <c r="L424" i="17"/>
  <c r="M424" i="17"/>
  <c r="F425" i="17"/>
  <c r="H425" i="17"/>
  <c r="I425" i="17"/>
  <c r="J425" i="17"/>
  <c r="K425" i="17"/>
  <c r="L425" i="17"/>
  <c r="M425" i="17"/>
  <c r="F426" i="17"/>
  <c r="H426" i="17"/>
  <c r="I426" i="17"/>
  <c r="J426" i="17"/>
  <c r="K426" i="17"/>
  <c r="L426" i="17"/>
  <c r="M426" i="17"/>
  <c r="F427" i="17"/>
  <c r="H427" i="17"/>
  <c r="I427" i="17"/>
  <c r="J427" i="17"/>
  <c r="K427" i="17"/>
  <c r="L427" i="17"/>
  <c r="M427" i="17"/>
  <c r="F428" i="17"/>
  <c r="H428" i="17"/>
  <c r="I428" i="17"/>
  <c r="J428" i="17"/>
  <c r="K428" i="17"/>
  <c r="L428" i="17"/>
  <c r="M428" i="17"/>
  <c r="M419" i="17"/>
  <c r="H136" i="29" s="1"/>
  <c r="H137" i="29" s="1"/>
  <c r="H138" i="29" s="1"/>
  <c r="H139" i="29" s="1"/>
  <c r="L419" i="17"/>
  <c r="K419" i="17"/>
  <c r="J419" i="17"/>
  <c r="I419" i="17"/>
  <c r="H419" i="17"/>
  <c r="F419" i="17"/>
  <c r="B28" i="35"/>
  <c r="B23" i="35"/>
  <c r="B18" i="35"/>
  <c r="B13" i="35"/>
  <c r="B8" i="35"/>
  <c r="N197" i="17"/>
  <c r="B114" i="33" l="1"/>
  <c r="B113" i="33"/>
  <c r="B97" i="33" l="1"/>
  <c r="B98" i="33" s="1"/>
  <c r="B100" i="33" s="1"/>
  <c r="C128" i="29" l="1"/>
  <c r="G128" i="29" s="1"/>
  <c r="G129" i="29" s="1"/>
  <c r="G130" i="29" s="1"/>
  <c r="G131" i="29" s="1"/>
  <c r="G132" i="29" s="1"/>
  <c r="G133" i="29" s="1"/>
  <c r="D128" i="29"/>
  <c r="C129" i="29"/>
  <c r="D129" i="29"/>
  <c r="C130" i="29"/>
  <c r="D130" i="29"/>
  <c r="C131" i="29"/>
  <c r="D131" i="29"/>
  <c r="C132" i="29"/>
  <c r="D132" i="29"/>
  <c r="C133" i="29"/>
  <c r="D133" i="29"/>
  <c r="C122" i="29" l="1"/>
  <c r="G122" i="29" s="1"/>
  <c r="D122" i="29"/>
  <c r="D121" i="29"/>
  <c r="C121" i="29"/>
  <c r="G121" i="29" s="1"/>
  <c r="D120" i="29"/>
  <c r="C120" i="29"/>
  <c r="G120" i="29" s="1"/>
  <c r="O2" i="31"/>
  <c r="O5" i="31"/>
  <c r="O10" i="31"/>
  <c r="O12" i="31"/>
  <c r="O16" i="31"/>
  <c r="P16" i="31" s="1"/>
  <c r="O19" i="31"/>
  <c r="P19" i="31" s="1"/>
  <c r="O22" i="31"/>
  <c r="P22" i="31" s="1"/>
  <c r="O23" i="31"/>
  <c r="P23" i="31" s="1"/>
  <c r="O29" i="31"/>
  <c r="P29" i="31" s="1"/>
  <c r="O30" i="31"/>
  <c r="P30" i="31" s="1"/>
  <c r="O39" i="31"/>
  <c r="O42" i="31"/>
  <c r="O51" i="31"/>
  <c r="O54" i="31"/>
  <c r="O57" i="31"/>
  <c r="O60" i="31"/>
  <c r="O66" i="31"/>
  <c r="O69" i="31"/>
  <c r="O72" i="31"/>
  <c r="O75" i="31"/>
  <c r="O78" i="31"/>
  <c r="B46" i="33"/>
  <c r="B48" i="33"/>
  <c r="O67" i="31" l="1"/>
  <c r="P67" i="31" s="1"/>
  <c r="P66" i="31"/>
  <c r="O61" i="31"/>
  <c r="P61" i="31" s="1"/>
  <c r="P60" i="31"/>
  <c r="O70" i="31"/>
  <c r="P70" i="31" s="1"/>
  <c r="P69" i="31"/>
  <c r="O79" i="31"/>
  <c r="P79" i="31" s="1"/>
  <c r="P78" i="31"/>
  <c r="O76" i="31"/>
  <c r="P76" i="31" s="1"/>
  <c r="P75" i="31"/>
  <c r="O73" i="31"/>
  <c r="P73" i="31" s="1"/>
  <c r="P72" i="31"/>
  <c r="O58" i="31"/>
  <c r="P58" i="31" s="1"/>
  <c r="P57" i="31"/>
  <c r="O55" i="31"/>
  <c r="P55" i="31" s="1"/>
  <c r="P54" i="31"/>
  <c r="O52" i="31"/>
  <c r="P52" i="31" s="1"/>
  <c r="P51" i="31"/>
  <c r="O43" i="31"/>
  <c r="P43" i="31" s="1"/>
  <c r="P42" i="31"/>
  <c r="O40" i="31"/>
  <c r="P40" i="31" s="1"/>
  <c r="P39" i="31"/>
  <c r="O6" i="31"/>
  <c r="P6" i="31" s="1"/>
  <c r="P5" i="31"/>
  <c r="O11" i="31"/>
  <c r="P11" i="31" s="1"/>
  <c r="P10" i="31"/>
  <c r="O3" i="31"/>
  <c r="P3" i="31" s="1"/>
  <c r="P2" i="31"/>
  <c r="O13" i="31"/>
  <c r="P13" i="31" s="1"/>
  <c r="P12" i="31"/>
  <c r="O14" i="31"/>
  <c r="P14" i="31" s="1"/>
  <c r="O80" i="31"/>
  <c r="P80" i="31" s="1"/>
  <c r="O62" i="31"/>
  <c r="P62" i="31" s="1"/>
  <c r="O56" i="31"/>
  <c r="P56" i="31" s="1"/>
  <c r="O7" i="31"/>
  <c r="P7" i="31" s="1"/>
  <c r="O68" i="31"/>
  <c r="P68" i="31" s="1"/>
  <c r="O4" i="31"/>
  <c r="P4" i="31" s="1"/>
  <c r="O59" i="31"/>
  <c r="P59" i="31" s="1"/>
  <c r="O53" i="31"/>
  <c r="P53" i="31" s="1"/>
  <c r="O77" i="31"/>
  <c r="P77" i="31" s="1"/>
  <c r="O44" i="31"/>
  <c r="P44" i="31" s="1"/>
  <c r="O74" i="31"/>
  <c r="P74" i="31" s="1"/>
  <c r="O41" i="31"/>
  <c r="P41" i="31" s="1"/>
  <c r="E2" i="18"/>
  <c r="E104" i="18" s="1"/>
  <c r="O71" i="31" l="1"/>
  <c r="P71" i="31" s="1"/>
  <c r="O15" i="31"/>
  <c r="P15" i="31" s="1"/>
  <c r="E67" i="18"/>
  <c r="E103" i="18"/>
  <c r="E54" i="18"/>
  <c r="E45" i="18"/>
  <c r="E33" i="18"/>
  <c r="E22" i="18"/>
  <c r="E14" i="18"/>
  <c r="E4" i="18"/>
  <c r="E102" i="18"/>
  <c r="E93" i="18"/>
  <c r="E83" i="18"/>
  <c r="G383" i="17" s="1"/>
  <c r="E74" i="18"/>
  <c r="E65" i="18"/>
  <c r="E3" i="18"/>
  <c r="E53" i="18"/>
  <c r="E44" i="18"/>
  <c r="E32" i="18"/>
  <c r="E21" i="18"/>
  <c r="E13" i="18"/>
  <c r="E110" i="18"/>
  <c r="E101" i="18"/>
  <c r="E91" i="18"/>
  <c r="E82" i="18"/>
  <c r="G382" i="17" s="1"/>
  <c r="E73" i="18"/>
  <c r="E64" i="18"/>
  <c r="E52" i="18"/>
  <c r="E20" i="18"/>
  <c r="E100" i="18"/>
  <c r="E63" i="18"/>
  <c r="E50" i="18"/>
  <c r="E29" i="18"/>
  <c r="E11" i="18"/>
  <c r="E99" i="18"/>
  <c r="E89" i="18"/>
  <c r="E80" i="18"/>
  <c r="G380" i="17" s="1"/>
  <c r="E71" i="18"/>
  <c r="E60" i="18"/>
  <c r="E49" i="18"/>
  <c r="E39" i="18"/>
  <c r="E28" i="18"/>
  <c r="E18" i="18"/>
  <c r="E10" i="18"/>
  <c r="E105" i="18"/>
  <c r="E98" i="18"/>
  <c r="E88" i="18"/>
  <c r="E79" i="18"/>
  <c r="G379" i="17" s="1"/>
  <c r="E70" i="18"/>
  <c r="E62" i="18"/>
  <c r="E43" i="18"/>
  <c r="E12" i="18"/>
  <c r="E108" i="18"/>
  <c r="E90" i="18"/>
  <c r="E72" i="18"/>
  <c r="E61" i="18"/>
  <c r="E41" i="18"/>
  <c r="E19" i="18"/>
  <c r="E106" i="18"/>
  <c r="E58" i="18"/>
  <c r="E48" i="18"/>
  <c r="E38" i="18"/>
  <c r="E27" i="18"/>
  <c r="E17" i="18"/>
  <c r="E9" i="18"/>
  <c r="E97" i="18"/>
  <c r="E87" i="18"/>
  <c r="E78" i="18"/>
  <c r="G378" i="17" s="1"/>
  <c r="E69" i="18"/>
  <c r="E31" i="18"/>
  <c r="E81" i="18"/>
  <c r="G381" i="17" s="1"/>
  <c r="E56" i="18"/>
  <c r="E47" i="18"/>
  <c r="E37" i="18"/>
  <c r="E25" i="18"/>
  <c r="E16" i="18"/>
  <c r="E7" i="18"/>
  <c r="E95" i="18"/>
  <c r="E86" i="18"/>
  <c r="E77" i="18"/>
  <c r="G377" i="17" s="1"/>
  <c r="E68" i="18"/>
  <c r="E55" i="18"/>
  <c r="E46" i="18"/>
  <c r="E35" i="18"/>
  <c r="E23" i="18"/>
  <c r="E15" i="18"/>
  <c r="E5" i="18"/>
  <c r="E94" i="18"/>
  <c r="E85" i="18"/>
  <c r="E76" i="18"/>
  <c r="G376" i="17" s="1"/>
  <c r="G410" i="17" l="1"/>
  <c r="G411" i="17"/>
  <c r="G467" i="17"/>
  <c r="G461" i="17"/>
  <c r="G466" i="17"/>
  <c r="G463" i="17"/>
  <c r="G465" i="17"/>
  <c r="G462" i="17"/>
  <c r="G464" i="17"/>
  <c r="G470" i="17"/>
  <c r="G469" i="17"/>
  <c r="G468" i="17"/>
  <c r="G398" i="17"/>
  <c r="G399" i="17"/>
  <c r="G458" i="17"/>
  <c r="G452" i="17"/>
  <c r="G450" i="17"/>
  <c r="G457" i="17"/>
  <c r="G453" i="17"/>
  <c r="G456" i="17"/>
  <c r="G451" i="17"/>
  <c r="G454" i="17"/>
  <c r="G455" i="17"/>
  <c r="G449" i="17"/>
  <c r="G439" i="17"/>
  <c r="G434" i="17"/>
  <c r="G443" i="17"/>
  <c r="G438" i="17"/>
  <c r="G440" i="17"/>
  <c r="G442" i="17"/>
  <c r="G436" i="17"/>
  <c r="G437" i="17"/>
  <c r="G441" i="17"/>
  <c r="G435" i="17"/>
  <c r="G423" i="17"/>
  <c r="G428" i="17"/>
  <c r="G424" i="17"/>
  <c r="G419" i="17"/>
  <c r="G420" i="17"/>
  <c r="G426" i="17"/>
  <c r="G425" i="17"/>
  <c r="G421" i="17"/>
  <c r="G422" i="17"/>
  <c r="G427" i="17"/>
  <c r="F405" i="17"/>
  <c r="G405" i="17"/>
  <c r="H405" i="17"/>
  <c r="I405" i="17"/>
  <c r="J405" i="17"/>
  <c r="K405" i="17"/>
  <c r="L405" i="17"/>
  <c r="M405" i="17"/>
  <c r="F409" i="17"/>
  <c r="G409" i="17"/>
  <c r="H409" i="17"/>
  <c r="I409" i="17"/>
  <c r="J409" i="17"/>
  <c r="K409" i="17"/>
  <c r="L409" i="17"/>
  <c r="M409" i="17"/>
  <c r="F400" i="17"/>
  <c r="G400" i="17"/>
  <c r="H400" i="17"/>
  <c r="I400" i="17"/>
  <c r="J400" i="17"/>
  <c r="K400" i="17"/>
  <c r="L400" i="17"/>
  <c r="M400" i="17"/>
  <c r="F401" i="17"/>
  <c r="G401" i="17"/>
  <c r="H401" i="17"/>
  <c r="I401" i="17"/>
  <c r="J401" i="17"/>
  <c r="K401" i="17"/>
  <c r="L401" i="17"/>
  <c r="M401" i="17"/>
  <c r="A2" i="17" l="1"/>
  <c r="F2" i="17"/>
  <c r="G2" i="17"/>
  <c r="H2" i="17"/>
  <c r="I2" i="17"/>
  <c r="J2" i="17"/>
  <c r="K2" i="17"/>
  <c r="L2" i="17"/>
  <c r="M2" i="17"/>
  <c r="F5" i="17"/>
  <c r="G5" i="17"/>
  <c r="H5" i="17"/>
  <c r="I5" i="17"/>
  <c r="J5" i="17"/>
  <c r="K5" i="17"/>
  <c r="L5" i="17"/>
  <c r="M5" i="17"/>
  <c r="F8" i="17"/>
  <c r="G8" i="17"/>
  <c r="H8" i="17"/>
  <c r="I8" i="17"/>
  <c r="J8" i="17"/>
  <c r="K8" i="17"/>
  <c r="L8" i="17"/>
  <c r="M8" i="17"/>
  <c r="F11" i="17"/>
  <c r="G11" i="17"/>
  <c r="H11" i="17"/>
  <c r="I11" i="17"/>
  <c r="J11" i="17"/>
  <c r="K11" i="17"/>
  <c r="L11" i="17"/>
  <c r="M11" i="17"/>
  <c r="F14" i="17"/>
  <c r="G14" i="17"/>
  <c r="H14" i="17"/>
  <c r="I14" i="17"/>
  <c r="J14" i="17"/>
  <c r="K14" i="17"/>
  <c r="L14" i="17"/>
  <c r="M14" i="17"/>
  <c r="F17" i="17"/>
  <c r="G17" i="17"/>
  <c r="H17" i="17"/>
  <c r="I17" i="17"/>
  <c r="J17" i="17"/>
  <c r="K17" i="17"/>
  <c r="L17" i="17"/>
  <c r="M17" i="17"/>
  <c r="F20" i="17"/>
  <c r="G20" i="17"/>
  <c r="H20" i="17"/>
  <c r="I20" i="17"/>
  <c r="J20" i="17"/>
  <c r="K20" i="17"/>
  <c r="L20" i="17"/>
  <c r="M20" i="17"/>
  <c r="F23" i="17"/>
  <c r="G23" i="17"/>
  <c r="H23" i="17"/>
  <c r="I23" i="17"/>
  <c r="J23" i="17"/>
  <c r="K23" i="17"/>
  <c r="L23" i="17"/>
  <c r="M23" i="17"/>
  <c r="F26" i="17"/>
  <c r="G26" i="17"/>
  <c r="H26" i="17"/>
  <c r="I26" i="17"/>
  <c r="J26" i="17"/>
  <c r="K26" i="17"/>
  <c r="L26" i="17"/>
  <c r="M26" i="17"/>
  <c r="F27" i="17"/>
  <c r="G27" i="17"/>
  <c r="H27" i="17"/>
  <c r="I27" i="17"/>
  <c r="J27" i="17"/>
  <c r="K27" i="17"/>
  <c r="L27" i="17"/>
  <c r="M27" i="17"/>
  <c r="F28" i="17"/>
  <c r="G28" i="17"/>
  <c r="H28" i="17"/>
  <c r="I28" i="17"/>
  <c r="J28" i="17"/>
  <c r="K28" i="17"/>
  <c r="L28" i="17"/>
  <c r="M28" i="17"/>
  <c r="F31" i="17"/>
  <c r="G31" i="17"/>
  <c r="H31" i="17"/>
  <c r="I31" i="17"/>
  <c r="J31" i="17"/>
  <c r="K31" i="17"/>
  <c r="L31" i="17"/>
  <c r="M31" i="17"/>
  <c r="F32" i="17"/>
  <c r="G32" i="17"/>
  <c r="H32" i="17"/>
  <c r="I32" i="17"/>
  <c r="J32" i="17"/>
  <c r="K32" i="17"/>
  <c r="L32" i="17"/>
  <c r="M32" i="17"/>
  <c r="F33" i="17"/>
  <c r="G33" i="17"/>
  <c r="H33" i="17"/>
  <c r="I33" i="17"/>
  <c r="J33" i="17"/>
  <c r="K33" i="17"/>
  <c r="L33" i="17"/>
  <c r="M33" i="17"/>
  <c r="F36" i="17"/>
  <c r="G36" i="17"/>
  <c r="H36" i="17"/>
  <c r="I36" i="17"/>
  <c r="J36" i="17"/>
  <c r="K36" i="17"/>
  <c r="L36" i="17"/>
  <c r="M36" i="17"/>
  <c r="F37" i="17"/>
  <c r="G37" i="17"/>
  <c r="H37" i="17"/>
  <c r="I37" i="17"/>
  <c r="J37" i="17"/>
  <c r="K37" i="17"/>
  <c r="L37" i="17"/>
  <c r="M37" i="17"/>
  <c r="F38" i="17"/>
  <c r="G38" i="17"/>
  <c r="H38" i="17"/>
  <c r="I38" i="17"/>
  <c r="J38" i="17"/>
  <c r="K38" i="17"/>
  <c r="L38" i="17"/>
  <c r="M38" i="17"/>
  <c r="F41" i="17"/>
  <c r="G41" i="17"/>
  <c r="H41" i="17"/>
  <c r="I41" i="17"/>
  <c r="J41" i="17"/>
  <c r="K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6" i="17"/>
  <c r="G46" i="17"/>
  <c r="H46" i="17"/>
  <c r="I46" i="17"/>
  <c r="J46" i="17"/>
  <c r="K46" i="17"/>
  <c r="L46" i="17"/>
  <c r="M46" i="17"/>
  <c r="F49" i="17"/>
  <c r="G49" i="17"/>
  <c r="H49" i="17"/>
  <c r="I49" i="17"/>
  <c r="J49" i="17"/>
  <c r="K49" i="17"/>
  <c r="L49" i="17"/>
  <c r="M49" i="17"/>
  <c r="F50" i="17"/>
  <c r="G50" i="17"/>
  <c r="H50" i="17"/>
  <c r="I50" i="17"/>
  <c r="J50" i="17"/>
  <c r="K50" i="17"/>
  <c r="L50" i="17"/>
  <c r="M50" i="17"/>
  <c r="F51" i="17"/>
  <c r="G51" i="17"/>
  <c r="H51" i="17"/>
  <c r="I51" i="17"/>
  <c r="J51" i="17"/>
  <c r="K51" i="17"/>
  <c r="L51" i="17"/>
  <c r="M51" i="17"/>
  <c r="F54" i="17"/>
  <c r="G54" i="17"/>
  <c r="H54" i="17"/>
  <c r="I54" i="17"/>
  <c r="J54" i="17"/>
  <c r="K54" i="17"/>
  <c r="L54" i="17"/>
  <c r="G2" i="29" s="1"/>
  <c r="G3" i="29" s="1"/>
  <c r="M54" i="17"/>
  <c r="F55" i="17"/>
  <c r="G55" i="17"/>
  <c r="H55" i="17"/>
  <c r="I55" i="17"/>
  <c r="J55" i="17"/>
  <c r="K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J59" i="17"/>
  <c r="K59" i="17"/>
  <c r="L59" i="17"/>
  <c r="M59" i="17"/>
  <c r="F60" i="17"/>
  <c r="G60" i="17"/>
  <c r="H60" i="17"/>
  <c r="I60" i="17"/>
  <c r="J60" i="17"/>
  <c r="K60" i="17"/>
  <c r="L60" i="17"/>
  <c r="M60" i="17"/>
  <c r="F63" i="17"/>
  <c r="G63" i="17"/>
  <c r="H63" i="17"/>
  <c r="I63" i="17"/>
  <c r="J63" i="17"/>
  <c r="K63" i="17"/>
  <c r="L63" i="17"/>
  <c r="M63" i="17"/>
  <c r="F64" i="17"/>
  <c r="G64" i="17"/>
  <c r="H64" i="17"/>
  <c r="I64" i="17"/>
  <c r="J64" i="17"/>
  <c r="K64" i="17"/>
  <c r="L64" i="17"/>
  <c r="M64" i="17"/>
  <c r="F65" i="17"/>
  <c r="G65" i="17"/>
  <c r="H65" i="17"/>
  <c r="I65" i="17"/>
  <c r="J65" i="17"/>
  <c r="K65" i="17"/>
  <c r="L65" i="17"/>
  <c r="M65" i="17"/>
  <c r="F68" i="17"/>
  <c r="G68" i="17"/>
  <c r="H68" i="17"/>
  <c r="I68" i="17"/>
  <c r="J68" i="17"/>
  <c r="K68" i="17"/>
  <c r="L68" i="17"/>
  <c r="M68" i="17"/>
  <c r="F69" i="17"/>
  <c r="G69" i="17"/>
  <c r="H69" i="17"/>
  <c r="I69" i="17"/>
  <c r="J69" i="17"/>
  <c r="K69" i="17"/>
  <c r="L69" i="17"/>
  <c r="M69" i="17"/>
  <c r="F70" i="17"/>
  <c r="G70" i="17"/>
  <c r="H70" i="17"/>
  <c r="I70" i="17"/>
  <c r="J70" i="17"/>
  <c r="K70" i="17"/>
  <c r="L70" i="17"/>
  <c r="M70" i="17"/>
  <c r="F73" i="17"/>
  <c r="G73" i="17"/>
  <c r="H73" i="17"/>
  <c r="I73" i="17"/>
  <c r="J73" i="17"/>
  <c r="K73" i="17"/>
  <c r="L73" i="17"/>
  <c r="M73" i="17"/>
  <c r="F74" i="17"/>
  <c r="G74" i="17"/>
  <c r="H74" i="17"/>
  <c r="I74" i="17"/>
  <c r="J74" i="17"/>
  <c r="K74" i="17"/>
  <c r="L74" i="17"/>
  <c r="M74" i="17"/>
  <c r="F75" i="17"/>
  <c r="G75" i="17"/>
  <c r="H75" i="17"/>
  <c r="I75" i="17"/>
  <c r="J75" i="17"/>
  <c r="K75" i="17"/>
  <c r="L75" i="17"/>
  <c r="M75" i="17"/>
  <c r="F76" i="17"/>
  <c r="G76" i="17"/>
  <c r="H76" i="17"/>
  <c r="I76" i="17"/>
  <c r="J76" i="17"/>
  <c r="K76" i="17"/>
  <c r="L76" i="17"/>
  <c r="M76" i="17"/>
  <c r="F77" i="17"/>
  <c r="G77" i="17"/>
  <c r="H77" i="17"/>
  <c r="I77" i="17"/>
  <c r="J77" i="17"/>
  <c r="K77" i="17"/>
  <c r="L77" i="17"/>
  <c r="M77" i="17"/>
  <c r="F80" i="17"/>
  <c r="G80" i="17"/>
  <c r="H80" i="17"/>
  <c r="I80" i="17"/>
  <c r="J80" i="17"/>
  <c r="K80" i="17"/>
  <c r="L80" i="17"/>
  <c r="M80" i="17"/>
  <c r="F81" i="17"/>
  <c r="G81" i="17"/>
  <c r="H81" i="17"/>
  <c r="I81" i="17"/>
  <c r="J81" i="17"/>
  <c r="K81" i="17"/>
  <c r="L81" i="17"/>
  <c r="M81" i="17"/>
  <c r="F82" i="17"/>
  <c r="G82" i="17"/>
  <c r="H82" i="17"/>
  <c r="I82" i="17"/>
  <c r="J82" i="17"/>
  <c r="K82" i="17"/>
  <c r="L82" i="17"/>
  <c r="M82" i="17"/>
  <c r="F85" i="17"/>
  <c r="G85" i="17"/>
  <c r="H85" i="17"/>
  <c r="I85" i="17"/>
  <c r="J85" i="17"/>
  <c r="K85" i="17"/>
  <c r="L85" i="17"/>
  <c r="M85" i="17"/>
  <c r="N85" i="17"/>
  <c r="D85" i="17" s="1"/>
  <c r="F86" i="17"/>
  <c r="G86" i="17"/>
  <c r="H86" i="17"/>
  <c r="I86" i="17"/>
  <c r="J86" i="17"/>
  <c r="K86" i="17"/>
  <c r="L86" i="17"/>
  <c r="M86" i="17"/>
  <c r="F87" i="17"/>
  <c r="G87" i="17"/>
  <c r="H87" i="17"/>
  <c r="I87" i="17"/>
  <c r="J87" i="17"/>
  <c r="K87" i="17"/>
  <c r="L87" i="17"/>
  <c r="M87" i="17"/>
  <c r="F88" i="17"/>
  <c r="G88" i="17"/>
  <c r="H88" i="17"/>
  <c r="I88" i="17"/>
  <c r="J88" i="17"/>
  <c r="K88" i="17"/>
  <c r="L88" i="17"/>
  <c r="M88" i="17"/>
  <c r="F89" i="17"/>
  <c r="G89" i="17"/>
  <c r="H89" i="17"/>
  <c r="I89" i="17"/>
  <c r="J89" i="17"/>
  <c r="K89" i="17"/>
  <c r="L89" i="17"/>
  <c r="M89" i="17"/>
  <c r="F90" i="17"/>
  <c r="G90" i="17"/>
  <c r="H90" i="17"/>
  <c r="I90" i="17"/>
  <c r="J90" i="17"/>
  <c r="K90" i="17"/>
  <c r="L90" i="17"/>
  <c r="M90" i="17"/>
  <c r="F91" i="17"/>
  <c r="G91" i="17"/>
  <c r="H91" i="17"/>
  <c r="I91" i="17"/>
  <c r="J91" i="17"/>
  <c r="K91" i="17"/>
  <c r="L91" i="17"/>
  <c r="M91" i="17"/>
  <c r="F94" i="17"/>
  <c r="G94" i="17"/>
  <c r="H94" i="17"/>
  <c r="I94" i="17"/>
  <c r="J94" i="17"/>
  <c r="K94" i="17"/>
  <c r="L94" i="17"/>
  <c r="M94" i="17"/>
  <c r="F97" i="17"/>
  <c r="G97" i="17"/>
  <c r="H97" i="17"/>
  <c r="I97" i="17"/>
  <c r="J97" i="17"/>
  <c r="K97" i="17"/>
  <c r="L97" i="17"/>
  <c r="M97" i="17"/>
  <c r="F100" i="17"/>
  <c r="G100" i="17"/>
  <c r="H100" i="17"/>
  <c r="I100" i="17"/>
  <c r="J100" i="17"/>
  <c r="K100" i="17"/>
  <c r="L100" i="17"/>
  <c r="M100" i="17"/>
  <c r="F103" i="17"/>
  <c r="G103" i="17"/>
  <c r="H103" i="17"/>
  <c r="I103" i="17"/>
  <c r="J103" i="17"/>
  <c r="K103" i="17"/>
  <c r="L103" i="17"/>
  <c r="M103" i="17"/>
  <c r="F104" i="17"/>
  <c r="G104" i="17"/>
  <c r="H104" i="17"/>
  <c r="I104" i="17"/>
  <c r="J104" i="17"/>
  <c r="K104" i="17"/>
  <c r="L104" i="17"/>
  <c r="M104" i="17"/>
  <c r="F105" i="17"/>
  <c r="G105" i="17"/>
  <c r="H105" i="17"/>
  <c r="I105" i="17"/>
  <c r="J105" i="17"/>
  <c r="K105" i="17"/>
  <c r="L105" i="17"/>
  <c r="M105" i="17"/>
  <c r="F106" i="17"/>
  <c r="G106" i="17"/>
  <c r="H106" i="17"/>
  <c r="I106" i="17"/>
  <c r="J106" i="17"/>
  <c r="K106" i="17"/>
  <c r="L106" i="17"/>
  <c r="M106" i="17"/>
  <c r="F107" i="17"/>
  <c r="G107" i="17"/>
  <c r="H107" i="17"/>
  <c r="I107" i="17"/>
  <c r="J107" i="17"/>
  <c r="K107" i="17"/>
  <c r="L107" i="17"/>
  <c r="M107" i="17"/>
  <c r="F108" i="17"/>
  <c r="G108" i="17"/>
  <c r="H108" i="17"/>
  <c r="I108" i="17"/>
  <c r="J108" i="17"/>
  <c r="K108" i="17"/>
  <c r="L108" i="17"/>
  <c r="M108" i="17"/>
  <c r="F109" i="17"/>
  <c r="G109" i="17"/>
  <c r="H109" i="17"/>
  <c r="I109" i="17"/>
  <c r="J109" i="17"/>
  <c r="K109" i="17"/>
  <c r="L109" i="17"/>
  <c r="M109" i="17"/>
  <c r="F110" i="17"/>
  <c r="G110" i="17"/>
  <c r="H110" i="17"/>
  <c r="I110" i="17"/>
  <c r="J110" i="17"/>
  <c r="K110" i="17"/>
  <c r="L110" i="17"/>
  <c r="M110" i="17"/>
  <c r="F113" i="17"/>
  <c r="G113" i="17"/>
  <c r="H113" i="17"/>
  <c r="I113" i="17"/>
  <c r="J113" i="17"/>
  <c r="K113" i="17"/>
  <c r="L113" i="17"/>
  <c r="M113" i="17"/>
  <c r="F114" i="17"/>
  <c r="G114" i="17"/>
  <c r="H114" i="17"/>
  <c r="I114" i="17"/>
  <c r="J114" i="17"/>
  <c r="K114" i="17"/>
  <c r="L114" i="17"/>
  <c r="M114" i="17"/>
  <c r="F115" i="17"/>
  <c r="G115" i="17"/>
  <c r="H115" i="17"/>
  <c r="I115" i="17"/>
  <c r="J115" i="17"/>
  <c r="K115" i="17"/>
  <c r="L115" i="17"/>
  <c r="M115" i="17"/>
  <c r="F116" i="17"/>
  <c r="G116" i="17"/>
  <c r="H116" i="17"/>
  <c r="I116" i="17"/>
  <c r="J116" i="17"/>
  <c r="K116" i="17"/>
  <c r="L116" i="17"/>
  <c r="M116" i="17"/>
  <c r="F117" i="17"/>
  <c r="G117" i="17"/>
  <c r="H117" i="17"/>
  <c r="I117" i="17"/>
  <c r="J117" i="17"/>
  <c r="K117" i="17"/>
  <c r="L117" i="17"/>
  <c r="M117" i="17"/>
  <c r="F118" i="17"/>
  <c r="G118" i="17"/>
  <c r="H118" i="17"/>
  <c r="I118" i="17"/>
  <c r="J118" i="17"/>
  <c r="K118" i="17"/>
  <c r="L118" i="17"/>
  <c r="M118" i="17"/>
  <c r="F119" i="17"/>
  <c r="G119" i="17"/>
  <c r="H119" i="17"/>
  <c r="I119" i="17"/>
  <c r="J119" i="17"/>
  <c r="K119" i="17"/>
  <c r="L119" i="17"/>
  <c r="M119" i="17"/>
  <c r="F122" i="17"/>
  <c r="G122" i="17"/>
  <c r="H122" i="17"/>
  <c r="I122" i="17"/>
  <c r="J122" i="17"/>
  <c r="K122" i="17"/>
  <c r="L122" i="17"/>
  <c r="M122" i="17"/>
  <c r="F125" i="17"/>
  <c r="G125" i="17"/>
  <c r="H125" i="17"/>
  <c r="I125" i="17"/>
  <c r="J125" i="17"/>
  <c r="K125" i="17"/>
  <c r="L125" i="17"/>
  <c r="M125" i="17"/>
  <c r="F128" i="17"/>
  <c r="G128" i="17"/>
  <c r="H128" i="17"/>
  <c r="I128" i="17"/>
  <c r="J128" i="17"/>
  <c r="K128" i="17"/>
  <c r="L128" i="17"/>
  <c r="M128" i="17"/>
  <c r="F131" i="17"/>
  <c r="G131" i="17"/>
  <c r="H131" i="17"/>
  <c r="I131" i="17"/>
  <c r="J131" i="17"/>
  <c r="K131" i="17"/>
  <c r="L131" i="17"/>
  <c r="M131" i="17"/>
  <c r="F134" i="17"/>
  <c r="G134" i="17"/>
  <c r="H134" i="17"/>
  <c r="I134" i="17"/>
  <c r="J134" i="17"/>
  <c r="K134" i="17"/>
  <c r="L134" i="17"/>
  <c r="M134" i="17"/>
  <c r="F137" i="17"/>
  <c r="G137" i="17"/>
  <c r="H137" i="17"/>
  <c r="I137" i="17"/>
  <c r="J137" i="17"/>
  <c r="K137" i="17"/>
  <c r="L137" i="17"/>
  <c r="M137" i="17"/>
  <c r="F138" i="17"/>
  <c r="G138" i="17"/>
  <c r="H138" i="17"/>
  <c r="I138" i="17"/>
  <c r="J138" i="17"/>
  <c r="K138" i="17"/>
  <c r="L138" i="17"/>
  <c r="M138" i="17"/>
  <c r="F139" i="17"/>
  <c r="G139" i="17"/>
  <c r="H139" i="17"/>
  <c r="I139" i="17"/>
  <c r="J139" i="17"/>
  <c r="K139" i="17"/>
  <c r="L139" i="17"/>
  <c r="M139" i="17"/>
  <c r="F142" i="17"/>
  <c r="G142" i="17"/>
  <c r="H142" i="17"/>
  <c r="I142" i="17"/>
  <c r="J142" i="17"/>
  <c r="K142" i="17"/>
  <c r="L142" i="17"/>
  <c r="M142" i="17"/>
  <c r="F143" i="17"/>
  <c r="G143" i="17"/>
  <c r="H143" i="17"/>
  <c r="I143" i="17"/>
  <c r="J143" i="17"/>
  <c r="K143" i="17"/>
  <c r="L143" i="17"/>
  <c r="M143" i="17"/>
  <c r="F144" i="17"/>
  <c r="G144" i="17"/>
  <c r="H144" i="17"/>
  <c r="I144" i="17"/>
  <c r="J144" i="17"/>
  <c r="K144" i="17"/>
  <c r="L144" i="17"/>
  <c r="M144" i="17"/>
  <c r="F147" i="17"/>
  <c r="G147" i="17"/>
  <c r="H147" i="17"/>
  <c r="I147" i="17"/>
  <c r="J147" i="17"/>
  <c r="K147" i="17"/>
  <c r="L147" i="17"/>
  <c r="M147" i="17"/>
  <c r="F148" i="17"/>
  <c r="G148" i="17"/>
  <c r="H148" i="17"/>
  <c r="I148" i="17"/>
  <c r="J148" i="17"/>
  <c r="K148" i="17"/>
  <c r="L148" i="17"/>
  <c r="M148" i="17"/>
  <c r="F149" i="17"/>
  <c r="G149" i="17"/>
  <c r="H149" i="17"/>
  <c r="I149" i="17"/>
  <c r="J149" i="17"/>
  <c r="K149" i="17"/>
  <c r="L149" i="17"/>
  <c r="M149" i="17"/>
  <c r="F152" i="17"/>
  <c r="G152" i="17"/>
  <c r="H152" i="17"/>
  <c r="I152" i="17"/>
  <c r="J152" i="17"/>
  <c r="K152" i="17"/>
  <c r="L152" i="17"/>
  <c r="M152" i="17"/>
  <c r="F155" i="17"/>
  <c r="G155" i="17"/>
  <c r="H155" i="17"/>
  <c r="I155" i="17"/>
  <c r="J155" i="17"/>
  <c r="K155" i="17"/>
  <c r="L155" i="17"/>
  <c r="M155" i="17"/>
  <c r="F158" i="17"/>
  <c r="G158" i="17"/>
  <c r="H158" i="17"/>
  <c r="I158" i="17"/>
  <c r="J158" i="17"/>
  <c r="K158" i="17"/>
  <c r="L158" i="17"/>
  <c r="M158" i="17"/>
  <c r="F161" i="17"/>
  <c r="G161" i="17"/>
  <c r="H161" i="17"/>
  <c r="I161" i="17"/>
  <c r="J161" i="17"/>
  <c r="K161" i="17"/>
  <c r="L161" i="17"/>
  <c r="M161" i="17"/>
  <c r="F162" i="17"/>
  <c r="G162" i="17"/>
  <c r="H162" i="17"/>
  <c r="I162" i="17"/>
  <c r="J162" i="17"/>
  <c r="K162" i="17"/>
  <c r="L162" i="17"/>
  <c r="M162" i="17"/>
  <c r="F163" i="17"/>
  <c r="G163" i="17"/>
  <c r="H163" i="17"/>
  <c r="I163" i="17"/>
  <c r="J163" i="17"/>
  <c r="K163" i="17"/>
  <c r="L163" i="17"/>
  <c r="M163" i="17"/>
  <c r="F164" i="17"/>
  <c r="G164" i="17"/>
  <c r="H164" i="17"/>
  <c r="I164" i="17"/>
  <c r="J164" i="17"/>
  <c r="K164" i="17"/>
  <c r="L164" i="17"/>
  <c r="M164" i="17"/>
  <c r="F165" i="17"/>
  <c r="G165" i="17"/>
  <c r="H165" i="17"/>
  <c r="I165" i="17"/>
  <c r="J165" i="17"/>
  <c r="K165" i="17"/>
  <c r="L165" i="17"/>
  <c r="M165" i="17"/>
  <c r="F166" i="17"/>
  <c r="G166" i="17"/>
  <c r="H166" i="17"/>
  <c r="I166" i="17"/>
  <c r="J166" i="17"/>
  <c r="K166" i="17"/>
  <c r="L166" i="17"/>
  <c r="M166" i="17"/>
  <c r="F167" i="17"/>
  <c r="G167" i="17"/>
  <c r="H167" i="17"/>
  <c r="I167" i="17"/>
  <c r="J167" i="17"/>
  <c r="K167" i="17"/>
  <c r="L167" i="17"/>
  <c r="M167" i="17"/>
  <c r="F170" i="17"/>
  <c r="G170" i="17"/>
  <c r="H170" i="17"/>
  <c r="I170" i="17"/>
  <c r="J170" i="17"/>
  <c r="K170" i="17"/>
  <c r="L170" i="17"/>
  <c r="M170" i="17"/>
  <c r="F171" i="17"/>
  <c r="G171" i="17"/>
  <c r="H171" i="17"/>
  <c r="I171" i="17"/>
  <c r="J171" i="17"/>
  <c r="K171" i="17"/>
  <c r="L171" i="17"/>
  <c r="M171" i="17"/>
  <c r="F172" i="17"/>
  <c r="G172" i="17"/>
  <c r="H172" i="17"/>
  <c r="I172" i="17"/>
  <c r="J172" i="17"/>
  <c r="K172" i="17"/>
  <c r="L172" i="17"/>
  <c r="M172" i="17"/>
  <c r="F173" i="17"/>
  <c r="G173" i="17"/>
  <c r="H173" i="17"/>
  <c r="I173" i="17"/>
  <c r="J173" i="17"/>
  <c r="K173" i="17"/>
  <c r="L173" i="17"/>
  <c r="M173" i="17"/>
  <c r="F174" i="17"/>
  <c r="G174" i="17"/>
  <c r="H174" i="17"/>
  <c r="I174" i="17"/>
  <c r="J174" i="17"/>
  <c r="K174" i="17"/>
  <c r="L174" i="17"/>
  <c r="M174" i="17"/>
  <c r="F175" i="17"/>
  <c r="G175" i="17"/>
  <c r="H175" i="17"/>
  <c r="I175" i="17"/>
  <c r="J175" i="17"/>
  <c r="K175" i="17"/>
  <c r="L175" i="17"/>
  <c r="M175" i="17"/>
  <c r="F176" i="17"/>
  <c r="G176" i="17"/>
  <c r="H176" i="17"/>
  <c r="I176" i="17"/>
  <c r="J176" i="17"/>
  <c r="K176" i="17"/>
  <c r="L176" i="17"/>
  <c r="M176" i="17"/>
  <c r="F179" i="17"/>
  <c r="G179" i="17"/>
  <c r="H179" i="17"/>
  <c r="I179" i="17"/>
  <c r="J179" i="17"/>
  <c r="K179" i="17"/>
  <c r="L179" i="17"/>
  <c r="M179" i="17"/>
  <c r="F180" i="17"/>
  <c r="G180" i="17"/>
  <c r="H180" i="17"/>
  <c r="I180" i="17"/>
  <c r="J180" i="17"/>
  <c r="K180" i="17"/>
  <c r="L180" i="17"/>
  <c r="M180" i="17"/>
  <c r="F181" i="17"/>
  <c r="G181" i="17"/>
  <c r="H181" i="17"/>
  <c r="I181" i="17"/>
  <c r="J181" i="17"/>
  <c r="K181" i="17"/>
  <c r="L181" i="17"/>
  <c r="M181" i="17"/>
  <c r="F182" i="17"/>
  <c r="G182" i="17"/>
  <c r="H182" i="17"/>
  <c r="I182" i="17"/>
  <c r="J182" i="17"/>
  <c r="K182" i="17"/>
  <c r="L182" i="17"/>
  <c r="M182" i="17"/>
  <c r="F183" i="17"/>
  <c r="G183" i="17"/>
  <c r="H183" i="17"/>
  <c r="I183" i="17"/>
  <c r="J183" i="17"/>
  <c r="K183" i="17"/>
  <c r="L183" i="17"/>
  <c r="M183" i="17"/>
  <c r="F184" i="17"/>
  <c r="G184" i="17"/>
  <c r="H184" i="17"/>
  <c r="I184" i="17"/>
  <c r="J184" i="17"/>
  <c r="K184" i="17"/>
  <c r="L184" i="17"/>
  <c r="M184" i="17"/>
  <c r="F185" i="17"/>
  <c r="G185" i="17"/>
  <c r="H185" i="17"/>
  <c r="I185" i="17"/>
  <c r="J185" i="17"/>
  <c r="K185" i="17"/>
  <c r="L185" i="17"/>
  <c r="M185" i="17"/>
  <c r="F188" i="17"/>
  <c r="G188" i="17"/>
  <c r="H188" i="17"/>
  <c r="I188" i="17"/>
  <c r="J188" i="17"/>
  <c r="K188" i="17"/>
  <c r="L188" i="17"/>
  <c r="M188" i="17"/>
  <c r="F189" i="17"/>
  <c r="G189" i="17"/>
  <c r="H189" i="17"/>
  <c r="I189" i="17"/>
  <c r="J189" i="17"/>
  <c r="K189" i="17"/>
  <c r="L189" i="17"/>
  <c r="M189" i="17"/>
  <c r="F190" i="17"/>
  <c r="G190" i="17"/>
  <c r="H190" i="17"/>
  <c r="I190" i="17"/>
  <c r="J190" i="17"/>
  <c r="K190" i="17"/>
  <c r="L190" i="17"/>
  <c r="M190" i="17"/>
  <c r="F191" i="17"/>
  <c r="G191" i="17"/>
  <c r="H191" i="17"/>
  <c r="I191" i="17"/>
  <c r="J191" i="17"/>
  <c r="K191" i="17"/>
  <c r="L191" i="17"/>
  <c r="M191" i="17"/>
  <c r="F192" i="17"/>
  <c r="G192" i="17"/>
  <c r="H192" i="17"/>
  <c r="I192" i="17"/>
  <c r="J192" i="17"/>
  <c r="K192" i="17"/>
  <c r="L192" i="17"/>
  <c r="M192" i="17"/>
  <c r="F193" i="17"/>
  <c r="G193" i="17"/>
  <c r="H193" i="17"/>
  <c r="I193" i="17"/>
  <c r="J193" i="17"/>
  <c r="K193" i="17"/>
  <c r="L193" i="17"/>
  <c r="M193" i="17"/>
  <c r="F194" i="17"/>
  <c r="G194" i="17"/>
  <c r="H194" i="17"/>
  <c r="I194" i="17"/>
  <c r="J194" i="17"/>
  <c r="K194" i="17"/>
  <c r="L194" i="17"/>
  <c r="M194" i="17"/>
  <c r="F197" i="17"/>
  <c r="G197" i="17"/>
  <c r="H197" i="17"/>
  <c r="I197" i="17"/>
  <c r="J197" i="17"/>
  <c r="K197" i="17"/>
  <c r="L197" i="17"/>
  <c r="M197" i="17"/>
  <c r="F200" i="17"/>
  <c r="G200" i="17"/>
  <c r="H200" i="17"/>
  <c r="I200" i="17"/>
  <c r="J200" i="17"/>
  <c r="K200" i="17"/>
  <c r="L200" i="17"/>
  <c r="M200" i="17"/>
  <c r="F201" i="17"/>
  <c r="G201" i="17"/>
  <c r="H201" i="17"/>
  <c r="I201" i="17"/>
  <c r="J201" i="17"/>
  <c r="K201" i="17"/>
  <c r="L201" i="17"/>
  <c r="M201" i="17"/>
  <c r="F202" i="17"/>
  <c r="G202" i="17"/>
  <c r="H202" i="17"/>
  <c r="I202" i="17"/>
  <c r="J202" i="17"/>
  <c r="K202" i="17"/>
  <c r="L202" i="17"/>
  <c r="M202" i="17"/>
  <c r="F203" i="17"/>
  <c r="G203" i="17"/>
  <c r="H203" i="17"/>
  <c r="I203" i="17"/>
  <c r="J203" i="17"/>
  <c r="K203" i="17"/>
  <c r="L203" i="17"/>
  <c r="M203" i="17"/>
  <c r="F204" i="17"/>
  <c r="G204" i="17"/>
  <c r="H204" i="17"/>
  <c r="I204" i="17"/>
  <c r="J204" i="17"/>
  <c r="K204" i="17"/>
  <c r="L204" i="17"/>
  <c r="M204" i="17"/>
  <c r="F205" i="17"/>
  <c r="G205" i="17"/>
  <c r="H205" i="17"/>
  <c r="I205" i="17"/>
  <c r="J205" i="17"/>
  <c r="K205" i="17"/>
  <c r="L205" i="17"/>
  <c r="M205" i="17"/>
  <c r="F206" i="17"/>
  <c r="G206" i="17"/>
  <c r="H206" i="17"/>
  <c r="I206" i="17"/>
  <c r="J206" i="17"/>
  <c r="K206" i="17"/>
  <c r="L206" i="17"/>
  <c r="M206" i="17"/>
  <c r="F209" i="17"/>
  <c r="G209" i="17"/>
  <c r="H209" i="17"/>
  <c r="I209" i="17"/>
  <c r="J209" i="17"/>
  <c r="K209" i="17"/>
  <c r="L209" i="17"/>
  <c r="M209" i="17"/>
  <c r="F212" i="17"/>
  <c r="G212" i="17"/>
  <c r="H212" i="17"/>
  <c r="I212" i="17"/>
  <c r="J212" i="17"/>
  <c r="K212" i="17"/>
  <c r="L212" i="17"/>
  <c r="M212" i="17"/>
  <c r="F213" i="17"/>
  <c r="G213" i="17"/>
  <c r="H213" i="17"/>
  <c r="I213" i="17"/>
  <c r="J213" i="17"/>
  <c r="K213" i="17"/>
  <c r="L213" i="17"/>
  <c r="M213" i="17"/>
  <c r="F214" i="17"/>
  <c r="G214" i="17"/>
  <c r="H214" i="17"/>
  <c r="I214" i="17"/>
  <c r="J214" i="17"/>
  <c r="K214" i="17"/>
  <c r="L214" i="17"/>
  <c r="M214" i="17"/>
  <c r="F215" i="17"/>
  <c r="G215" i="17"/>
  <c r="H215" i="17"/>
  <c r="I215" i="17"/>
  <c r="J215" i="17"/>
  <c r="K215" i="17"/>
  <c r="L215" i="17"/>
  <c r="M215" i="17"/>
  <c r="F216" i="17"/>
  <c r="G216" i="17"/>
  <c r="H216" i="17"/>
  <c r="I216" i="17"/>
  <c r="J216" i="17"/>
  <c r="K216" i="17"/>
  <c r="L216" i="17"/>
  <c r="M216" i="17"/>
  <c r="F217" i="17"/>
  <c r="G217" i="17"/>
  <c r="H217" i="17"/>
  <c r="I217" i="17"/>
  <c r="J217" i="17"/>
  <c r="K217" i="17"/>
  <c r="L217" i="17"/>
  <c r="M217" i="17"/>
  <c r="F218" i="17"/>
  <c r="G218" i="17"/>
  <c r="H218" i="17"/>
  <c r="I218" i="17"/>
  <c r="J218" i="17"/>
  <c r="K218" i="17"/>
  <c r="L218" i="17"/>
  <c r="M218" i="17"/>
  <c r="F221" i="17"/>
  <c r="G221" i="17"/>
  <c r="H221" i="17"/>
  <c r="I221" i="17"/>
  <c r="J221" i="17"/>
  <c r="K221" i="17"/>
  <c r="L221" i="17"/>
  <c r="M221" i="17"/>
  <c r="F222" i="17"/>
  <c r="G222" i="17"/>
  <c r="H222" i="17"/>
  <c r="I222" i="17"/>
  <c r="J222" i="17"/>
  <c r="K222" i="17"/>
  <c r="L222" i="17"/>
  <c r="M222" i="17"/>
  <c r="F223" i="17"/>
  <c r="G223" i="17"/>
  <c r="H223" i="17"/>
  <c r="I223" i="17"/>
  <c r="J223" i="17"/>
  <c r="K223" i="17"/>
  <c r="L223" i="17"/>
  <c r="M223" i="17"/>
  <c r="F224" i="17"/>
  <c r="G224" i="17"/>
  <c r="H224" i="17"/>
  <c r="I224" i="17"/>
  <c r="J224" i="17"/>
  <c r="K224" i="17"/>
  <c r="L224" i="17"/>
  <c r="M224" i="17"/>
  <c r="F225" i="17"/>
  <c r="G225" i="17"/>
  <c r="H225" i="17"/>
  <c r="I225" i="17"/>
  <c r="J225" i="17"/>
  <c r="K225" i="17"/>
  <c r="L225" i="17"/>
  <c r="M225" i="17"/>
  <c r="F226" i="17"/>
  <c r="G226" i="17"/>
  <c r="H226" i="17"/>
  <c r="I226" i="17"/>
  <c r="J226" i="17"/>
  <c r="K226" i="17"/>
  <c r="L226" i="17"/>
  <c r="M226" i="17"/>
  <c r="F227" i="17"/>
  <c r="G227" i="17"/>
  <c r="H227" i="17"/>
  <c r="I227" i="17"/>
  <c r="J227" i="17"/>
  <c r="K227" i="17"/>
  <c r="L227" i="17"/>
  <c r="M227" i="17"/>
  <c r="F230" i="17"/>
  <c r="G230" i="17"/>
  <c r="H230" i="17"/>
  <c r="I230" i="17"/>
  <c r="J230" i="17"/>
  <c r="K230" i="17"/>
  <c r="L230" i="17"/>
  <c r="M230" i="17"/>
  <c r="F231" i="17"/>
  <c r="G231" i="17"/>
  <c r="H231" i="17"/>
  <c r="I231" i="17"/>
  <c r="J231" i="17"/>
  <c r="K231" i="17"/>
  <c r="L231" i="17"/>
  <c r="M231" i="17"/>
  <c r="F232" i="17"/>
  <c r="G232" i="17"/>
  <c r="H232" i="17"/>
  <c r="I232" i="17"/>
  <c r="J232" i="17"/>
  <c r="K232" i="17"/>
  <c r="L232" i="17"/>
  <c r="M232" i="17"/>
  <c r="F233" i="17"/>
  <c r="G233" i="17"/>
  <c r="H233" i="17"/>
  <c r="I233" i="17"/>
  <c r="J233" i="17"/>
  <c r="K233" i="17"/>
  <c r="L233" i="17"/>
  <c r="M233" i="17"/>
  <c r="F234" i="17"/>
  <c r="G234" i="17"/>
  <c r="H234" i="17"/>
  <c r="I234" i="17"/>
  <c r="J234" i="17"/>
  <c r="K234" i="17"/>
  <c r="L234" i="17"/>
  <c r="M234" i="17"/>
  <c r="F235" i="17"/>
  <c r="G235" i="17"/>
  <c r="H235" i="17"/>
  <c r="I235" i="17"/>
  <c r="J235" i="17"/>
  <c r="K235" i="17"/>
  <c r="L235" i="17"/>
  <c r="M235" i="17"/>
  <c r="F236" i="17"/>
  <c r="G236" i="17"/>
  <c r="H236" i="17"/>
  <c r="I236" i="17"/>
  <c r="J236" i="17"/>
  <c r="K236" i="17"/>
  <c r="L236" i="17"/>
  <c r="M236" i="17"/>
  <c r="F239" i="17"/>
  <c r="G239" i="17"/>
  <c r="H239" i="17"/>
  <c r="I239" i="17"/>
  <c r="J239" i="17"/>
  <c r="K239" i="17"/>
  <c r="L239" i="17"/>
  <c r="M239" i="17"/>
  <c r="F240" i="17"/>
  <c r="G240" i="17"/>
  <c r="H240" i="17"/>
  <c r="I240" i="17"/>
  <c r="J240" i="17"/>
  <c r="K240" i="17"/>
  <c r="L240" i="17"/>
  <c r="M240" i="17"/>
  <c r="F241" i="17"/>
  <c r="G241" i="17"/>
  <c r="H241" i="17"/>
  <c r="I241" i="17"/>
  <c r="J241" i="17"/>
  <c r="K241" i="17"/>
  <c r="L241" i="17"/>
  <c r="M241" i="17"/>
  <c r="F242" i="17"/>
  <c r="G242" i="17"/>
  <c r="H242" i="17"/>
  <c r="I242" i="17"/>
  <c r="J242" i="17"/>
  <c r="K242" i="17"/>
  <c r="L242" i="17"/>
  <c r="M242" i="17"/>
  <c r="F243" i="17"/>
  <c r="G243" i="17"/>
  <c r="H243" i="17"/>
  <c r="I243" i="17"/>
  <c r="J243" i="17"/>
  <c r="K243" i="17"/>
  <c r="L243" i="17"/>
  <c r="M243" i="17"/>
  <c r="F244" i="17"/>
  <c r="G244" i="17"/>
  <c r="H244" i="17"/>
  <c r="I244" i="17"/>
  <c r="J244" i="17"/>
  <c r="K244" i="17"/>
  <c r="L244" i="17"/>
  <c r="M244" i="17"/>
  <c r="F245" i="17"/>
  <c r="G245" i="17"/>
  <c r="H245" i="17"/>
  <c r="I245" i="17"/>
  <c r="J245" i="17"/>
  <c r="K245" i="17"/>
  <c r="L245" i="17"/>
  <c r="M245" i="17"/>
  <c r="F248" i="17"/>
  <c r="G248" i="17"/>
  <c r="H248" i="17"/>
  <c r="I248" i="17"/>
  <c r="J248" i="17"/>
  <c r="K248" i="17"/>
  <c r="L248" i="17"/>
  <c r="M248" i="17"/>
  <c r="F251" i="17"/>
  <c r="G251" i="17"/>
  <c r="H251" i="17"/>
  <c r="I251" i="17"/>
  <c r="J251" i="17"/>
  <c r="K251" i="17"/>
  <c r="L251" i="17"/>
  <c r="M251" i="17"/>
  <c r="F252" i="17"/>
  <c r="G252" i="17"/>
  <c r="H252" i="17"/>
  <c r="I252" i="17"/>
  <c r="J252" i="17"/>
  <c r="K252" i="17"/>
  <c r="L252" i="17"/>
  <c r="M252" i="17"/>
  <c r="F253" i="17"/>
  <c r="G253" i="17"/>
  <c r="H253" i="17"/>
  <c r="I253" i="17"/>
  <c r="J253" i="17"/>
  <c r="K253" i="17"/>
  <c r="L253" i="17"/>
  <c r="M253" i="17"/>
  <c r="F254" i="17"/>
  <c r="G254" i="17"/>
  <c r="H254" i="17"/>
  <c r="I254" i="17"/>
  <c r="J254" i="17"/>
  <c r="K254" i="17"/>
  <c r="L254" i="17"/>
  <c r="M254" i="17"/>
  <c r="F255" i="17"/>
  <c r="G255" i="17"/>
  <c r="H255" i="17"/>
  <c r="I255" i="17"/>
  <c r="J255" i="17"/>
  <c r="K255" i="17"/>
  <c r="L255" i="17"/>
  <c r="M255" i="17"/>
  <c r="F256" i="17"/>
  <c r="G256" i="17"/>
  <c r="H256" i="17"/>
  <c r="I256" i="17"/>
  <c r="J256" i="17"/>
  <c r="K256" i="17"/>
  <c r="L256" i="17"/>
  <c r="M256" i="17"/>
  <c r="F257" i="17"/>
  <c r="G257" i="17"/>
  <c r="H257" i="17"/>
  <c r="I257" i="17"/>
  <c r="J257" i="17"/>
  <c r="K257" i="17"/>
  <c r="L257" i="17"/>
  <c r="M257" i="17"/>
  <c r="F260" i="17"/>
  <c r="G260" i="17"/>
  <c r="H260" i="17"/>
  <c r="I260" i="17"/>
  <c r="J260" i="17"/>
  <c r="K260" i="17"/>
  <c r="L260" i="17"/>
  <c r="M260" i="17"/>
  <c r="F261" i="17"/>
  <c r="G261" i="17"/>
  <c r="H261" i="17"/>
  <c r="I261" i="17"/>
  <c r="J261" i="17"/>
  <c r="K261" i="17"/>
  <c r="L261" i="17"/>
  <c r="M261" i="17"/>
  <c r="F262" i="17"/>
  <c r="G262" i="17"/>
  <c r="H262" i="17"/>
  <c r="I262" i="17"/>
  <c r="J262" i="17"/>
  <c r="K262" i="17"/>
  <c r="L262" i="17"/>
  <c r="M262" i="17"/>
  <c r="F263" i="17"/>
  <c r="G263" i="17"/>
  <c r="H263" i="17"/>
  <c r="I263" i="17"/>
  <c r="J263" i="17"/>
  <c r="K263" i="17"/>
  <c r="L263" i="17"/>
  <c r="M263" i="17"/>
  <c r="F264" i="17"/>
  <c r="G264" i="17"/>
  <c r="H264" i="17"/>
  <c r="I264" i="17"/>
  <c r="J264" i="17"/>
  <c r="K264" i="17"/>
  <c r="L264" i="17"/>
  <c r="M264" i="17"/>
  <c r="F265" i="17"/>
  <c r="G265" i="17"/>
  <c r="H265" i="17"/>
  <c r="I265" i="17"/>
  <c r="J265" i="17"/>
  <c r="K265" i="17"/>
  <c r="L265" i="17"/>
  <c r="M265" i="17"/>
  <c r="F266" i="17"/>
  <c r="G266" i="17"/>
  <c r="H266" i="17"/>
  <c r="I266" i="17"/>
  <c r="J266" i="17"/>
  <c r="K266" i="17"/>
  <c r="L266" i="17"/>
  <c r="M266" i="17"/>
  <c r="F269" i="17"/>
  <c r="G269" i="17"/>
  <c r="H269" i="17"/>
  <c r="I269" i="17"/>
  <c r="J269" i="17"/>
  <c r="K269" i="17"/>
  <c r="L269" i="17"/>
  <c r="M269" i="17"/>
  <c r="F272" i="17"/>
  <c r="G272" i="17"/>
  <c r="H272" i="17"/>
  <c r="I272" i="17"/>
  <c r="J272" i="17"/>
  <c r="K272" i="17"/>
  <c r="L272" i="17"/>
  <c r="M272" i="17"/>
  <c r="F273" i="17"/>
  <c r="G273" i="17"/>
  <c r="H273" i="17"/>
  <c r="I273" i="17"/>
  <c r="J273" i="17"/>
  <c r="K273" i="17"/>
  <c r="L273" i="17"/>
  <c r="M273" i="17"/>
  <c r="F274" i="17"/>
  <c r="G274" i="17"/>
  <c r="H274" i="17"/>
  <c r="I274" i="17"/>
  <c r="J274" i="17"/>
  <c r="K274" i="17"/>
  <c r="L274" i="17"/>
  <c r="M274" i="17"/>
  <c r="F275" i="17"/>
  <c r="G275" i="17"/>
  <c r="H275" i="17"/>
  <c r="I275" i="17"/>
  <c r="J275" i="17"/>
  <c r="K275" i="17"/>
  <c r="L275" i="17"/>
  <c r="M275" i="17"/>
  <c r="F276" i="17"/>
  <c r="G276" i="17"/>
  <c r="H276" i="17"/>
  <c r="I276" i="17"/>
  <c r="J276" i="17"/>
  <c r="K276" i="17"/>
  <c r="L276" i="17"/>
  <c r="M276" i="17"/>
  <c r="F277" i="17"/>
  <c r="G277" i="17"/>
  <c r="H277" i="17"/>
  <c r="I277" i="17"/>
  <c r="J277" i="17"/>
  <c r="K277" i="17"/>
  <c r="L277" i="17"/>
  <c r="M277" i="17"/>
  <c r="F280" i="17"/>
  <c r="G280" i="17"/>
  <c r="H280" i="17"/>
  <c r="I280" i="17"/>
  <c r="J280" i="17"/>
  <c r="K280" i="17"/>
  <c r="L280" i="17"/>
  <c r="M280" i="17"/>
  <c r="F281" i="17"/>
  <c r="G281" i="17"/>
  <c r="H281" i="17"/>
  <c r="I281" i="17"/>
  <c r="J281" i="17"/>
  <c r="K281" i="17"/>
  <c r="L281" i="17"/>
  <c r="M281" i="17"/>
  <c r="F282" i="17"/>
  <c r="G282" i="17"/>
  <c r="H282" i="17"/>
  <c r="I282" i="17"/>
  <c r="J282" i="17"/>
  <c r="K282" i="17"/>
  <c r="L282" i="17"/>
  <c r="M282" i="17"/>
  <c r="F283" i="17"/>
  <c r="G283" i="17"/>
  <c r="H283" i="17"/>
  <c r="I283" i="17"/>
  <c r="J283" i="17"/>
  <c r="K283" i="17"/>
  <c r="L283" i="17"/>
  <c r="M283" i="17"/>
  <c r="F284" i="17"/>
  <c r="G284" i="17"/>
  <c r="H284" i="17"/>
  <c r="I284" i="17"/>
  <c r="J284" i="17"/>
  <c r="K284" i="17"/>
  <c r="L284" i="17"/>
  <c r="M284" i="17"/>
  <c r="F285" i="17"/>
  <c r="G285" i="17"/>
  <c r="H285" i="17"/>
  <c r="I285" i="17"/>
  <c r="J285" i="17"/>
  <c r="K285" i="17"/>
  <c r="L285" i="17"/>
  <c r="M285" i="17"/>
  <c r="F288" i="17"/>
  <c r="G288" i="17"/>
  <c r="H288" i="17"/>
  <c r="I288" i="17"/>
  <c r="J288" i="17"/>
  <c r="K288" i="17"/>
  <c r="L288" i="17"/>
  <c r="M288" i="17"/>
  <c r="F289" i="17"/>
  <c r="G289" i="17"/>
  <c r="H289" i="17"/>
  <c r="I289" i="17"/>
  <c r="J289" i="17"/>
  <c r="K289" i="17"/>
  <c r="L289" i="17"/>
  <c r="M289" i="17"/>
  <c r="F290" i="17"/>
  <c r="G290" i="17"/>
  <c r="H290" i="17"/>
  <c r="I290" i="17"/>
  <c r="J290" i="17"/>
  <c r="K290" i="17"/>
  <c r="L290" i="17"/>
  <c r="M290" i="17"/>
  <c r="F291" i="17"/>
  <c r="G291" i="17"/>
  <c r="H291" i="17"/>
  <c r="I291" i="17"/>
  <c r="J291" i="17"/>
  <c r="K291" i="17"/>
  <c r="L291" i="17"/>
  <c r="M291" i="17"/>
  <c r="F292" i="17"/>
  <c r="G292" i="17"/>
  <c r="H292" i="17"/>
  <c r="I292" i="17"/>
  <c r="J292" i="17"/>
  <c r="K292" i="17"/>
  <c r="L292" i="17"/>
  <c r="M292" i="17"/>
  <c r="F293" i="17"/>
  <c r="G293" i="17"/>
  <c r="H293" i="17"/>
  <c r="I293" i="17"/>
  <c r="J293" i="17"/>
  <c r="K293" i="17"/>
  <c r="L293" i="17"/>
  <c r="M293" i="17"/>
  <c r="F296" i="17"/>
  <c r="G296" i="17"/>
  <c r="H296" i="17"/>
  <c r="I296" i="17"/>
  <c r="J296" i="17"/>
  <c r="K296" i="17"/>
  <c r="L296" i="17"/>
  <c r="M296" i="17"/>
  <c r="F297" i="17"/>
  <c r="G297" i="17"/>
  <c r="H297" i="17"/>
  <c r="I297" i="17"/>
  <c r="J297" i="17"/>
  <c r="K297" i="17"/>
  <c r="L297" i="17"/>
  <c r="M297" i="17"/>
  <c r="F298" i="17"/>
  <c r="G298" i="17"/>
  <c r="H298" i="17"/>
  <c r="I298" i="17"/>
  <c r="J298" i="17"/>
  <c r="K298" i="17"/>
  <c r="L298" i="17"/>
  <c r="M298" i="17"/>
  <c r="F299" i="17"/>
  <c r="G299" i="17"/>
  <c r="H299" i="17"/>
  <c r="I299" i="17"/>
  <c r="J299" i="17"/>
  <c r="K299" i="17"/>
  <c r="L299" i="17"/>
  <c r="M299" i="17"/>
  <c r="F300" i="17"/>
  <c r="G300" i="17"/>
  <c r="H300" i="17"/>
  <c r="I300" i="17"/>
  <c r="J300" i="17"/>
  <c r="K300" i="17"/>
  <c r="L300" i="17"/>
  <c r="M300" i="17"/>
  <c r="F301" i="17"/>
  <c r="G301" i="17"/>
  <c r="H301" i="17"/>
  <c r="I301" i="17"/>
  <c r="J301" i="17"/>
  <c r="K301" i="17"/>
  <c r="L301" i="17"/>
  <c r="M301" i="17"/>
  <c r="F304" i="17"/>
  <c r="G304" i="17"/>
  <c r="H304" i="17"/>
  <c r="I304" i="17"/>
  <c r="J304" i="17"/>
  <c r="K304" i="17"/>
  <c r="L304" i="17"/>
  <c r="M304" i="17"/>
  <c r="F305" i="17"/>
  <c r="G305" i="17"/>
  <c r="H305" i="17"/>
  <c r="I305" i="17"/>
  <c r="J305" i="17"/>
  <c r="K305" i="17"/>
  <c r="L305" i="17"/>
  <c r="M305" i="17"/>
  <c r="F306" i="17"/>
  <c r="G306" i="17"/>
  <c r="H306" i="17"/>
  <c r="I306" i="17"/>
  <c r="J306" i="17"/>
  <c r="K306" i="17"/>
  <c r="L306" i="17"/>
  <c r="M306" i="17"/>
  <c r="F307" i="17"/>
  <c r="G307" i="17"/>
  <c r="H307" i="17"/>
  <c r="I307" i="17"/>
  <c r="J307" i="17"/>
  <c r="K307" i="17"/>
  <c r="L307" i="17"/>
  <c r="M307" i="17"/>
  <c r="F308" i="17"/>
  <c r="G308" i="17"/>
  <c r="H308" i="17"/>
  <c r="I308" i="17"/>
  <c r="J308" i="17"/>
  <c r="K308" i="17"/>
  <c r="L308" i="17"/>
  <c r="M308" i="17"/>
  <c r="F311" i="17"/>
  <c r="G311" i="17"/>
  <c r="H311" i="17"/>
  <c r="I311" i="17"/>
  <c r="J311" i="17"/>
  <c r="K311" i="17"/>
  <c r="L311" i="17"/>
  <c r="M311" i="17"/>
  <c r="F314" i="17"/>
  <c r="G314" i="17"/>
  <c r="H314" i="17"/>
  <c r="I314" i="17"/>
  <c r="J314" i="17"/>
  <c r="K314" i="17"/>
  <c r="L314" i="17"/>
  <c r="M314" i="17"/>
  <c r="F315" i="17"/>
  <c r="G315" i="17"/>
  <c r="H315" i="17"/>
  <c r="I315" i="17"/>
  <c r="J315" i="17"/>
  <c r="K315" i="17"/>
  <c r="L315" i="17"/>
  <c r="M315" i="17"/>
  <c r="F316" i="17"/>
  <c r="G316" i="17"/>
  <c r="H316" i="17"/>
  <c r="I316" i="17"/>
  <c r="J316" i="17"/>
  <c r="K316" i="17"/>
  <c r="L316" i="17"/>
  <c r="M316" i="17"/>
  <c r="F317" i="17"/>
  <c r="G317" i="17"/>
  <c r="H317" i="17"/>
  <c r="I317" i="17"/>
  <c r="J317" i="17"/>
  <c r="K317" i="17"/>
  <c r="L317" i="17"/>
  <c r="M317" i="17"/>
  <c r="F318" i="17"/>
  <c r="G318" i="17"/>
  <c r="H318" i="17"/>
  <c r="I318" i="17"/>
  <c r="J318" i="17"/>
  <c r="K318" i="17"/>
  <c r="L318" i="17"/>
  <c r="M318" i="17"/>
  <c r="F319" i="17"/>
  <c r="G319" i="17"/>
  <c r="H319" i="17"/>
  <c r="I319" i="17"/>
  <c r="J319" i="17"/>
  <c r="K319" i="17"/>
  <c r="L319" i="17"/>
  <c r="M319" i="17"/>
  <c r="F322" i="17"/>
  <c r="G322" i="17"/>
  <c r="H322" i="17"/>
  <c r="I322" i="17"/>
  <c r="J322" i="17"/>
  <c r="K322" i="17"/>
  <c r="L322" i="17"/>
  <c r="M322" i="17"/>
  <c r="F325" i="17"/>
  <c r="G325" i="17"/>
  <c r="H325" i="17"/>
  <c r="I325" i="17"/>
  <c r="J325" i="17"/>
  <c r="K325" i="17"/>
  <c r="L325" i="17"/>
  <c r="M325" i="17"/>
  <c r="F326" i="17"/>
  <c r="G326" i="17"/>
  <c r="H326" i="17"/>
  <c r="I326" i="17"/>
  <c r="J326" i="17"/>
  <c r="K326" i="17"/>
  <c r="L326" i="17"/>
  <c r="M326" i="17"/>
  <c r="F327" i="17"/>
  <c r="G327" i="17"/>
  <c r="H327" i="17"/>
  <c r="I327" i="17"/>
  <c r="J327" i="17"/>
  <c r="K327" i="17"/>
  <c r="L327" i="17"/>
  <c r="M327" i="17"/>
  <c r="F328" i="17"/>
  <c r="G328" i="17"/>
  <c r="H328" i="17"/>
  <c r="I328" i="17"/>
  <c r="J328" i="17"/>
  <c r="K328" i="17"/>
  <c r="L328" i="17"/>
  <c r="M328" i="17"/>
  <c r="F329" i="17"/>
  <c r="G329" i="17"/>
  <c r="H329" i="17"/>
  <c r="I329" i="17"/>
  <c r="J329" i="17"/>
  <c r="K329" i="17"/>
  <c r="L329" i="17"/>
  <c r="M329" i="17"/>
  <c r="F330" i="17"/>
  <c r="G330" i="17"/>
  <c r="H330" i="17"/>
  <c r="I330" i="17"/>
  <c r="J330" i="17"/>
  <c r="K330" i="17"/>
  <c r="L330" i="17"/>
  <c r="M330" i="17"/>
  <c r="F333" i="17"/>
  <c r="G333" i="17"/>
  <c r="H333" i="17"/>
  <c r="I333" i="17"/>
  <c r="J333" i="17"/>
  <c r="K333" i="17"/>
  <c r="L333" i="17"/>
  <c r="M333" i="17"/>
  <c r="F334" i="17"/>
  <c r="G334" i="17"/>
  <c r="H334" i="17"/>
  <c r="I334" i="17"/>
  <c r="J334" i="17"/>
  <c r="K334" i="17"/>
  <c r="L334" i="17"/>
  <c r="M334" i="17"/>
  <c r="F335" i="17"/>
  <c r="G335" i="17"/>
  <c r="H335" i="17"/>
  <c r="I335" i="17"/>
  <c r="J335" i="17"/>
  <c r="K335" i="17"/>
  <c r="L335" i="17"/>
  <c r="M335" i="17"/>
  <c r="F336" i="17"/>
  <c r="G336" i="17"/>
  <c r="H336" i="17"/>
  <c r="I336" i="17"/>
  <c r="J336" i="17"/>
  <c r="K336" i="17"/>
  <c r="L336" i="17"/>
  <c r="M336" i="17"/>
  <c r="F337" i="17"/>
  <c r="G337" i="17"/>
  <c r="H337" i="17"/>
  <c r="I337" i="17"/>
  <c r="J337" i="17"/>
  <c r="K337" i="17"/>
  <c r="L337" i="17"/>
  <c r="M337" i="17"/>
  <c r="F338" i="17"/>
  <c r="G338" i="17"/>
  <c r="H338" i="17"/>
  <c r="I338" i="17"/>
  <c r="J338" i="17"/>
  <c r="K338" i="17"/>
  <c r="L338" i="17"/>
  <c r="M338" i="17"/>
  <c r="F339" i="17"/>
  <c r="G339" i="17"/>
  <c r="H339" i="17"/>
  <c r="I339" i="17"/>
  <c r="J339" i="17"/>
  <c r="K339" i="17"/>
  <c r="L339" i="17"/>
  <c r="M339" i="17"/>
  <c r="F340" i="17"/>
  <c r="G340" i="17"/>
  <c r="H340" i="17"/>
  <c r="I340" i="17"/>
  <c r="J340" i="17"/>
  <c r="K340" i="17"/>
  <c r="L340" i="17"/>
  <c r="M340" i="17"/>
  <c r="F343" i="17"/>
  <c r="G343" i="17"/>
  <c r="H343" i="17"/>
  <c r="I343" i="17"/>
  <c r="J343" i="17"/>
  <c r="K343" i="17"/>
  <c r="L343" i="17"/>
  <c r="M343" i="17"/>
  <c r="F346" i="17"/>
  <c r="G346" i="17"/>
  <c r="H346" i="17"/>
  <c r="I346" i="17"/>
  <c r="J346" i="17"/>
  <c r="K346" i="17"/>
  <c r="L346" i="17"/>
  <c r="M346" i="17"/>
  <c r="F349" i="17"/>
  <c r="G349" i="17"/>
  <c r="H349" i="17"/>
  <c r="I349" i="17"/>
  <c r="J349" i="17"/>
  <c r="K349" i="17"/>
  <c r="L349" i="17"/>
  <c r="M349" i="17"/>
  <c r="F352" i="17"/>
  <c r="G352" i="17"/>
  <c r="H352" i="17"/>
  <c r="I352" i="17"/>
  <c r="J352" i="17"/>
  <c r="K352" i="17"/>
  <c r="L352" i="17"/>
  <c r="M352" i="17"/>
  <c r="F355" i="17"/>
  <c r="G355" i="17"/>
  <c r="H355" i="17"/>
  <c r="I355" i="17"/>
  <c r="J355" i="17"/>
  <c r="K355" i="17"/>
  <c r="L355" i="17"/>
  <c r="M355" i="17"/>
  <c r="F358" i="17"/>
  <c r="G358" i="17"/>
  <c r="H358" i="17"/>
  <c r="I358" i="17"/>
  <c r="J358" i="17"/>
  <c r="K358" i="17"/>
  <c r="L358" i="17"/>
  <c r="M358" i="17"/>
  <c r="F361" i="17"/>
  <c r="G361" i="17"/>
  <c r="H361" i="17"/>
  <c r="I361" i="17"/>
  <c r="J361" i="17"/>
  <c r="K361" i="17"/>
  <c r="L361" i="17"/>
  <c r="M361" i="17"/>
  <c r="F364" i="17"/>
  <c r="G364" i="17"/>
  <c r="H364" i="17"/>
  <c r="I364" i="17"/>
  <c r="J364" i="17"/>
  <c r="K364" i="17"/>
  <c r="L364" i="17"/>
  <c r="M364" i="17"/>
  <c r="F367" i="17"/>
  <c r="G367" i="17"/>
  <c r="H367" i="17"/>
  <c r="I367" i="17"/>
  <c r="J367" i="17"/>
  <c r="K367" i="17"/>
  <c r="L367" i="17"/>
  <c r="M367" i="17"/>
  <c r="F370" i="17"/>
  <c r="G370" i="17"/>
  <c r="H370" i="17"/>
  <c r="I370" i="17"/>
  <c r="J370" i="17"/>
  <c r="K370" i="17"/>
  <c r="L370" i="17"/>
  <c r="M370" i="17"/>
  <c r="F373" i="17"/>
  <c r="G373" i="17"/>
  <c r="H373" i="17"/>
  <c r="I373" i="17"/>
  <c r="J373" i="17"/>
  <c r="K373" i="17"/>
  <c r="L373" i="17"/>
  <c r="M373" i="17"/>
  <c r="F386" i="17"/>
  <c r="G386" i="17"/>
  <c r="H386" i="17"/>
  <c r="I386" i="17"/>
  <c r="J386" i="17"/>
  <c r="K386" i="17"/>
  <c r="L386" i="17"/>
  <c r="M386" i="17"/>
  <c r="F389" i="17"/>
  <c r="G389" i="17"/>
  <c r="H389" i="17"/>
  <c r="I389" i="17"/>
  <c r="J389" i="17"/>
  <c r="K389" i="17"/>
  <c r="L389" i="17"/>
  <c r="M389" i="17"/>
  <c r="F392" i="17"/>
  <c r="G392" i="17"/>
  <c r="N392" i="17" s="1"/>
  <c r="D392" i="17" s="1"/>
  <c r="H392" i="17"/>
  <c r="I392" i="17"/>
  <c r="J392" i="17"/>
  <c r="K392" i="17"/>
  <c r="L392" i="17"/>
  <c r="M392" i="17"/>
  <c r="F393" i="17"/>
  <c r="G393" i="17"/>
  <c r="H393" i="17"/>
  <c r="I393" i="17"/>
  <c r="J393" i="17"/>
  <c r="K393" i="17"/>
  <c r="L393" i="17"/>
  <c r="M393" i="17"/>
  <c r="F394" i="17"/>
  <c r="G394" i="17"/>
  <c r="H394" i="17"/>
  <c r="I394" i="17"/>
  <c r="J394" i="17"/>
  <c r="K394" i="17"/>
  <c r="L394" i="17"/>
  <c r="M394" i="17"/>
  <c r="F395" i="17"/>
  <c r="G395" i="17"/>
  <c r="H395" i="17"/>
  <c r="I395" i="17"/>
  <c r="J395" i="17"/>
  <c r="K395" i="17"/>
  <c r="L395" i="17"/>
  <c r="M395" i="17"/>
  <c r="F396" i="17"/>
  <c r="G396" i="17"/>
  <c r="H396" i="17"/>
  <c r="I396" i="17"/>
  <c r="J396" i="17"/>
  <c r="K396" i="17"/>
  <c r="L396" i="17"/>
  <c r="M396" i="17"/>
  <c r="F397" i="17"/>
  <c r="G397" i="17"/>
  <c r="H397" i="17"/>
  <c r="I397" i="17"/>
  <c r="J397" i="17"/>
  <c r="K397" i="17"/>
  <c r="L397" i="17"/>
  <c r="M397" i="17"/>
  <c r="F404" i="17"/>
  <c r="G404" i="17"/>
  <c r="H404" i="17"/>
  <c r="I404" i="17"/>
  <c r="J404" i="17"/>
  <c r="K404" i="17"/>
  <c r="L404" i="17"/>
  <c r="M404" i="17"/>
  <c r="H120" i="29" s="1"/>
  <c r="F406" i="17"/>
  <c r="G406" i="17"/>
  <c r="H406" i="17"/>
  <c r="I406" i="17"/>
  <c r="J406" i="17"/>
  <c r="K406" i="17"/>
  <c r="L406" i="17"/>
  <c r="M406" i="17"/>
  <c r="F412" i="17"/>
  <c r="G412" i="17"/>
  <c r="H412" i="17"/>
  <c r="I412" i="17"/>
  <c r="J412" i="17"/>
  <c r="K412" i="17"/>
  <c r="L412" i="17"/>
  <c r="M412" i="17"/>
  <c r="F413" i="17"/>
  <c r="G413" i="17"/>
  <c r="H413" i="17"/>
  <c r="I413" i="17"/>
  <c r="J413" i="17"/>
  <c r="K413" i="17"/>
  <c r="L413" i="17"/>
  <c r="M413" i="17"/>
  <c r="F407" i="17"/>
  <c r="G407" i="17"/>
  <c r="H407" i="17"/>
  <c r="I407" i="17"/>
  <c r="J407" i="17"/>
  <c r="K407" i="17"/>
  <c r="L407" i="17"/>
  <c r="M407" i="17"/>
  <c r="F408" i="17"/>
  <c r="G408" i="17"/>
  <c r="H408" i="17"/>
  <c r="I408" i="17"/>
  <c r="J408" i="17"/>
  <c r="K408" i="17"/>
  <c r="L408" i="17"/>
  <c r="M408" i="17"/>
  <c r="F416" i="17"/>
  <c r="G416" i="17"/>
  <c r="H416" i="17"/>
  <c r="I416" i="17"/>
  <c r="J416" i="17"/>
  <c r="K416" i="17"/>
  <c r="L416" i="17"/>
  <c r="M416" i="17"/>
  <c r="F431" i="17"/>
  <c r="G431" i="17"/>
  <c r="H431" i="17"/>
  <c r="I431" i="17"/>
  <c r="J431" i="17"/>
  <c r="K431" i="17"/>
  <c r="L431" i="17"/>
  <c r="M431" i="17"/>
  <c r="F446" i="17"/>
  <c r="G446" i="17"/>
  <c r="H446" i="17"/>
  <c r="I446" i="17"/>
  <c r="J446" i="17"/>
  <c r="K446" i="17"/>
  <c r="L446" i="17"/>
  <c r="M446" i="17"/>
  <c r="F473" i="17"/>
  <c r="G473" i="17"/>
  <c r="H473" i="17"/>
  <c r="I473" i="17"/>
  <c r="J473" i="17"/>
  <c r="K473" i="17"/>
  <c r="L473" i="17"/>
  <c r="M473" i="17"/>
  <c r="F476" i="17"/>
  <c r="G476" i="17"/>
  <c r="H476" i="17"/>
  <c r="I476" i="17"/>
  <c r="J476" i="17"/>
  <c r="K476" i="17"/>
  <c r="L476" i="17"/>
  <c r="M476" i="17"/>
  <c r="F479" i="17"/>
  <c r="G479" i="17"/>
  <c r="H479" i="17"/>
  <c r="I479" i="17"/>
  <c r="J479" i="17"/>
  <c r="K479" i="17"/>
  <c r="L479" i="17"/>
  <c r="M479" i="17"/>
  <c r="F480" i="17"/>
  <c r="G480" i="17"/>
  <c r="H480" i="17"/>
  <c r="I480" i="17"/>
  <c r="J480" i="17"/>
  <c r="K480" i="17"/>
  <c r="L480" i="17"/>
  <c r="M480" i="17"/>
  <c r="F481" i="17"/>
  <c r="G481" i="17"/>
  <c r="H481" i="17"/>
  <c r="I481" i="17"/>
  <c r="J481" i="17"/>
  <c r="K481" i="17"/>
  <c r="L481" i="17"/>
  <c r="M481" i="17"/>
  <c r="F484" i="17"/>
  <c r="G484" i="17"/>
  <c r="H484" i="17"/>
  <c r="I484" i="17"/>
  <c r="J484" i="17"/>
  <c r="K484" i="17"/>
  <c r="L484" i="17"/>
  <c r="M484" i="17"/>
  <c r="F487" i="17"/>
  <c r="G487" i="17"/>
  <c r="H487" i="17"/>
  <c r="I487" i="17"/>
  <c r="J487" i="17"/>
  <c r="K487" i="17"/>
  <c r="L487" i="17"/>
  <c r="M487" i="17"/>
  <c r="F488" i="17"/>
  <c r="G488" i="17"/>
  <c r="H488" i="17"/>
  <c r="I488" i="17"/>
  <c r="J488" i="17"/>
  <c r="K488" i="17"/>
  <c r="L488" i="17"/>
  <c r="M488" i="17"/>
  <c r="F491" i="17"/>
  <c r="G491" i="17"/>
  <c r="H491" i="17"/>
  <c r="I491" i="17"/>
  <c r="J491" i="17"/>
  <c r="K491" i="17"/>
  <c r="L491" i="17"/>
  <c r="M491" i="17"/>
  <c r="F492" i="17"/>
  <c r="G492" i="17"/>
  <c r="H492" i="17"/>
  <c r="I492" i="17"/>
  <c r="J492" i="17"/>
  <c r="K492" i="17"/>
  <c r="L492" i="17"/>
  <c r="M492" i="17"/>
  <c r="F493" i="17"/>
  <c r="G493" i="17"/>
  <c r="H493" i="17"/>
  <c r="I493" i="17"/>
  <c r="J493" i="17"/>
  <c r="K493" i="17"/>
  <c r="L493" i="17"/>
  <c r="M493" i="17"/>
  <c r="F494" i="17"/>
  <c r="G494" i="17"/>
  <c r="H494" i="17"/>
  <c r="I494" i="17"/>
  <c r="J494" i="17"/>
  <c r="K494" i="17"/>
  <c r="L494" i="17"/>
  <c r="M494" i="17"/>
  <c r="F497" i="17"/>
  <c r="G497" i="17"/>
  <c r="H497" i="17"/>
  <c r="I497" i="17"/>
  <c r="J497" i="17"/>
  <c r="K497" i="17"/>
  <c r="L497" i="17"/>
  <c r="M497" i="17"/>
  <c r="F498" i="17"/>
  <c r="G498" i="17"/>
  <c r="H498" i="17"/>
  <c r="I498" i="17"/>
  <c r="J498" i="17"/>
  <c r="K498" i="17"/>
  <c r="L498" i="17"/>
  <c r="M498" i="17"/>
  <c r="F499" i="17"/>
  <c r="G499" i="17"/>
  <c r="H499" i="17"/>
  <c r="I499" i="17"/>
  <c r="J499" i="17"/>
  <c r="K499" i="17"/>
  <c r="L499" i="17"/>
  <c r="M499" i="17"/>
  <c r="F500" i="17"/>
  <c r="G500" i="17"/>
  <c r="H500" i="17"/>
  <c r="I500" i="17"/>
  <c r="J500" i="17"/>
  <c r="K500" i="17"/>
  <c r="L500" i="17"/>
  <c r="M500" i="17"/>
  <c r="F503" i="17"/>
  <c r="G503" i="17"/>
  <c r="H503" i="17"/>
  <c r="I503" i="17"/>
  <c r="J503" i="17"/>
  <c r="K503" i="17"/>
  <c r="L503" i="17"/>
  <c r="M503" i="17"/>
  <c r="F506" i="17"/>
  <c r="G506" i="17"/>
  <c r="H506" i="17"/>
  <c r="I506" i="17"/>
  <c r="J506" i="17"/>
  <c r="K506" i="17"/>
  <c r="L506" i="17"/>
  <c r="M506" i="17"/>
  <c r="F507" i="17"/>
  <c r="G507" i="17"/>
  <c r="H507" i="17"/>
  <c r="I507" i="17"/>
  <c r="J507" i="17"/>
  <c r="K507" i="17"/>
  <c r="L507" i="17"/>
  <c r="M507" i="17"/>
  <c r="F510" i="17"/>
  <c r="G510" i="17"/>
  <c r="H510" i="17"/>
  <c r="I510" i="17"/>
  <c r="J510" i="17"/>
  <c r="K510" i="17"/>
  <c r="L510" i="17"/>
  <c r="M510" i="17"/>
  <c r="F511" i="17"/>
  <c r="G511" i="17"/>
  <c r="H511" i="17"/>
  <c r="I511" i="17"/>
  <c r="J511" i="17"/>
  <c r="K511" i="17"/>
  <c r="L511" i="17"/>
  <c r="M511" i="17"/>
  <c r="F512" i="17"/>
  <c r="G512" i="17"/>
  <c r="H512" i="17"/>
  <c r="I512" i="17"/>
  <c r="J512" i="17"/>
  <c r="K512" i="17"/>
  <c r="L512" i="17"/>
  <c r="M512" i="17"/>
  <c r="F515" i="17"/>
  <c r="G515" i="17"/>
  <c r="H515" i="17"/>
  <c r="I515" i="17"/>
  <c r="J515" i="17"/>
  <c r="K515" i="17"/>
  <c r="L515" i="17"/>
  <c r="M515" i="17"/>
  <c r="F518" i="17"/>
  <c r="G518" i="17"/>
  <c r="H518" i="17"/>
  <c r="I518" i="17"/>
  <c r="J518" i="17"/>
  <c r="K518" i="17"/>
  <c r="L518" i="17"/>
  <c r="M518" i="17"/>
  <c r="F519" i="17"/>
  <c r="G519" i="17"/>
  <c r="H519" i="17"/>
  <c r="I519" i="17"/>
  <c r="J519" i="17"/>
  <c r="K519" i="17"/>
  <c r="L519" i="17"/>
  <c r="M519" i="17"/>
  <c r="F520" i="17"/>
  <c r="G520" i="17"/>
  <c r="H520" i="17"/>
  <c r="I520" i="17"/>
  <c r="J520" i="17"/>
  <c r="K520" i="17"/>
  <c r="L520" i="17"/>
  <c r="M520" i="17"/>
  <c r="F523" i="17"/>
  <c r="G523" i="17"/>
  <c r="H523" i="17"/>
  <c r="I523" i="17"/>
  <c r="J523" i="17"/>
  <c r="K523" i="17"/>
  <c r="L523" i="17"/>
  <c r="M523" i="17"/>
  <c r="F526" i="17"/>
  <c r="G526" i="17"/>
  <c r="H526" i="17"/>
  <c r="I526" i="17"/>
  <c r="J526" i="17"/>
  <c r="K526" i="17"/>
  <c r="L526" i="17"/>
  <c r="M526" i="17"/>
  <c r="F527" i="17"/>
  <c r="G527" i="17"/>
  <c r="H527" i="17"/>
  <c r="I527" i="17"/>
  <c r="J527" i="17"/>
  <c r="K527" i="17"/>
  <c r="L527" i="17"/>
  <c r="M527" i="17"/>
  <c r="F528" i="17"/>
  <c r="G528" i="17"/>
  <c r="H528" i="17"/>
  <c r="I528" i="17"/>
  <c r="J528" i="17"/>
  <c r="K528" i="17"/>
  <c r="L528" i="17"/>
  <c r="M528" i="17"/>
  <c r="F529" i="17"/>
  <c r="G529" i="17"/>
  <c r="H529" i="17"/>
  <c r="I529" i="17"/>
  <c r="J529" i="17"/>
  <c r="K529" i="17"/>
  <c r="L529" i="17"/>
  <c r="M529" i="17"/>
  <c r="F530" i="17"/>
  <c r="G530" i="17"/>
  <c r="H530" i="17"/>
  <c r="I530" i="17"/>
  <c r="J530" i="17"/>
  <c r="K530" i="17"/>
  <c r="L530" i="17"/>
  <c r="M530" i="17"/>
  <c r="F531" i="17"/>
  <c r="G531" i="17"/>
  <c r="H531" i="17"/>
  <c r="I531" i="17"/>
  <c r="J531" i="17"/>
  <c r="K531" i="17"/>
  <c r="L531" i="17"/>
  <c r="M531" i="17"/>
  <c r="F532" i="17"/>
  <c r="G532" i="17"/>
  <c r="H532" i="17"/>
  <c r="I532" i="17"/>
  <c r="J532" i="17"/>
  <c r="K532" i="17"/>
  <c r="L532" i="17"/>
  <c r="M532" i="17"/>
  <c r="F535" i="17"/>
  <c r="G535" i="17"/>
  <c r="H535" i="17"/>
  <c r="I535" i="17"/>
  <c r="J535" i="17"/>
  <c r="K535" i="17"/>
  <c r="L535" i="17"/>
  <c r="M535" i="17"/>
  <c r="F536" i="17"/>
  <c r="G536" i="17"/>
  <c r="H536" i="17"/>
  <c r="I536" i="17"/>
  <c r="J536" i="17"/>
  <c r="K536" i="17"/>
  <c r="L536" i="17"/>
  <c r="M536" i="17"/>
  <c r="F537" i="17"/>
  <c r="G537" i="17"/>
  <c r="H537" i="17"/>
  <c r="I537" i="17"/>
  <c r="J537" i="17"/>
  <c r="K537" i="17"/>
  <c r="L537" i="17"/>
  <c r="M537" i="17"/>
  <c r="F538" i="17"/>
  <c r="G538" i="17"/>
  <c r="H538" i="17"/>
  <c r="I538" i="17"/>
  <c r="J538" i="17"/>
  <c r="K538" i="17"/>
  <c r="L538" i="17"/>
  <c r="M538" i="17"/>
  <c r="F539" i="17"/>
  <c r="G539" i="17"/>
  <c r="H539" i="17"/>
  <c r="I539" i="17"/>
  <c r="J539" i="17"/>
  <c r="K539" i="17"/>
  <c r="L539" i="17"/>
  <c r="M539" i="17"/>
  <c r="F542" i="17"/>
  <c r="G542" i="17"/>
  <c r="H542" i="17"/>
  <c r="I542" i="17"/>
  <c r="J542" i="17"/>
  <c r="K542" i="17"/>
  <c r="L542" i="17"/>
  <c r="M542" i="17"/>
  <c r="F545" i="17"/>
  <c r="G545" i="17"/>
  <c r="H545" i="17"/>
  <c r="I545" i="17"/>
  <c r="J545" i="17"/>
  <c r="K545" i="17"/>
  <c r="L545" i="17"/>
  <c r="M545" i="17"/>
  <c r="F546" i="17"/>
  <c r="G546" i="17"/>
  <c r="H546" i="17"/>
  <c r="I546" i="17"/>
  <c r="J546" i="17"/>
  <c r="K546" i="17"/>
  <c r="L546" i="17"/>
  <c r="M546" i="17"/>
  <c r="F547" i="17"/>
  <c r="G547" i="17"/>
  <c r="H547" i="17"/>
  <c r="I547" i="17"/>
  <c r="J547" i="17"/>
  <c r="K547" i="17"/>
  <c r="L547" i="17"/>
  <c r="M547" i="17"/>
  <c r="F548" i="17"/>
  <c r="G548" i="17"/>
  <c r="H548" i="17"/>
  <c r="I548" i="17"/>
  <c r="J548" i="17"/>
  <c r="K548" i="17"/>
  <c r="L548" i="17"/>
  <c r="M548" i="17"/>
  <c r="F549" i="17"/>
  <c r="G549" i="17"/>
  <c r="H549" i="17"/>
  <c r="I549" i="17"/>
  <c r="J549" i="17"/>
  <c r="K549" i="17"/>
  <c r="L549" i="17"/>
  <c r="M549" i="17"/>
  <c r="F550" i="17"/>
  <c r="G550" i="17"/>
  <c r="H550" i="17"/>
  <c r="I550" i="17"/>
  <c r="J550" i="17"/>
  <c r="K550" i="17"/>
  <c r="L550" i="17"/>
  <c r="M550" i="17"/>
  <c r="F553" i="17"/>
  <c r="G553" i="17"/>
  <c r="H553" i="17"/>
  <c r="I553" i="17"/>
  <c r="J553" i="17"/>
  <c r="K553" i="17"/>
  <c r="L553" i="17"/>
  <c r="M553" i="17"/>
  <c r="F554" i="17"/>
  <c r="G554" i="17"/>
  <c r="H554" i="17"/>
  <c r="I554" i="17"/>
  <c r="J554" i="17"/>
  <c r="K554" i="17"/>
  <c r="L554" i="17"/>
  <c r="M554" i="17"/>
  <c r="F555" i="17"/>
  <c r="G555" i="17"/>
  <c r="H555" i="17"/>
  <c r="I555" i="17"/>
  <c r="J555" i="17"/>
  <c r="K555" i="17"/>
  <c r="L555" i="17"/>
  <c r="M555" i="17"/>
  <c r="F556" i="17"/>
  <c r="G556" i="17"/>
  <c r="H556" i="17"/>
  <c r="I556" i="17"/>
  <c r="J556" i="17"/>
  <c r="K556" i="17"/>
  <c r="L556" i="17"/>
  <c r="M556" i="17"/>
  <c r="F557" i="17"/>
  <c r="G557" i="17"/>
  <c r="H557" i="17"/>
  <c r="I557" i="17"/>
  <c r="J557" i="17"/>
  <c r="K557" i="17"/>
  <c r="L557" i="17"/>
  <c r="M557" i="17"/>
  <c r="F558" i="17"/>
  <c r="G558" i="17"/>
  <c r="H558" i="17"/>
  <c r="I558" i="17"/>
  <c r="J558" i="17"/>
  <c r="K558" i="17"/>
  <c r="L558" i="17"/>
  <c r="M558" i="17"/>
  <c r="F559" i="17"/>
  <c r="G559" i="17"/>
  <c r="H559" i="17"/>
  <c r="I559" i="17"/>
  <c r="J559" i="17"/>
  <c r="K559" i="17"/>
  <c r="L559" i="17"/>
  <c r="M559" i="17"/>
  <c r="F562" i="17"/>
  <c r="G562" i="17"/>
  <c r="H562" i="17"/>
  <c r="I562" i="17"/>
  <c r="J562" i="17"/>
  <c r="K562" i="17"/>
  <c r="L562" i="17"/>
  <c r="M562" i="17"/>
  <c r="F565" i="17"/>
  <c r="G565" i="17"/>
  <c r="H565" i="17"/>
  <c r="I565" i="17"/>
  <c r="J565" i="17"/>
  <c r="K565" i="17"/>
  <c r="L565" i="17"/>
  <c r="M565" i="17"/>
  <c r="F568" i="17"/>
  <c r="G568" i="17"/>
  <c r="H568" i="17"/>
  <c r="I568" i="17"/>
  <c r="J568" i="17"/>
  <c r="K568" i="17"/>
  <c r="L568" i="17"/>
  <c r="M568" i="17"/>
  <c r="F569" i="17"/>
  <c r="G569" i="17"/>
  <c r="H569" i="17"/>
  <c r="I569" i="17"/>
  <c r="J569" i="17"/>
  <c r="K569" i="17"/>
  <c r="L569" i="17"/>
  <c r="M569" i="17"/>
  <c r="F572" i="17"/>
  <c r="G572" i="17"/>
  <c r="H572" i="17"/>
  <c r="I572" i="17"/>
  <c r="J572" i="17"/>
  <c r="K572" i="17"/>
  <c r="L572" i="17"/>
  <c r="M572" i="17"/>
  <c r="F573" i="17"/>
  <c r="G573" i="17"/>
  <c r="H573" i="17"/>
  <c r="I573" i="17"/>
  <c r="J573" i="17"/>
  <c r="K573" i="17"/>
  <c r="L573" i="17"/>
  <c r="M573" i="17"/>
  <c r="F574" i="17"/>
  <c r="G574" i="17"/>
  <c r="H574" i="17"/>
  <c r="I574" i="17"/>
  <c r="J574" i="17"/>
  <c r="K574" i="17"/>
  <c r="L574" i="17"/>
  <c r="M574" i="17"/>
  <c r="F575" i="17"/>
  <c r="G575" i="17"/>
  <c r="H575" i="17"/>
  <c r="I575" i="17"/>
  <c r="J575" i="17"/>
  <c r="K575" i="17"/>
  <c r="L575" i="17"/>
  <c r="M575" i="17"/>
  <c r="F578" i="17"/>
  <c r="G578" i="17"/>
  <c r="H578" i="17"/>
  <c r="I578" i="17"/>
  <c r="J578" i="17"/>
  <c r="K578" i="17"/>
  <c r="L578" i="17"/>
  <c r="M578" i="17"/>
  <c r="F579" i="17"/>
  <c r="G579" i="17"/>
  <c r="H579" i="17"/>
  <c r="I579" i="17"/>
  <c r="J579" i="17"/>
  <c r="K579" i="17"/>
  <c r="L579" i="17"/>
  <c r="M579" i="17"/>
  <c r="F580" i="17"/>
  <c r="G580" i="17"/>
  <c r="H580" i="17"/>
  <c r="I580" i="17"/>
  <c r="J580" i="17"/>
  <c r="K580" i="17"/>
  <c r="L580" i="17"/>
  <c r="M580" i="17"/>
  <c r="F581" i="17"/>
  <c r="G581" i="17"/>
  <c r="H581" i="17"/>
  <c r="I581" i="17"/>
  <c r="J581" i="17"/>
  <c r="K581" i="17"/>
  <c r="L581" i="17"/>
  <c r="M581" i="17"/>
  <c r="F584" i="17"/>
  <c r="G584" i="17"/>
  <c r="H584" i="17"/>
  <c r="I584" i="17"/>
  <c r="J584" i="17"/>
  <c r="K584" i="17"/>
  <c r="L584" i="17"/>
  <c r="M584" i="17"/>
  <c r="F587" i="17"/>
  <c r="G587" i="17"/>
  <c r="H587" i="17"/>
  <c r="I587" i="17"/>
  <c r="J587" i="17"/>
  <c r="K587" i="17"/>
  <c r="L587" i="17"/>
  <c r="M587" i="17"/>
  <c r="F588" i="17"/>
  <c r="G588" i="17"/>
  <c r="H588" i="17"/>
  <c r="I588" i="17"/>
  <c r="J588" i="17"/>
  <c r="K588" i="17"/>
  <c r="L588" i="17"/>
  <c r="M588" i="17"/>
  <c r="F591" i="17"/>
  <c r="G591" i="17"/>
  <c r="H591" i="17"/>
  <c r="I591" i="17"/>
  <c r="J591" i="17"/>
  <c r="K591" i="17"/>
  <c r="L591" i="17"/>
  <c r="M591" i="17"/>
  <c r="F592" i="17"/>
  <c r="G592" i="17"/>
  <c r="H592" i="17"/>
  <c r="I592" i="17"/>
  <c r="J592" i="17"/>
  <c r="K592" i="17"/>
  <c r="L592" i="17"/>
  <c r="M592" i="17"/>
  <c r="F593" i="17"/>
  <c r="G593" i="17"/>
  <c r="H593" i="17"/>
  <c r="I593" i="17"/>
  <c r="J593" i="17"/>
  <c r="K593" i="17"/>
  <c r="L593" i="17"/>
  <c r="M593" i="17"/>
  <c r="F596" i="17"/>
  <c r="G596" i="17"/>
  <c r="H596" i="17"/>
  <c r="I596" i="17"/>
  <c r="J596" i="17"/>
  <c r="K596" i="17"/>
  <c r="L596" i="17"/>
  <c r="M596" i="17"/>
  <c r="F599" i="17"/>
  <c r="G599" i="17"/>
  <c r="H599" i="17"/>
  <c r="I599" i="17"/>
  <c r="J599" i="17"/>
  <c r="K599" i="17"/>
  <c r="L599" i="17"/>
  <c r="M599" i="17"/>
  <c r="F600" i="17"/>
  <c r="G600" i="17"/>
  <c r="H600" i="17"/>
  <c r="I600" i="17"/>
  <c r="J600" i="17"/>
  <c r="K600" i="17"/>
  <c r="L600" i="17"/>
  <c r="M600" i="17"/>
  <c r="F601" i="17"/>
  <c r="G601" i="17"/>
  <c r="H601" i="17"/>
  <c r="I601" i="17"/>
  <c r="J601" i="17"/>
  <c r="K601" i="17"/>
  <c r="L601" i="17"/>
  <c r="M601" i="17"/>
  <c r="F604" i="17"/>
  <c r="G604" i="17"/>
  <c r="H604" i="17"/>
  <c r="I604" i="17"/>
  <c r="J604" i="17"/>
  <c r="K604" i="17"/>
  <c r="L604" i="17"/>
  <c r="M604" i="17"/>
  <c r="F607" i="17"/>
  <c r="G607" i="17"/>
  <c r="H607" i="17"/>
  <c r="I607" i="17"/>
  <c r="J607" i="17"/>
  <c r="K607" i="17"/>
  <c r="L607" i="17"/>
  <c r="M607" i="17"/>
  <c r="F608" i="17"/>
  <c r="G608" i="17"/>
  <c r="H608" i="17"/>
  <c r="I608" i="17"/>
  <c r="J608" i="17"/>
  <c r="K608" i="17"/>
  <c r="L608" i="17"/>
  <c r="M608" i="17"/>
  <c r="F609" i="17"/>
  <c r="G609" i="17"/>
  <c r="H609" i="17"/>
  <c r="I609" i="17"/>
  <c r="J609" i="17"/>
  <c r="K609" i="17"/>
  <c r="L609" i="17"/>
  <c r="M609" i="17"/>
  <c r="F610" i="17"/>
  <c r="G610" i="17"/>
  <c r="H610" i="17"/>
  <c r="I610" i="17"/>
  <c r="J610" i="17"/>
  <c r="K610" i="17"/>
  <c r="L610" i="17"/>
  <c r="M610" i="17"/>
  <c r="F611" i="17"/>
  <c r="G611" i="17"/>
  <c r="H611" i="17"/>
  <c r="I611" i="17"/>
  <c r="J611" i="17"/>
  <c r="K611" i="17"/>
  <c r="L611" i="17"/>
  <c r="M611" i="17"/>
  <c r="F612" i="17"/>
  <c r="G612" i="17"/>
  <c r="H612" i="17"/>
  <c r="I612" i="17"/>
  <c r="J612" i="17"/>
  <c r="K612" i="17"/>
  <c r="L612" i="17"/>
  <c r="M612" i="17"/>
  <c r="F613" i="17"/>
  <c r="G613" i="17"/>
  <c r="H613" i="17"/>
  <c r="I613" i="17"/>
  <c r="J613" i="17"/>
  <c r="K613" i="17"/>
  <c r="L613" i="17"/>
  <c r="M613" i="17"/>
  <c r="F616" i="17"/>
  <c r="G616" i="17"/>
  <c r="H616" i="17"/>
  <c r="I616" i="17"/>
  <c r="J616" i="17"/>
  <c r="K616" i="17"/>
  <c r="L616" i="17"/>
  <c r="M616" i="17"/>
  <c r="F617" i="17"/>
  <c r="G617" i="17"/>
  <c r="H617" i="17"/>
  <c r="I617" i="17"/>
  <c r="J617" i="17"/>
  <c r="K617" i="17"/>
  <c r="L617" i="17"/>
  <c r="M617" i="17"/>
  <c r="F618" i="17"/>
  <c r="G618" i="17"/>
  <c r="H618" i="17"/>
  <c r="I618" i="17"/>
  <c r="J618" i="17"/>
  <c r="K618" i="17"/>
  <c r="L618" i="17"/>
  <c r="M618" i="17"/>
  <c r="F619" i="17"/>
  <c r="G619" i="17"/>
  <c r="H619" i="17"/>
  <c r="I619" i="17"/>
  <c r="J619" i="17"/>
  <c r="K619" i="17"/>
  <c r="L619" i="17"/>
  <c r="M619" i="17"/>
  <c r="F620" i="17"/>
  <c r="G620" i="17"/>
  <c r="H620" i="17"/>
  <c r="I620" i="17"/>
  <c r="J620" i="17"/>
  <c r="K620" i="17"/>
  <c r="L620" i="17"/>
  <c r="M620" i="17"/>
  <c r="F623" i="17"/>
  <c r="G623" i="17"/>
  <c r="H623" i="17"/>
  <c r="I623" i="17"/>
  <c r="J623" i="17"/>
  <c r="K623" i="17"/>
  <c r="L623" i="17"/>
  <c r="M623" i="17"/>
  <c r="F626" i="17"/>
  <c r="G626" i="17"/>
  <c r="H626" i="17"/>
  <c r="I626" i="17"/>
  <c r="J626" i="17"/>
  <c r="K626" i="17"/>
  <c r="L626" i="17"/>
  <c r="M626" i="17"/>
  <c r="F627" i="17"/>
  <c r="G627" i="17"/>
  <c r="H627" i="17"/>
  <c r="I627" i="17"/>
  <c r="J627" i="17"/>
  <c r="K627" i="17"/>
  <c r="L627" i="17"/>
  <c r="M627" i="17"/>
  <c r="F628" i="17"/>
  <c r="G628" i="17"/>
  <c r="H628" i="17"/>
  <c r="I628" i="17"/>
  <c r="J628" i="17"/>
  <c r="K628" i="17"/>
  <c r="L628" i="17"/>
  <c r="M628" i="17"/>
  <c r="F629" i="17"/>
  <c r="G629" i="17"/>
  <c r="H629" i="17"/>
  <c r="I629" i="17"/>
  <c r="J629" i="17"/>
  <c r="K629" i="17"/>
  <c r="L629" i="17"/>
  <c r="M629" i="17"/>
  <c r="F630" i="17"/>
  <c r="G630" i="17"/>
  <c r="H630" i="17"/>
  <c r="I630" i="17"/>
  <c r="J630" i="17"/>
  <c r="K630" i="17"/>
  <c r="L630" i="17"/>
  <c r="M630" i="17"/>
  <c r="F631" i="17"/>
  <c r="G631" i="17"/>
  <c r="H631" i="17"/>
  <c r="I631" i="17"/>
  <c r="J631" i="17"/>
  <c r="K631" i="17"/>
  <c r="L631" i="17"/>
  <c r="M631" i="17"/>
  <c r="F634" i="17"/>
  <c r="G634" i="17"/>
  <c r="H634" i="17"/>
  <c r="I634" i="17"/>
  <c r="J634" i="17"/>
  <c r="K634" i="17"/>
  <c r="L634" i="17"/>
  <c r="M634" i="17"/>
  <c r="F635" i="17"/>
  <c r="G635" i="17"/>
  <c r="H635" i="17"/>
  <c r="I635" i="17"/>
  <c r="J635" i="17"/>
  <c r="K635" i="17"/>
  <c r="L635" i="17"/>
  <c r="M635" i="17"/>
  <c r="F636" i="17"/>
  <c r="G636" i="17"/>
  <c r="H636" i="17"/>
  <c r="I636" i="17"/>
  <c r="J636" i="17"/>
  <c r="K636" i="17"/>
  <c r="L636" i="17"/>
  <c r="M636" i="17"/>
  <c r="F637" i="17"/>
  <c r="G637" i="17"/>
  <c r="H637" i="17"/>
  <c r="I637" i="17"/>
  <c r="J637" i="17"/>
  <c r="K637" i="17"/>
  <c r="L637" i="17"/>
  <c r="M637" i="17"/>
  <c r="F638" i="17"/>
  <c r="G638" i="17"/>
  <c r="H638" i="17"/>
  <c r="I638" i="17"/>
  <c r="J638" i="17"/>
  <c r="K638" i="17"/>
  <c r="L638" i="17"/>
  <c r="M638" i="17"/>
  <c r="F639" i="17"/>
  <c r="G639" i="17"/>
  <c r="H639" i="17"/>
  <c r="I639" i="17"/>
  <c r="J639" i="17"/>
  <c r="K639" i="17"/>
  <c r="L639" i="17"/>
  <c r="M639" i="17"/>
  <c r="F640" i="17"/>
  <c r="G640" i="17"/>
  <c r="H640" i="17"/>
  <c r="I640" i="17"/>
  <c r="J640" i="17"/>
  <c r="K640" i="17"/>
  <c r="L640" i="17"/>
  <c r="M640" i="17"/>
  <c r="F643" i="17"/>
  <c r="G643" i="17"/>
  <c r="H643" i="17"/>
  <c r="I643" i="17"/>
  <c r="J643" i="17"/>
  <c r="K643" i="17"/>
  <c r="L643" i="17"/>
  <c r="M643" i="17"/>
  <c r="F646" i="17"/>
  <c r="G646" i="17"/>
  <c r="H646" i="17"/>
  <c r="I646" i="17"/>
  <c r="J646" i="17"/>
  <c r="K646" i="17"/>
  <c r="L646" i="17"/>
  <c r="M646" i="17"/>
  <c r="H128" i="29" l="1"/>
  <c r="H129" i="29" s="1"/>
  <c r="H130" i="29" s="1"/>
  <c r="H131" i="29" s="1"/>
  <c r="H132" i="29" s="1"/>
  <c r="H133" i="29" s="1"/>
  <c r="H121" i="29"/>
  <c r="H122" i="29" s="1"/>
  <c r="H123" i="29" s="1"/>
  <c r="H124" i="29" s="1"/>
  <c r="H125" i="29" s="1"/>
  <c r="C54" i="30" l="1"/>
  <c r="B54" i="30"/>
  <c r="E54" i="30" s="1"/>
  <c r="I54" i="29" l="1"/>
  <c r="D54" i="29"/>
  <c r="C54" i="29"/>
  <c r="G54" i="29" s="1"/>
  <c r="D53" i="29"/>
  <c r="C53" i="29"/>
  <c r="G53" i="29" s="1"/>
  <c r="D52" i="29"/>
  <c r="C52" i="29"/>
  <c r="G52" i="29" s="1"/>
  <c r="D51" i="29"/>
  <c r="C51" i="29"/>
  <c r="G51" i="29" s="1"/>
  <c r="D42" i="29"/>
  <c r="C42" i="29"/>
  <c r="G42" i="29" s="1"/>
  <c r="D41" i="29"/>
  <c r="C41" i="29"/>
  <c r="G41" i="29" s="1"/>
  <c r="D40" i="29"/>
  <c r="C40" i="29"/>
  <c r="G40" i="29" s="1"/>
  <c r="D39" i="29"/>
  <c r="C39" i="29"/>
  <c r="G39" i="29" s="1"/>
  <c r="D38" i="29"/>
  <c r="C38" i="29"/>
  <c r="G38" i="29" s="1"/>
  <c r="D37" i="29"/>
  <c r="C37" i="29"/>
  <c r="G37" i="29" s="1"/>
  <c r="C6" i="29"/>
  <c r="D6" i="29"/>
  <c r="H6" i="29" s="1"/>
  <c r="C7" i="29"/>
  <c r="D7" i="29"/>
  <c r="H7" i="29" s="1"/>
  <c r="C10" i="29"/>
  <c r="D10" i="29"/>
  <c r="H10" i="29" s="1"/>
  <c r="C11" i="29"/>
  <c r="D11" i="29"/>
  <c r="H11" i="29" s="1"/>
  <c r="C14" i="29"/>
  <c r="D14" i="29"/>
  <c r="H14" i="29" s="1"/>
  <c r="C15" i="29"/>
  <c r="D15" i="29"/>
  <c r="H15" i="29" s="1"/>
  <c r="H51" i="29"/>
  <c r="H37" i="29"/>
  <c r="H38" i="29" s="1"/>
  <c r="H39" i="29" s="1"/>
  <c r="H40" i="29" s="1"/>
  <c r="H41" i="29" s="1"/>
  <c r="H42" i="29" s="1"/>
  <c r="B12" i="33"/>
  <c r="B4" i="33" l="1"/>
  <c r="I52" i="29"/>
  <c r="I53" i="29"/>
  <c r="B8" i="33"/>
  <c r="B18" i="33"/>
  <c r="J7" i="18"/>
  <c r="B7" i="18" s="1"/>
  <c r="B82" i="33" l="1"/>
  <c r="B85" i="33"/>
  <c r="B10" i="33"/>
  <c r="B9" i="33"/>
  <c r="B84" i="33"/>
  <c r="G6" i="29" l="1"/>
  <c r="G7" i="29" s="1"/>
  <c r="G10" i="29"/>
  <c r="G11" i="29" s="1"/>
  <c r="G14" i="29"/>
  <c r="G15" i="29" s="1"/>
  <c r="H52" i="29"/>
  <c r="H53" i="29" s="1"/>
  <c r="H54" i="29" s="1"/>
  <c r="C18" i="29" l="1"/>
  <c r="D18" i="29"/>
  <c r="C19" i="29"/>
  <c r="D19" i="29"/>
  <c r="C20" i="29"/>
  <c r="D20" i="29"/>
  <c r="C23" i="29"/>
  <c r="D23" i="29"/>
  <c r="C24" i="29"/>
  <c r="D24" i="29"/>
  <c r="C25" i="29"/>
  <c r="D25" i="29"/>
  <c r="C26" i="29"/>
  <c r="D26" i="29"/>
  <c r="C29" i="29"/>
  <c r="D29" i="29"/>
  <c r="C30" i="29"/>
  <c r="D30" i="29"/>
  <c r="C31" i="29"/>
  <c r="D31" i="29"/>
  <c r="C32" i="29"/>
  <c r="D32" i="29"/>
  <c r="C33" i="29"/>
  <c r="D33" i="29"/>
  <c r="C34" i="29"/>
  <c r="D34" i="29"/>
  <c r="C45" i="29"/>
  <c r="D45" i="29"/>
  <c r="C46" i="29"/>
  <c r="D46" i="29"/>
  <c r="C47" i="29"/>
  <c r="D47" i="29"/>
  <c r="C48" i="29"/>
  <c r="D48" i="29"/>
  <c r="C57" i="29"/>
  <c r="D57" i="29"/>
  <c r="C58" i="29"/>
  <c r="D58" i="29"/>
  <c r="C59" i="29"/>
  <c r="D59" i="29"/>
  <c r="C60" i="29"/>
  <c r="D60" i="29"/>
  <c r="C61" i="29"/>
  <c r="D61" i="29"/>
  <c r="C64" i="29"/>
  <c r="D64" i="29"/>
  <c r="C65" i="29"/>
  <c r="D65" i="29"/>
  <c r="C66" i="29"/>
  <c r="D66" i="29"/>
  <c r="C67" i="29"/>
  <c r="D67" i="29"/>
  <c r="C68" i="29"/>
  <c r="D68" i="29"/>
  <c r="C71" i="29"/>
  <c r="D71" i="29"/>
  <c r="C72" i="29"/>
  <c r="D72" i="29"/>
  <c r="C73" i="29"/>
  <c r="D73" i="29"/>
  <c r="C74" i="29"/>
  <c r="D74" i="29"/>
  <c r="C77" i="29"/>
  <c r="D77" i="29"/>
  <c r="C78" i="29"/>
  <c r="D78" i="29"/>
  <c r="C79" i="29"/>
  <c r="D79" i="29"/>
  <c r="C80" i="29"/>
  <c r="D80" i="29"/>
  <c r="C83" i="29"/>
  <c r="D83" i="29"/>
  <c r="C84" i="29"/>
  <c r="D84" i="29"/>
  <c r="C85" i="29"/>
  <c r="D85" i="29"/>
  <c r="C86" i="29"/>
  <c r="D86" i="29"/>
  <c r="C87" i="29"/>
  <c r="D87" i="29"/>
  <c r="C90" i="29"/>
  <c r="D90" i="29"/>
  <c r="C91" i="29"/>
  <c r="D91" i="29"/>
  <c r="C92" i="29"/>
  <c r="D92" i="29"/>
  <c r="C93" i="29"/>
  <c r="D93" i="29"/>
  <c r="C96" i="29"/>
  <c r="D96" i="29"/>
  <c r="C97" i="29"/>
  <c r="D97" i="29"/>
  <c r="C98" i="29"/>
  <c r="D98" i="29"/>
  <c r="C99" i="29"/>
  <c r="D99" i="29"/>
  <c r="C102" i="29"/>
  <c r="D102" i="29"/>
  <c r="C103" i="29"/>
  <c r="D103" i="29"/>
  <c r="C104" i="29"/>
  <c r="D104" i="29"/>
  <c r="C105" i="29"/>
  <c r="D105" i="29"/>
  <c r="C108" i="29"/>
  <c r="D108" i="29"/>
  <c r="C109" i="29"/>
  <c r="D109" i="29"/>
  <c r="C110" i="29"/>
  <c r="D110" i="29"/>
  <c r="C111" i="29"/>
  <c r="D111" i="29"/>
  <c r="B68" i="33"/>
  <c r="B64" i="33"/>
  <c r="B55" i="33"/>
  <c r="E20" i="30"/>
  <c r="R42" i="31"/>
  <c r="R43" i="31"/>
  <c r="R44" i="31"/>
  <c r="E51" i="30"/>
  <c r="O156" i="31" s="1"/>
  <c r="O157" i="31" s="1"/>
  <c r="P157" i="31" s="1"/>
  <c r="E43" i="30"/>
  <c r="O120" i="31" s="1"/>
  <c r="O121" i="31" s="1"/>
  <c r="P121" i="31" s="1"/>
  <c r="O122" i="31" l="1"/>
  <c r="P122" i="31" s="1"/>
  <c r="O158" i="31"/>
  <c r="P158" i="31" s="1"/>
  <c r="O45" i="31"/>
  <c r="O46" i="31" s="1"/>
  <c r="P46" i="31" s="1"/>
  <c r="O47" i="31" l="1"/>
  <c r="P47" i="31" s="1"/>
  <c r="N401" i="17"/>
  <c r="E401" i="17" s="1"/>
  <c r="N376" i="17"/>
  <c r="D376" i="17" s="1"/>
  <c r="N399" i="17"/>
  <c r="E399" i="17" s="1"/>
  <c r="N400" i="17"/>
  <c r="E400" i="17" s="1"/>
  <c r="N397" i="17"/>
  <c r="E397" i="17" s="1"/>
  <c r="N395" i="17"/>
  <c r="E395" i="17" s="1"/>
  <c r="N394" i="17"/>
  <c r="E394" i="17" s="1"/>
  <c r="Q42" i="31"/>
  <c r="G31" i="29"/>
  <c r="G57" i="29"/>
  <c r="N381" i="17" l="1"/>
  <c r="E381" i="17" s="1"/>
  <c r="N379" i="17"/>
  <c r="E379" i="17" s="1"/>
  <c r="N380" i="17"/>
  <c r="E380" i="17" s="1"/>
  <c r="N383" i="17"/>
  <c r="E383" i="17" s="1"/>
  <c r="N393" i="17"/>
  <c r="E393" i="17" s="1"/>
  <c r="N398" i="17"/>
  <c r="E398" i="17" s="1"/>
  <c r="Q43" i="31"/>
  <c r="N512" i="17" s="1"/>
  <c r="Q44" i="31"/>
  <c r="H83" i="29"/>
  <c r="H90" i="29"/>
  <c r="H91" i="29" s="1"/>
  <c r="H77" i="29"/>
  <c r="H78" i="29" s="1"/>
  <c r="H96" i="29"/>
  <c r="H97" i="29" s="1"/>
  <c r="H64" i="29"/>
  <c r="H57" i="29"/>
  <c r="H108" i="29"/>
  <c r="B60" i="33"/>
  <c r="N593" i="17" l="1"/>
  <c r="G71" i="29"/>
  <c r="G73" i="29"/>
  <c r="G72" i="29"/>
  <c r="G74" i="29" l="1"/>
  <c r="B6" i="33" l="1"/>
  <c r="B5" i="33"/>
  <c r="I26" i="29"/>
  <c r="I25" i="29"/>
  <c r="I24" i="29"/>
  <c r="I23" i="29"/>
  <c r="B86" i="33"/>
  <c r="B80" i="33"/>
  <c r="B76" i="33"/>
  <c r="B72" i="33"/>
  <c r="B79" i="33"/>
  <c r="B59" i="33"/>
  <c r="B53" i="33"/>
  <c r="B75" i="33"/>
  <c r="B71" i="33"/>
  <c r="B67" i="33"/>
  <c r="B63" i="33"/>
  <c r="R4" i="31"/>
  <c r="R5" i="31"/>
  <c r="R6" i="31"/>
  <c r="R7" i="31"/>
  <c r="R10" i="31"/>
  <c r="R11" i="31"/>
  <c r="R12" i="31"/>
  <c r="R13" i="31"/>
  <c r="R14" i="31"/>
  <c r="R15" i="31"/>
  <c r="R16" i="31"/>
  <c r="R19" i="31"/>
  <c r="R22" i="31"/>
  <c r="R23" i="31"/>
  <c r="R29" i="31"/>
  <c r="R30" i="31"/>
  <c r="R33" i="31"/>
  <c r="R34" i="31"/>
  <c r="R35" i="31"/>
  <c r="R36" i="31"/>
  <c r="R37" i="31"/>
  <c r="R38" i="31"/>
  <c r="R39" i="31"/>
  <c r="R40" i="31"/>
  <c r="R41" i="31"/>
  <c r="R45" i="31"/>
  <c r="R46" i="31"/>
  <c r="R47" i="31"/>
  <c r="R48" i="31"/>
  <c r="R49" i="31"/>
  <c r="R50" i="31"/>
  <c r="R51" i="31"/>
  <c r="R52" i="31"/>
  <c r="R53" i="31"/>
  <c r="R54" i="31"/>
  <c r="R55" i="31"/>
  <c r="R56" i="31"/>
  <c r="R57" i="31"/>
  <c r="R58" i="31"/>
  <c r="R59" i="31"/>
  <c r="R60" i="31"/>
  <c r="R61" i="31"/>
  <c r="R62" i="31"/>
  <c r="R66" i="31"/>
  <c r="R67" i="31"/>
  <c r="R68" i="31"/>
  <c r="R69" i="31"/>
  <c r="R70" i="31"/>
  <c r="R71" i="31"/>
  <c r="R72" i="31"/>
  <c r="R73" i="31"/>
  <c r="R74" i="31"/>
  <c r="R75" i="31"/>
  <c r="R76" i="31"/>
  <c r="R77" i="31"/>
  <c r="R78" i="31"/>
  <c r="R79" i="31"/>
  <c r="R80" i="31"/>
  <c r="R84" i="31"/>
  <c r="R85" i="31"/>
  <c r="R86" i="31"/>
  <c r="R93" i="31"/>
  <c r="R94" i="31"/>
  <c r="R95" i="31"/>
  <c r="R111" i="31"/>
  <c r="R112" i="31"/>
  <c r="R113" i="31"/>
  <c r="R114" i="31"/>
  <c r="R115" i="31"/>
  <c r="R116" i="31"/>
  <c r="R117" i="31"/>
  <c r="R118" i="31"/>
  <c r="R119" i="31"/>
  <c r="R120" i="31"/>
  <c r="R121" i="31"/>
  <c r="R122" i="31"/>
  <c r="R123" i="31"/>
  <c r="R124" i="31"/>
  <c r="R125" i="31"/>
  <c r="R126" i="31"/>
  <c r="R127" i="31"/>
  <c r="R128" i="31"/>
  <c r="R141" i="31"/>
  <c r="R142" i="31"/>
  <c r="R143" i="31"/>
  <c r="R147" i="31"/>
  <c r="R148" i="31"/>
  <c r="R149" i="31"/>
  <c r="R150" i="31"/>
  <c r="R151" i="31"/>
  <c r="R152" i="31"/>
  <c r="R153" i="31"/>
  <c r="R154" i="31"/>
  <c r="R155" i="31"/>
  <c r="R156" i="31"/>
  <c r="R157" i="31"/>
  <c r="R158" i="31"/>
  <c r="R159" i="31"/>
  <c r="R160" i="31"/>
  <c r="R161" i="31"/>
  <c r="R3" i="31"/>
  <c r="R2" i="31"/>
  <c r="Q39" i="31"/>
  <c r="Q40" i="31"/>
  <c r="N511" i="17" s="1"/>
  <c r="Q41" i="31"/>
  <c r="N592" i="17" s="1"/>
  <c r="Q51" i="31"/>
  <c r="Q121" i="31"/>
  <c r="Q122" i="31"/>
  <c r="Q156" i="31"/>
  <c r="Q157" i="31"/>
  <c r="Q158" i="31"/>
  <c r="Q15" i="31"/>
  <c r="E15" i="30"/>
  <c r="O33" i="31" s="1"/>
  <c r="E22" i="30"/>
  <c r="E23" i="30"/>
  <c r="O34" i="31" s="1"/>
  <c r="O36" i="31" s="1"/>
  <c r="P36" i="31" s="1"/>
  <c r="Q62" i="31"/>
  <c r="N608" i="17" s="1"/>
  <c r="Q68" i="31"/>
  <c r="Q71" i="31"/>
  <c r="E37" i="30"/>
  <c r="O84" i="31" s="1"/>
  <c r="O85" i="31" s="1"/>
  <c r="P85" i="31" s="1"/>
  <c r="E38" i="30"/>
  <c r="O93" i="31" s="1"/>
  <c r="O94" i="31" s="1"/>
  <c r="P94" i="31" s="1"/>
  <c r="E39" i="30"/>
  <c r="E40" i="30"/>
  <c r="E41" i="30"/>
  <c r="E44" i="30"/>
  <c r="E45" i="30"/>
  <c r="O126" i="31" s="1"/>
  <c r="O127" i="31" s="1"/>
  <c r="P127" i="31" s="1"/>
  <c r="E46" i="30"/>
  <c r="E47" i="30"/>
  <c r="E48" i="30"/>
  <c r="E49" i="30"/>
  <c r="E50" i="30"/>
  <c r="E52" i="30"/>
  <c r="O95" i="31" l="1"/>
  <c r="P95" i="31" s="1"/>
  <c r="O38" i="31"/>
  <c r="Q36" i="31"/>
  <c r="O128" i="31"/>
  <c r="P128" i="31" s="1"/>
  <c r="O86" i="31"/>
  <c r="P86" i="31" s="1"/>
  <c r="N565" i="17"/>
  <c r="N646" i="17"/>
  <c r="N610" i="17"/>
  <c r="N609" i="17"/>
  <c r="O147" i="31"/>
  <c r="O148" i="31" s="1"/>
  <c r="P148" i="31" s="1"/>
  <c r="O111" i="31"/>
  <c r="O112" i="31" s="1"/>
  <c r="P112" i="31" s="1"/>
  <c r="O48" i="31"/>
  <c r="O49" i="31" s="1"/>
  <c r="P49" i="31" s="1"/>
  <c r="O123" i="31"/>
  <c r="O124" i="31" s="1"/>
  <c r="P124" i="31" s="1"/>
  <c r="O35" i="31"/>
  <c r="P35" i="31" s="1"/>
  <c r="O37" i="31"/>
  <c r="O117" i="31"/>
  <c r="O118" i="31" s="1"/>
  <c r="P118" i="31" s="1"/>
  <c r="O159" i="31"/>
  <c r="O160" i="31" s="1"/>
  <c r="P160" i="31" s="1"/>
  <c r="O153" i="31"/>
  <c r="O154" i="31" s="1"/>
  <c r="P154" i="31" s="1"/>
  <c r="O114" i="31"/>
  <c r="O115" i="31" s="1"/>
  <c r="P115" i="31" s="1"/>
  <c r="O150" i="31"/>
  <c r="O151" i="31" s="1"/>
  <c r="P151" i="31" s="1"/>
  <c r="O141" i="31"/>
  <c r="O142" i="31" s="1"/>
  <c r="P142" i="31" s="1"/>
  <c r="N179" i="17"/>
  <c r="N59" i="17"/>
  <c r="N591" i="17"/>
  <c r="D591" i="17" s="1"/>
  <c r="Q35" i="31"/>
  <c r="Q11" i="31"/>
  <c r="N572" i="17" s="1"/>
  <c r="Q120" i="31"/>
  <c r="Q22" i="31"/>
  <c r="N8" i="17" s="1"/>
  <c r="Q56" i="31"/>
  <c r="Q30" i="31"/>
  <c r="N23" i="17" s="1"/>
  <c r="Q7" i="31"/>
  <c r="Q53" i="31"/>
  <c r="N600" i="17" s="1"/>
  <c r="Q23" i="31"/>
  <c r="N20" i="17" s="1"/>
  <c r="Q59" i="31"/>
  <c r="Q29" i="31"/>
  <c r="N11" i="17" s="1"/>
  <c r="Q4" i="31"/>
  <c r="Q52" i="31"/>
  <c r="N519" i="17" s="1"/>
  <c r="I47" i="29"/>
  <c r="Q46" i="31"/>
  <c r="N562" i="17" s="1"/>
  <c r="Q45" i="31"/>
  <c r="Q2" i="31"/>
  <c r="N2" i="17" s="1"/>
  <c r="Q150" i="31"/>
  <c r="Q66" i="31"/>
  <c r="Q147" i="31"/>
  <c r="Q12" i="31"/>
  <c r="Q75" i="31"/>
  <c r="Q153" i="31"/>
  <c r="Q72" i="31"/>
  <c r="Q78" i="31"/>
  <c r="Q93" i="31"/>
  <c r="Q54" i="31"/>
  <c r="Q60" i="31"/>
  <c r="Q84" i="31"/>
  <c r="Q69" i="31"/>
  <c r="Q48" i="31"/>
  <c r="Q14" i="31"/>
  <c r="I48" i="29"/>
  <c r="I71" i="29"/>
  <c r="I73" i="29"/>
  <c r="I72" i="29"/>
  <c r="I74" i="29"/>
  <c r="G96" i="29"/>
  <c r="G64" i="29"/>
  <c r="G66" i="29"/>
  <c r="G65" i="29"/>
  <c r="P38" i="31" l="1"/>
  <c r="Q38" i="31" s="1"/>
  <c r="P37" i="31"/>
  <c r="Q37" i="31" s="1"/>
  <c r="N587" i="17" s="1"/>
  <c r="O119" i="31"/>
  <c r="O152" i="31"/>
  <c r="Q151" i="31"/>
  <c r="O50" i="31"/>
  <c r="Q49" i="31"/>
  <c r="O161" i="31"/>
  <c r="Q160" i="31"/>
  <c r="O149" i="31"/>
  <c r="O143" i="31"/>
  <c r="Q142" i="31"/>
  <c r="O125" i="31"/>
  <c r="O116" i="31"/>
  <c r="Q115" i="31"/>
  <c r="O113" i="31"/>
  <c r="O155" i="31"/>
  <c r="Q154" i="31"/>
  <c r="N569" i="17"/>
  <c r="N497" i="17"/>
  <c r="Q148" i="31"/>
  <c r="N568" i="17"/>
  <c r="N601" i="17"/>
  <c r="N506" i="17"/>
  <c r="N604" i="17"/>
  <c r="I15" i="29"/>
  <c r="I14" i="29"/>
  <c r="Q159" i="31"/>
  <c r="Q117" i="31"/>
  <c r="Q114" i="31"/>
  <c r="Q141" i="31"/>
  <c r="N510" i="17"/>
  <c r="D510" i="17" s="1"/>
  <c r="N276" i="17"/>
  <c r="N329" i="17"/>
  <c r="N180" i="17"/>
  <c r="E180" i="17" s="1"/>
  <c r="N284" i="17"/>
  <c r="N300" i="17"/>
  <c r="N292" i="17"/>
  <c r="N185" i="17"/>
  <c r="E185" i="17" s="1"/>
  <c r="N181" i="17"/>
  <c r="E181" i="17" s="1"/>
  <c r="N182" i="17"/>
  <c r="E182" i="17" s="1"/>
  <c r="N125" i="17"/>
  <c r="N134" i="17"/>
  <c r="N161" i="17"/>
  <c r="N122" i="17"/>
  <c r="N248" i="17"/>
  <c r="N131" i="17"/>
  <c r="N68" i="17"/>
  <c r="N221" i="17"/>
  <c r="N128" i="17"/>
  <c r="N60" i="17"/>
  <c r="N188" i="17"/>
  <c r="N38" i="17"/>
  <c r="E38" i="17" s="1"/>
  <c r="N36" i="17"/>
  <c r="D36" i="17" s="1"/>
  <c r="N37" i="17"/>
  <c r="E37" i="17" s="1"/>
  <c r="N27" i="17"/>
  <c r="E27" i="17" s="1"/>
  <c r="N41" i="17"/>
  <c r="D41" i="17" s="1"/>
  <c r="N43" i="17"/>
  <c r="E43" i="17" s="1"/>
  <c r="N42" i="17"/>
  <c r="E42" i="17" s="1"/>
  <c r="Q5" i="31"/>
  <c r="N14" i="17" s="1"/>
  <c r="Q95" i="31"/>
  <c r="Q58" i="31"/>
  <c r="Q10" i="31"/>
  <c r="Q118" i="31"/>
  <c r="Q123" i="31"/>
  <c r="N297" i="17" s="1"/>
  <c r="Q3" i="31"/>
  <c r="N487" i="17" s="1"/>
  <c r="Q111" i="31"/>
  <c r="Q47" i="31"/>
  <c r="Q127" i="31"/>
  <c r="Q13" i="31"/>
  <c r="N578" i="17" s="1"/>
  <c r="Q34" i="31"/>
  <c r="Q126" i="31"/>
  <c r="Q85" i="31"/>
  <c r="N536" i="17" s="1"/>
  <c r="Q124" i="31"/>
  <c r="N546" i="17" s="1"/>
  <c r="Q33" i="31"/>
  <c r="Q57" i="31"/>
  <c r="Q61" i="31"/>
  <c r="N527" i="17" s="1"/>
  <c r="Q6" i="31"/>
  <c r="N488" i="17" s="1"/>
  <c r="Q70" i="31"/>
  <c r="Q67" i="31"/>
  <c r="Q16" i="31"/>
  <c r="Q73" i="31"/>
  <c r="Q128" i="31"/>
  <c r="N628" i="17" s="1"/>
  <c r="Q86" i="31"/>
  <c r="N617" i="17" s="1"/>
  <c r="Q94" i="31"/>
  <c r="Q112" i="31"/>
  <c r="Q19" i="31"/>
  <c r="Q55" i="31"/>
  <c r="G68" i="29"/>
  <c r="G67" i="29"/>
  <c r="H109" i="29"/>
  <c r="H110" i="29" s="1"/>
  <c r="H111" i="29" s="1"/>
  <c r="G102" i="29"/>
  <c r="G103" i="29" s="1"/>
  <c r="G104" i="29" s="1"/>
  <c r="G105" i="29" s="1"/>
  <c r="H84" i="29"/>
  <c r="H85" i="29" s="1"/>
  <c r="H86" i="29" s="1"/>
  <c r="H87" i="29" s="1"/>
  <c r="H58" i="29"/>
  <c r="H59" i="29" s="1"/>
  <c r="H60" i="29" s="1"/>
  <c r="H61" i="29" s="1"/>
  <c r="H29" i="29"/>
  <c r="H30" i="29" s="1"/>
  <c r="N549" i="17" l="1"/>
  <c r="P116" i="31"/>
  <c r="Q116" i="31" s="1"/>
  <c r="N623" i="17" s="1"/>
  <c r="P50" i="31"/>
  <c r="Q50" i="31" s="1"/>
  <c r="N596" i="17" s="1"/>
  <c r="P125" i="31"/>
  <c r="Q125" i="31" s="1"/>
  <c r="P152" i="31"/>
  <c r="Q152" i="31" s="1"/>
  <c r="P143" i="31"/>
  <c r="Q143" i="31" s="1"/>
  <c r="P119" i="31"/>
  <c r="Q119" i="31" s="1"/>
  <c r="N620" i="17" s="1"/>
  <c r="P149" i="31"/>
  <c r="Q149" i="31" s="1"/>
  <c r="N630" i="17" s="1"/>
  <c r="P155" i="31"/>
  <c r="Q155" i="31" s="1"/>
  <c r="P113" i="31"/>
  <c r="Q113" i="31" s="1"/>
  <c r="P161" i="31"/>
  <c r="Q161" i="31" s="1"/>
  <c r="N599" i="17"/>
  <c r="D599" i="17" s="1"/>
  <c r="N548" i="17"/>
  <c r="N529" i="17"/>
  <c r="N491" i="17"/>
  <c r="N523" i="17"/>
  <c r="N550" i="17"/>
  <c r="N539" i="17"/>
  <c r="N547" i="17"/>
  <c r="N618" i="17"/>
  <c r="N515" i="17"/>
  <c r="N301" i="17"/>
  <c r="N538" i="17"/>
  <c r="N542" i="17"/>
  <c r="N520" i="17"/>
  <c r="N530" i="17"/>
  <c r="N643" i="17"/>
  <c r="N537" i="17"/>
  <c r="N528" i="17"/>
  <c r="N285" i="17"/>
  <c r="N330" i="17"/>
  <c r="N293" i="17"/>
  <c r="N223" i="17"/>
  <c r="D223" i="17" s="1"/>
  <c r="N224" i="17"/>
  <c r="D224" i="17" s="1"/>
  <c r="N70" i="17"/>
  <c r="E70" i="17" s="1"/>
  <c r="N152" i="17"/>
  <c r="N155" i="17"/>
  <c r="N100" i="17"/>
  <c r="N97" i="17"/>
  <c r="N49" i="17" s="1"/>
  <c r="N328" i="17"/>
  <c r="N291" i="17"/>
  <c r="N283" i="17"/>
  <c r="N307" i="17"/>
  <c r="N326" i="17"/>
  <c r="N289" i="17"/>
  <c r="N273" i="17"/>
  <c r="N316" i="17"/>
  <c r="N282" i="17"/>
  <c r="N290" i="17"/>
  <c r="N298" i="17"/>
  <c r="N327" i="17"/>
  <c r="N479" i="17"/>
  <c r="D479" i="17" s="1"/>
  <c r="N230" i="17"/>
  <c r="N227" i="17"/>
  <c r="D227" i="17" s="1"/>
  <c r="N222" i="17"/>
  <c r="D222" i="17" s="1"/>
  <c r="N239" i="17"/>
  <c r="N194" i="17"/>
  <c r="E194" i="17" s="1"/>
  <c r="N191" i="17"/>
  <c r="E191" i="17" s="1"/>
  <c r="N190" i="17"/>
  <c r="E190" i="17" s="1"/>
  <c r="N189" i="17"/>
  <c r="E189" i="17" s="1"/>
  <c r="N164" i="17"/>
  <c r="E164" i="17" s="1"/>
  <c r="N166" i="17"/>
  <c r="E166" i="17" s="1"/>
  <c r="N165" i="17"/>
  <c r="E165" i="17" s="1"/>
  <c r="N167" i="17"/>
  <c r="E167" i="17" s="1"/>
  <c r="N162" i="17"/>
  <c r="E162" i="17" s="1"/>
  <c r="N163" i="17"/>
  <c r="E163" i="17" s="1"/>
  <c r="N200" i="17"/>
  <c r="N209" i="17"/>
  <c r="N63" i="17"/>
  <c r="N212" i="17"/>
  <c r="N69" i="17"/>
  <c r="E69" i="17" s="1"/>
  <c r="N170" i="17"/>
  <c r="N17" i="17"/>
  <c r="N5" i="17"/>
  <c r="N26" i="17"/>
  <c r="D26" i="17" s="1"/>
  <c r="N28" i="17"/>
  <c r="E28" i="17" s="1"/>
  <c r="N80" i="17"/>
  <c r="D80" i="17" s="1"/>
  <c r="J3" i="18"/>
  <c r="J4" i="18"/>
  <c r="H31" i="29"/>
  <c r="H32" i="29" s="1"/>
  <c r="H33" i="29" s="1"/>
  <c r="H34" i="29" s="1"/>
  <c r="H102" i="29"/>
  <c r="H45" i="29"/>
  <c r="H46" i="29" s="1"/>
  <c r="H47" i="29" s="1"/>
  <c r="H48" i="29" s="1"/>
  <c r="H71" i="29"/>
  <c r="H72" i="29" s="1"/>
  <c r="H73" i="29" s="1"/>
  <c r="H74" i="29" s="1"/>
  <c r="H79" i="29"/>
  <c r="H80" i="29" s="1"/>
  <c r="H65" i="29"/>
  <c r="H66" i="29" s="1"/>
  <c r="H67" i="29" s="1"/>
  <c r="H68" i="29" s="1"/>
  <c r="H92" i="29"/>
  <c r="H93" i="29" s="1"/>
  <c r="H98" i="29"/>
  <c r="H99" i="29" s="1"/>
  <c r="G97" i="29"/>
  <c r="G58" i="29"/>
  <c r="G59" i="29" s="1"/>
  <c r="G60" i="29" s="1"/>
  <c r="G61" i="29" s="1"/>
  <c r="G29" i="29"/>
  <c r="G45" i="29"/>
  <c r="N51" i="17" l="1"/>
  <c r="E51" i="17" s="1"/>
  <c r="D49" i="17"/>
  <c r="N322" i="17"/>
  <c r="N629" i="17"/>
  <c r="N317" i="17"/>
  <c r="N627" i="17"/>
  <c r="N315" i="17"/>
  <c r="N631" i="17"/>
  <c r="N319" i="17"/>
  <c r="N158" i="17"/>
  <c r="N619" i="17"/>
  <c r="N311" i="17"/>
  <c r="N616" i="17"/>
  <c r="D616" i="17" s="1"/>
  <c r="N535" i="17"/>
  <c r="D535" i="17" s="1"/>
  <c r="N518" i="17"/>
  <c r="D518" i="17" s="1"/>
  <c r="N545" i="17"/>
  <c r="D545" i="17" s="1"/>
  <c r="I7" i="29"/>
  <c r="N65" i="17" s="1"/>
  <c r="E65" i="17" s="1"/>
  <c r="N64" i="17"/>
  <c r="E64" i="17" s="1"/>
  <c r="N272" i="17"/>
  <c r="D272" i="17" s="1"/>
  <c r="N288" i="17"/>
  <c r="D288" i="17" s="1"/>
  <c r="N296" i="17"/>
  <c r="D296" i="17" s="1"/>
  <c r="N325" i="17"/>
  <c r="D325" i="17" s="1"/>
  <c r="N473" i="17"/>
  <c r="D473" i="17" s="1"/>
  <c r="N280" i="17"/>
  <c r="D280" i="17" s="1"/>
  <c r="N147" i="17"/>
  <c r="D147" i="17" s="1"/>
  <c r="N175" i="17"/>
  <c r="E175" i="17" s="1"/>
  <c r="N173" i="17"/>
  <c r="E173" i="17" s="1"/>
  <c r="N172" i="17"/>
  <c r="E172" i="17" s="1"/>
  <c r="N176" i="17"/>
  <c r="E176" i="17" s="1"/>
  <c r="N171" i="17"/>
  <c r="N174" i="17"/>
  <c r="E174" i="17" s="1"/>
  <c r="N215" i="17"/>
  <c r="E215" i="17" s="1"/>
  <c r="N218" i="17"/>
  <c r="E218" i="17" s="1"/>
  <c r="N216" i="17"/>
  <c r="E216" i="17" s="1"/>
  <c r="N217" i="17"/>
  <c r="E217" i="17" s="1"/>
  <c r="N214" i="17"/>
  <c r="E214" i="17" s="1"/>
  <c r="N243" i="17"/>
  <c r="E243" i="17" s="1"/>
  <c r="N241" i="17"/>
  <c r="E241" i="17" s="1"/>
  <c r="N244" i="17"/>
  <c r="E244" i="17" s="1"/>
  <c r="N245" i="17"/>
  <c r="E245" i="17" s="1"/>
  <c r="N242" i="17"/>
  <c r="D242" i="17" s="1"/>
  <c r="N203" i="17"/>
  <c r="E203" i="17" s="1"/>
  <c r="N206" i="17"/>
  <c r="E206" i="17" s="1"/>
  <c r="N202" i="17"/>
  <c r="E202" i="17" s="1"/>
  <c r="N204" i="17"/>
  <c r="E204" i="17" s="1"/>
  <c r="N205" i="17"/>
  <c r="E205" i="17" s="1"/>
  <c r="N232" i="17"/>
  <c r="E232" i="17" s="1"/>
  <c r="N235" i="17"/>
  <c r="E235" i="17" s="1"/>
  <c r="N236" i="17"/>
  <c r="E236" i="17" s="1"/>
  <c r="N234" i="17"/>
  <c r="E234" i="17" s="1"/>
  <c r="N113" i="17"/>
  <c r="D113" i="17" s="1"/>
  <c r="N103" i="17"/>
  <c r="D103" i="17" s="1"/>
  <c r="N81" i="17"/>
  <c r="E81" i="17" s="1"/>
  <c r="N32" i="17"/>
  <c r="E32" i="17" s="1"/>
  <c r="N33" i="17"/>
  <c r="E33" i="17" s="1"/>
  <c r="N31" i="17"/>
  <c r="D31" i="17" s="1"/>
  <c r="N82" i="17"/>
  <c r="E82" i="17" s="1"/>
  <c r="J82" i="18"/>
  <c r="C82" i="18" s="1"/>
  <c r="H103" i="29"/>
  <c r="G98" i="29"/>
  <c r="G30" i="29"/>
  <c r="G46" i="29"/>
  <c r="G83" i="29"/>
  <c r="G90" i="29"/>
  <c r="G77" i="29"/>
  <c r="G23" i="29"/>
  <c r="H23" i="29"/>
  <c r="H24" i="29" s="1"/>
  <c r="H25" i="29" s="1"/>
  <c r="H26" i="29" s="1"/>
  <c r="N333" i="17" l="1"/>
  <c r="D333" i="17" s="1"/>
  <c r="E171" i="17"/>
  <c r="N626" i="17"/>
  <c r="D626" i="17" s="1"/>
  <c r="N314" i="17"/>
  <c r="N389" i="17"/>
  <c r="D389" i="17" s="1"/>
  <c r="N352" i="17"/>
  <c r="D352" i="17" s="1"/>
  <c r="N408" i="17"/>
  <c r="D408" i="17" s="1"/>
  <c r="N54" i="17"/>
  <c r="D54" i="17" s="1"/>
  <c r="J58" i="18"/>
  <c r="B58" i="18" s="1"/>
  <c r="N308" i="17"/>
  <c r="D308" i="17" s="1"/>
  <c r="N355" i="17"/>
  <c r="D355" i="17" s="1"/>
  <c r="N305" i="17"/>
  <c r="D305" i="17" s="1"/>
  <c r="N306" i="17"/>
  <c r="D306" i="17" s="1"/>
  <c r="N340" i="17"/>
  <c r="E340" i="17" s="1"/>
  <c r="N338" i="17"/>
  <c r="E338" i="17" s="1"/>
  <c r="N336" i="17"/>
  <c r="E336" i="17" s="1"/>
  <c r="N337" i="17"/>
  <c r="E337" i="17" s="1"/>
  <c r="N343" i="17"/>
  <c r="D343" i="17" s="1"/>
  <c r="N114" i="17"/>
  <c r="E114" i="17" s="1"/>
  <c r="N116" i="17"/>
  <c r="E116" i="17" s="1"/>
  <c r="N115" i="17"/>
  <c r="E115" i="17" s="1"/>
  <c r="N119" i="17"/>
  <c r="N107" i="17"/>
  <c r="E107" i="17" s="1"/>
  <c r="N104" i="17"/>
  <c r="E104" i="17" s="1"/>
  <c r="N110" i="17"/>
  <c r="E110" i="17" s="1"/>
  <c r="J5" i="18"/>
  <c r="C5" i="18" s="1"/>
  <c r="J2" i="18"/>
  <c r="B2" i="18" s="1"/>
  <c r="H104" i="29"/>
  <c r="G99" i="29"/>
  <c r="G108" i="29"/>
  <c r="G84" i="29"/>
  <c r="G47" i="29"/>
  <c r="H18" i="29"/>
  <c r="H19" i="29" s="1"/>
  <c r="H20" i="29" s="1"/>
  <c r="N404" i="17" l="1"/>
  <c r="D404" i="17" s="1"/>
  <c r="D314" i="17"/>
  <c r="J91" i="18"/>
  <c r="C91" i="18" s="1"/>
  <c r="E119" i="17"/>
  <c r="J78" i="18"/>
  <c r="B78" i="18" s="1"/>
  <c r="N386" i="17"/>
  <c r="D386" i="17" s="1"/>
  <c r="N419" i="17"/>
  <c r="D419" i="17" s="1"/>
  <c r="N416" i="17"/>
  <c r="D416" i="17" s="1"/>
  <c r="N446" i="17"/>
  <c r="D446" i="17" s="1"/>
  <c r="N449" i="17"/>
  <c r="D449" i="17" s="1"/>
  <c r="B79" i="35"/>
  <c r="Q76" i="31" s="1"/>
  <c r="N484" i="17"/>
  <c r="D484" i="17" s="1"/>
  <c r="N142" i="17"/>
  <c r="D142" i="17" s="1"/>
  <c r="N304" i="17"/>
  <c r="N137" i="17"/>
  <c r="D137" i="17" s="1"/>
  <c r="N56" i="17"/>
  <c r="E56" i="17" s="1"/>
  <c r="H105" i="29"/>
  <c r="G48" i="29"/>
  <c r="G32" i="29"/>
  <c r="G91" i="29"/>
  <c r="G109" i="29"/>
  <c r="G78" i="29"/>
  <c r="G24" i="29"/>
  <c r="G85" i="29"/>
  <c r="N461" i="17" l="1"/>
  <c r="D461" i="17" s="1"/>
  <c r="D304" i="17"/>
  <c r="N531" i="17"/>
  <c r="B84" i="35"/>
  <c r="I133" i="29" s="1"/>
  <c r="B80" i="35"/>
  <c r="B83" i="35"/>
  <c r="B82" i="35"/>
  <c r="B78" i="35"/>
  <c r="I128" i="29" s="1"/>
  <c r="I3" i="29"/>
  <c r="I129" i="29"/>
  <c r="N427" i="17"/>
  <c r="E427" i="17" s="1"/>
  <c r="N421" i="17"/>
  <c r="E421" i="17" s="1"/>
  <c r="N424" i="17"/>
  <c r="E424" i="17" s="1"/>
  <c r="N426" i="17"/>
  <c r="E426" i="17" s="1"/>
  <c r="N469" i="17"/>
  <c r="E469" i="17" s="1"/>
  <c r="N466" i="17"/>
  <c r="E466" i="17" s="1"/>
  <c r="N463" i="17"/>
  <c r="E463" i="17" s="1"/>
  <c r="N55" i="17"/>
  <c r="I103" i="29"/>
  <c r="I102" i="29"/>
  <c r="I105" i="29"/>
  <c r="I104" i="29"/>
  <c r="G34" i="29"/>
  <c r="G33" i="29"/>
  <c r="G80" i="29"/>
  <c r="G79" i="29"/>
  <c r="G87" i="29"/>
  <c r="G86" i="29"/>
  <c r="G110" i="29"/>
  <c r="G18" i="29"/>
  <c r="G25" i="29"/>
  <c r="G93" i="29"/>
  <c r="G92" i="29"/>
  <c r="I2" i="29" l="1"/>
  <c r="E55" i="17"/>
  <c r="I131" i="29"/>
  <c r="N411" i="17" s="1"/>
  <c r="E411" i="17" s="1"/>
  <c r="Q79" i="31"/>
  <c r="I132" i="29"/>
  <c r="N412" i="17" s="1"/>
  <c r="E412" i="17" s="1"/>
  <c r="Q80" i="31"/>
  <c r="N613" i="17" s="1"/>
  <c r="I130" i="29"/>
  <c r="N409" i="17" s="1"/>
  <c r="E409" i="17" s="1"/>
  <c r="Q77" i="31"/>
  <c r="B77" i="35"/>
  <c r="Q74" i="31" s="1"/>
  <c r="B81" i="35"/>
  <c r="N467" i="17"/>
  <c r="E467" i="17" s="1"/>
  <c r="N462" i="17"/>
  <c r="E462" i="17" s="1"/>
  <c r="N457" i="17"/>
  <c r="E457" i="17" s="1"/>
  <c r="N456" i="17"/>
  <c r="E456" i="17" s="1"/>
  <c r="N454" i="17"/>
  <c r="E454" i="17" s="1"/>
  <c r="N451" i="17"/>
  <c r="E451" i="17" s="1"/>
  <c r="G26" i="29"/>
  <c r="G111" i="29"/>
  <c r="N612" i="17" l="1"/>
  <c r="N260" i="17"/>
  <c r="N532" i="17"/>
  <c r="N269" i="17"/>
  <c r="N611" i="17"/>
  <c r="N251" i="17"/>
  <c r="N455" i="17"/>
  <c r="E455" i="17" s="1"/>
  <c r="N450" i="17"/>
  <c r="E450" i="17" s="1"/>
  <c r="G19" i="29"/>
  <c r="N526" i="17" l="1"/>
  <c r="D526" i="17" s="1"/>
  <c r="N607" i="17"/>
  <c r="D607" i="17" s="1"/>
  <c r="N266" i="17"/>
  <c r="E266" i="17" s="1"/>
  <c r="N264" i="17"/>
  <c r="E264" i="17" s="1"/>
  <c r="N265" i="17"/>
  <c r="E265" i="17" s="1"/>
  <c r="N262" i="17"/>
  <c r="E262" i="17" s="1"/>
  <c r="N256" i="17"/>
  <c r="E256" i="17" s="1"/>
  <c r="N255" i="17"/>
  <c r="E255" i="17" s="1"/>
  <c r="N257" i="17"/>
  <c r="E257" i="17" s="1"/>
  <c r="N253" i="17"/>
  <c r="E253" i="17" s="1"/>
  <c r="G20" i="29"/>
  <c r="N370" i="17" l="1"/>
  <c r="D370" i="17" s="1"/>
  <c r="N373" i="17"/>
  <c r="D373" i="17" s="1"/>
  <c r="N358" i="17"/>
  <c r="D358" i="17" s="1"/>
  <c r="N361" i="17"/>
  <c r="D361" i="17" s="1"/>
  <c r="N364" i="17"/>
  <c r="D364" i="17" s="1"/>
  <c r="N367" i="17"/>
  <c r="D367" i="17" s="1"/>
  <c r="N349" i="17"/>
  <c r="D349" i="17" s="1"/>
  <c r="N346" i="17"/>
  <c r="D346" i="17" s="1"/>
  <c r="J80" i="18" l="1"/>
  <c r="C80" i="18" s="1"/>
  <c r="J81" i="18"/>
  <c r="C81" i="18" s="1"/>
  <c r="J79" i="18"/>
  <c r="C79" i="18" s="1"/>
  <c r="J83" i="18"/>
  <c r="C83" i="18" s="1"/>
  <c r="N431" i="17"/>
  <c r="D431" i="17" s="1"/>
  <c r="N434" i="17"/>
  <c r="D434" i="17" s="1"/>
  <c r="N439" i="17" l="1"/>
  <c r="E439" i="17" s="1"/>
  <c r="N442" i="17"/>
  <c r="E442" i="17" s="1"/>
  <c r="N436" i="17"/>
  <c r="E436" i="17" s="1"/>
  <c r="N441" i="17"/>
  <c r="E441" i="17" s="1"/>
  <c r="N73" i="17"/>
  <c r="E73" i="17" s="1"/>
  <c r="N440" i="17" l="1"/>
  <c r="E440" i="17" s="1"/>
  <c r="J104" i="18"/>
  <c r="C104" i="18" s="1"/>
  <c r="N435" i="17"/>
  <c r="E435" i="17" s="1"/>
  <c r="J102" i="18"/>
  <c r="C102" i="18" s="1"/>
  <c r="J98" i="18" l="1"/>
  <c r="C98" i="18" s="1"/>
  <c r="J85" i="18"/>
  <c r="C85" i="18" s="1"/>
  <c r="N413" i="17" l="1"/>
  <c r="E413" i="17" s="1"/>
  <c r="J105" i="18"/>
  <c r="C105" i="18" s="1"/>
  <c r="J106" i="18" l="1"/>
  <c r="C106" i="18" s="1"/>
  <c r="N410" i="17"/>
  <c r="E410" i="17" s="1"/>
  <c r="J103" i="18" l="1"/>
  <c r="C103" i="18" s="1"/>
  <c r="J97" i="18"/>
  <c r="C97" i="18" s="1"/>
  <c r="N406" i="17" l="1"/>
  <c r="E406" i="17" s="1"/>
  <c r="N405" i="17" l="1"/>
  <c r="E405" i="17" s="1"/>
  <c r="N476" i="17"/>
  <c r="E476" i="17" s="1"/>
  <c r="J77" i="18" l="1"/>
  <c r="C77" i="18" s="1"/>
  <c r="N425" i="17"/>
  <c r="E425" i="17" s="1"/>
  <c r="J76" i="18" l="1"/>
  <c r="C76" i="18" s="1"/>
  <c r="N420" i="17"/>
  <c r="E420" i="1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730A86-14EF-4DE7-BD77-1F704AA1DDAF}" keepAlive="1" name="Query - Aggregate_Flow_Ratio" description="Connection to the 'Aggregate_Flow_Ratio' query in the workbook." type="5" refreshedVersion="8" background="1" saveData="1">
    <dbPr connection="Provider=Microsoft.Mashup.OleDb.1;Data Source=$Workbook$;Location=Aggregate_Flow_Ratio;Extended Properties=&quot;&quot;" command="SELECT * FROM [Aggregate_Flow_Ratio]"/>
  </connection>
  <connection id="2" xr16:uid="{B14FFACE-B548-403A-AC2F-2F969ACABA9B}" keepAlive="1" name="Query - Aggregate_Flow_Ratio (2)" description="Connection to the 'Aggregate_Flow_Ratio (2)' query in the workbook." type="5" refreshedVersion="8" background="1" saveData="1">
    <dbPr connection="Provider=Microsoft.Mashup.OleDb.1;Data Source=$Workbook$;Location=&quot;Aggregate_Flow_Ratio (2)&quot;;Extended Properties=&quot;&quot;" command="SELECT * FROM [Aggregate_Flow_Ratio (2)]"/>
  </connection>
  <connection id="3" xr16:uid="{F7E8F87F-B80C-48D6-B33C-0A77FBF02B97}" keepAlive="1" name="Query - Aggregate_Flow_Ratio (3)" description="Connection to the 'Aggregate_Flow_Ratio (3)' query in the workbook." type="5" refreshedVersion="8" background="1" saveData="1">
    <dbPr connection="Provider=Microsoft.Mashup.OleDb.1;Data Source=$Workbook$;Location=&quot;Aggregate_Flow_Ratio (3)&quot;;Extended Properties=&quot;&quot;" command="SELECT * FROM [Aggregate_Flow_Ratio (3)]"/>
  </connection>
  <connection id="4" xr16:uid="{5CBEE075-38AD-48C8-A964-782B2C96F60A}" keepAlive="1" name="Query - Aggregate_Flow_Ratio (4)" description="Connection to the 'Aggregate_Flow_Ratio (4)' query in the workbook." type="5" refreshedVersion="8" background="1" saveData="1">
    <dbPr connection="Provider=Microsoft.Mashup.OleDb.1;Data Source=$Workbook$;Location=&quot;Aggregate_Flow_Ratio (4)&quot;;Extended Properties=&quot;&quot;" command="SELECT * FROM [Aggregate_Flow_Ratio (4)]"/>
  </connection>
  <connection id="5" xr16:uid="{56817C5D-F69B-4BFB-A95E-958C54CE6DC0}" keepAlive="1" name="Query - Aggregate_Flow_Ratio (5)" description="Connection to the 'Aggregate_Flow_Ratio (5)' query in the workbook." type="5" refreshedVersion="8" background="1" saveData="1">
    <dbPr connection="Provider=Microsoft.Mashup.OleDb.1;Data Source=$Workbook$;Location=&quot;Aggregate_Flow_Ratio (5)&quot;;Extended Properties=&quot;&quot;" command="SELECT * FROM [Aggregate_Flow_Ratio (5)]"/>
  </connection>
  <connection id="6" xr16:uid="{BECA6531-9241-4ACA-B3DE-CE8949E0C8E9}" keepAlive="1" name="Query - Aggregate_Flow_Simple_V8" description="Connection to the 'Aggregate_Flow_Simple_V8' query in the workbook." type="5" refreshedVersion="8" background="1" saveData="1">
    <dbPr connection="Provider=Microsoft.Mashup.OleDb.1;Data Source=$Workbook$;Location=Aggregate_Flow_Simple_V8;Extended Properties=&quot;&quot;" command="SELECT * FROM [Aggregate_Flow_Simple_V8]"/>
  </connection>
  <connection id="7" xr16:uid="{6203680E-D968-4962-8A95-41CB599F68DA}" keepAlive="1" name="Query - aluminiumflow" description="Connection to the 'aluminiumflow' query in the workbook." type="5" refreshedVersion="8" background="1" saveData="1">
    <dbPr connection="Provider=Microsoft.Mashup.OleDb.1;Data Source=$Workbook$;Location=aluminiumflow;Extended Properties=&quot;&quot;" command="SELECT * FROM [aluminiumflow]"/>
  </connection>
  <connection id="8" xr16:uid="{4FE396FF-372D-48D6-81F1-5780BF3BE557}" keepAlive="1" name="Query - aluminiumflow (10)" description="Connection to the 'aluminiumflow (10)' query in the workbook." type="5" refreshedVersion="8" background="1" saveData="1">
    <dbPr connection="Provider=Microsoft.Mashup.OleDb.1;Data Source=$Workbook$;Location=&quot;aluminiumflow (10)&quot;;Extended Properties=&quot;&quot;" command="SELECT * FROM [aluminiumflow (10)]"/>
  </connection>
  <connection id="9" xr16:uid="{10823CBD-E709-4BD1-BA72-AA90C4F9D8FA}" keepAlive="1" name="Query - aluminiumflow (11)" description="Connection to the 'aluminiumflow (11)' query in the workbook." type="5" refreshedVersion="8" background="1" saveData="1">
    <dbPr connection="Provider=Microsoft.Mashup.OleDb.1;Data Source=$Workbook$;Location=&quot;aluminiumflow (11)&quot;;Extended Properties=&quot;&quot;" command="SELECT * FROM [aluminiumflow (11)]"/>
  </connection>
  <connection id="10" xr16:uid="{7D9AFEB9-F6F0-41CB-A495-6A395AEE3FFB}" keepAlive="1" name="Query - aluminiumflow (12)" description="Connection to the 'aluminiumflow (12)' query in the workbook." type="5" refreshedVersion="8" background="1" saveData="1">
    <dbPr connection="Provider=Microsoft.Mashup.OleDb.1;Data Source=$Workbook$;Location=&quot;aluminiumflow (12)&quot;;Extended Properties=&quot;&quot;" command="SELECT * FROM [aluminiumflow (12)]"/>
  </connection>
  <connection id="11" xr16:uid="{06D629E1-825A-46D7-A8A6-8FD89204936B}" keepAlive="1" name="Query - aluminiumflow (13)" description="Connection to the 'aluminiumflow (13)' query in the workbook." type="5" refreshedVersion="8" background="1" saveData="1">
    <dbPr connection="Provider=Microsoft.Mashup.OleDb.1;Data Source=$Workbook$;Location=&quot;aluminiumflow (13)&quot;;Extended Properties=&quot;&quot;" command="SELECT * FROM [aluminiumflow (13)]"/>
  </connection>
  <connection id="12" xr16:uid="{D7282053-3830-4A7B-9A39-519BF917E069}" keepAlive="1" name="Query - aluminiumflow (14)" description="Connection to the 'aluminiumflow (14)' query in the workbook." type="5" refreshedVersion="8" background="1" saveData="1">
    <dbPr connection="Provider=Microsoft.Mashup.OleDb.1;Data Source=$Workbook$;Location=&quot;aluminiumflow (14)&quot;;Extended Properties=&quot;&quot;" command="SELECT * FROM [aluminiumflow (14)]"/>
  </connection>
  <connection id="13" xr16:uid="{6758936B-D291-429F-BC43-7A1D179856DC}" keepAlive="1" name="Query - aluminiumflow (15)" description="Connection to the 'aluminiumflow (15)' query in the workbook." type="5" refreshedVersion="8" background="1" saveData="1">
    <dbPr connection="Provider=Microsoft.Mashup.OleDb.1;Data Source=$Workbook$;Location=&quot;aluminiumflow (15)&quot;;Extended Properties=&quot;&quot;" command="SELECT * FROM [aluminiumflow (15)]"/>
  </connection>
  <connection id="14" xr16:uid="{78D479F1-9A97-4CBE-8C6F-58D57C0486CD}" keepAlive="1" name="Query - aluminiumflow (16)" description="Connection to the 'aluminiumflow (16)' query in the workbook." type="5" refreshedVersion="8" background="1" saveData="1">
    <dbPr connection="Provider=Microsoft.Mashup.OleDb.1;Data Source=$Workbook$;Location=&quot;aluminiumflow (16)&quot;;Extended Properties=&quot;&quot;" command="SELECT * FROM [aluminiumflow (16)]"/>
  </connection>
  <connection id="15" xr16:uid="{24AD7FDD-4545-421C-A8B2-0C28313E7DF2}" keepAlive="1" name="Query - aluminiumflow (2)" description="Connection to the 'aluminiumflow (2)' query in the workbook." type="5" refreshedVersion="8" background="1" saveData="1">
    <dbPr connection="Provider=Microsoft.Mashup.OleDb.1;Data Source=$Workbook$;Location=&quot;aluminiumflow (2)&quot;;Extended Properties=&quot;&quot;" command="SELECT * FROM [aluminiumflow (2)]"/>
  </connection>
  <connection id="16" xr16:uid="{D044C5D0-40A7-456B-B666-6D7E69E28B13}" keepAlive="1" name="Query - aluminiumflow (3)" description="Connection to the 'aluminiumflow (3)' query in the workbook." type="5" refreshedVersion="8" background="1" saveData="1">
    <dbPr connection="Provider=Microsoft.Mashup.OleDb.1;Data Source=$Workbook$;Location=&quot;aluminiumflow (3)&quot;;Extended Properties=&quot;&quot;" command="SELECT * FROM [aluminiumflow (3)]"/>
  </connection>
  <connection id="17" xr16:uid="{C050713E-7554-472D-9C60-F6CB2BF2FD71}" keepAlive="1" name="Query - aluminiumflow (4)" description="Connection to the 'aluminiumflow (4)' query in the workbook." type="5" refreshedVersion="8" background="1" saveData="1">
    <dbPr connection="Provider=Microsoft.Mashup.OleDb.1;Data Source=$Workbook$;Location=&quot;aluminiumflow (4)&quot;;Extended Properties=&quot;&quot;" command="SELECT * FROM [aluminiumflow (4)]"/>
  </connection>
  <connection id="18" xr16:uid="{FDFF40B0-46CF-48A4-A22D-AB14F8856F65}" keepAlive="1" name="Query - aluminiumflow (5)" description="Connection to the 'aluminiumflow (5)' query in the workbook." type="5" refreshedVersion="8" background="1" saveData="1">
    <dbPr connection="Provider=Microsoft.Mashup.OleDb.1;Data Source=$Workbook$;Location=&quot;aluminiumflow (5)&quot;;Extended Properties=&quot;&quot;" command="SELECT * FROM [aluminiumflow (5)]"/>
  </connection>
  <connection id="19" xr16:uid="{6FA3776F-77A3-429C-8C6E-5584B8A90F14}" keepAlive="1" name="Query - aluminiumflow (6)" description="Connection to the 'aluminiumflow (6)' query in the workbook." type="5" refreshedVersion="8" background="1" saveData="1">
    <dbPr connection="Provider=Microsoft.Mashup.OleDb.1;Data Source=$Workbook$;Location=&quot;aluminiumflow (6)&quot;;Extended Properties=&quot;&quot;" command="SELECT * FROM [aluminiumflow (6)]"/>
  </connection>
  <connection id="20" xr16:uid="{03166F5A-4151-4B9C-A204-6214E5ACAB4D}" keepAlive="1" name="Query - aluminiumflow (7)" description="Connection to the 'aluminiumflow (7)' query in the workbook." type="5" refreshedVersion="8" background="1" saveData="1">
    <dbPr connection="Provider=Microsoft.Mashup.OleDb.1;Data Source=$Workbook$;Location=&quot;aluminiumflow (7)&quot;;Extended Properties=&quot;&quot;" command="SELECT * FROM [aluminiumflow (7)]"/>
  </connection>
  <connection id="21" xr16:uid="{0D4F950B-8B83-42C4-B385-9D123AE26B0B}" keepAlive="1" name="Query - aluminiumflow (8)" description="Connection to the 'aluminiumflow (8)' query in the workbook." type="5" refreshedVersion="8" background="1" saveData="1">
    <dbPr connection="Provider=Microsoft.Mashup.OleDb.1;Data Source=$Workbook$;Location=&quot;aluminiumflow (8)&quot;;Extended Properties=&quot;&quot;" command="SELECT * FROM [aluminiumflow (8)]"/>
  </connection>
  <connection id="22" xr16:uid="{E565A070-193C-457A-BA94-3C9E469B4DEA}" keepAlive="1" name="Query - aluminiumflow (9)" description="Connection to the 'aluminiumflow (9)' query in the workbook." type="5" refreshedVersion="8" background="1" saveData="1">
    <dbPr connection="Provider=Microsoft.Mashup.OleDb.1;Data Source=$Workbook$;Location=&quot;aluminiumflow (9)&quot;;Extended Properties=&quot;&quot;" command="SELECT * FROM [aluminiumflow (9)]"/>
  </connection>
  <connection id="23" xr16:uid="{B2205286-E28D-4295-AF92-9154CB0D8D26}" keepAlive="1" name="Query - aluminiumstock" description="Connection to the 'aluminiumstock' query in the workbook." type="5" refreshedVersion="8" background="1" saveData="1">
    <dbPr connection="Provider=Microsoft.Mashup.OleDb.1;Data Source=$Workbook$;Location=aluminiumstock;Extended Properties=&quot;&quot;" command="SELECT * FROM [aluminiumstock]"/>
  </connection>
  <connection id="24" xr16:uid="{FD097B80-0552-41F6-B8BB-E231CB1B1CC6}" keepAlive="1" name="Query - aluminiumstock (2)" description="Connection to the 'aluminiumstock (2)' query in the workbook." type="5" refreshedVersion="8" background="1" saveData="1">
    <dbPr connection="Provider=Microsoft.Mashup.OleDb.1;Data Source=$Workbook$;Location=&quot;aluminiumstock (2)&quot;;Extended Properties=&quot;&quot;" command="SELECT * FROM [aluminiumstock (2)]"/>
  </connection>
  <connection id="25" xr16:uid="{62C6DC9D-A9AA-4455-8ECA-0530038F5C61}" keepAlive="1" name="Query - aluminiumstock (3)" description="Connection to the 'aluminiumstock (3)' query in the workbook." type="5" refreshedVersion="8" background="1" saveData="1">
    <dbPr connection="Provider=Microsoft.Mashup.OleDb.1;Data Source=$Workbook$;Location=&quot;aluminiumstock (3)&quot;;Extended Properties=&quot;&quot;" command="SELECT * FROM [aluminiumstock (3)]"/>
  </connection>
  <connection id="26" xr16:uid="{4D1CDE0E-AF24-4D81-8B89-2BB55ADAD7EA}" keepAlive="1" name="Query - aluminiumstock (4)" description="Connection to the 'aluminiumstock (4)' query in the workbook." type="5" refreshedVersion="8" background="1" saveData="1">
    <dbPr connection="Provider=Microsoft.Mashup.OleDb.1;Data Source=$Workbook$;Location=&quot;aluminiumstock (4)&quot;;Extended Properties=&quot;&quot;" command="SELECT * FROM [aluminiumstock (4)]"/>
  </connection>
  <connection id="27" xr16:uid="{248332D1-1671-4D4C-AEA0-CBFAB756E0F7}" keepAlive="1" name="Query - aluminiumstock (5)" description="Connection to the 'aluminiumstock (5)' query in the workbook." type="5" refreshedVersion="8" background="1" saveData="1">
    <dbPr connection="Provider=Microsoft.Mashup.OleDb.1;Data Source=$Workbook$;Location=&quot;aluminiumstock (5)&quot;;Extended Properties=&quot;&quot;" command="SELECT * FROM [aluminiumstock (5)]"/>
  </connection>
  <connection id="28" xr16:uid="{28D748E2-FAA4-40BF-A3EF-AD3FEBA286E0}" keepAlive="1" name="Query - aluminiumstock (6)" description="Connection to the 'aluminiumstock (6)' query in the workbook." type="5" refreshedVersion="8" background="1" saveData="1">
    <dbPr connection="Provider=Microsoft.Mashup.OleDb.1;Data Source=$Workbook$;Location=&quot;aluminiumstock (6)&quot;;Extended Properties=&quot;&quot;" command="SELECT * FROM [aluminiumstock (6)]"/>
  </connection>
  <connection id="29" xr16:uid="{A0AEF2E6-0E89-48B9-9413-FE479F88A553}" keepAlive="1" name="Query - aluminiumstock (7)" description="Connection to the 'aluminiumstock (7)' query in the workbook." type="5" refreshedVersion="8" background="1" saveData="1">
    <dbPr connection="Provider=Microsoft.Mashup.OleDb.1;Data Source=$Workbook$;Location=&quot;aluminiumstock (7)&quot;;Extended Properties=&quot;&quot;" command="SELECT * FROM [aluminiumstock (7)]"/>
  </connection>
  <connection id="30" xr16:uid="{616D9705-2605-46DE-80CA-7EBC5B9B916C}" keepAlive="1" name="Query - aluminiumstock (8)" description="Connection to the 'aluminiumstock (8)' query in the workbook." type="5" refreshedVersion="8" background="1" saveData="1">
    <dbPr connection="Provider=Microsoft.Mashup.OleDb.1;Data Source=$Workbook$;Location=&quot;aluminiumstock (8)&quot;;Extended Properties=&quot;&quot;" command="SELECT * FROM [aluminiumstock (8)]"/>
  </connection>
  <connection id="31" xr16:uid="{FA1D405B-2EC8-4309-9FE6-1DA3B16001D1}" keepAlive="1" name="Query - aluminiumstock (9)" description="Connection to the 'aluminiumstock (9)' query in the workbook." type="5" refreshedVersion="8" background="1" saveData="1">
    <dbPr connection="Provider=Microsoft.Mashup.OleDb.1;Data Source=$Workbook$;Location=&quot;aluminiumstock (9)&quot;;Extended Properties=&quot;&quot;" command="SELECT * FROM [aluminiumstock (9)]"/>
  </connection>
</connections>
</file>

<file path=xl/sharedStrings.xml><?xml version="1.0" encoding="utf-8"?>
<sst xmlns="http://schemas.openxmlformats.org/spreadsheetml/2006/main" count="11313" uniqueCount="631">
  <si>
    <t>quantity</t>
  </si>
  <si>
    <t>time</t>
  </si>
  <si>
    <t>location</t>
  </si>
  <si>
    <t>nan</t>
  </si>
  <si>
    <t>Process</t>
  </si>
  <si>
    <t>massconserved</t>
  </si>
  <si>
    <t>Processnumber</t>
  </si>
  <si>
    <t>ParentProcess</t>
  </si>
  <si>
    <t>Subprocessnumbers</t>
  </si>
  <si>
    <t>Other-simple-processed-wood</t>
  </si>
  <si>
    <t>From</t>
  </si>
  <si>
    <t>to</t>
  </si>
  <si>
    <t>Flownumberfrom</t>
  </si>
  <si>
    <t>Flownumberto</t>
  </si>
  <si>
    <t>ParentProcessFlowfrom</t>
  </si>
  <si>
    <t>ParentProcessFlowto</t>
  </si>
  <si>
    <t>Subprocessnumbersfrom</t>
  </si>
  <si>
    <t>Subprocessnumbersto</t>
  </si>
  <si>
    <t>1</t>
  </si>
  <si>
    <t>2021</t>
  </si>
  <si>
    <t>From_top</t>
  </si>
  <si>
    <t>To_top</t>
  </si>
  <si>
    <t>Processnumbersfromtop</t>
  </si>
  <si>
    <t>Processnumberstotop</t>
  </si>
  <si>
    <t>From_bottom</t>
  </si>
  <si>
    <t>To_bottom</t>
  </si>
  <si>
    <t>Processnumbersfrombottom</t>
  </si>
  <si>
    <t>Processnumberstobottom</t>
  </si>
  <si>
    <t>ratio</t>
  </si>
  <si>
    <t>pw-wood-chips-and-particles</t>
  </si>
  <si>
    <t>pw-bark</t>
  </si>
  <si>
    <t>use-paper</t>
  </si>
  <si>
    <t>use-packaging</t>
  </si>
  <si>
    <t>use-construction</t>
  </si>
  <si>
    <t>use-furniture</t>
  </si>
  <si>
    <t>use-chemical</t>
  </si>
  <si>
    <t>sp-further-processed-sawnwood</t>
  </si>
  <si>
    <t>sp-wooden-wrapping-and-packaging-material</t>
  </si>
  <si>
    <t>sp-other-manufactured-wood-products</t>
  </si>
  <si>
    <t>sp-engineered-structural-timber-products</t>
  </si>
  <si>
    <t>sp-other-construction-timber</t>
  </si>
  <si>
    <t>sp-wooden-furniture</t>
  </si>
  <si>
    <t>wood-pulp-production</t>
  </si>
  <si>
    <t>other-pulp</t>
  </si>
  <si>
    <t>wbp-plywood</t>
  </si>
  <si>
    <t>wbp-particle-board</t>
  </si>
  <si>
    <t>wbp-oriented-strand-board-OSB</t>
  </si>
  <si>
    <t>wood-pellets-and-agglomerates-pr</t>
  </si>
  <si>
    <t>sawnwood-pr</t>
  </si>
  <si>
    <t>veneer-sheet-pr</t>
  </si>
  <si>
    <t>paper-and-paperboard-pr</t>
  </si>
  <si>
    <t>secondary-wood-pr</t>
  </si>
  <si>
    <t>wood-based-panels-pr</t>
  </si>
  <si>
    <t>wcp-wood-chips-and-particles</t>
  </si>
  <si>
    <t>wcp-wood-residues</t>
  </si>
  <si>
    <t>wsp-wood-charcoal</t>
  </si>
  <si>
    <t>wsp-other-simple-processed-wood</t>
  </si>
  <si>
    <t>use-other-use</t>
  </si>
  <si>
    <t>production-waste</t>
  </si>
  <si>
    <t>use</t>
  </si>
  <si>
    <t>e-o-l-waste</t>
  </si>
  <si>
    <t>hrv-wood-fuel</t>
  </si>
  <si>
    <t>hrv-sawlogs-and-veneer-logs</t>
  </si>
  <si>
    <t>hrv-pulpwood-round-and-split-and-wood-for-wood-based-panels</t>
  </si>
  <si>
    <t>hrv-other-industrial-roundwood</t>
  </si>
  <si>
    <t>wood-chips-and-particles-general</t>
  </si>
  <si>
    <t>wood-simply-processed</t>
  </si>
  <si>
    <t>pp-sanitary-and-household-papers</t>
  </si>
  <si>
    <t>pp-packaging-materials</t>
  </si>
  <si>
    <t>pp-other-paper-and-paperboard</t>
  </si>
  <si>
    <t>wpp-mechanical-pulp</t>
  </si>
  <si>
    <t>wpp-chemical-pulp</t>
  </si>
  <si>
    <t>wpp-dissolving-pulp</t>
  </si>
  <si>
    <t>pw-sanding-and-sawdust</t>
  </si>
  <si>
    <t>pw-loss</t>
  </si>
  <si>
    <t>wbp-fibreboard-softboard</t>
  </si>
  <si>
    <t>wbp-oriented-strand-board-osb</t>
  </si>
  <si>
    <t>wpp-recycling-pulp</t>
  </si>
  <si>
    <t>pp-newsprint</t>
  </si>
  <si>
    <t>pp-printing-writing</t>
  </si>
  <si>
    <t>pw-pulp-waste</t>
  </si>
  <si>
    <t>odmt/mt</t>
  </si>
  <si>
    <t>Other paper and paperboard n.e.s.</t>
  </si>
  <si>
    <t>Other papers mainly for packaging</t>
  </si>
  <si>
    <t>Cartonboard</t>
  </si>
  <si>
    <t>Case materials</t>
  </si>
  <si>
    <t>Household and sanitary papers</t>
  </si>
  <si>
    <t>Other paper and paperboard</t>
  </si>
  <si>
    <t>Printing and writing papers</t>
  </si>
  <si>
    <t>Newsprint</t>
  </si>
  <si>
    <t>Conversion Factor</t>
  </si>
  <si>
    <t>unit in/unit out</t>
  </si>
  <si>
    <t>Moisture content
(%)</t>
  </si>
  <si>
    <t>Wood chips and particles</t>
  </si>
  <si>
    <t>Area</t>
  </si>
  <si>
    <t>Recovered fibre pulp</t>
  </si>
  <si>
    <t>Pulp from fibres other than wood</t>
  </si>
  <si>
    <t>Dissolving wood pulp</t>
  </si>
  <si>
    <t>Chemical wood pulp</t>
  </si>
  <si>
    <t>Mechanical and semi-chemical wood pulp</t>
  </si>
  <si>
    <r>
      <t>odmt/m</t>
    </r>
    <r>
      <rPr>
        <vertAlign val="superscript"/>
        <sz val="10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</si>
  <si>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Fibreboard, soft</t>
  </si>
  <si>
    <t>Fibreboard, medium/high</t>
  </si>
  <si>
    <t>Fibreboard, hard</t>
  </si>
  <si>
    <t>OSB</t>
  </si>
  <si>
    <t>Particle board</t>
  </si>
  <si>
    <t>Plywood</t>
  </si>
  <si>
    <t>Wood content (%)</t>
  </si>
  <si>
    <r>
      <t>Product basic density
(kg/m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)</t>
    </r>
  </si>
  <si>
    <t>Wood-based panels</t>
  </si>
  <si>
    <t>Veneer sheets</t>
  </si>
  <si>
    <t>Sawnwood, non-coniferous all</t>
  </si>
  <si>
    <t>Sawnwood, coniferous</t>
  </si>
  <si>
    <t>Moisture content (%)</t>
  </si>
  <si>
    <t>Sawnwood</t>
  </si>
  <si>
    <t>Other agglomerates</t>
  </si>
  <si>
    <t>Wood pellets</t>
  </si>
  <si>
    <t>Wood residues</t>
  </si>
  <si>
    <r>
      <t>Wood basic density
(dry weight of wood/green 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 xml:space="preserve"> wood only)</t>
    </r>
  </si>
  <si>
    <t>Wood charcoal</t>
  </si>
  <si>
    <t>Sawlogs and veneer logs, non-coniferous</t>
  </si>
  <si>
    <t>Sawlogs and veneer logs, coniferous</t>
  </si>
  <si>
    <r>
      <t>odmt/m</t>
    </r>
    <r>
      <rPr>
        <vertAlign val="superscript"/>
        <sz val="10"/>
        <color theme="1"/>
        <rFont val="Arial"/>
        <family val="2"/>
      </rPr>
      <t>3</t>
    </r>
  </si>
  <si>
    <t>Wood fuel, non-coniferous</t>
  </si>
  <si>
    <t>Wood fuel, coniferous</t>
  </si>
  <si>
    <t>Roundwood</t>
  </si>
  <si>
    <t>Other paper and paperboard n.e.s. (not elsewhere specified)</t>
  </si>
  <si>
    <t>Export Quantity</t>
  </si>
  <si>
    <t>Forestry Production and Trade</t>
  </si>
  <si>
    <t>FO</t>
  </si>
  <si>
    <t>Import Quantity</t>
  </si>
  <si>
    <t>Production</t>
  </si>
  <si>
    <t>Wrapping papers</t>
  </si>
  <si>
    <t>Wrapping and packaging paper and paperboard (1961-1997)</t>
  </si>
  <si>
    <t>Printing and writing papers, coated</t>
  </si>
  <si>
    <t>Printing and writing papers, uncoated, wood free</t>
  </si>
  <si>
    <t>Printing and writing papers, uncoated, mechanical</t>
  </si>
  <si>
    <t>Recovered paper</t>
  </si>
  <si>
    <t>Chemical wood pulp, sulphite, bleached</t>
  </si>
  <si>
    <t>Chemical wood pulp, sulphite, unbleached</t>
  </si>
  <si>
    <t>Chemical wood pulp, sulphite</t>
  </si>
  <si>
    <t>Chemical wood pulp, sulphate, bleached</t>
  </si>
  <si>
    <t>Chemical wood pulp, sulphate, unbleached</t>
  </si>
  <si>
    <t>Semi-chemical wood pulp</t>
  </si>
  <si>
    <t>Mechanical wood pulp</t>
  </si>
  <si>
    <t>Fibreboard, compressed (1961-1994)</t>
  </si>
  <si>
    <t>m3</t>
  </si>
  <si>
    <t>Other fibreboard</t>
  </si>
  <si>
    <t>MDF/HDF</t>
  </si>
  <si>
    <t>Hardboard</t>
  </si>
  <si>
    <t>Particle board and OSB (1961-1994)</t>
  </si>
  <si>
    <t>Recovered post-consumer wood</t>
  </si>
  <si>
    <t>Other industrial roundwood, all species (export/import, 1961-1989)</t>
  </si>
  <si>
    <t>Other industrial roundwood, non-coniferous (production)</t>
  </si>
  <si>
    <t>Other industrial roundwood, coniferous (production)</t>
  </si>
  <si>
    <t>Pulpwood and particles, non-coniferous (production, 1961-1997)</t>
  </si>
  <si>
    <t>Pulpwood and particles, coniferous (production, 1961-1997)</t>
  </si>
  <si>
    <t>Pulpwood, round and split, all species (export/import, 1961-1989)</t>
  </si>
  <si>
    <t>Pulpwood, round and split, non-coniferous (production)</t>
  </si>
  <si>
    <t>Pulpwood, round and split, coniferous (production)</t>
  </si>
  <si>
    <t>Industrial roundwood, non-coniferous non-tropical (export/import)</t>
  </si>
  <si>
    <t>Industrial roundwood, non-coniferous tropical (export/import)</t>
  </si>
  <si>
    <t>Industrial roundwood, coniferous (export/import)</t>
  </si>
  <si>
    <t>Wood fuel, all species (export/import, 1961-2016)</t>
  </si>
  <si>
    <t>Value [odmt]</t>
  </si>
  <si>
    <t>Flag Description</t>
  </si>
  <si>
    <t>Flag</t>
  </si>
  <si>
    <t>Value</t>
  </si>
  <si>
    <t>Unit</t>
  </si>
  <si>
    <t>Year</t>
  </si>
  <si>
    <t>Year Code</t>
  </si>
  <si>
    <t>Item</t>
  </si>
  <si>
    <t>Item Code</t>
  </si>
  <si>
    <t>Element</t>
  </si>
  <si>
    <t>Element Code</t>
  </si>
  <si>
    <t>Domain</t>
  </si>
  <si>
    <t>Domain Code</t>
  </si>
  <si>
    <t>Element Code, Item Code</t>
  </si>
  <si>
    <t>Flow</t>
  </si>
  <si>
    <t>wsp-other-simply-processed-wood</t>
  </si>
  <si>
    <t>wbp-fibreboard-hardboard</t>
  </si>
  <si>
    <t>Shrinkage</t>
  </si>
  <si>
    <t>Chips</t>
  </si>
  <si>
    <t>Loss</t>
  </si>
  <si>
    <t>Residues</t>
  </si>
  <si>
    <t>Recoverable bark*</t>
  </si>
  <si>
    <t>Plywood/Veneer</t>
  </si>
  <si>
    <t>OSB panel</t>
  </si>
  <si>
    <t>Shrinkage(densification)</t>
  </si>
  <si>
    <t>Mechanical pulp</t>
  </si>
  <si>
    <t>Chemical</t>
  </si>
  <si>
    <t>Dissolving pulp</t>
  </si>
  <si>
    <t>Recycling pulp</t>
  </si>
  <si>
    <t>Fibreboard, all</t>
  </si>
  <si>
    <t>Paper and paperboard production, all</t>
  </si>
  <si>
    <t>Loss for recovery</t>
  </si>
  <si>
    <t>Wood simply worked or processed</t>
  </si>
  <si>
    <r>
      <t>Yield ratio ɳ</t>
    </r>
    <r>
      <rPr>
        <vertAlign val="subscript"/>
        <sz val="10"/>
        <color theme="1"/>
        <rFont val="Arial"/>
        <family val="2"/>
      </rPr>
      <t>ss</t>
    </r>
  </si>
  <si>
    <r>
      <t>Yield ratio ɳ</t>
    </r>
    <r>
      <rPr>
        <vertAlign val="subscript"/>
        <sz val="10"/>
        <color theme="1"/>
        <rFont val="Arial"/>
        <family val="2"/>
      </rPr>
      <t>sh</t>
    </r>
  </si>
  <si>
    <r>
      <t>Yield ratio ɳ</t>
    </r>
    <r>
      <rPr>
        <vertAlign val="subscript"/>
        <sz val="10"/>
        <color theme="1"/>
        <rFont val="Arial"/>
        <family val="2"/>
      </rPr>
      <t>pb</t>
    </r>
  </si>
  <si>
    <r>
      <t>Yield ratio ɳ</t>
    </r>
    <r>
      <rPr>
        <vertAlign val="subscript"/>
        <sz val="10"/>
        <color theme="1"/>
        <rFont val="Arial"/>
        <family val="2"/>
      </rPr>
      <t>osb</t>
    </r>
  </si>
  <si>
    <r>
      <t>Yield ratio ɳ</t>
    </r>
    <r>
      <rPr>
        <vertAlign val="subscript"/>
        <sz val="10"/>
        <color theme="1"/>
        <rFont val="Arial"/>
        <family val="2"/>
      </rPr>
      <t>fb</t>
    </r>
  </si>
  <si>
    <r>
      <t>Yield ratio ɳ</t>
    </r>
    <r>
      <rPr>
        <vertAlign val="subscript"/>
        <sz val="10"/>
        <color theme="1"/>
        <rFont val="Arial"/>
        <family val="2"/>
      </rPr>
      <t>mp</t>
    </r>
  </si>
  <si>
    <r>
      <t>Yield ratio ɳ</t>
    </r>
    <r>
      <rPr>
        <vertAlign val="subscript"/>
        <sz val="10"/>
        <color theme="1"/>
        <rFont val="Arial"/>
        <family val="2"/>
      </rPr>
      <t>cp</t>
    </r>
  </si>
  <si>
    <r>
      <t>Yield ratio ɳ</t>
    </r>
    <r>
      <rPr>
        <vertAlign val="subscript"/>
        <sz val="10"/>
        <color theme="1"/>
        <rFont val="Arial"/>
        <family val="2"/>
      </rPr>
      <t>dp</t>
    </r>
  </si>
  <si>
    <r>
      <t>Yield ratio ɳ</t>
    </r>
    <r>
      <rPr>
        <vertAlign val="subscript"/>
        <sz val="10"/>
        <color theme="1"/>
        <rFont val="Arial"/>
        <family val="2"/>
      </rPr>
      <t>rp</t>
    </r>
  </si>
  <si>
    <r>
      <t>Yield ratio ɳ</t>
    </r>
    <r>
      <rPr>
        <vertAlign val="subscript"/>
        <sz val="10"/>
        <color theme="1"/>
        <rFont val="Arial"/>
        <family val="2"/>
      </rPr>
      <t>pp</t>
    </r>
  </si>
  <si>
    <r>
      <t>Yield ratio ɳ</t>
    </r>
    <r>
      <rPr>
        <vertAlign val="subscript"/>
        <sz val="10"/>
        <color theme="1"/>
        <rFont val="Arial"/>
        <family val="2"/>
      </rPr>
      <t>sw</t>
    </r>
  </si>
  <si>
    <r>
      <t>Yield ratio ɳ</t>
    </r>
    <r>
      <rPr>
        <vertAlign val="subscript"/>
        <sz val="10"/>
        <color theme="1"/>
        <rFont val="Arial"/>
        <family val="2"/>
      </rPr>
      <t>wsp</t>
    </r>
  </si>
  <si>
    <t>wbp-fibreboard-mdf-hdf</t>
  </si>
  <si>
    <t>0-1-2</t>
  </si>
  <si>
    <t>harvesting-roundwood</t>
  </si>
  <si>
    <t>harvesting-cork</t>
  </si>
  <si>
    <t>No Flow</t>
  </si>
  <si>
    <t>data-info</t>
  </si>
  <si>
    <t>https://www.fao.org/3/ca7952en/CA7952EN.pdf</t>
  </si>
  <si>
    <t>Comment</t>
  </si>
  <si>
    <t>General information</t>
  </si>
  <si>
    <t>Reference</t>
  </si>
  <si>
    <r>
      <t>Green swe to oven-dry tonne (m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/odmt)</t>
    </r>
  </si>
  <si>
    <t>Wood Pellets and Other Agglomerates</t>
  </si>
  <si>
    <t>Wood Pulps</t>
  </si>
  <si>
    <t>Paper and paperboard</t>
  </si>
  <si>
    <r>
      <t>Yield ratio ɳ</t>
    </r>
    <r>
      <rPr>
        <vertAlign val="subscript"/>
        <sz val="10"/>
        <color theme="1"/>
        <rFont val="Arial"/>
        <family val="2"/>
      </rPr>
      <t>wchc</t>
    </r>
  </si>
  <si>
    <t>Sawnwood, non-coniferous</t>
  </si>
  <si>
    <t>Secondary wood production, all</t>
  </si>
  <si>
    <t>(Ewijk et. al., 2017)</t>
  </si>
  <si>
    <t>https://doi.org/10.1111/jiec.12613</t>
  </si>
  <si>
    <t>https://api.environdec.com/api/v1/EPDLibrary/Files/2263eda0-231e-412c-91e4-0a1894bf1a5d/Data</t>
  </si>
  <si>
    <t>0.1</t>
  </si>
  <si>
    <t>0.8</t>
  </si>
  <si>
    <t>http://www.journalcra.com/article/simple-determination-physical-and-thermal-properties-basis-design-and-analysis-waste-energy</t>
  </si>
  <si>
    <t>Recoverable Wood Products</t>
  </si>
  <si>
    <t>quantity-prior</t>
  </si>
  <si>
    <t>FAOSTAT</t>
  </si>
  <si>
    <t>No Change</t>
  </si>
  <si>
    <t>13-14</t>
  </si>
  <si>
    <t>General assumption according to the secondary wood products EPDs.
Non-hazardous waste disposal value at the manufacturing stage is assumed as wood waste.</t>
  </si>
  <si>
    <t>https://wwfeu.awsassets.panda.org/downloads/wwf_briefing_eutr.pdf</t>
  </si>
  <si>
    <t>Calculation based on flow balance.</t>
  </si>
  <si>
    <t>Calculation based on ratio data.</t>
  </si>
  <si>
    <t>Estimation based on sawnwood production.</t>
  </si>
  <si>
    <t>pw-paper-waste</t>
  </si>
  <si>
    <t>https://europanels.org/the-wood-based-panel-industry/types-of-wood-based-panels-economic-impact/plywood/</t>
  </si>
  <si>
    <t>https://europanels.org/the-wood-based-panel-industry/types-of-wood-based-panels-economic-impact/hardboard/</t>
  </si>
  <si>
    <t>https://europanels.org/the-wood-based-panel-industry/types-of-wood-based-panels-economic-impact/particleboard/</t>
  </si>
  <si>
    <t>https://europanels.org/the-wood-based-panel-industry/types-of-wood-based-panels-economic-impact/medium-density-fibreboard/</t>
  </si>
  <si>
    <t>https://europanels.org/the-wood-based-panel-industry/types-of-wood-based-panels-economic-impact/oriented-strand-board/</t>
  </si>
  <si>
    <t>Conversion factor,
cubic metre roundwood/product tonne (m3rw/tonne):</t>
  </si>
  <si>
    <t xml:space="preserve">Woodfuel density (kg/m3): </t>
  </si>
  <si>
    <t>Yield ratio</t>
  </si>
  <si>
    <t>The amount of roundwood
to product 1 tonne of wood charcoal (tonne)</t>
  </si>
  <si>
    <t>Materials for recycling (kg)</t>
  </si>
  <si>
    <t>Product density (kg/m3)</t>
  </si>
  <si>
    <t>Non-hazardous waste disposal (kg)</t>
  </si>
  <si>
    <t>Based on sample EPD.</t>
  </si>
  <si>
    <t>Based on sample EPD. Only production stage is considered.</t>
  </si>
  <si>
    <t>Product mass (odmt)</t>
  </si>
  <si>
    <t>Total mass with other wastes (odmt)</t>
  </si>
  <si>
    <t>Wood pellets and other agglomerates</t>
  </si>
  <si>
    <r>
      <t>Yield ratio ɳ</t>
    </r>
    <r>
      <rPr>
        <vertAlign val="subscript"/>
        <sz val="10"/>
        <color theme="1"/>
        <rFont val="Arial"/>
        <family val="2"/>
      </rPr>
      <t>wpoa</t>
    </r>
  </si>
  <si>
    <t>Conversion factor,
Solid wood m3 per tonne pellets</t>
  </si>
  <si>
    <t>Wood pellets moisture content (%)</t>
  </si>
  <si>
    <t>The amount of roundwood
to product 1 tonne of wood charcoal (odmt)</t>
  </si>
  <si>
    <t>Pulpwood, round and split, basic density (kg/m3)</t>
  </si>
  <si>
    <t>hrv-wood-fuel-softwood</t>
  </si>
  <si>
    <t>hrv-wood-fuel-hardwood</t>
  </si>
  <si>
    <t>hrv-sawlogs-and-veneer-logs-softwood</t>
  </si>
  <si>
    <t>hrv-sawlogs-and-veneer-logs-hardwood</t>
  </si>
  <si>
    <t>0</t>
  </si>
  <si>
    <t>hrv-pulpwood-wbp-softwood</t>
  </si>
  <si>
    <t>hrv-pulpwood-rwbp-hardwood</t>
  </si>
  <si>
    <t>hrv-other-industrial-roundwood-softwood</t>
  </si>
  <si>
    <t>hrv-other-industrial-roundwood-hardwood</t>
  </si>
  <si>
    <t>sawnwood-softwood</t>
  </si>
  <si>
    <t>sawnwood-hardwood</t>
  </si>
  <si>
    <t>2</t>
  </si>
  <si>
    <t>3</t>
  </si>
  <si>
    <t>4</t>
  </si>
  <si>
    <t>5</t>
  </si>
  <si>
    <t>6</t>
  </si>
  <si>
    <t>wbp-fibreboard</t>
  </si>
  <si>
    <t>sp-construction-timber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</si>
  <si>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</si>
  <si>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</si>
  <si>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</si>
  <si>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</si>
  <si>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</si>
  <si>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</si>
  <si>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</si>
  <si>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</si>
  <si>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</si>
  <si>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</si>
  <si>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</si>
  <si>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</si>
  <si>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</si>
  <si>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</si>
  <si>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</si>
  <si>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</si>
  <si>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</si>
  <si>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</si>
  <si>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</si>
  <si>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</si>
  <si>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</si>
  <si>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</si>
  <si>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</si>
  <si>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</si>
  <si>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</si>
  <si>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</si>
  <si>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</si>
  <si>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</si>
  <si>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</si>
  <si>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</si>
  <si>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</si>
  <si>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</si>
  <si>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</si>
  <si>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</si>
  <si>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</si>
  <si>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</si>
  <si>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</si>
  <si>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</si>
  <si>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</si>
  <si>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</si>
  <si>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</si>
  <si>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</si>
  <si>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</si>
  <si>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</si>
  <si>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</si>
  <si>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</si>
  <si>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</si>
  <si>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</si>
  <si>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</si>
  <si>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</si>
  <si>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</si>
  <si>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4-5</t>
  </si>
  <si>
    <t>6-7</t>
  </si>
  <si>
    <t>8-9</t>
  </si>
  <si>
    <t>10-11</t>
  </si>
  <si>
    <t>4-5-6-7-8-9-10-11</t>
  </si>
  <si>
    <t>58</t>
  </si>
  <si>
    <t>59</t>
  </si>
  <si>
    <t>15-16</t>
  </si>
  <si>
    <t>import</t>
  </si>
  <si>
    <t>export</t>
  </si>
  <si>
    <t>60</t>
  </si>
  <si>
    <t>61</t>
  </si>
  <si>
    <t>t</t>
  </si>
  <si>
    <t>Utility Poles, Conversion factor,
Cubic metre roundwood/cubic metre product</t>
  </si>
  <si>
    <t>General example</t>
  </si>
  <si>
    <t>Neglected.</t>
  </si>
  <si>
    <t>hrv-industrial-roundwood-softwood</t>
  </si>
  <si>
    <t>hrv-industrial-roundwood-hardwood</t>
  </si>
  <si>
    <t>6-8-10</t>
  </si>
  <si>
    <t>7-9-11</t>
  </si>
  <si>
    <t>Veneer sheets, coniferous</t>
  </si>
  <si>
    <t>Wood briquettes and other agglomerates</t>
  </si>
  <si>
    <t>62</t>
  </si>
  <si>
    <t>waste-treatment</t>
  </si>
  <si>
    <t>wt-energy-recovery</t>
  </si>
  <si>
    <t>wt-landfill</t>
  </si>
  <si>
    <t>63</t>
  </si>
  <si>
    <t>64</t>
  </si>
  <si>
    <t>18-19</t>
  </si>
  <si>
    <t>21-22-23-24-25-26</t>
  </si>
  <si>
    <t>24-25-26</t>
  </si>
  <si>
    <t>27-28-29-30</t>
  </si>
  <si>
    <t>32-33-34-35-36</t>
  </si>
  <si>
    <t>37-38-39-40-41-42</t>
  </si>
  <si>
    <t>43-44-45-46-47-48-49</t>
  </si>
  <si>
    <t>50-51-52-53-54-55</t>
  </si>
  <si>
    <t>39-40</t>
  </si>
  <si>
    <t>65</t>
  </si>
  <si>
    <t>Estimation based on the reference.</t>
  </si>
  <si>
    <t>https://www.corkqc.com/pages/industry-statistics</t>
  </si>
  <si>
    <t>Calculation based on the reference.</t>
  </si>
  <si>
    <t>66</t>
  </si>
  <si>
    <t>https://woodforgrowth.eu/facts-figures/</t>
  </si>
  <si>
    <t>Based on the reference EPD.</t>
  </si>
  <si>
    <t>e-o-l-wood-waste</t>
  </si>
  <si>
    <t>e-o-l-paper-and-paperboard-waste</t>
  </si>
  <si>
    <t>wt-open-dump</t>
  </si>
  <si>
    <t>56-57</t>
  </si>
  <si>
    <t>Anaerobic digestion</t>
  </si>
  <si>
    <t>Composting</t>
  </si>
  <si>
    <t>Incineration</t>
  </si>
  <si>
    <t>Recycling</t>
  </si>
  <si>
    <t>Landfill</t>
  </si>
  <si>
    <t>https://www.mdpi.com/2076-3417/11/10/4586</t>
  </si>
  <si>
    <t>Fraction of inputs in five main grades of paper</t>
  </si>
  <si>
    <t>Recycled pulp</t>
  </si>
  <si>
    <t>Chemical pulp</t>
  </si>
  <si>
    <t>Non-fibrous</t>
  </si>
  <si>
    <t>Printing + writing</t>
  </si>
  <si>
    <t>Sanitary + household</t>
  </si>
  <si>
    <t>Packaging</t>
  </si>
  <si>
    <t>Other</t>
  </si>
  <si>
    <t>Net addition to stock</t>
  </si>
  <si>
    <t>Non-energy recovery</t>
  </si>
  <si>
    <t>wt-non-energy-recovery</t>
  </si>
  <si>
    <t>wt-recovery</t>
  </si>
  <si>
    <t>Area Code</t>
  </si>
  <si>
    <t>Calculation based on waste data.</t>
  </si>
  <si>
    <t>Sanding and sawdust for recycling (%)</t>
  </si>
  <si>
    <t>Sanding and sawdust for disposal (%)</t>
  </si>
  <si>
    <t>wt-disposal</t>
  </si>
  <si>
    <t>58-59-60-61</t>
  </si>
  <si>
    <t>58-59-60-61-62-63-64</t>
  </si>
  <si>
    <t>wt-incineration-disposal</t>
  </si>
  <si>
    <t>62-63-64</t>
  </si>
  <si>
    <t>use-bioenergy</t>
  </si>
  <si>
    <t>Sample calculations related to production process mass balances</t>
  </si>
  <si>
    <t>Conversion factor</t>
  </si>
  <si>
    <t>Engineered structural timber products</t>
  </si>
  <si>
    <t>Conversion factors</t>
  </si>
  <si>
    <t>Mass balances for production/process stages</t>
  </si>
  <si>
    <t>Wood charcoal production</t>
  </si>
  <si>
    <t>Wood pellets and other agglomerates production</t>
  </si>
  <si>
    <t>Wood simply worked or processed production</t>
  </si>
  <si>
    <t>Sawnwood, coniferous production</t>
  </si>
  <si>
    <t>Plywood/Veneer production</t>
  </si>
  <si>
    <t>Particle board production</t>
  </si>
  <si>
    <t>OSB panel production</t>
  </si>
  <si>
    <t>Fibreboard production - all</t>
  </si>
  <si>
    <t>Mechanical pulp production</t>
  </si>
  <si>
    <t>Chemical pulp production</t>
  </si>
  <si>
    <t>Dissolving pulp production</t>
  </si>
  <si>
    <t>Recycling pulp production</t>
  </si>
  <si>
    <t>Paper and paperboard production - all</t>
  </si>
  <si>
    <t>Secondary wood production - all</t>
  </si>
  <si>
    <t>See sample calculations below.</t>
  </si>
  <si>
    <t>Paper and paperboard end-use waste</t>
  </si>
  <si>
    <t>Paper and paperboard waste</t>
  </si>
  <si>
    <t>E-o-l paper and paperboard waste treatment</t>
  </si>
  <si>
    <t>Illegal wood harvesting</t>
  </si>
  <si>
    <t>Illegal wood rate</t>
  </si>
  <si>
    <t>Energy recovery</t>
  </si>
  <si>
    <t>Incineration-disposal</t>
  </si>
  <si>
    <t>Open dump</t>
  </si>
  <si>
    <t>Fraction of wood production waste use</t>
  </si>
  <si>
    <t>Wood chips and particles use</t>
  </si>
  <si>
    <t>Bark</t>
  </si>
  <si>
    <t>Fraction of e-o-l wood waste treatment</t>
  </si>
  <si>
    <t>Recovery</t>
  </si>
  <si>
    <t>Disposal</t>
  </si>
  <si>
    <t>https://doi.org/10.1111/jiec.12612</t>
  </si>
  <si>
    <t>Controlled Landfill</t>
  </si>
  <si>
    <t>Landfill-unspecified</t>
  </si>
  <si>
    <t>Sanitary landfill</t>
  </si>
  <si>
    <t>Total landfill</t>
  </si>
  <si>
    <t>Incineration energy recovery rate</t>
  </si>
  <si>
    <t>Incineration disposal rate</t>
  </si>
  <si>
    <t>https://www.epa.gov/sites/default/files/2021-01/documents/2018_ff_fact_sheet_dec_2020_fnl_508.pdf</t>
  </si>
  <si>
    <t>Supporting percentages for material balance</t>
  </si>
  <si>
    <t>https://www.eia.gov/energyexplained/biomass/wood-and-wood-waste.php#:~:text=In%202022%2C%20about%202.1,1</t>
  </si>
  <si>
    <t>Waste treatment</t>
  </si>
  <si>
    <t>Fraction of waste treatment</t>
  </si>
  <si>
    <t>Calculation based on production mass balance.</t>
  </si>
  <si>
    <t>All dissolving pulp is assumed to be used for chemical purposes.</t>
  </si>
  <si>
    <t>Calculation based on supporting percentages.</t>
  </si>
  <si>
    <t>See the supporting percentages.</t>
  </si>
  <si>
    <t>BaMFA</t>
  </si>
  <si>
    <t>https://unece.org/forests/publications/forest-products-annual-market-review-2020-2021
https://industryedge.com.au/new-cross-laminated-timber-facility-in-australia/</t>
  </si>
  <si>
    <t>http://hdl.handle.net/10986/30317</t>
  </si>
  <si>
    <t>Area code:</t>
  </si>
  <si>
    <t>Area Code:</t>
  </si>
  <si>
    <t>OAS</t>
  </si>
  <si>
    <t>Extra-regional trade rate</t>
  </si>
  <si>
    <t>https://hbs.unctad.org/trade-structure-by-partner/#:~:text=Intra%2Dregional%20trade%20was%20most,most%20trade%20was%20extra%2Dregional.</t>
  </si>
  <si>
    <t>Asia average</t>
  </si>
  <si>
    <t>Asia</t>
  </si>
  <si>
    <t>Asia Average</t>
  </si>
  <si>
    <t>Title:</t>
  </si>
  <si>
    <t>Input dataset</t>
  </si>
  <si>
    <t xml:space="preserve">Description: </t>
  </si>
  <si>
    <t>This spreadsheet contains the input dataset for Bayesian material flow analysis (BaMFA).</t>
  </si>
  <si>
    <t>Region:</t>
  </si>
  <si>
    <t>Contents of this supporting data file (see worksheets for descriptions):</t>
  </si>
  <si>
    <t>No</t>
  </si>
  <si>
    <t>Sheet</t>
  </si>
  <si>
    <t>Title</t>
  </si>
  <si>
    <t>Description</t>
  </si>
  <si>
    <t>Contents</t>
  </si>
  <si>
    <t>Content of the spreadsheet.</t>
  </si>
  <si>
    <t>conversion-factors</t>
  </si>
  <si>
    <t>Unit conversion factors</t>
  </si>
  <si>
    <t>Unit conversion factors for wood-based products.</t>
  </si>
  <si>
    <t>production-mass-balance</t>
  </si>
  <si>
    <t>Production mass balance for wood-based products.</t>
  </si>
  <si>
    <t>waste</t>
  </si>
  <si>
    <t>Wood waste and MSW waste treatment</t>
  </si>
  <si>
    <t>Wood waste amount and MSW (Municipal solid waste) waste treatment methods' proportions in the region.</t>
  </si>
  <si>
    <t>supporting-percentages</t>
  </si>
  <si>
    <t>Supporting percentages to calculate some flows to create a complete material flow analysis.</t>
  </si>
  <si>
    <t>faostat-data</t>
  </si>
  <si>
    <t>Faostat data</t>
  </si>
  <si>
    <t>Production, import and export data for wood-based products by FAOSTAT.</t>
  </si>
  <si>
    <t>woodstock</t>
  </si>
  <si>
    <t>Changes in stocks for wood cycle</t>
  </si>
  <si>
    <t>Complete data table for 'changes in stocks' variables, including references and data classification.</t>
  </si>
  <si>
    <t>woodflow</t>
  </si>
  <si>
    <t>Flows for wood cycle</t>
  </si>
  <si>
    <t>Complete data table for 'flows' variables, including references and data classification.</t>
  </si>
  <si>
    <t>woodratio</t>
  </si>
  <si>
    <t>Transfer coefficients for wood cycle</t>
  </si>
  <si>
    <t>Complete data table for 'ratio' variables, including references.</t>
  </si>
  <si>
    <t>changesinstocks-input</t>
  </si>
  <si>
    <t>BaMFA input - changesinstocks</t>
  </si>
  <si>
    <t>BaMFA input data table for 'changesinstocks'.</t>
  </si>
  <si>
    <t>flows-input</t>
  </si>
  <si>
    <t>BaMFA input - flows</t>
  </si>
  <si>
    <t>BaMFA input data table for 'flows' .</t>
  </si>
  <si>
    <t>ratios-input</t>
  </si>
  <si>
    <t>BaMFA input - ratios</t>
  </si>
  <si>
    <t>BaMFA input data table for 'ratio'.</t>
  </si>
  <si>
    <t>Wood fuel, softwood (coniferous)</t>
  </si>
  <si>
    <t>Wood fuel, hardwood (non-coniferous)</t>
  </si>
  <si>
    <t>Industrial roundwood, softwood (coniferous)</t>
  </si>
  <si>
    <t>Industrial roundwood, hardwood (non-coniferous)</t>
  </si>
  <si>
    <t>Sawlogs and veneer logs, softwood (coniferous)</t>
  </si>
  <si>
    <t>Sawlogs and veneer logs, hardwood (non-coniferous)</t>
  </si>
  <si>
    <t>Pulpwood, round and split, softwood (coniferous)</t>
  </si>
  <si>
    <t>Pulpwood, round and split, hardwood (non-coniferous)</t>
  </si>
  <si>
    <t>Other industrial roundwood, softwood (coniferous)</t>
  </si>
  <si>
    <t>Other industrial roundwood, hardwood (non-coniferous)</t>
  </si>
  <si>
    <t>Sawnwood, softwood (coniferous)</t>
  </si>
  <si>
    <t>Sawnwood, hardwood (non-coniferous all)</t>
  </si>
  <si>
    <t>Average of available data</t>
  </si>
  <si>
    <t>Sawnwood, non-coniferous production</t>
  </si>
  <si>
    <t>Wood waste amount (mt)</t>
  </si>
  <si>
    <t>MSW (Municipal solid waste) treatment percentages</t>
  </si>
  <si>
    <t>These data are produced from World Bank waste databese (See 'waste-all' excel file)</t>
  </si>
  <si>
    <t>Recycled e-o-l wood products</t>
  </si>
  <si>
    <t>Recycled e-o-l paper and paperboard products</t>
  </si>
  <si>
    <t>Fraction of incineration type</t>
  </si>
  <si>
    <t>World Bank database waste information is adjusted according to FAOSTAT recovered paper quantity and production.</t>
  </si>
  <si>
    <t>World Bank database waste information is adjusted according to the reference.</t>
  </si>
  <si>
    <t>Estimation based on the reference and waste treatment data from World Bank.</t>
  </si>
  <si>
    <t>Value (Modmt)</t>
  </si>
  <si>
    <t>quantity-input (Modmt)</t>
  </si>
  <si>
    <t>wt-recycling-wood-products</t>
  </si>
  <si>
    <t>wt-recycling-paper</t>
  </si>
  <si>
    <t>sources-roundwood</t>
  </si>
  <si>
    <t>src-legal-sources-softwood</t>
  </si>
  <si>
    <t>src-legal-sources-hardwood</t>
  </si>
  <si>
    <t>src-illegal-sources</t>
  </si>
  <si>
    <t>sources-cork</t>
  </si>
  <si>
    <t>Calculation based on conversion factor and wood fuel density</t>
  </si>
  <si>
    <t>Average wood fuel density for this region.</t>
  </si>
  <si>
    <t>Wood residues is considered to be producted from pulpwood.</t>
  </si>
  <si>
    <t>Prior</t>
  </si>
  <si>
    <t>changesinstocks-prior-input</t>
  </si>
  <si>
    <t>BaMFA input - changesinstocks-prior</t>
  </si>
  <si>
    <t>BaMFA input data table for 'changesinstocks-prior'.</t>
  </si>
  <si>
    <t>flows-prior-input</t>
  </si>
  <si>
    <t>BaMFA input - flows-prior</t>
  </si>
  <si>
    <t>BaMFA input data table for 'flows-prior'.</t>
  </si>
  <si>
    <t>Observed</t>
  </si>
  <si>
    <t>Other Asian Countries</t>
  </si>
  <si>
    <t>Wood product and activity</t>
  </si>
  <si>
    <t>Input name</t>
  </si>
  <si>
    <t>Sources, roundwood</t>
  </si>
  <si>
    <t xml:space="preserve">Legal sources, softwood </t>
  </si>
  <si>
    <t xml:space="preserve">Legal sources, hardwood </t>
  </si>
  <si>
    <t>Illegal sources</t>
  </si>
  <si>
    <t>Sources, cork</t>
  </si>
  <si>
    <t>Harvesting, roundwood</t>
  </si>
  <si>
    <t>Harvesting, wood fuel</t>
  </si>
  <si>
    <t>Harvesting, wood fuel, softwood</t>
  </si>
  <si>
    <t>Harvesting, wood fuel, hardwood</t>
  </si>
  <si>
    <t>Harvesting, industrial roundwood, hardwood</t>
  </si>
  <si>
    <t>Harvesting, industrial roundwood, softwood</t>
  </si>
  <si>
    <t>Harvesting, sawlogs and veneer logs</t>
  </si>
  <si>
    <t>Harvesting, sawlogs and veneer logs, softwood</t>
  </si>
  <si>
    <t>Harvesting, sawlogs and veneer logs, hardwood</t>
  </si>
  <si>
    <t>Harvesting, pulpwood round and split and wood for wood-based panels</t>
  </si>
  <si>
    <t>Harvesting, pulpwood round and split and wood for wood-based panels, softwood</t>
  </si>
  <si>
    <t>Harvesting, pulpwood round and split and wood for wood-based panels, hardwood</t>
  </si>
  <si>
    <t>Harvesting, other industrial roundwood</t>
  </si>
  <si>
    <t>Harvesting, other industrial roundwood, softwood</t>
  </si>
  <si>
    <t>Harvesting, other industrial roundwood, hardwood</t>
  </si>
  <si>
    <t>Harvesting, cork</t>
  </si>
  <si>
    <t>Simply worked or processed wood products</t>
  </si>
  <si>
    <t>Other simply worked or processed wood products</t>
  </si>
  <si>
    <t>Wood chips and particles, general</t>
  </si>
  <si>
    <t>Sawnwood, softwood</t>
  </si>
  <si>
    <t xml:space="preserve">Sawnwood, hardwood </t>
  </si>
  <si>
    <t>Veneer sheet</t>
  </si>
  <si>
    <t>Oriented strand board (OSB)</t>
  </si>
  <si>
    <t>Fibreboard</t>
  </si>
  <si>
    <t>Fibreboard, hardboard</t>
  </si>
  <si>
    <t>Fibreboard, MDF-HDF</t>
  </si>
  <si>
    <t>Fibreboard, other</t>
  </si>
  <si>
    <t>Wood pulp</t>
  </si>
  <si>
    <t>Non-fibrous pulp</t>
  </si>
  <si>
    <t>Printing and writing paper</t>
  </si>
  <si>
    <t>Sanitary and household paper</t>
  </si>
  <si>
    <t>Packaging materials</t>
  </si>
  <si>
    <t>Secondary wood production</t>
  </si>
  <si>
    <t>Further-processed sawnwood</t>
  </si>
  <si>
    <t>Wooden wrapping and packaging materials</t>
  </si>
  <si>
    <t>Construction timber</t>
  </si>
  <si>
    <t>Other construction timber products</t>
  </si>
  <si>
    <t>Wooden furniture</t>
  </si>
  <si>
    <t>Other manufactured wood products</t>
  </si>
  <si>
    <t>Use</t>
  </si>
  <si>
    <t>Bioenergy use</t>
  </si>
  <si>
    <t>Paper and paperboard use</t>
  </si>
  <si>
    <t>Packaging use</t>
  </si>
  <si>
    <t>Construction use</t>
  </si>
  <si>
    <t>Furniture use</t>
  </si>
  <si>
    <t>Chemical use</t>
  </si>
  <si>
    <t>Other use</t>
  </si>
  <si>
    <t>Production waste</t>
  </si>
  <si>
    <t>Production wood chips and particles waste</t>
  </si>
  <si>
    <t>Production sanding and sawdust waste</t>
  </si>
  <si>
    <t>Production bark waste</t>
  </si>
  <si>
    <t>Production pulp waste</t>
  </si>
  <si>
    <t>Production paper and paperboard waste</t>
  </si>
  <si>
    <t>End-of-life wood waste</t>
  </si>
  <si>
    <t>End-of-life paper and paperboard waste</t>
  </si>
  <si>
    <t>Recycling, wood</t>
  </si>
  <si>
    <t>Recycling, paper and paperboard</t>
  </si>
  <si>
    <t>Import</t>
  </si>
  <si>
    <t>Export</t>
  </si>
  <si>
    <t>woodclass</t>
  </si>
  <si>
    <t>Wood product and activity classification</t>
  </si>
  <si>
    <t>Complete wood product and activity classification and their input names in the BaMFA.</t>
  </si>
  <si>
    <t>End-of-life waste</t>
  </si>
  <si>
    <t>contents</t>
  </si>
  <si>
    <t>Estimation based on the reference explanations.</t>
  </si>
  <si>
    <t>https://www.fao.org/3/cb8216en/cb8216en.pdf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</si>
</sst>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00"/>
    <numFmt numFmtId="165" formatCode="0.0%"/>
    <numFmt numFmtId="166" formatCode="#,##0.000000000"/>
    <numFmt numFmtId="167" formatCode="0.0000"/>
    <numFmt numFmtId="168" formatCode="0.000000"/>
    <numFmt numFmtId="169" formatCode="0.00000000000000%"/>
    <numFmt numFmtId="170" formatCode="0.0000000000000000%"/>
    <numFmt numFmtId="171" formatCode="0.000000000000000%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Calibri"/>
      <family val="2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ont="0" applyFill="0" applyBorder="0" applyAlignment="0" applyProtection="0"/>
  </cellStyleXfs>
  <cellXfs count="164">
    <xf numFmtId="0" fontId="0" fillId="0" borderId="0" xfId="0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4" fontId="3" fillId="0" borderId="0" xfId="0" applyNumberFormat="1" applyFont="1"/>
    <xf numFmtId="0" fontId="4" fillId="0" borderId="0" xfId="0" applyFont="1" applyAlignment="1">
      <alignment horizontal="left"/>
    </xf>
    <xf numFmtId="165" fontId="3" fillId="0" borderId="0" xfId="2" applyNumberFormat="1" applyFont="1" applyFill="1" applyBorder="1"/>
    <xf numFmtId="166" fontId="3" fillId="0" borderId="0" xfId="0" applyNumberFormat="1" applyFont="1"/>
    <xf numFmtId="167" fontId="3" fillId="0" borderId="0" xfId="0" applyNumberFormat="1" applyFont="1"/>
    <xf numFmtId="167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8" fillId="0" borderId="4" xfId="3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65" fontId="3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" fontId="3" fillId="0" borderId="0" xfId="0" applyNumberFormat="1" applyFont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0" fontId="4" fillId="0" borderId="0" xfId="0" applyFont="1"/>
    <xf numFmtId="0" fontId="4" fillId="0" borderId="7" xfId="0" applyFont="1" applyBorder="1"/>
    <xf numFmtId="0" fontId="3" fillId="0" borderId="3" xfId="0" applyFont="1" applyBorder="1"/>
    <xf numFmtId="0" fontId="3" fillId="0" borderId="5" xfId="0" applyFont="1" applyBorder="1"/>
    <xf numFmtId="165" fontId="3" fillId="0" borderId="2" xfId="2" applyNumberFormat="1" applyFont="1" applyFill="1" applyBorder="1"/>
    <xf numFmtId="0" fontId="3" fillId="0" borderId="4" xfId="0" applyFont="1" applyBorder="1"/>
    <xf numFmtId="165" fontId="3" fillId="0" borderId="1" xfId="2" applyNumberFormat="1" applyFont="1" applyFill="1" applyBorder="1"/>
    <xf numFmtId="0" fontId="3" fillId="0" borderId="6" xfId="0" applyFont="1" applyBorder="1"/>
    <xf numFmtId="0" fontId="4" fillId="0" borderId="2" xfId="0" applyFont="1" applyBorder="1"/>
    <xf numFmtId="0" fontId="4" fillId="0" borderId="8" xfId="0" applyFont="1" applyBorder="1"/>
    <xf numFmtId="165" fontId="4" fillId="0" borderId="2" xfId="2" applyNumberFormat="1" applyFont="1" applyFill="1" applyBorder="1"/>
    <xf numFmtId="0" fontId="8" fillId="0" borderId="4" xfId="3" applyBorder="1"/>
    <xf numFmtId="1" fontId="0" fillId="0" borderId="0" xfId="0" applyNumberFormat="1" applyAlignment="1">
      <alignment horizontal="left"/>
    </xf>
    <xf numFmtId="168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0" fontId="3" fillId="0" borderId="5" xfId="0" applyFont="1" applyBorder="1" applyAlignment="1">
      <alignment vertical="top"/>
    </xf>
    <xf numFmtId="165" fontId="3" fillId="0" borderId="1" xfId="2" applyNumberFormat="1" applyFont="1" applyFill="1" applyBorder="1" applyAlignment="1">
      <alignment vertical="top"/>
    </xf>
    <xf numFmtId="168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9" fontId="3" fillId="0" borderId="0" xfId="0" applyNumberFormat="1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wrapText="1"/>
    </xf>
    <xf numFmtId="164" fontId="3" fillId="0" borderId="2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4" xfId="0" applyFont="1" applyBorder="1" applyAlignment="1">
      <alignment vertical="center"/>
    </xf>
    <xf numFmtId="0" fontId="4" fillId="0" borderId="3" xfId="0" applyFont="1" applyBorder="1"/>
    <xf numFmtId="0" fontId="9" fillId="0" borderId="4" xfId="3" applyFont="1" applyBorder="1" applyAlignment="1">
      <alignment horizontal="left" vertical="center"/>
    </xf>
    <xf numFmtId="0" fontId="10" fillId="0" borderId="4" xfId="3" applyFont="1" applyBorder="1" applyAlignment="1">
      <alignment horizontal="left" vertical="center"/>
    </xf>
    <xf numFmtId="0" fontId="10" fillId="0" borderId="4" xfId="3" applyFont="1" applyBorder="1"/>
    <xf numFmtId="0" fontId="4" fillId="0" borderId="4" xfId="0" applyFont="1" applyBorder="1"/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vertical="top"/>
    </xf>
    <xf numFmtId="165" fontId="3" fillId="0" borderId="0" xfId="2" applyNumberFormat="1" applyFont="1" applyFill="1" applyBorder="1" applyAlignment="1">
      <alignment vertical="top"/>
    </xf>
    <xf numFmtId="0" fontId="4" fillId="0" borderId="3" xfId="0" applyFont="1" applyBorder="1" applyAlignment="1">
      <alignment vertical="top"/>
    </xf>
    <xf numFmtId="165" fontId="3" fillId="0" borderId="0" xfId="0" applyNumberFormat="1" applyFont="1"/>
    <xf numFmtId="0" fontId="3" fillId="0" borderId="1" xfId="0" applyFont="1" applyBorder="1" applyAlignment="1">
      <alignment horizontal="left" vertical="top" wrapText="1"/>
    </xf>
    <xf numFmtId="0" fontId="10" fillId="0" borderId="6" xfId="3" applyFont="1" applyBorder="1"/>
    <xf numFmtId="1" fontId="3" fillId="0" borderId="1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vertical="top"/>
    </xf>
    <xf numFmtId="165" fontId="3" fillId="0" borderId="10" xfId="2" applyNumberFormat="1" applyFont="1" applyFill="1" applyBorder="1" applyAlignment="1">
      <alignment vertical="top"/>
    </xf>
    <xf numFmtId="0" fontId="3" fillId="0" borderId="10" xfId="0" applyFont="1" applyBorder="1" applyAlignment="1">
      <alignment horizontal="left" vertical="top" wrapText="1"/>
    </xf>
    <xf numFmtId="0" fontId="10" fillId="0" borderId="11" xfId="3" applyFont="1" applyBorder="1"/>
    <xf numFmtId="0" fontId="3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top"/>
    </xf>
    <xf numFmtId="165" fontId="3" fillId="0" borderId="2" xfId="2" applyNumberFormat="1" applyFont="1" applyFill="1" applyBorder="1" applyAlignment="1">
      <alignment vertical="top"/>
    </xf>
    <xf numFmtId="0" fontId="3" fillId="0" borderId="2" xfId="0" applyFont="1" applyBorder="1" applyAlignment="1">
      <alignment horizontal="left" vertical="top" wrapText="1"/>
    </xf>
    <xf numFmtId="0" fontId="10" fillId="0" borderId="8" xfId="3" applyFont="1" applyBorder="1"/>
    <xf numFmtId="10" fontId="3" fillId="0" borderId="1" xfId="2" applyNumberFormat="1" applyFont="1" applyFill="1" applyBorder="1"/>
    <xf numFmtId="10" fontId="3" fillId="0" borderId="0" xfId="2" applyNumberFormat="1" applyFont="1" applyFill="1" applyBorder="1"/>
    <xf numFmtId="0" fontId="3" fillId="0" borderId="9" xfId="0" applyFont="1" applyBorder="1"/>
    <xf numFmtId="0" fontId="4" fillId="0" borderId="0" xfId="0" applyFont="1" applyAlignment="1">
      <alignment horizontal="left" vertical="center"/>
    </xf>
    <xf numFmtId="2" fontId="4" fillId="0" borderId="2" xfId="0" applyNumberFormat="1" applyFont="1" applyBorder="1" applyAlignment="1">
      <alignment horizontal="left" vertical="center" wrapText="1"/>
    </xf>
    <xf numFmtId="165" fontId="3" fillId="0" borderId="1" xfId="2" applyNumberFormat="1" applyFont="1" applyBorder="1" applyAlignment="1">
      <alignment horizontal="left"/>
    </xf>
    <xf numFmtId="0" fontId="11" fillId="0" borderId="4" xfId="3" applyFont="1" applyBorder="1" applyAlignment="1">
      <alignment horizontal="left" vertical="center"/>
    </xf>
    <xf numFmtId="0" fontId="11" fillId="0" borderId="6" xfId="3" applyFont="1" applyBorder="1" applyAlignment="1">
      <alignment horizontal="left" vertical="center"/>
    </xf>
    <xf numFmtId="170" fontId="3" fillId="0" borderId="0" xfId="0" applyNumberFormat="1" applyFont="1"/>
    <xf numFmtId="9" fontId="3" fillId="0" borderId="0" xfId="2" applyFont="1"/>
    <xf numFmtId="0" fontId="3" fillId="0" borderId="2" xfId="0" applyFont="1" applyBorder="1"/>
    <xf numFmtId="0" fontId="3" fillId="0" borderId="8" xfId="0" applyFont="1" applyBorder="1"/>
    <xf numFmtId="0" fontId="3" fillId="0" borderId="5" xfId="0" applyFont="1" applyBorder="1" applyAlignment="1">
      <alignment vertical="center" wrapText="1"/>
    </xf>
    <xf numFmtId="4" fontId="3" fillId="0" borderId="0" xfId="0" applyNumberFormat="1" applyFont="1" applyAlignment="1">
      <alignment horizontal="right"/>
    </xf>
    <xf numFmtId="4" fontId="3" fillId="0" borderId="1" xfId="2" applyNumberFormat="1" applyFont="1" applyBorder="1" applyAlignment="1">
      <alignment horizontal="right"/>
    </xf>
    <xf numFmtId="171" fontId="10" fillId="0" borderId="4" xfId="3" applyNumberFormat="1" applyFont="1" applyBorder="1"/>
    <xf numFmtId="0" fontId="0" fillId="0" borderId="0" xfId="0" applyAlignment="1">
      <alignment horizontal="right"/>
    </xf>
    <xf numFmtId="0" fontId="10" fillId="0" borderId="0" xfId="3" applyFont="1"/>
    <xf numFmtId="4" fontId="4" fillId="0" borderId="0" xfId="0" applyNumberFormat="1" applyFont="1" applyAlignment="1">
      <alignment horizontal="right" vertical="center"/>
    </xf>
    <xf numFmtId="0" fontId="4" fillId="0" borderId="3" xfId="0" applyFont="1" applyBorder="1" applyAlignment="1">
      <alignment vertical="center" wrapText="1"/>
    </xf>
    <xf numFmtId="2" fontId="4" fillId="0" borderId="0" xfId="0" applyNumberFormat="1" applyFont="1" applyAlignment="1">
      <alignment horizontal="left" vertical="center" wrapText="1"/>
    </xf>
    <xf numFmtId="2" fontId="4" fillId="0" borderId="7" xfId="0" applyNumberFormat="1" applyFont="1" applyBorder="1" applyAlignment="1">
      <alignment horizontal="left" vertical="center" wrapText="1"/>
    </xf>
    <xf numFmtId="165" fontId="3" fillId="0" borderId="5" xfId="2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10" fillId="0" borderId="0" xfId="3" applyFont="1" applyBorder="1"/>
    <xf numFmtId="165" fontId="4" fillId="0" borderId="1" xfId="2" applyNumberFormat="1" applyFont="1" applyFill="1" applyBorder="1"/>
    <xf numFmtId="0" fontId="4" fillId="0" borderId="12" xfId="0" applyFont="1" applyBorder="1" applyAlignment="1">
      <alignment horizontal="left"/>
    </xf>
    <xf numFmtId="4" fontId="4" fillId="0" borderId="13" xfId="0" applyNumberFormat="1" applyFont="1" applyBorder="1" applyAlignment="1">
      <alignment horizontal="right"/>
    </xf>
    <xf numFmtId="0" fontId="4" fillId="0" borderId="13" xfId="0" applyFont="1" applyBorder="1" applyAlignment="1">
      <alignment horizontal="left"/>
    </xf>
    <xf numFmtId="0" fontId="4" fillId="0" borderId="14" xfId="0" applyFont="1" applyBorder="1"/>
    <xf numFmtId="2" fontId="4" fillId="0" borderId="15" xfId="0" applyNumberFormat="1" applyFont="1" applyBorder="1" applyAlignment="1">
      <alignment horizontal="left" vertical="center" wrapText="1"/>
    </xf>
    <xf numFmtId="165" fontId="3" fillId="0" borderId="16" xfId="2" applyNumberFormat="1" applyFont="1" applyBorder="1" applyAlignment="1">
      <alignment horizontal="left"/>
    </xf>
    <xf numFmtId="49" fontId="3" fillId="0" borderId="0" xfId="0" applyNumberFormat="1" applyFont="1" applyAlignment="1">
      <alignment horizontal="left"/>
    </xf>
    <xf numFmtId="168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49" fontId="3" fillId="0" borderId="0" xfId="1" quotePrefix="1" applyNumberFormat="1" applyFont="1" applyAlignment="1">
      <alignment horizontal="left"/>
    </xf>
    <xf numFmtId="49" fontId="3" fillId="0" borderId="0" xfId="0" quotePrefix="1" applyNumberFormat="1" applyFont="1" applyAlignment="1">
      <alignment horizontal="left"/>
    </xf>
    <xf numFmtId="168" fontId="3" fillId="0" borderId="0" xfId="0" applyNumberFormat="1" applyFont="1"/>
    <xf numFmtId="49" fontId="10" fillId="0" borderId="0" xfId="3" applyNumberFormat="1" applyFont="1" applyAlignment="1">
      <alignment horizontal="left"/>
    </xf>
    <xf numFmtId="168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49" fontId="10" fillId="0" borderId="0" xfId="3" applyNumberFormat="1" applyFont="1" applyFill="1" applyAlignment="1">
      <alignment horizontal="left"/>
    </xf>
    <xf numFmtId="49" fontId="3" fillId="0" borderId="0" xfId="0" applyNumberFormat="1" applyFont="1"/>
    <xf numFmtId="49" fontId="3" fillId="0" borderId="0" xfId="0" applyNumberFormat="1" applyFont="1" applyAlignment="1">
      <alignment horizontal="left" wrapText="1"/>
    </xf>
    <xf numFmtId="49" fontId="9" fillId="0" borderId="0" xfId="3" applyNumberFormat="1" applyFont="1" applyAlignment="1">
      <alignment horizontal="left"/>
    </xf>
    <xf numFmtId="49" fontId="9" fillId="0" borderId="0" xfId="3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0" fontId="10" fillId="0" borderId="0" xfId="3" applyFont="1" applyAlignment="1">
      <alignment horizontal="left"/>
    </xf>
    <xf numFmtId="0" fontId="3" fillId="0" borderId="0" xfId="0" applyFont="1" applyAlignment="1">
      <alignment vertical="top" wrapText="1"/>
    </xf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2" fillId="0" borderId="0" xfId="0" applyFont="1"/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3"/>
    </xf>
    <xf numFmtId="0" fontId="3" fillId="0" borderId="0" xfId="0" applyFont="1" applyAlignment="1">
      <alignment horizontal="left" vertical="center" indent="4"/>
    </xf>
    <xf numFmtId="0" fontId="12" fillId="0" borderId="0" xfId="0" applyFont="1" applyAlignment="1">
      <alignment vertical="center"/>
    </xf>
    <xf numFmtId="165" fontId="3" fillId="0" borderId="1" xfId="0" applyNumberFormat="1" applyFont="1" applyBorder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" fontId="3" fillId="0" borderId="0" xfId="0" applyNumberFormat="1" applyFont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 wrapText="1"/>
    </xf>
    <xf numFmtId="164" fontId="3" fillId="0" borderId="0" xfId="0" applyNumberFormat="1" applyFont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</cellXfs>
  <cellStyles count="4">
    <cellStyle name="Comma" xfId="1" builtinId="3"/>
    <cellStyle name="Hyperlink" xfId="3" builtinId="8" customBuiltin="1"/>
    <cellStyle name="Normal" xfId="0" builtinId="0"/>
    <cellStyle name="Percent" xfId="2" builtinId="5"/>
  </cellStyles>
  <dxfs count="92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DCB9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ont>
        <strike val="0"/>
        <outline val="0"/>
        <shadow val="0"/>
        <vertAlign val="baseline"/>
        <sz val="10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4" formatCode="0.000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0.0000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0" indent="2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2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#,##0.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CB9FF"/>
      <color rgb="FFDCADF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5" xr16:uid="{604F4F25-240F-420A-A1F3-1B8049C0578A}" autoFormatId="16" applyNumberFormats="0" applyBorderFormats="0" applyFontFormats="0" applyPatternFormats="0" applyAlignmentFormats="0" applyWidthHeightFormats="0">
  <queryTableRefresh nextId="16" unboundColumnsRight="4">
    <queryTableFields count="13">
      <queryTableField id="1" name="Process" tableColumnId="1"/>
      <queryTableField id="2" name="quantity" tableColumnId="2"/>
      <queryTableField id="15" dataBound="0" tableColumnId="14"/>
      <queryTableField id="3" name="time" tableColumnId="3"/>
      <queryTableField id="4" name="location" tableColumnId="4"/>
      <queryTableField id="5" name="massconserved" tableColumnId="5"/>
      <queryTableField id="6" name="Processnumber" tableColumnId="6"/>
      <queryTableField id="7" name="ParentProcess" tableColumnId="7"/>
      <queryTableField id="8" name="Subprocessnumbers" tableColumnId="8"/>
      <queryTableField id="14" dataBound="0" tableColumnId="13"/>
      <queryTableField id="10" dataBound="0" tableColumnId="9"/>
      <queryTableField id="12" dataBound="0" tableColumnId="11"/>
      <queryTableField id="13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9" xr16:uid="{0AED3F0B-5B42-4275-BB48-9B6CB7A45C2D}" autoFormatId="16" applyNumberFormats="0" applyBorderFormats="0" applyFontFormats="0" applyPatternFormats="0" applyAlignmentFormats="0" applyWidthHeightFormats="0">
  <queryTableRefresh nextId="34" unboundColumnsLeft="1" unboundColumnsRight="3">
    <queryTableFields count="17">
      <queryTableField id="13" dataBound="0" tableColumnId="14"/>
      <queryTableField id="1" name="From" tableColumnId="1"/>
      <queryTableField id="2" name="to" tableColumnId="2"/>
      <queryTableField id="22" dataBound="0" tableColumnId="18"/>
      <queryTableField id="32" dataBound="0" tableColumnId="19"/>
      <queryTableField id="4" name="time" tableColumnId="4"/>
      <queryTableField id="5" name="location" tableColumnId="5"/>
      <queryTableField id="6" name="Flownumberfrom" tableColumnId="6"/>
      <queryTableField id="7" name="Flownumberto" tableColumnId="7"/>
      <queryTableField id="8" name="ParentProcessFlowfrom" tableColumnId="8"/>
      <queryTableField id="9" name="ParentProcessFlowto" tableColumnId="9"/>
      <queryTableField id="10" name="Subprocessnumbersfrom" tableColumnId="10"/>
      <queryTableField id="11" name="Subprocessnumbersto" tableColumnId="11"/>
      <queryTableField id="3" name="quantity" tableColumnId="3"/>
      <queryTableField id="16" dataBound="0" tableColumnId="15"/>
      <queryTableField id="17" dataBound="0" tableColumnId="12"/>
      <queryTableField id="18" dataBound="0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E0738DA-9482-4B63-A6BC-4AF3209732C2}" autoFormatId="16" applyNumberFormats="0" applyBorderFormats="0" applyFontFormats="0" applyPatternFormats="0" applyAlignmentFormats="0" applyWidthHeightFormats="0">
  <queryTableRefresh nextId="16" unboundColumnsRight="2">
    <queryTableFields count="11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2" dataBound="0" tableColumnId="11"/>
      <queryTableField id="14" dataBound="0" tableColumnId="1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4A7623-E18F-44E3-BC7A-C31C552B0760}" name="faostatdata" displayName="faostatdata" ref="A1:R161" totalsRowShown="0" headerRowDxfId="91" dataDxfId="90">
  <autoFilter ref="A1:R161" xr:uid="{B54A7623-E18F-44E3-BC7A-C31C552B0760}"/>
  <tableColumns count="18">
    <tableColumn id="18" xr3:uid="{711047F9-149C-4AD4-97D8-6782CBDA135F}" name="Domain Code" dataDxfId="89"/>
    <tableColumn id="17" xr3:uid="{9536E9FC-94D2-46BE-8FBB-014F8E5A6A8C}" name="Domain" dataDxfId="88"/>
    <tableColumn id="16" xr3:uid="{60696E68-EF90-419E-AE36-8C9F6FCA844D}" name="Area Code" dataDxfId="87"/>
    <tableColumn id="19" xr3:uid="{2BD1B1AE-D479-4C74-BA30-C29A19FB9133}" name="Area" dataDxfId="86"/>
    <tableColumn id="15" xr3:uid="{9887EB17-FF2F-44CD-93BD-0115BA06C8A3}" name="Element Code" dataDxfId="85"/>
    <tableColumn id="1" xr3:uid="{94022E42-936F-42CC-9007-57E71021491C}" name="Element" dataDxfId="84"/>
    <tableColumn id="2" xr3:uid="{82509D8B-690B-4564-90BA-087BBC18A0BB}" name="Item Code" dataDxfId="83"/>
    <tableColumn id="3" xr3:uid="{8E9E7252-150B-4D57-9770-3B6B19D18A45}" name="Item" dataDxfId="82"/>
    <tableColumn id="4" xr3:uid="{AD4460C7-511E-4B6F-A302-E5E552664011}" name="Year Code" dataDxfId="81"/>
    <tableColumn id="5" xr3:uid="{2F4E8DEC-0ABF-4EA0-9596-B00CFDCD5E51}" name="Year" dataDxfId="80"/>
    <tableColumn id="6" xr3:uid="{95280524-2BF1-43EA-8F59-6BB4187F107A}" name="Unit" dataDxfId="79"/>
    <tableColumn id="7" xr3:uid="{52256CAE-A1A0-4ADC-92BC-3A479D029488}" name="Value" dataDxfId="78"/>
    <tableColumn id="8" xr3:uid="{070F95A0-BB32-4908-922C-BDB9CE5D2E1A}" name="Flag" dataDxfId="77"/>
    <tableColumn id="9" xr3:uid="{19F866F5-4738-4B84-8138-BB36DA563592}" name="Flag Description" dataDxfId="76"/>
    <tableColumn id="10" xr3:uid="{8015D06B-BB77-42D9-9EEF-A935ABB3408A}" name="Conversion Factor" dataDxfId="75"/>
    <tableColumn id="11" xr3:uid="{AD35CA5C-E3B5-4FCF-853B-C1B036DE724F}" name="Value [odmt]" dataDxfId="74">
      <calculatedColumnFormula>L2*O2</calculatedColumnFormula>
    </tableColumn>
    <tableColumn id="12" xr3:uid="{B912C841-CE4A-45BC-BB8E-FC820056CF39}" name="Value (Modmt)" dataDxfId="73">
      <calculatedColumnFormula>faostatdata[[#This Row],[Value '[odmt']]]*(10^-6)</calculatedColumnFormula>
    </tableColumn>
    <tableColumn id="14" xr3:uid="{67AC8A54-FF5B-432B-ACFC-DE68B2E65668}" name="Element Code, Item Code" dataDxfId="72">
      <calculatedColumnFormula>CONCATENATE("(",E2,",",G2,")")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ADEEF0-5D09-4AC6-92A4-F71A7D09DFE7}" name="Table24" displayName="Table24" ref="A1:B91" totalsRowShown="0" headerRowDxfId="71" dataDxfId="69" headerRowBorderDxfId="70" tableBorderDxfId="68">
  <autoFilter ref="A1:B91" xr:uid="{D4ADEEF0-5D09-4AC6-92A4-F71A7D09DFE7}"/>
  <tableColumns count="2">
    <tableColumn id="1" xr3:uid="{1CD7284D-711D-4D9F-A909-0FD4F0FCDE20}" name="Wood product and activity" dataDxfId="67"/>
    <tableColumn id="2" xr3:uid="{931F0B9B-9361-4D1A-963A-591E313EC965}" name="Input name" dataDxfId="6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6CD41F-2B6F-4CF0-A78B-51E57D8E471F}" name="woodstock" displayName="woodstock" ref="A1:M110" tableType="queryTable" totalsRowShown="0" headerRowDxfId="65" dataDxfId="64">
  <autoFilter ref="A1:M110" xr:uid="{D0593A4C-5055-4698-8E99-4A892AB92BC0}"/>
  <tableColumns count="13">
    <tableColumn id="1" xr3:uid="{34AB93E8-0856-4AF8-A4B4-CE55472E12CB}" uniqueName="1" name="Process" queryTableFieldId="1" dataDxfId="63"/>
    <tableColumn id="2" xr3:uid="{6D391BD9-B621-4FE1-A007-767825BBE049}" uniqueName="2" name="quantity" queryTableFieldId="2" dataDxfId="62"/>
    <tableColumn id="14" xr3:uid="{0456630E-A014-49E4-8FC2-1C6DB24B45B1}" uniqueName="14" name="quantity-prior" queryTableFieldId="15" dataDxfId="61">
      <calculatedColumnFormula>IF(woodstock[[#This Row],[data-info]]="Informative","",IF(woodstock[[#This Row],[data-info]]="No Change","",IF(woodstock[[#This Row],[data-info]]="Vague",woodstock[[#This Row],[quantity-input (Modmt)]],IF(woodstock[[#This Row],[data-info]]="BaMFA",""))))</calculatedColumnFormula>
    </tableColumn>
    <tableColumn id="3" xr3:uid="{30B60915-6990-460A-89EA-C6B7D16B61AB}" uniqueName="3" name="time" queryTableFieldId="3" dataDxfId="60"/>
    <tableColumn id="4" xr3:uid="{2D1745A4-95C2-48D1-A7CB-85D9C8DAE8B7}" uniqueName="4" name="location" queryTableFieldId="4" dataDxfId="59"/>
    <tableColumn id="5" xr3:uid="{199031F8-0EC1-4CCD-801C-0EDF53AC3EF4}" uniqueName="5" name="massconserved" queryTableFieldId="5" dataDxfId="58"/>
    <tableColumn id="6" xr3:uid="{AFC350B2-6D3B-4F87-957B-4B434924DF08}" uniqueName="6" name="Processnumber" queryTableFieldId="6" dataDxfId="57"/>
    <tableColumn id="7" xr3:uid="{F669AAE3-4302-4287-AA20-EF1D666FEE2E}" uniqueName="7" name="ParentProcess" queryTableFieldId="7" dataDxfId="56"/>
    <tableColumn id="8" xr3:uid="{06845270-F9D4-4382-9012-23C990DEA2CA}" uniqueName="8" name="Subprocessnumbers" queryTableFieldId="8" dataDxfId="55"/>
    <tableColumn id="13" xr3:uid="{B9CBB41F-3468-48EA-98D2-B4AA10A10002}" uniqueName="13" name="quantity-input (Modmt)" queryTableFieldId="14" dataDxfId="54"/>
    <tableColumn id="9" xr3:uid="{19E4BF01-A66C-4FC0-8BAE-95D43B76F459}" uniqueName="9" name="data-info" queryTableFieldId="10" dataDxfId="53"/>
    <tableColumn id="11" xr3:uid="{B8876C9D-E8A4-42E5-A675-FCC814B302FC}" uniqueName="11" name="Comment" queryTableFieldId="12" dataDxfId="52"/>
    <tableColumn id="12" xr3:uid="{8CDFF734-7626-43D4-B1A1-8A7711A40F9A}" uniqueName="12" name="Reference" queryTableFieldId="13" dataDxfId="51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92DFD9-563C-4078-8451-E9581440A742}" name="woodflow" displayName="woodflow" ref="A1:Q646" tableType="queryTable" totalsRowShown="0" headerRowDxfId="50" dataDxfId="49">
  <autoFilter ref="A1:Q646" xr:uid="{C0C2BC68-DFCC-40C6-8E54-A928B2BAE541}"/>
  <sortState xmlns:xlrd2="http://schemas.microsoft.com/office/spreadsheetml/2017/richdata2" ref="A2:Q646">
    <sortCondition ref="M1:M646"/>
  </sortState>
  <tableColumns count="17">
    <tableColumn id="14" xr3:uid="{6A47D1A6-B329-4A05-8690-55E418036517}" uniqueName="14" name="Flow" queryTableFieldId="13" dataDxfId="48">
      <calculatedColumnFormula>CONCATENATE("F",IF(B2&lt;&gt;"",COUNTA($B$2:B2),""))</calculatedColumnFormula>
    </tableColumn>
    <tableColumn id="1" xr3:uid="{D2EEF37A-7808-4907-8DB8-AE346FD35775}" uniqueName="1" name="From" queryTableFieldId="1" dataDxfId="47"/>
    <tableColumn id="2" xr3:uid="{519CB4FD-3C0A-4A29-9B55-E01AF2CFE0CC}" uniqueName="2" name="to" queryTableFieldId="2" dataDxfId="46"/>
    <tableColumn id="18" xr3:uid="{A2B080D2-4DDD-44AD-A025-1B04CD9AF3DA}" uniqueName="18" name="quantity" queryTableFieldId="22" dataDxfId="45">
      <calculatedColumnFormula>IF(woodflow[[#This Row],[data-info]]="Informative",woodflow[[#This Row],[quantity-input (Modmt)]],IF(woodflow[[#This Row],[data-info]]="No Flow",0,IF(woodflow[[#This Row],[data-info]]="Vague","nan",IF(woodflow[[#This Row],[data-info]]="BaMFA","nan"))))</calculatedColumnFormula>
    </tableColumn>
    <tableColumn id="19" xr3:uid="{7936A244-D4C5-4B31-BAEC-35F09470A835}" uniqueName="19" name="quantity-prior" queryTableFieldId="32" dataDxfId="44">
      <calculatedColumnFormula>IF(woodflow[[#This Row],[data-info]]="Informative","",IF(woodflow[[#This Row],[data-info]]="No Flow","",IF(woodflow[[#This Row],[data-info]]="Vague",woodflow[[#This Row],[quantity-input (Modmt)]],IF(woodflow[[#This Row],[data-info]]="BaMFA",""))))</calculatedColumnFormula>
    </tableColumn>
    <tableColumn id="4" xr3:uid="{575AAF71-ECD2-4BCE-B982-433E1C259241}" uniqueName="4" name="time" queryTableFieldId="4" dataDxfId="43"/>
    <tableColumn id="5" xr3:uid="{F8441CA3-3977-407D-B29E-E0FD70357251}" uniqueName="5" name="location" queryTableFieldId="5" dataDxfId="42"/>
    <tableColumn id="6" xr3:uid="{E0688A94-8AEA-4402-BA60-5F8C5CD25A1C}" uniqueName="6" name="Flownumberfrom" queryTableFieldId="6" dataDxfId="41"/>
    <tableColumn id="7" xr3:uid="{1358831C-AFAD-4939-8D14-4E6383AFD83C}" uniqueName="7" name="Flownumberto" queryTableFieldId="7" dataDxfId="40"/>
    <tableColumn id="8" xr3:uid="{B8D9BF27-A653-41BC-B37A-51059070EBE8}" uniqueName="8" name="ParentProcessFlowfrom" queryTableFieldId="8" dataDxfId="39"/>
    <tableColumn id="9" xr3:uid="{E4239C32-992B-412A-9F49-3A308643080C}" uniqueName="9" name="ParentProcessFlowto" queryTableFieldId="9" dataDxfId="38"/>
    <tableColumn id="10" xr3:uid="{D1E20B75-0BD2-4B32-8664-7486164541F7}" uniqueName="10" name="Subprocessnumbersfrom" queryTableFieldId="10" dataDxfId="37"/>
    <tableColumn id="11" xr3:uid="{FBBA6D3F-F066-4AA4-8B26-D25F57B628C5}" uniqueName="11" name="Subprocessnumbersto" queryTableFieldId="11" dataDxfId="36"/>
    <tableColumn id="3" xr3:uid="{91C9DFDF-4A0D-4D15-9351-49278CEFDE3B}" uniqueName="3" name="quantity-input (Modmt)" queryTableFieldId="3" dataDxfId="35"/>
    <tableColumn id="15" xr3:uid="{7F335B4C-1FD7-4CB0-8365-B680E719F6F5}" uniqueName="15" name="data-info" queryTableFieldId="16" dataDxfId="34"/>
    <tableColumn id="12" xr3:uid="{9F4C1881-96FF-4C34-B0B1-573FDEBD22EF}" uniqueName="12" name="Comment" queryTableFieldId="17" dataDxfId="33"/>
    <tableColumn id="16" xr3:uid="{D03863F9-371B-4EE6-90B6-10F064AD63F2}" uniqueName="16" name="Reference" queryTableFieldId="18" dataDxfId="32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D2DFA4-A8BE-4017-BFC6-44A3314BA7EA}" name="woodratio" displayName="woodratio" ref="A1:K156" tableType="queryTable" totalsRowShown="0" headerRowDxfId="31" dataDxfId="30">
  <autoFilter ref="A1:K156" xr:uid="{A9D2DFA4-A8BE-4017-BFC6-44A3314BA7EA}"/>
  <tableColumns count="11">
    <tableColumn id="1" xr3:uid="{64DF710E-3817-4D46-A5C0-4EB96C0BAE5E}" uniqueName="1" name="From_top" queryTableFieldId="1" dataDxfId="29"/>
    <tableColumn id="2" xr3:uid="{A1F9B345-1ED5-4671-9A00-F2ABED8D884D}" uniqueName="2" name="To_top" queryTableFieldId="2" dataDxfId="28"/>
    <tableColumn id="3" xr3:uid="{8FA83C9C-8329-4F0B-809B-F8710C0F3486}" uniqueName="3" name="Processnumbersfromtop" queryTableFieldId="3" dataDxfId="27"/>
    <tableColumn id="4" xr3:uid="{61463E32-95EE-4DB7-93BC-F3C9BC903DB7}" uniqueName="4" name="Processnumberstotop" queryTableFieldId="4" dataDxfId="26"/>
    <tableColumn id="5" xr3:uid="{E6FE3BDC-0BF1-421A-8D11-A8080869841A}" uniqueName="5" name="From_bottom" queryTableFieldId="5" dataDxfId="25"/>
    <tableColumn id="6" xr3:uid="{D9A79B69-DE11-476F-97D3-2291E9453942}" uniqueName="6" name="To_bottom" queryTableFieldId="6" dataDxfId="24"/>
    <tableColumn id="7" xr3:uid="{ED84F97F-F986-4F7C-B3BE-11FDD7243980}" uniqueName="7" name="Processnumbersfrombottom" queryTableFieldId="7" dataDxfId="23"/>
    <tableColumn id="8" xr3:uid="{8DAE0CBF-BB1E-415D-9E93-7D72F935D5F6}" uniqueName="8" name="Processnumberstobottom" queryTableFieldId="8" dataDxfId="22"/>
    <tableColumn id="9" xr3:uid="{B4F497A5-56E4-4B28-B698-4F129B3CEED0}" uniqueName="9" name="ratio" queryTableFieldId="9" dataDxfId="21"/>
    <tableColumn id="11" xr3:uid="{081EBB53-989D-4166-A195-3DE555C15E61}" uniqueName="11" name="Comment" queryTableFieldId="12" dataDxfId="20"/>
    <tableColumn id="12" xr3:uid="{D9D319E0-CD09-48E0-8287-D345D0E681E5}" uniqueName="12" name="Reference" queryTableFieldId="14" dataDxfId="19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pa.gov/sites/default/files/2021-01/documents/2018_ff_fact_sheet_dec_2020_fnl_508.pdf" TargetMode="External"/><Relationship Id="rId18" Type="http://schemas.openxmlformats.org/officeDocument/2006/relationships/hyperlink" Target="https://woodforgrowth.eu/facts-figures/" TargetMode="External"/><Relationship Id="rId26" Type="http://schemas.openxmlformats.org/officeDocument/2006/relationships/hyperlink" Target="https://www.fao.org/3/cb8216en/cb8216en.pdf" TargetMode="External"/><Relationship Id="rId3" Type="http://schemas.openxmlformats.org/officeDocument/2006/relationships/hyperlink" Target="https://europanels.org/the-wood-based-panel-industry/types-of-wood-based-panels-economic-impact/particleboard/" TargetMode="External"/><Relationship Id="rId21" Type="http://schemas.openxmlformats.org/officeDocument/2006/relationships/hyperlink" Target="https://www.fao.org/3/cb8216en/cb8216en.pdf" TargetMode="External"/><Relationship Id="rId7" Type="http://schemas.openxmlformats.org/officeDocument/2006/relationships/hyperlink" Target="https://europanels.org/the-wood-based-panel-industry/types-of-wood-based-panels-economic-impact/hardboard/" TargetMode="External"/><Relationship Id="rId12" Type="http://schemas.openxmlformats.org/officeDocument/2006/relationships/hyperlink" Target="https://www.epa.gov/sites/default/files/2021-01/documents/2018_ff_fact_sheet_dec_2020_fnl_508.pdf" TargetMode="External"/><Relationship Id="rId17" Type="http://schemas.openxmlformats.org/officeDocument/2006/relationships/hyperlink" Target="https://doi.org/10.1111/jiec.12613" TargetMode="External"/><Relationship Id="rId25" Type="http://schemas.openxmlformats.org/officeDocument/2006/relationships/hyperlink" Target="https://www.fao.org/3/cb8216en/cb8216en.pdf" TargetMode="External"/><Relationship Id="rId33" Type="http://schemas.openxmlformats.org/officeDocument/2006/relationships/table" Target="../tables/table5.xml"/><Relationship Id="rId2" Type="http://schemas.openxmlformats.org/officeDocument/2006/relationships/hyperlink" Target="https://europanels.org/the-wood-based-panel-industry/types-of-wood-based-panels-economic-impact/plywood/" TargetMode="External"/><Relationship Id="rId16" Type="http://schemas.openxmlformats.org/officeDocument/2006/relationships/hyperlink" Target="https://doi.org/10.1111/jiec.12613" TargetMode="External"/><Relationship Id="rId20" Type="http://schemas.openxmlformats.org/officeDocument/2006/relationships/hyperlink" Target="https://www.fao.org/3/cb8216en/cb8216en.pdf" TargetMode="External"/><Relationship Id="rId29" Type="http://schemas.openxmlformats.org/officeDocument/2006/relationships/hyperlink" Target="https://www.fao.org/3/cb8216en/cb8216en.pdf" TargetMode="External"/><Relationship Id="rId1" Type="http://schemas.openxmlformats.org/officeDocument/2006/relationships/hyperlink" Target="https://europanels.org/the-wood-based-panel-industry/types-of-wood-based-panels-economic-impact/plywood/" TargetMode="External"/><Relationship Id="rId6" Type="http://schemas.openxmlformats.org/officeDocument/2006/relationships/hyperlink" Target="https://europanels.org/the-wood-based-panel-industry/types-of-wood-based-panels-economic-impact/medium-density-fibreboard/" TargetMode="External"/><Relationship Id="rId11" Type="http://schemas.openxmlformats.org/officeDocument/2006/relationships/hyperlink" Target="https://www.epa.gov/sites/default/files/2021-01/documents/2018_ff_fact_sheet_dec_2020_fnl_508.pdf" TargetMode="External"/><Relationship Id="rId24" Type="http://schemas.openxmlformats.org/officeDocument/2006/relationships/hyperlink" Target="https://www.fao.org/3/cb8216en/cb8216en.pdf" TargetMode="External"/><Relationship Id="rId32" Type="http://schemas.openxmlformats.org/officeDocument/2006/relationships/printerSettings" Target="../printerSettings/printerSettings6.bin"/><Relationship Id="rId5" Type="http://schemas.openxmlformats.org/officeDocument/2006/relationships/hyperlink" Target="https://europanels.org/the-wood-based-panel-industry/types-of-wood-based-panels-economic-impact/medium-density-fibreboard/" TargetMode="External"/><Relationship Id="rId15" Type="http://schemas.openxmlformats.org/officeDocument/2006/relationships/hyperlink" Target="https://doi.org/10.1111/jiec.12613" TargetMode="External"/><Relationship Id="rId23" Type="http://schemas.openxmlformats.org/officeDocument/2006/relationships/hyperlink" Target="https://www.fao.org/3/cb8216en/cb8216en.pdf" TargetMode="External"/><Relationship Id="rId28" Type="http://schemas.openxmlformats.org/officeDocument/2006/relationships/hyperlink" Target="https://www.fao.org/3/cb8216en/cb8216en.pdf" TargetMode="External"/><Relationship Id="rId10" Type="http://schemas.openxmlformats.org/officeDocument/2006/relationships/hyperlink" Target="https://woodforgrowth.eu/facts-figures/" TargetMode="External"/><Relationship Id="rId19" Type="http://schemas.openxmlformats.org/officeDocument/2006/relationships/hyperlink" Target="https://woodforgrowth.eu/facts-figures/" TargetMode="External"/><Relationship Id="rId31" Type="http://schemas.openxmlformats.org/officeDocument/2006/relationships/hyperlink" Target="https://www.fao.org/3/cb8216en/cb8216en.pdf" TargetMode="External"/><Relationship Id="rId4" Type="http://schemas.openxmlformats.org/officeDocument/2006/relationships/hyperlink" Target="https://europanels.org/the-wood-based-panel-industry/types-of-wood-based-panels-economic-impact/particleboard/" TargetMode="External"/><Relationship Id="rId9" Type="http://schemas.openxmlformats.org/officeDocument/2006/relationships/hyperlink" Target="https://woodforgrowth.eu/facts-figures/" TargetMode="External"/><Relationship Id="rId14" Type="http://schemas.openxmlformats.org/officeDocument/2006/relationships/hyperlink" Target="https://www.epa.gov/sites/default/files/2021-01/documents/2018_ff_fact_sheet_dec_2020_fnl_508.pdf" TargetMode="External"/><Relationship Id="rId22" Type="http://schemas.openxmlformats.org/officeDocument/2006/relationships/hyperlink" Target="https://www.fao.org/3/cb8216en/cb8216en.pdf" TargetMode="External"/><Relationship Id="rId27" Type="http://schemas.openxmlformats.org/officeDocument/2006/relationships/hyperlink" Target="https://www.fao.org/3/cb8216en/cb8216en.pdf" TargetMode="External"/><Relationship Id="rId30" Type="http://schemas.openxmlformats.org/officeDocument/2006/relationships/hyperlink" Target="https://www.fao.org/3/cb8216en/cb8216en.pdf" TargetMode="External"/><Relationship Id="rId8" Type="http://schemas.openxmlformats.org/officeDocument/2006/relationships/hyperlink" Target="https://europanels.org/the-wood-based-panel-industry/types-of-wood-based-panels-economic-impact/hardboard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o.org/3/ca7952en/CA7952EN.pdf" TargetMode="External"/><Relationship Id="rId13" Type="http://schemas.openxmlformats.org/officeDocument/2006/relationships/hyperlink" Target="https://www.fao.org/3/ca7952en/CA7952EN.pdf" TargetMode="External"/><Relationship Id="rId18" Type="http://schemas.openxmlformats.org/officeDocument/2006/relationships/hyperlink" Target="https://www.fao.org/3/ca7952en/CA7952EN.pdf" TargetMode="External"/><Relationship Id="rId3" Type="http://schemas.openxmlformats.org/officeDocument/2006/relationships/hyperlink" Target="https://www.fao.org/3/ca7952en/CA7952EN.pdf" TargetMode="External"/><Relationship Id="rId21" Type="http://schemas.openxmlformats.org/officeDocument/2006/relationships/hyperlink" Target="https://www.fao.org/3/ca7952en/CA7952EN.pdf" TargetMode="External"/><Relationship Id="rId7" Type="http://schemas.openxmlformats.org/officeDocument/2006/relationships/hyperlink" Target="https://www.fao.org/3/ca7952en/CA7952EN.pdf" TargetMode="External"/><Relationship Id="rId12" Type="http://schemas.openxmlformats.org/officeDocument/2006/relationships/hyperlink" Target="https://www.fao.org/3/ca7952en/CA7952EN.pdf" TargetMode="External"/><Relationship Id="rId17" Type="http://schemas.openxmlformats.org/officeDocument/2006/relationships/hyperlink" Target="https://www.fao.org/3/ca7952en/CA7952EN.pdf" TargetMode="External"/><Relationship Id="rId2" Type="http://schemas.openxmlformats.org/officeDocument/2006/relationships/hyperlink" Target="https://www.fao.org/3/ca7952en/CA7952EN.pdf" TargetMode="External"/><Relationship Id="rId16" Type="http://schemas.openxmlformats.org/officeDocument/2006/relationships/hyperlink" Target="https://www.fao.org/3/ca7952en/CA7952EN.pdf" TargetMode="External"/><Relationship Id="rId20" Type="http://schemas.openxmlformats.org/officeDocument/2006/relationships/hyperlink" Target="https://www.fao.org/3/ca7952en/CA7952EN.pdf" TargetMode="External"/><Relationship Id="rId1" Type="http://schemas.openxmlformats.org/officeDocument/2006/relationships/hyperlink" Target="https://www.fao.org/3/ca7952en/CA7952EN.pdf" TargetMode="External"/><Relationship Id="rId6" Type="http://schemas.openxmlformats.org/officeDocument/2006/relationships/hyperlink" Target="https://www.fao.org/3/ca7952en/CA7952EN.pdf" TargetMode="External"/><Relationship Id="rId11" Type="http://schemas.openxmlformats.org/officeDocument/2006/relationships/hyperlink" Target="https://www.fao.org/3/ca7952en/CA7952EN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fao.org/3/ca7952en/CA7952EN.pdf" TargetMode="External"/><Relationship Id="rId15" Type="http://schemas.openxmlformats.org/officeDocument/2006/relationships/hyperlink" Target="https://www.fao.org/3/ca7952en/CA7952EN.pdf" TargetMode="External"/><Relationship Id="rId23" Type="http://schemas.openxmlformats.org/officeDocument/2006/relationships/hyperlink" Target="https://api.environdec.com/api/v1/EPDLibrary/Files/2263eda0-231e-412c-91e4-0a1894bf1a5d/Data" TargetMode="External"/><Relationship Id="rId10" Type="http://schemas.openxmlformats.org/officeDocument/2006/relationships/hyperlink" Target="https://www.fao.org/3/ca7952en/CA7952EN.pdf" TargetMode="External"/><Relationship Id="rId19" Type="http://schemas.openxmlformats.org/officeDocument/2006/relationships/hyperlink" Target="https://www.fao.org/3/ca7952en/CA7952EN.pdf" TargetMode="External"/><Relationship Id="rId4" Type="http://schemas.openxmlformats.org/officeDocument/2006/relationships/hyperlink" Target="https://www.fao.org/3/ca7952en/CA7952EN.pdf" TargetMode="External"/><Relationship Id="rId9" Type="http://schemas.openxmlformats.org/officeDocument/2006/relationships/hyperlink" Target="https://www.fao.org/3/ca7952en/CA7952EN.pdf" TargetMode="External"/><Relationship Id="rId14" Type="http://schemas.openxmlformats.org/officeDocument/2006/relationships/hyperlink" Target="https://www.fao.org/3/ca7952en/CA7952EN.pdf" TargetMode="External"/><Relationship Id="rId22" Type="http://schemas.openxmlformats.org/officeDocument/2006/relationships/hyperlink" Target="http://www.journalcra.com/article/simple-determination-physical-and-thermal-properties-basis-design-and-analysis-waste-energ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11/jiec.12613" TargetMode="External"/><Relationship Id="rId13" Type="http://schemas.openxmlformats.org/officeDocument/2006/relationships/hyperlink" Target="https://www.fao.org/3/ca7952en/CA7952EN.pdf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fao.org/3/ca7952en/CA7952EN.pdf" TargetMode="External"/><Relationship Id="rId7" Type="http://schemas.openxmlformats.org/officeDocument/2006/relationships/hyperlink" Target="https://www.fao.org/3/ca7952en/CA7952EN.pdf" TargetMode="External"/><Relationship Id="rId12" Type="http://schemas.openxmlformats.org/officeDocument/2006/relationships/hyperlink" Target="https://api.environdec.com/api/v1/EPDLibrary/Files/2263eda0-231e-412c-91e4-0a1894bf1a5d/Data" TargetMode="External"/><Relationship Id="rId17" Type="http://schemas.openxmlformats.org/officeDocument/2006/relationships/hyperlink" Target="https://www.fao.org/3/ca7952en/CA7952EN.pdf" TargetMode="External"/><Relationship Id="rId2" Type="http://schemas.openxmlformats.org/officeDocument/2006/relationships/hyperlink" Target="https://www.fao.org/3/ca7952en/CA7952EN.pdf" TargetMode="External"/><Relationship Id="rId16" Type="http://schemas.openxmlformats.org/officeDocument/2006/relationships/hyperlink" Target="https://www.fao.org/3/ca7952en/CA7952EN.pdf" TargetMode="External"/><Relationship Id="rId1" Type="http://schemas.openxmlformats.org/officeDocument/2006/relationships/hyperlink" Target="https://www.fao.org/3/ca7952en/CA7952EN.pdf" TargetMode="External"/><Relationship Id="rId6" Type="http://schemas.openxmlformats.org/officeDocument/2006/relationships/hyperlink" Target="https://www.fao.org/3/ca7952en/CA7952EN.pdf" TargetMode="External"/><Relationship Id="rId11" Type="http://schemas.openxmlformats.org/officeDocument/2006/relationships/hyperlink" Target="https://doi.org/10.1111/jiec.12613" TargetMode="External"/><Relationship Id="rId5" Type="http://schemas.openxmlformats.org/officeDocument/2006/relationships/hyperlink" Target="https://www.fao.org/3/ca7952en/CA7952EN.pdf" TargetMode="External"/><Relationship Id="rId15" Type="http://schemas.openxmlformats.org/officeDocument/2006/relationships/hyperlink" Target="https://api.environdec.com/api/v1/EPDLibrary/Files/2263eda0-231e-412c-91e4-0a1894bf1a5d/Data" TargetMode="External"/><Relationship Id="rId10" Type="http://schemas.openxmlformats.org/officeDocument/2006/relationships/hyperlink" Target="https://doi.org/10.1111/jiec.12613" TargetMode="External"/><Relationship Id="rId4" Type="http://schemas.openxmlformats.org/officeDocument/2006/relationships/hyperlink" Target="https://www.fao.org/3/ca7952en/CA7952EN.pdf" TargetMode="External"/><Relationship Id="rId9" Type="http://schemas.openxmlformats.org/officeDocument/2006/relationships/hyperlink" Target="https://doi.org/10.1111/jiec.12613" TargetMode="External"/><Relationship Id="rId14" Type="http://schemas.openxmlformats.org/officeDocument/2006/relationships/hyperlink" Target="https://www.fao.org/3/ca7952en/CA7952EN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feu.awsassets.panda.org/downloads/wwf_briefing_eutr.pdf" TargetMode="External"/><Relationship Id="rId7" Type="http://schemas.openxmlformats.org/officeDocument/2006/relationships/hyperlink" Target="http://hdl.handle.net/10986/30317" TargetMode="External"/><Relationship Id="rId2" Type="http://schemas.openxmlformats.org/officeDocument/2006/relationships/hyperlink" Target="https://doi.org/10.1111/jiec.12613" TargetMode="External"/><Relationship Id="rId1" Type="http://schemas.openxmlformats.org/officeDocument/2006/relationships/hyperlink" Target="https://doi.org/10.1111/jiec.12613" TargetMode="External"/><Relationship Id="rId6" Type="http://schemas.openxmlformats.org/officeDocument/2006/relationships/hyperlink" Target="http://hdl.handle.net/10986/30317" TargetMode="External"/><Relationship Id="rId5" Type="http://schemas.openxmlformats.org/officeDocument/2006/relationships/hyperlink" Target="https://doi.org/10.1111/jiec.12613" TargetMode="External"/><Relationship Id="rId4" Type="http://schemas.openxmlformats.org/officeDocument/2006/relationships/hyperlink" Target="https://doi.org/10.1111/jiec.1261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unece.org/forests/publications/forest-products-annual-market-review-2020-2021" TargetMode="External"/><Relationship Id="rId1" Type="http://schemas.openxmlformats.org/officeDocument/2006/relationships/hyperlink" Target="https://www.corkqc.com/pages/industry-statistics" TargetMode="Externa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81E2-210F-4EF8-AF4A-0C5DCC90B2BE}">
  <dimension ref="A1:D27"/>
  <sheetViews>
    <sheetView tabSelected="1" zoomScale="70" zoomScaleNormal="70" workbookViewId="0"/>
  </sheetViews>
  <sheetFormatPr defaultColWidth="13.88671875" defaultRowHeight="13.2" x14ac:dyDescent="0.25"/>
  <cols>
    <col min="1" max="1" width="7" style="4" customWidth="1"/>
    <col min="2" max="2" width="32.6640625" style="4" bestFit="1" customWidth="1"/>
    <col min="3" max="3" width="38.44140625" style="4" bestFit="1" customWidth="1"/>
    <col min="4" max="16384" width="13.88671875" style="4"/>
  </cols>
  <sheetData>
    <row r="1" spans="1:4" x14ac:dyDescent="0.25">
      <c r="A1" s="2" t="s">
        <v>471</v>
      </c>
      <c r="B1" s="2"/>
    </row>
    <row r="2" spans="1:4" x14ac:dyDescent="0.25">
      <c r="A2" s="2" t="s">
        <v>472</v>
      </c>
      <c r="B2" s="2"/>
    </row>
    <row r="3" spans="1:4" x14ac:dyDescent="0.25">
      <c r="A3" s="2"/>
      <c r="B3" s="2"/>
    </row>
    <row r="4" spans="1:4" x14ac:dyDescent="0.25">
      <c r="A4" s="4" t="s">
        <v>473</v>
      </c>
    </row>
    <row r="5" spans="1:4" x14ac:dyDescent="0.25">
      <c r="A5" s="4" t="s">
        <v>474</v>
      </c>
    </row>
    <row r="7" spans="1:4" x14ac:dyDescent="0.25">
      <c r="A7" s="4" t="s">
        <v>475</v>
      </c>
    </row>
    <row r="8" spans="1:4" x14ac:dyDescent="0.25">
      <c r="A8" s="4" t="s">
        <v>465</v>
      </c>
    </row>
    <row r="9" spans="1:4" x14ac:dyDescent="0.25">
      <c r="A9" s="4" t="s">
        <v>557</v>
      </c>
    </row>
    <row r="11" spans="1:4" x14ac:dyDescent="0.25">
      <c r="A11" s="2" t="s">
        <v>476</v>
      </c>
    </row>
    <row r="12" spans="1:4" x14ac:dyDescent="0.25">
      <c r="A12" s="117" t="s">
        <v>477</v>
      </c>
      <c r="B12" s="4" t="s">
        <v>478</v>
      </c>
      <c r="C12" s="4" t="s">
        <v>479</v>
      </c>
      <c r="D12" s="4" t="s">
        <v>480</v>
      </c>
    </row>
    <row r="13" spans="1:4" x14ac:dyDescent="0.25">
      <c r="A13" s="117">
        <v>1</v>
      </c>
      <c r="B13" s="118" t="s">
        <v>628</v>
      </c>
      <c r="C13" s="4" t="s">
        <v>481</v>
      </c>
      <c r="D13" s="4" t="s">
        <v>482</v>
      </c>
    </row>
    <row r="14" spans="1:4" x14ac:dyDescent="0.25">
      <c r="A14" s="117">
        <v>2</v>
      </c>
      <c r="B14" s="118" t="s">
        <v>483</v>
      </c>
      <c r="C14" s="4" t="s">
        <v>484</v>
      </c>
      <c r="D14" s="4" t="s">
        <v>485</v>
      </c>
    </row>
    <row r="15" spans="1:4" x14ac:dyDescent="0.25">
      <c r="A15" s="117">
        <v>3</v>
      </c>
      <c r="B15" s="118" t="s">
        <v>486</v>
      </c>
      <c r="C15" s="4" t="s">
        <v>414</v>
      </c>
      <c r="D15" s="4" t="s">
        <v>487</v>
      </c>
    </row>
    <row r="16" spans="1:4" x14ac:dyDescent="0.25">
      <c r="A16" s="117">
        <v>4</v>
      </c>
      <c r="B16" s="118" t="s">
        <v>488</v>
      </c>
      <c r="C16" s="4" t="s">
        <v>489</v>
      </c>
      <c r="D16" s="4" t="s">
        <v>490</v>
      </c>
    </row>
    <row r="17" spans="1:4" x14ac:dyDescent="0.25">
      <c r="A17" s="117">
        <v>5</v>
      </c>
      <c r="B17" s="118" t="s">
        <v>491</v>
      </c>
      <c r="C17" s="4" t="s">
        <v>452</v>
      </c>
      <c r="D17" s="4" t="s">
        <v>492</v>
      </c>
    </row>
    <row r="18" spans="1:4" x14ac:dyDescent="0.25">
      <c r="A18" s="117">
        <v>6</v>
      </c>
      <c r="B18" s="118" t="s">
        <v>493</v>
      </c>
      <c r="C18" s="4" t="s">
        <v>494</v>
      </c>
      <c r="D18" s="4" t="s">
        <v>495</v>
      </c>
    </row>
    <row r="19" spans="1:4" x14ac:dyDescent="0.25">
      <c r="A19" s="117">
        <v>7</v>
      </c>
      <c r="B19" s="118" t="s">
        <v>624</v>
      </c>
      <c r="C19" s="4" t="s">
        <v>625</v>
      </c>
      <c r="D19" s="4" t="s">
        <v>626</v>
      </c>
    </row>
    <row r="20" spans="1:4" x14ac:dyDescent="0.25">
      <c r="A20" s="117">
        <v>8</v>
      </c>
      <c r="B20" s="118" t="s">
        <v>496</v>
      </c>
      <c r="C20" s="4" t="s">
        <v>497</v>
      </c>
      <c r="D20" s="4" t="s">
        <v>498</v>
      </c>
    </row>
    <row r="21" spans="1:4" x14ac:dyDescent="0.25">
      <c r="A21" s="117">
        <v>9</v>
      </c>
      <c r="B21" s="118" t="s">
        <v>499</v>
      </c>
      <c r="C21" s="4" t="s">
        <v>500</v>
      </c>
      <c r="D21" s="4" t="s">
        <v>501</v>
      </c>
    </row>
    <row r="22" spans="1:4" x14ac:dyDescent="0.25">
      <c r="A22" s="117">
        <v>10</v>
      </c>
      <c r="B22" s="118" t="s">
        <v>502</v>
      </c>
      <c r="C22" s="4" t="s">
        <v>503</v>
      </c>
      <c r="D22" s="4" t="s">
        <v>504</v>
      </c>
    </row>
    <row r="23" spans="1:4" x14ac:dyDescent="0.25">
      <c r="A23" s="117">
        <v>11</v>
      </c>
      <c r="B23" s="118" t="s">
        <v>505</v>
      </c>
      <c r="C23" s="4" t="s">
        <v>506</v>
      </c>
      <c r="D23" s="4" t="s">
        <v>507</v>
      </c>
    </row>
    <row r="24" spans="1:4" x14ac:dyDescent="0.25">
      <c r="A24" s="117">
        <v>12</v>
      </c>
      <c r="B24" s="118" t="s">
        <v>550</v>
      </c>
      <c r="C24" s="4" t="s">
        <v>551</v>
      </c>
      <c r="D24" s="4" t="s">
        <v>552</v>
      </c>
    </row>
    <row r="25" spans="1:4" x14ac:dyDescent="0.25">
      <c r="A25" s="117">
        <v>13</v>
      </c>
      <c r="B25" s="118" t="s">
        <v>508</v>
      </c>
      <c r="C25" s="4" t="s">
        <v>509</v>
      </c>
      <c r="D25" s="4" t="s">
        <v>510</v>
      </c>
    </row>
    <row r="26" spans="1:4" x14ac:dyDescent="0.25">
      <c r="A26" s="117">
        <v>14</v>
      </c>
      <c r="B26" s="118" t="s">
        <v>553</v>
      </c>
      <c r="C26" s="4" t="s">
        <v>554</v>
      </c>
      <c r="D26" s="4" t="s">
        <v>555</v>
      </c>
    </row>
    <row r="27" spans="1:4" x14ac:dyDescent="0.25">
      <c r="A27" s="117">
        <v>15</v>
      </c>
      <c r="B27" s="118" t="s">
        <v>511</v>
      </c>
      <c r="C27" s="4" t="s">
        <v>512</v>
      </c>
      <c r="D27" s="4" t="s">
        <v>513</v>
      </c>
    </row>
  </sheetData>
  <hyperlinks>
    <hyperlink ref="B14" location="'conversion-factors'!A1" display="conversion-factors" xr:uid="{9067B233-1B61-4304-B2EF-D325D9DAFF36}"/>
    <hyperlink ref="B15" location="'production-mass-balance'!A1" display="production-mass-balance" xr:uid="{39BF97F5-C654-454A-A723-A232B5D096C2}"/>
    <hyperlink ref="B16" location="waste!A1" display="waste" xr:uid="{7E6C338E-A138-47AD-AAE3-3C6908634A48}"/>
    <hyperlink ref="B17" location="'supporting-percentages'!A1" display="supporting-percentages" xr:uid="{49F282E1-F8C0-48BA-BCB0-0B5C6A726062}"/>
    <hyperlink ref="B18" location="'faostat-data'!A1" display="faostat-data" xr:uid="{BD8F332C-D3A9-4730-85B0-1CCC4D50458B}"/>
    <hyperlink ref="B20" location="woodstock!A1" display="woodstock" xr:uid="{974C9499-0C9F-4C72-B329-6672FFBC2F9C}"/>
    <hyperlink ref="B21" location="woodflow!A1" display="woodflow" xr:uid="{DC646296-9E47-4673-B013-017876205C06}"/>
    <hyperlink ref="B22" location="woodratio!A1" display="woodratio" xr:uid="{6368C7B6-FD36-4C36-A4A7-48FA51A2020C}"/>
    <hyperlink ref="B23" location="'changesinstocks-input'!A1" display="changesinstocks-input" xr:uid="{E18F4FF1-F054-4C06-B92F-4E8BD131ED6A}"/>
    <hyperlink ref="B24" location="'changesinstocks-prior-input'!A1" display="changesinstocks-prior-input" xr:uid="{CA96091E-310C-488A-823D-30FC9DBC9234}"/>
    <hyperlink ref="B25" location="'flows-input'!A1" display="flows-input" xr:uid="{7E6BC2F7-19A3-4C6A-ADBD-62972F5F5385}"/>
    <hyperlink ref="B26" location="'flows-prior-input'!A1" display="flows-prior-input" xr:uid="{56A86BA9-5939-4EE8-832E-3F65C6BE3D34}"/>
    <hyperlink ref="B27" location="'ratios-input'!A1" display="ratios-input" xr:uid="{4509C6B4-3880-4C0B-BFCF-55366C89CB6D}"/>
    <hyperlink ref="B19" location="woodclass!A1" display="woodclass" xr:uid="{9F40A936-8C45-4403-BF20-96F045C1A6B1}"/>
    <hyperlink ref="B13" location="contents!A1" display="contents" xr:uid="{783C8C77-B867-4F2F-99D3-0E9874E0277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D5A1-6049-407A-96EB-D787DC1A9D5C}">
  <sheetPr codeName="Sheet8"/>
  <dimension ref="A1:L157"/>
  <sheetViews>
    <sheetView zoomScale="70" zoomScaleNormal="70" workbookViewId="0"/>
  </sheetViews>
  <sheetFormatPr defaultColWidth="32.5546875" defaultRowHeight="14.4" x14ac:dyDescent="0.3"/>
  <cols>
    <col min="1" max="1" width="40.6640625" style="15" bestFit="1" customWidth="1"/>
    <col min="2" max="2" width="52.109375" style="15" bestFit="1" customWidth="1"/>
    <col min="3" max="3" width="24.33203125" style="15" customWidth="1"/>
    <col min="4" max="4" width="22.88671875" style="15" customWidth="1"/>
    <col min="5" max="5" width="36.6640625" style="15" customWidth="1"/>
    <col min="6" max="6" width="29.5546875" style="15" customWidth="1"/>
    <col min="7" max="8" width="30.33203125" style="15" customWidth="1"/>
    <col min="9" max="9" width="8.5546875" style="47" bestFit="1" customWidth="1"/>
    <col min="10" max="10" width="36.33203125" style="15" bestFit="1" customWidth="1"/>
    <col min="11" max="11" width="20.6640625" style="15" customWidth="1"/>
    <col min="13" max="16384" width="32.5546875" style="15"/>
  </cols>
  <sheetData>
    <row r="1" spans="1:12" x14ac:dyDescent="0.3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142" t="s">
        <v>28</v>
      </c>
      <c r="J1" s="5" t="s">
        <v>216</v>
      </c>
      <c r="K1" s="5" t="s">
        <v>218</v>
      </c>
      <c r="L1" s="15"/>
    </row>
    <row r="2" spans="1:12" x14ac:dyDescent="0.3">
      <c r="A2" s="5" t="s">
        <v>265</v>
      </c>
      <c r="B2" s="126" t="s">
        <v>409</v>
      </c>
      <c r="C2" s="5" t="str">
        <f>VLOOKUP(woodratio[[#This Row],[From_top]],woodstock[#All],7,FALSE)</f>
        <v>4</v>
      </c>
      <c r="D2" s="5" t="str">
        <f>VLOOKUP(woodratio[[#This Row],[To_top]],woodstock[#All],7,FALSE)</f>
        <v>43</v>
      </c>
      <c r="E2" s="126" t="s">
        <v>61</v>
      </c>
      <c r="F2" s="126" t="s">
        <v>409</v>
      </c>
      <c r="G2" s="136" t="str">
        <f>woodflow!L54</f>
        <v>4-5</v>
      </c>
      <c r="H2" s="5" t="str">
        <f>woodratio[[#This Row],[Processnumberstotop]]</f>
        <v>43</v>
      </c>
      <c r="I2" s="142">
        <f>woodflow!N55/woodflow!N54</f>
        <v>1.8667764604562678E-2</v>
      </c>
      <c r="J2" s="126" t="s">
        <v>239</v>
      </c>
      <c r="K2" s="5"/>
      <c r="L2" s="15"/>
    </row>
    <row r="3" spans="1:12" x14ac:dyDescent="0.3">
      <c r="A3" s="5" t="s">
        <v>266</v>
      </c>
      <c r="B3" s="126" t="s">
        <v>409</v>
      </c>
      <c r="C3" s="5" t="str">
        <f>VLOOKUP(woodratio[[#This Row],[From_top]],woodstock[#All],7,FALSE)</f>
        <v>5</v>
      </c>
      <c r="D3" s="5" t="str">
        <f>VLOOKUP(woodratio[[#This Row],[To_top]],woodstock[#All],7,FALSE)</f>
        <v>43</v>
      </c>
      <c r="E3" s="126" t="s">
        <v>61</v>
      </c>
      <c r="F3" s="126" t="s">
        <v>409</v>
      </c>
      <c r="G3" s="136" t="str">
        <f>G2</f>
        <v>4-5</v>
      </c>
      <c r="H3" s="5" t="str">
        <f>woodratio[[#This Row],[Processnumberstotop]]</f>
        <v>43</v>
      </c>
      <c r="I3" s="142">
        <f>woodflow!N56/woodflow!N54</f>
        <v>0.98133223012139081</v>
      </c>
      <c r="J3" s="126" t="s">
        <v>239</v>
      </c>
      <c r="K3" s="5"/>
      <c r="L3" s="15"/>
    </row>
    <row r="4" spans="1:12" x14ac:dyDescent="0.3">
      <c r="A4" s="5"/>
      <c r="B4" s="5"/>
      <c r="C4" s="5"/>
      <c r="D4" s="5"/>
      <c r="E4" s="5"/>
      <c r="F4" s="5"/>
      <c r="G4" s="5"/>
      <c r="H4" s="5"/>
      <c r="I4" s="142"/>
      <c r="J4" s="5"/>
      <c r="K4" s="5"/>
      <c r="L4" s="15"/>
    </row>
    <row r="5" spans="1:12" x14ac:dyDescent="0.3">
      <c r="A5" s="5"/>
      <c r="B5" s="5"/>
      <c r="C5" s="5"/>
      <c r="D5" s="5"/>
      <c r="E5" s="5"/>
      <c r="F5" s="5"/>
      <c r="G5" s="5"/>
      <c r="H5" s="5"/>
      <c r="I5" s="142"/>
      <c r="J5" s="5"/>
      <c r="K5" s="5"/>
      <c r="L5" s="15"/>
    </row>
    <row r="6" spans="1:12" x14ac:dyDescent="0.3">
      <c r="A6" s="5" t="s">
        <v>267</v>
      </c>
      <c r="B6" s="126" t="s">
        <v>49</v>
      </c>
      <c r="C6" s="5" t="str">
        <f>VLOOKUP(woodratio[[#This Row],[From_top]],woodstock[#All],7,FALSE)</f>
        <v>6</v>
      </c>
      <c r="D6" s="5" t="str">
        <f>VLOOKUP(woodratio[[#This Row],[To_top]],woodstock[#All],7,FALSE)</f>
        <v>20</v>
      </c>
      <c r="E6" s="126" t="s">
        <v>62</v>
      </c>
      <c r="F6" s="126" t="s">
        <v>49</v>
      </c>
      <c r="G6" s="136" t="str">
        <f>woodflow!L63</f>
        <v>6-7</v>
      </c>
      <c r="H6" s="5" t="str">
        <f>woodratio[[#This Row],[Processnumberstotop]]</f>
        <v>20</v>
      </c>
      <c r="I6" s="142">
        <f>woodflow!N5/(woodflow!N5+woodflow!N17)</f>
        <v>4.3804053168841818E-2</v>
      </c>
      <c r="J6" s="126" t="s">
        <v>239</v>
      </c>
      <c r="K6" s="5"/>
      <c r="L6" s="15"/>
    </row>
    <row r="7" spans="1:12" x14ac:dyDescent="0.3">
      <c r="A7" s="5" t="s">
        <v>268</v>
      </c>
      <c r="B7" s="126" t="s">
        <v>49</v>
      </c>
      <c r="C7" s="5" t="str">
        <f>VLOOKUP(woodratio[[#This Row],[From_top]],woodstock[#All],7,FALSE)</f>
        <v>7</v>
      </c>
      <c r="D7" s="5" t="str">
        <f>VLOOKUP(woodratio[[#This Row],[To_top]],woodstock[#All],7,FALSE)</f>
        <v>20</v>
      </c>
      <c r="E7" s="126" t="s">
        <v>62</v>
      </c>
      <c r="F7" s="126" t="s">
        <v>49</v>
      </c>
      <c r="G7" s="136" t="str">
        <f>G6</f>
        <v>6-7</v>
      </c>
      <c r="H7" s="5" t="str">
        <f>woodratio[[#This Row],[Processnumberstotop]]</f>
        <v>20</v>
      </c>
      <c r="I7" s="142">
        <f>woodflow!N17/(woodflow!N5+woodflow!N17)</f>
        <v>0.95619594683115816</v>
      </c>
      <c r="J7" s="126" t="s">
        <v>239</v>
      </c>
      <c r="K7" s="5"/>
      <c r="L7" s="15"/>
    </row>
    <row r="8" spans="1:12" x14ac:dyDescent="0.3">
      <c r="A8" s="126"/>
      <c r="B8" s="126"/>
      <c r="C8" s="5"/>
      <c r="D8" s="5"/>
      <c r="E8" s="5"/>
      <c r="F8" s="5"/>
      <c r="G8" s="5"/>
      <c r="H8" s="5"/>
      <c r="I8" s="142"/>
      <c r="J8" s="5"/>
      <c r="K8" s="5"/>
      <c r="L8" s="15"/>
    </row>
    <row r="9" spans="1:12" x14ac:dyDescent="0.3">
      <c r="A9" s="5"/>
      <c r="B9" s="5"/>
      <c r="C9" s="5"/>
      <c r="D9" s="5"/>
      <c r="E9" s="5"/>
      <c r="F9" s="5"/>
      <c r="G9" s="5"/>
      <c r="H9" s="5"/>
      <c r="I9" s="142"/>
      <c r="J9" s="5"/>
      <c r="K9" s="5"/>
      <c r="L9" s="15"/>
    </row>
    <row r="10" spans="1:12" x14ac:dyDescent="0.3">
      <c r="A10" s="5" t="s">
        <v>267</v>
      </c>
      <c r="B10" s="126" t="s">
        <v>44</v>
      </c>
      <c r="C10" s="5" t="str">
        <f>VLOOKUP(woodratio[[#This Row],[From_top]],woodstock[#All],7,FALSE)</f>
        <v>6</v>
      </c>
      <c r="D10" s="5" t="str">
        <f>VLOOKUP(woodratio[[#This Row],[To_top]],woodstock[#All],7,FALSE)</f>
        <v>21</v>
      </c>
      <c r="E10" s="126" t="s">
        <v>62</v>
      </c>
      <c r="F10" s="126" t="s">
        <v>44</v>
      </c>
      <c r="G10" s="136" t="str">
        <f>woodflow!L68</f>
        <v>6-7</v>
      </c>
      <c r="H10" s="5" t="str">
        <f>woodratio[[#This Row],[Processnumberstotop]]</f>
        <v>21</v>
      </c>
      <c r="I10" s="142">
        <f>woodflow!N5/(woodflow!N5+woodflow!N17)</f>
        <v>4.3804053168841818E-2</v>
      </c>
      <c r="J10" s="126" t="s">
        <v>239</v>
      </c>
      <c r="K10" s="5"/>
      <c r="L10" s="15"/>
    </row>
    <row r="11" spans="1:12" x14ac:dyDescent="0.3">
      <c r="A11" s="5" t="s">
        <v>268</v>
      </c>
      <c r="B11" s="126" t="s">
        <v>44</v>
      </c>
      <c r="C11" s="5" t="str">
        <f>VLOOKUP(woodratio[[#This Row],[From_top]],woodstock[#All],7,FALSE)</f>
        <v>7</v>
      </c>
      <c r="D11" s="5" t="str">
        <f>VLOOKUP(woodratio[[#This Row],[To_top]],woodstock[#All],7,FALSE)</f>
        <v>21</v>
      </c>
      <c r="E11" s="126" t="s">
        <v>62</v>
      </c>
      <c r="F11" s="126" t="s">
        <v>44</v>
      </c>
      <c r="G11" s="136" t="str">
        <f>G10</f>
        <v>6-7</v>
      </c>
      <c r="H11" s="5" t="str">
        <f>woodratio[[#This Row],[Processnumberstotop]]</f>
        <v>21</v>
      </c>
      <c r="I11" s="142">
        <f>woodflow!N17/(woodflow!N5+woodflow!N17)</f>
        <v>0.95619594683115816</v>
      </c>
      <c r="J11" s="126" t="s">
        <v>239</v>
      </c>
      <c r="K11" s="5"/>
      <c r="L11" s="15"/>
    </row>
    <row r="12" spans="1:12" x14ac:dyDescent="0.3">
      <c r="A12" s="126"/>
      <c r="B12" s="126"/>
      <c r="C12" s="5"/>
      <c r="D12" s="5"/>
      <c r="E12" s="5"/>
      <c r="F12" s="5"/>
      <c r="G12" s="5"/>
      <c r="H12" s="5"/>
      <c r="I12" s="142"/>
      <c r="J12" s="5"/>
      <c r="K12" s="5"/>
      <c r="L12" s="15"/>
    </row>
    <row r="13" spans="1:12" x14ac:dyDescent="0.3">
      <c r="A13" s="5"/>
      <c r="B13" s="5"/>
      <c r="C13" s="5"/>
      <c r="D13" s="5"/>
      <c r="E13" s="5"/>
      <c r="F13" s="5"/>
      <c r="G13" s="5"/>
      <c r="H13" s="5"/>
      <c r="I13" s="142"/>
      <c r="J13" s="5"/>
      <c r="K13" s="5"/>
      <c r="L13" s="15"/>
    </row>
    <row r="14" spans="1:12" x14ac:dyDescent="0.3">
      <c r="A14" s="5" t="s">
        <v>272</v>
      </c>
      <c r="B14" s="126" t="s">
        <v>179</v>
      </c>
      <c r="C14" s="5" t="str">
        <f>VLOOKUP(woodratio[[#This Row],[From_top]],woodstock[#All],7,FALSE)</f>
        <v>10</v>
      </c>
      <c r="D14" s="5" t="str">
        <f>VLOOKUP(woodratio[[#This Row],[To_top]],woodstock[#All],7,FALSE)</f>
        <v>14</v>
      </c>
      <c r="E14" s="126" t="s">
        <v>64</v>
      </c>
      <c r="F14" s="126" t="s">
        <v>179</v>
      </c>
      <c r="G14" s="136" t="str">
        <f>woodflow!L80</f>
        <v>10-11</v>
      </c>
      <c r="H14" s="5" t="str">
        <f>woodratio[[#This Row],[Processnumberstotop]]</f>
        <v>14</v>
      </c>
      <c r="I14" s="142">
        <f>woodflow!N11/(woodflow!N11+woodflow!N23)</f>
        <v>5.1055646310342678E-2</v>
      </c>
      <c r="J14" s="126" t="s">
        <v>239</v>
      </c>
      <c r="K14" s="5"/>
      <c r="L14" s="15"/>
    </row>
    <row r="15" spans="1:12" x14ac:dyDescent="0.3">
      <c r="A15" s="5" t="s">
        <v>273</v>
      </c>
      <c r="B15" s="126" t="s">
        <v>179</v>
      </c>
      <c r="C15" s="5" t="str">
        <f>VLOOKUP(woodratio[[#This Row],[From_top]],woodstock[#All],7,FALSE)</f>
        <v>11</v>
      </c>
      <c r="D15" s="5" t="str">
        <f>VLOOKUP(woodratio[[#This Row],[To_top]],woodstock[#All],7,FALSE)</f>
        <v>14</v>
      </c>
      <c r="E15" s="126" t="s">
        <v>64</v>
      </c>
      <c r="F15" s="126" t="s">
        <v>179</v>
      </c>
      <c r="G15" s="136" t="str">
        <f>G14</f>
        <v>10-11</v>
      </c>
      <c r="H15" s="5" t="str">
        <f>woodratio[[#This Row],[Processnumberstotop]]</f>
        <v>14</v>
      </c>
      <c r="I15" s="142">
        <f>woodflow!N23/(woodflow!N11+woodflow!N23)</f>
        <v>0.94894435368965735</v>
      </c>
      <c r="J15" s="126" t="s">
        <v>239</v>
      </c>
      <c r="K15" s="5"/>
      <c r="L15" s="15"/>
    </row>
    <row r="16" spans="1:12" x14ac:dyDescent="0.3">
      <c r="A16" s="5"/>
      <c r="B16" s="5"/>
      <c r="C16" s="5"/>
      <c r="D16" s="5"/>
      <c r="E16" s="5"/>
      <c r="F16" s="5"/>
      <c r="G16" s="5"/>
      <c r="H16" s="5"/>
      <c r="I16" s="142"/>
      <c r="J16" s="5"/>
      <c r="K16" s="5"/>
      <c r="L16" s="15"/>
    </row>
    <row r="17" spans="1:12" x14ac:dyDescent="0.3">
      <c r="A17" s="5"/>
      <c r="B17" s="5"/>
      <c r="C17" s="5"/>
      <c r="D17" s="5"/>
      <c r="E17" s="5"/>
      <c r="F17" s="5"/>
      <c r="G17" s="5"/>
      <c r="H17" s="5"/>
      <c r="I17" s="142"/>
      <c r="J17" s="5"/>
      <c r="K17" s="5"/>
      <c r="L17" s="15"/>
    </row>
    <row r="18" spans="1:12" x14ac:dyDescent="0.3">
      <c r="A18" s="5" t="s">
        <v>179</v>
      </c>
      <c r="B18" s="5" t="s">
        <v>409</v>
      </c>
      <c r="C18" s="5" t="str">
        <f>VLOOKUP(woodratio[[#This Row],[From_top]],woodstock[#All],7,FALSE)</f>
        <v>14</v>
      </c>
      <c r="D18" s="5" t="str">
        <f>VLOOKUP(woodratio[[#This Row],[To_top]],woodstock[#All],7,FALSE)</f>
        <v>43</v>
      </c>
      <c r="E18" s="5" t="s">
        <v>56</v>
      </c>
      <c r="F18" s="5" t="s">
        <v>59</v>
      </c>
      <c r="G18" s="5" t="str">
        <f>woodratio[[#This Row],[Processnumbersfromtop]]</f>
        <v>14</v>
      </c>
      <c r="H18" s="5" t="str">
        <f>woodflow!M103</f>
        <v>43-44-45-46-47-48-49</v>
      </c>
      <c r="I18" s="142" t="s">
        <v>229</v>
      </c>
      <c r="J18" s="5" t="s">
        <v>629</v>
      </c>
      <c r="K18" s="143" t="s">
        <v>630</v>
      </c>
      <c r="L18" s="15"/>
    </row>
    <row r="19" spans="1:12" x14ac:dyDescent="0.3">
      <c r="A19" s="5" t="s">
        <v>179</v>
      </c>
      <c r="B19" s="5" t="s">
        <v>33</v>
      </c>
      <c r="C19" s="5" t="str">
        <f>VLOOKUP(woodratio[[#This Row],[From_top]],woodstock[#All],7,FALSE)</f>
        <v>14</v>
      </c>
      <c r="D19" s="5" t="str">
        <f>VLOOKUP(woodratio[[#This Row],[To_top]],woodstock[#All],7,FALSE)</f>
        <v>46</v>
      </c>
      <c r="E19" s="5" t="s">
        <v>56</v>
      </c>
      <c r="F19" s="5" t="s">
        <v>59</v>
      </c>
      <c r="G19" s="5" t="str">
        <f>woodratio[[#This Row],[Processnumbersfromtop]]</f>
        <v>14</v>
      </c>
      <c r="H19" s="5" t="str">
        <f>H18</f>
        <v>43-44-45-46-47-48-49</v>
      </c>
      <c r="I19" s="142" t="s">
        <v>230</v>
      </c>
      <c r="J19" s="5" t="s">
        <v>629</v>
      </c>
      <c r="K19" s="143" t="s">
        <v>630</v>
      </c>
      <c r="L19" s="15"/>
    </row>
    <row r="20" spans="1:12" x14ac:dyDescent="0.3">
      <c r="A20" s="5" t="s">
        <v>179</v>
      </c>
      <c r="B20" s="5" t="s">
        <v>57</v>
      </c>
      <c r="C20" s="5" t="str">
        <f>VLOOKUP(woodratio[[#This Row],[From_top]],woodstock[#All],7,FALSE)</f>
        <v>14</v>
      </c>
      <c r="D20" s="5" t="str">
        <f>VLOOKUP(woodratio[[#This Row],[To_top]],woodstock[#All],7,FALSE)</f>
        <v>49</v>
      </c>
      <c r="E20" s="5" t="s">
        <v>56</v>
      </c>
      <c r="F20" s="5" t="s">
        <v>59</v>
      </c>
      <c r="G20" s="5" t="str">
        <f>woodratio[[#This Row],[Processnumbersfromtop]]</f>
        <v>14</v>
      </c>
      <c r="H20" s="5" t="str">
        <f>H19</f>
        <v>43-44-45-46-47-48-49</v>
      </c>
      <c r="I20" s="142" t="s">
        <v>229</v>
      </c>
      <c r="J20" s="5" t="s">
        <v>629</v>
      </c>
      <c r="K20" s="143" t="s">
        <v>630</v>
      </c>
      <c r="L20" s="15"/>
    </row>
    <row r="21" spans="1:12" x14ac:dyDescent="0.3">
      <c r="A21" s="5"/>
      <c r="B21" s="5"/>
      <c r="C21" s="5"/>
      <c r="D21" s="5"/>
      <c r="E21" s="5"/>
      <c r="F21" s="5"/>
      <c r="G21" s="5"/>
      <c r="H21" s="5"/>
      <c r="I21" s="142"/>
      <c r="J21" s="5"/>
      <c r="K21" s="5"/>
      <c r="L21" s="15"/>
    </row>
    <row r="22" spans="1:12" x14ac:dyDescent="0.3">
      <c r="A22" s="5"/>
      <c r="B22" s="5"/>
      <c r="C22" s="5"/>
      <c r="D22" s="5"/>
      <c r="E22" s="5"/>
      <c r="F22" s="5"/>
      <c r="G22" s="5"/>
      <c r="H22" s="5"/>
      <c r="I22" s="142"/>
      <c r="J22" s="5"/>
      <c r="K22" s="5"/>
      <c r="L22" s="15"/>
    </row>
    <row r="23" spans="1:12" x14ac:dyDescent="0.3">
      <c r="A23" s="5" t="s">
        <v>179</v>
      </c>
      <c r="B23" s="5" t="s">
        <v>29</v>
      </c>
      <c r="C23" s="5" t="str">
        <f>VLOOKUP(woodratio[[#This Row],[From_top]],woodstock[#All],7,FALSE)</f>
        <v>14</v>
      </c>
      <c r="D23" s="5" t="str">
        <f>VLOOKUP(woodratio[[#This Row],[To_top]],woodstock[#All],7,FALSE)</f>
        <v>50</v>
      </c>
      <c r="E23" s="5" t="s">
        <v>9</v>
      </c>
      <c r="F23" s="5" t="s">
        <v>58</v>
      </c>
      <c r="G23" s="5" t="str">
        <f>woodratio[[#This Row],[Processnumbersfromtop]]</f>
        <v>14</v>
      </c>
      <c r="H23" s="5" t="str">
        <f>woodflow!M113</f>
        <v>50-51-52-53-54-55</v>
      </c>
      <c r="I23" s="142">
        <f>'production-mass-balance'!B14/SUM('production-mass-balance'!B14:B17)</f>
        <v>0.38461538461538469</v>
      </c>
      <c r="J23" s="126" t="s">
        <v>456</v>
      </c>
      <c r="K23" s="5"/>
      <c r="L23" s="15"/>
    </row>
    <row r="24" spans="1:12" x14ac:dyDescent="0.3">
      <c r="A24" s="5" t="s">
        <v>179</v>
      </c>
      <c r="B24" s="5" t="s">
        <v>73</v>
      </c>
      <c r="C24" s="5" t="str">
        <f>VLOOKUP(woodratio[[#This Row],[From_top]],woodstock[#All],7,FALSE)</f>
        <v>14</v>
      </c>
      <c r="D24" s="5" t="str">
        <f>VLOOKUP(woodratio[[#This Row],[To_top]],woodstock[#All],7,FALSE)</f>
        <v>51</v>
      </c>
      <c r="E24" s="5" t="s">
        <v>9</v>
      </c>
      <c r="F24" s="5" t="s">
        <v>58</v>
      </c>
      <c r="G24" s="5" t="str">
        <f>woodratio[[#This Row],[Processnumbersfromtop]]</f>
        <v>14</v>
      </c>
      <c r="H24" s="5" t="str">
        <f>H23</f>
        <v>50-51-52-53-54-55</v>
      </c>
      <c r="I24" s="142">
        <f>'production-mass-balance'!B15/SUM('production-mass-balance'!B14:B17)</f>
        <v>0.19230769230769235</v>
      </c>
      <c r="J24" s="126" t="s">
        <v>456</v>
      </c>
      <c r="K24" s="5"/>
      <c r="L24" s="15"/>
    </row>
    <row r="25" spans="1:12" x14ac:dyDescent="0.3">
      <c r="A25" s="5" t="s">
        <v>179</v>
      </c>
      <c r="B25" s="5" t="s">
        <v>30</v>
      </c>
      <c r="C25" s="5" t="str">
        <f>VLOOKUP(woodratio[[#This Row],[From_top]],woodstock[#All],7,FALSE)</f>
        <v>14</v>
      </c>
      <c r="D25" s="5" t="str">
        <f>VLOOKUP(woodratio[[#This Row],[To_top]],woodstock[#All],7,FALSE)</f>
        <v>52</v>
      </c>
      <c r="E25" s="5" t="s">
        <v>9</v>
      </c>
      <c r="F25" s="5" t="s">
        <v>58</v>
      </c>
      <c r="G25" s="5" t="str">
        <f>woodratio[[#This Row],[Processnumbersfromtop]]</f>
        <v>14</v>
      </c>
      <c r="H25" s="5" t="str">
        <f t="shared" ref="H25" si="0">H24</f>
        <v>50-51-52-53-54-55</v>
      </c>
      <c r="I25" s="142">
        <f>'production-mass-balance'!B17/SUM('production-mass-balance'!B14:B17)</f>
        <v>0.26923076923076933</v>
      </c>
      <c r="J25" s="126" t="s">
        <v>456</v>
      </c>
      <c r="K25" s="5"/>
      <c r="L25" s="15"/>
    </row>
    <row r="26" spans="1:12" x14ac:dyDescent="0.3">
      <c r="A26" s="5" t="s">
        <v>179</v>
      </c>
      <c r="B26" s="5" t="s">
        <v>74</v>
      </c>
      <c r="C26" s="5" t="str">
        <f>VLOOKUP(woodratio[[#This Row],[From_top]],woodstock[#All],7,FALSE)</f>
        <v>14</v>
      </c>
      <c r="D26" s="5" t="str">
        <f>VLOOKUP(woodratio[[#This Row],[To_top]],woodstock[#All],7,FALSE)</f>
        <v>55</v>
      </c>
      <c r="E26" s="5" t="s">
        <v>9</v>
      </c>
      <c r="F26" s="5" t="s">
        <v>58</v>
      </c>
      <c r="G26" s="5" t="str">
        <f>woodratio[[#This Row],[Processnumbersfromtop]]</f>
        <v>14</v>
      </c>
      <c r="H26" s="5" t="str">
        <f>H25</f>
        <v>50-51-52-53-54-55</v>
      </c>
      <c r="I26" s="142">
        <f>'production-mass-balance'!B16/SUM('production-mass-balance'!B14:B17)</f>
        <v>0.15384615384615358</v>
      </c>
      <c r="J26" s="126" t="s">
        <v>456</v>
      </c>
      <c r="K26" s="5"/>
      <c r="L26" s="15"/>
    </row>
    <row r="27" spans="1:12" x14ac:dyDescent="0.3">
      <c r="A27" s="5"/>
      <c r="B27" s="5"/>
      <c r="C27" s="5"/>
      <c r="D27" s="5"/>
      <c r="E27" s="5"/>
      <c r="F27" s="5"/>
      <c r="G27" s="5"/>
      <c r="H27" s="5"/>
      <c r="I27" s="142"/>
      <c r="J27" s="5"/>
      <c r="K27" s="5"/>
      <c r="L27" s="15"/>
    </row>
    <row r="28" spans="1:12" x14ac:dyDescent="0.3">
      <c r="A28" s="5"/>
      <c r="B28" s="5"/>
      <c r="C28" s="5"/>
      <c r="D28" s="5"/>
      <c r="E28" s="5"/>
      <c r="F28" s="5"/>
      <c r="G28" s="5"/>
      <c r="H28" s="5"/>
      <c r="I28" s="142"/>
      <c r="J28" s="5"/>
      <c r="K28" s="5"/>
      <c r="L28" s="15"/>
    </row>
    <row r="29" spans="1:12" x14ac:dyDescent="0.3">
      <c r="A29" s="5" t="s">
        <v>274</v>
      </c>
      <c r="B29" s="5" t="s">
        <v>36</v>
      </c>
      <c r="C29" s="5" t="str">
        <f>VLOOKUP(woodratio[[#This Row],[From_top]],woodstock[#All],7,FALSE)</f>
        <v>18</v>
      </c>
      <c r="D29" s="5" t="str">
        <f>VLOOKUP(woodratio[[#This Row],[To_top]],woodstock[#All],7,FALSE)</f>
        <v>37</v>
      </c>
      <c r="E29" s="5" t="s">
        <v>48</v>
      </c>
      <c r="F29" s="5" t="s">
        <v>51</v>
      </c>
      <c r="G29" s="5" t="str">
        <f>woodratio[[#This Row],[Processnumbersfromtop]]</f>
        <v>18</v>
      </c>
      <c r="H29" s="5" t="str">
        <f>woodflow!M161</f>
        <v>37-38-39-40-41-42</v>
      </c>
      <c r="I29" s="142">
        <v>0.215</v>
      </c>
      <c r="J29" s="5" t="s">
        <v>372</v>
      </c>
      <c r="K29" s="143" t="s">
        <v>376</v>
      </c>
      <c r="L29" s="15"/>
    </row>
    <row r="30" spans="1:12" x14ac:dyDescent="0.3">
      <c r="A30" s="5" t="s">
        <v>274</v>
      </c>
      <c r="B30" s="5" t="s">
        <v>37</v>
      </c>
      <c r="C30" s="5" t="str">
        <f>VLOOKUP(woodratio[[#This Row],[From_top]],woodstock[#All],7,FALSE)</f>
        <v>18</v>
      </c>
      <c r="D30" s="5" t="str">
        <f>VLOOKUP(woodratio[[#This Row],[To_top]],woodstock[#All],7,FALSE)</f>
        <v>38</v>
      </c>
      <c r="E30" s="5" t="s">
        <v>48</v>
      </c>
      <c r="F30" s="5" t="s">
        <v>51</v>
      </c>
      <c r="G30" s="5" t="str">
        <f>woodratio[[#This Row],[Processnumbersfromtop]]</f>
        <v>18</v>
      </c>
      <c r="H30" s="5" t="str">
        <f>H29</f>
        <v>37-38-39-40-41-42</v>
      </c>
      <c r="I30" s="142">
        <v>0.19</v>
      </c>
      <c r="J30" s="5" t="s">
        <v>372</v>
      </c>
      <c r="K30" s="143" t="s">
        <v>376</v>
      </c>
      <c r="L30" s="15"/>
    </row>
    <row r="31" spans="1:12" x14ac:dyDescent="0.3">
      <c r="A31" s="5" t="s">
        <v>274</v>
      </c>
      <c r="B31" s="5" t="s">
        <v>39</v>
      </c>
      <c r="C31" s="5" t="str">
        <f>VLOOKUP(woodratio[[#This Row],[From_top]],woodstock[#All],7,FALSE)</f>
        <v>18</v>
      </c>
      <c r="D31" s="5" t="str">
        <f>VLOOKUP(woodratio[[#This Row],[To_top]],woodstock[#All],7,FALSE)</f>
        <v>39</v>
      </c>
      <c r="E31" s="5" t="s">
        <v>48</v>
      </c>
      <c r="F31" s="5" t="s">
        <v>51</v>
      </c>
      <c r="G31" s="5" t="str">
        <f>woodratio[[#This Row],[Processnumbersfromtop]]</f>
        <v>18</v>
      </c>
      <c r="H31" s="5" t="str">
        <f t="shared" ref="H31:H34" si="1">H30</f>
        <v>37-38-39-40-41-42</v>
      </c>
      <c r="I31" s="142">
        <v>1.4999999999999999E-2</v>
      </c>
      <c r="J31" s="5" t="s">
        <v>372</v>
      </c>
      <c r="K31" s="143" t="s">
        <v>376</v>
      </c>
      <c r="L31" s="15"/>
    </row>
    <row r="32" spans="1:12" x14ac:dyDescent="0.3">
      <c r="A32" s="5" t="s">
        <v>274</v>
      </c>
      <c r="B32" s="5" t="s">
        <v>40</v>
      </c>
      <c r="C32" s="5" t="str">
        <f>VLOOKUP(woodratio[[#This Row],[From_top]],woodstock[#All],7,FALSE)</f>
        <v>18</v>
      </c>
      <c r="D32" s="5" t="str">
        <f>VLOOKUP(woodratio[[#This Row],[To_top]],woodstock[#All],7,FALSE)</f>
        <v>40</v>
      </c>
      <c r="E32" s="5" t="s">
        <v>48</v>
      </c>
      <c r="F32" s="5" t="s">
        <v>51</v>
      </c>
      <c r="G32" s="5" t="str">
        <f>woodratio[[#This Row],[Processnumbersfromtop]]</f>
        <v>18</v>
      </c>
      <c r="H32" s="5" t="str">
        <f>H31</f>
        <v>37-38-39-40-41-42</v>
      </c>
      <c r="I32" s="142">
        <v>0.47</v>
      </c>
      <c r="J32" s="5" t="s">
        <v>372</v>
      </c>
      <c r="K32" s="143" t="s">
        <v>376</v>
      </c>
      <c r="L32" s="15"/>
    </row>
    <row r="33" spans="1:12" x14ac:dyDescent="0.3">
      <c r="A33" s="5" t="s">
        <v>274</v>
      </c>
      <c r="B33" s="5" t="s">
        <v>41</v>
      </c>
      <c r="C33" s="5" t="str">
        <f>VLOOKUP(woodratio[[#This Row],[From_top]],woodstock[#All],7,FALSE)</f>
        <v>18</v>
      </c>
      <c r="D33" s="5" t="str">
        <f>VLOOKUP(woodratio[[#This Row],[To_top]],woodstock[#All],7,FALSE)</f>
        <v>41</v>
      </c>
      <c r="E33" s="5" t="s">
        <v>48</v>
      </c>
      <c r="F33" s="5" t="s">
        <v>51</v>
      </c>
      <c r="G33" s="5" t="str">
        <f>woodratio[[#This Row],[Processnumbersfromtop]]</f>
        <v>18</v>
      </c>
      <c r="H33" s="5" t="str">
        <f t="shared" si="1"/>
        <v>37-38-39-40-41-42</v>
      </c>
      <c r="I33" s="142">
        <v>0.03</v>
      </c>
      <c r="J33" s="5" t="s">
        <v>372</v>
      </c>
      <c r="K33" s="143" t="s">
        <v>376</v>
      </c>
      <c r="L33" s="15"/>
    </row>
    <row r="34" spans="1:12" x14ac:dyDescent="0.3">
      <c r="A34" s="5" t="s">
        <v>274</v>
      </c>
      <c r="B34" s="5" t="s">
        <v>38</v>
      </c>
      <c r="C34" s="5" t="str">
        <f>VLOOKUP(woodratio[[#This Row],[From_top]],woodstock[#All],7,FALSE)</f>
        <v>18</v>
      </c>
      <c r="D34" s="5" t="str">
        <f>VLOOKUP(woodratio[[#This Row],[To_top]],woodstock[#All],7,FALSE)</f>
        <v>42</v>
      </c>
      <c r="E34" s="5" t="s">
        <v>48</v>
      </c>
      <c r="F34" s="5" t="s">
        <v>51</v>
      </c>
      <c r="G34" s="5" t="str">
        <f>woodratio[[#This Row],[Processnumbersfromtop]]</f>
        <v>18</v>
      </c>
      <c r="H34" s="5" t="str">
        <f t="shared" si="1"/>
        <v>37-38-39-40-41-42</v>
      </c>
      <c r="I34" s="142">
        <v>0.08</v>
      </c>
      <c r="J34" s="5" t="s">
        <v>372</v>
      </c>
      <c r="K34" s="143" t="s">
        <v>376</v>
      </c>
      <c r="L34" s="15"/>
    </row>
    <row r="35" spans="1:12" x14ac:dyDescent="0.3">
      <c r="A35" s="5"/>
      <c r="B35" s="5"/>
      <c r="C35" s="5"/>
      <c r="D35" s="5"/>
      <c r="E35" s="5"/>
      <c r="F35" s="5"/>
      <c r="G35" s="5"/>
      <c r="H35" s="5"/>
      <c r="I35" s="142"/>
      <c r="J35" s="5"/>
      <c r="K35" s="5"/>
      <c r="L35" s="15"/>
    </row>
    <row r="36" spans="1:12" x14ac:dyDescent="0.3">
      <c r="A36" s="5"/>
      <c r="B36" s="5"/>
      <c r="C36" s="5"/>
      <c r="D36" s="5"/>
      <c r="E36" s="5"/>
      <c r="F36" s="5"/>
      <c r="G36" s="5"/>
      <c r="H36" s="5"/>
      <c r="I36" s="142"/>
      <c r="J36" s="5"/>
      <c r="K36" s="5"/>
      <c r="L36" s="15"/>
    </row>
    <row r="37" spans="1:12" x14ac:dyDescent="0.3">
      <c r="A37" s="5" t="s">
        <v>275</v>
      </c>
      <c r="B37" s="5" t="s">
        <v>36</v>
      </c>
      <c r="C37" s="5" t="str">
        <f>VLOOKUP(woodratio[[#This Row],[From_top]],woodstock[#All],7,FALSE)</f>
        <v>19</v>
      </c>
      <c r="D37" s="5" t="str">
        <f>VLOOKUP(woodratio[[#This Row],[To_top]],woodstock[#All],7,FALSE)</f>
        <v>37</v>
      </c>
      <c r="E37" s="5" t="s">
        <v>48</v>
      </c>
      <c r="F37" s="5" t="s">
        <v>51</v>
      </c>
      <c r="G37" s="5" t="str">
        <f>woodratio[[#This Row],[Processnumbersfromtop]]</f>
        <v>19</v>
      </c>
      <c r="H37" s="136" t="str">
        <f>woodflow!M170</f>
        <v>37-38-39-40-41-42</v>
      </c>
      <c r="I37" s="142">
        <v>0.215</v>
      </c>
      <c r="J37" s="5" t="s">
        <v>372</v>
      </c>
      <c r="K37" s="143" t="s">
        <v>376</v>
      </c>
      <c r="L37" s="15"/>
    </row>
    <row r="38" spans="1:12" x14ac:dyDescent="0.3">
      <c r="A38" s="5" t="s">
        <v>275</v>
      </c>
      <c r="B38" s="5" t="s">
        <v>37</v>
      </c>
      <c r="C38" s="5" t="str">
        <f>VLOOKUP(woodratio[[#This Row],[From_top]],woodstock[#All],7,FALSE)</f>
        <v>19</v>
      </c>
      <c r="D38" s="5" t="str">
        <f>VLOOKUP(woodratio[[#This Row],[To_top]],woodstock[#All],7,FALSE)</f>
        <v>38</v>
      </c>
      <c r="E38" s="5" t="s">
        <v>48</v>
      </c>
      <c r="F38" s="5" t="s">
        <v>51</v>
      </c>
      <c r="G38" s="5" t="str">
        <f>woodratio[[#This Row],[Processnumbersfromtop]]</f>
        <v>19</v>
      </c>
      <c r="H38" s="5" t="str">
        <f>H37</f>
        <v>37-38-39-40-41-42</v>
      </c>
      <c r="I38" s="142">
        <v>0.19</v>
      </c>
      <c r="J38" s="5" t="s">
        <v>372</v>
      </c>
      <c r="K38" s="143" t="s">
        <v>376</v>
      </c>
      <c r="L38" s="15"/>
    </row>
    <row r="39" spans="1:12" x14ac:dyDescent="0.3">
      <c r="A39" s="5" t="s">
        <v>275</v>
      </c>
      <c r="B39" s="5" t="s">
        <v>39</v>
      </c>
      <c r="C39" s="5" t="str">
        <f>VLOOKUP(woodratio[[#This Row],[From_top]],woodstock[#All],7,FALSE)</f>
        <v>19</v>
      </c>
      <c r="D39" s="5" t="str">
        <f>VLOOKUP(woodratio[[#This Row],[To_top]],woodstock[#All],7,FALSE)</f>
        <v>39</v>
      </c>
      <c r="E39" s="5" t="s">
        <v>48</v>
      </c>
      <c r="F39" s="5" t="s">
        <v>51</v>
      </c>
      <c r="G39" s="5" t="str">
        <f>woodratio[[#This Row],[Processnumbersfromtop]]</f>
        <v>19</v>
      </c>
      <c r="H39" s="5" t="str">
        <f t="shared" ref="H39:H42" si="2">H38</f>
        <v>37-38-39-40-41-42</v>
      </c>
      <c r="I39" s="142">
        <v>1.4999999999999999E-2</v>
      </c>
      <c r="J39" s="5" t="s">
        <v>372</v>
      </c>
      <c r="K39" s="143" t="s">
        <v>376</v>
      </c>
      <c r="L39" s="15"/>
    </row>
    <row r="40" spans="1:12" x14ac:dyDescent="0.3">
      <c r="A40" s="5" t="s">
        <v>275</v>
      </c>
      <c r="B40" s="5" t="s">
        <v>40</v>
      </c>
      <c r="C40" s="5" t="str">
        <f>VLOOKUP(woodratio[[#This Row],[From_top]],woodstock[#All],7,FALSE)</f>
        <v>19</v>
      </c>
      <c r="D40" s="5" t="str">
        <f>VLOOKUP(woodratio[[#This Row],[To_top]],woodstock[#All],7,FALSE)</f>
        <v>40</v>
      </c>
      <c r="E40" s="5" t="s">
        <v>48</v>
      </c>
      <c r="F40" s="5" t="s">
        <v>51</v>
      </c>
      <c r="G40" s="5" t="str">
        <f>woodratio[[#This Row],[Processnumbersfromtop]]</f>
        <v>19</v>
      </c>
      <c r="H40" s="5" t="str">
        <f>H39</f>
        <v>37-38-39-40-41-42</v>
      </c>
      <c r="I40" s="142">
        <v>0.47</v>
      </c>
      <c r="J40" s="5" t="s">
        <v>372</v>
      </c>
      <c r="K40" s="143" t="s">
        <v>376</v>
      </c>
      <c r="L40" s="15"/>
    </row>
    <row r="41" spans="1:12" x14ac:dyDescent="0.3">
      <c r="A41" s="5" t="s">
        <v>275</v>
      </c>
      <c r="B41" s="5" t="s">
        <v>41</v>
      </c>
      <c r="C41" s="5" t="str">
        <f>VLOOKUP(woodratio[[#This Row],[From_top]],woodstock[#All],7,FALSE)</f>
        <v>19</v>
      </c>
      <c r="D41" s="5" t="str">
        <f>VLOOKUP(woodratio[[#This Row],[To_top]],woodstock[#All],7,FALSE)</f>
        <v>41</v>
      </c>
      <c r="E41" s="5" t="s">
        <v>48</v>
      </c>
      <c r="F41" s="5" t="s">
        <v>51</v>
      </c>
      <c r="G41" s="5" t="str">
        <f>woodratio[[#This Row],[Processnumbersfromtop]]</f>
        <v>19</v>
      </c>
      <c r="H41" s="5" t="str">
        <f t="shared" si="2"/>
        <v>37-38-39-40-41-42</v>
      </c>
      <c r="I41" s="142">
        <v>0.03</v>
      </c>
      <c r="J41" s="5" t="s">
        <v>372</v>
      </c>
      <c r="K41" s="143" t="s">
        <v>376</v>
      </c>
      <c r="L41" s="15"/>
    </row>
    <row r="42" spans="1:12" x14ac:dyDescent="0.3">
      <c r="A42" s="5" t="s">
        <v>275</v>
      </c>
      <c r="B42" s="5" t="s">
        <v>38</v>
      </c>
      <c r="C42" s="5" t="str">
        <f>VLOOKUP(woodratio[[#This Row],[From_top]],woodstock[#All],7,FALSE)</f>
        <v>19</v>
      </c>
      <c r="D42" s="5" t="str">
        <f>VLOOKUP(woodratio[[#This Row],[To_top]],woodstock[#All],7,FALSE)</f>
        <v>42</v>
      </c>
      <c r="E42" s="5" t="s">
        <v>48</v>
      </c>
      <c r="F42" s="5" t="s">
        <v>51</v>
      </c>
      <c r="G42" s="5" t="str">
        <f>woodratio[[#This Row],[Processnumbersfromtop]]</f>
        <v>19</v>
      </c>
      <c r="H42" s="5" t="str">
        <f t="shared" si="2"/>
        <v>37-38-39-40-41-42</v>
      </c>
      <c r="I42" s="142">
        <v>0.08</v>
      </c>
      <c r="J42" s="5" t="s">
        <v>372</v>
      </c>
      <c r="K42" s="143" t="s">
        <v>376</v>
      </c>
      <c r="L42" s="15"/>
    </row>
    <row r="43" spans="1:12" x14ac:dyDescent="0.3">
      <c r="A43" s="5"/>
      <c r="B43" s="5"/>
      <c r="C43" s="5"/>
      <c r="D43" s="5"/>
      <c r="E43" s="5"/>
      <c r="F43" s="5"/>
      <c r="G43" s="5"/>
      <c r="H43" s="5"/>
      <c r="I43" s="142"/>
      <c r="J43" s="5"/>
      <c r="K43" s="5"/>
      <c r="L43" s="15"/>
    </row>
    <row r="44" spans="1:12" x14ac:dyDescent="0.3">
      <c r="A44" s="5"/>
      <c r="B44" s="5"/>
      <c r="C44" s="5"/>
      <c r="D44" s="5"/>
      <c r="E44" s="5"/>
      <c r="F44" s="5"/>
      <c r="G44" s="5"/>
      <c r="H44" s="5"/>
      <c r="I44" s="142"/>
      <c r="J44" s="5"/>
      <c r="K44" s="5"/>
      <c r="L44" s="15"/>
    </row>
    <row r="45" spans="1:12" x14ac:dyDescent="0.3">
      <c r="A45" s="5" t="s">
        <v>274</v>
      </c>
      <c r="B45" s="5" t="s">
        <v>29</v>
      </c>
      <c r="C45" s="5" t="str">
        <f>VLOOKUP(woodratio[[#This Row],[From_top]],woodstock[#All],7,FALSE)</f>
        <v>18</v>
      </c>
      <c r="D45" s="5" t="str">
        <f>VLOOKUP(woodratio[[#This Row],[To_top]],woodstock[#All],7,FALSE)</f>
        <v>50</v>
      </c>
      <c r="E45" s="5" t="s">
        <v>48</v>
      </c>
      <c r="F45" s="5" t="s">
        <v>58</v>
      </c>
      <c r="G45" s="5" t="str">
        <f>woodratio[[#This Row],[Processnumbersfromtop]]</f>
        <v>18</v>
      </c>
      <c r="H45" s="5" t="str">
        <f>woodflow!M179</f>
        <v>50-51-52-53-54-55</v>
      </c>
      <c r="I45" s="142">
        <f>'production-mass-balance'!B22/SUM('production-mass-balance'!B22:B25)</f>
        <v>0.50000000000000011</v>
      </c>
      <c r="J45" s="126" t="s">
        <v>456</v>
      </c>
      <c r="K45" s="5"/>
      <c r="L45" s="15"/>
    </row>
    <row r="46" spans="1:12" x14ac:dyDescent="0.3">
      <c r="A46" s="5" t="s">
        <v>274</v>
      </c>
      <c r="B46" s="5" t="s">
        <v>73</v>
      </c>
      <c r="C46" s="5" t="str">
        <f>VLOOKUP(woodratio[[#This Row],[From_top]],woodstock[#All],7,FALSE)</f>
        <v>18</v>
      </c>
      <c r="D46" s="5" t="str">
        <f>VLOOKUP(woodratio[[#This Row],[To_top]],woodstock[#All],7,FALSE)</f>
        <v>51</v>
      </c>
      <c r="E46" s="5" t="s">
        <v>48</v>
      </c>
      <c r="F46" s="5" t="s">
        <v>58</v>
      </c>
      <c r="G46" s="5" t="str">
        <f>woodratio[[#This Row],[Processnumbersfromtop]]</f>
        <v>18</v>
      </c>
      <c r="H46" s="5" t="str">
        <f>H45</f>
        <v>50-51-52-53-54-55</v>
      </c>
      <c r="I46" s="142">
        <f>'production-mass-balance'!B23/SUM('production-mass-balance'!B22:B25)</f>
        <v>0.29629629629629622</v>
      </c>
      <c r="J46" s="126" t="s">
        <v>456</v>
      </c>
      <c r="K46" s="5"/>
      <c r="L46" s="15"/>
    </row>
    <row r="47" spans="1:12" x14ac:dyDescent="0.3">
      <c r="A47" s="5" t="s">
        <v>274</v>
      </c>
      <c r="B47" s="5" t="s">
        <v>30</v>
      </c>
      <c r="C47" s="5" t="str">
        <f>VLOOKUP(woodratio[[#This Row],[From_top]],woodstock[#All],7,FALSE)</f>
        <v>18</v>
      </c>
      <c r="D47" s="5" t="str">
        <f>VLOOKUP(woodratio[[#This Row],[To_top]],woodstock[#All],7,FALSE)</f>
        <v>52</v>
      </c>
      <c r="E47" s="5" t="s">
        <v>48</v>
      </c>
      <c r="F47" s="5" t="s">
        <v>58</v>
      </c>
      <c r="G47" s="5" t="str">
        <f>woodratio[[#This Row],[Processnumbersfromtop]]</f>
        <v>18</v>
      </c>
      <c r="H47" s="5" t="str">
        <f t="shared" ref="H47" si="3">H46</f>
        <v>50-51-52-53-54-55</v>
      </c>
      <c r="I47" s="142">
        <f>'production-mass-balance'!B25/SUM('production-mass-balance'!B22:B25)</f>
        <v>0.12962962962962965</v>
      </c>
      <c r="J47" s="126" t="s">
        <v>456</v>
      </c>
      <c r="K47" s="5"/>
      <c r="L47" s="15"/>
    </row>
    <row r="48" spans="1:12" x14ac:dyDescent="0.3">
      <c r="A48" s="5" t="s">
        <v>274</v>
      </c>
      <c r="B48" s="5" t="s">
        <v>74</v>
      </c>
      <c r="C48" s="5" t="str">
        <f>VLOOKUP(woodratio[[#This Row],[From_top]],woodstock[#All],7,FALSE)</f>
        <v>18</v>
      </c>
      <c r="D48" s="5" t="str">
        <f>VLOOKUP(woodratio[[#This Row],[To_top]],woodstock[#All],7,FALSE)</f>
        <v>55</v>
      </c>
      <c r="E48" s="5" t="s">
        <v>48</v>
      </c>
      <c r="F48" s="5" t="s">
        <v>58</v>
      </c>
      <c r="G48" s="5" t="str">
        <f>woodratio[[#This Row],[Processnumbersfromtop]]</f>
        <v>18</v>
      </c>
      <c r="H48" s="5" t="str">
        <f>H47</f>
        <v>50-51-52-53-54-55</v>
      </c>
      <c r="I48" s="142">
        <f>'production-mass-balance'!B24/SUM('production-mass-balance'!B22:B25)</f>
        <v>7.4074074074074084E-2</v>
      </c>
      <c r="J48" s="126" t="s">
        <v>456</v>
      </c>
      <c r="K48" s="5"/>
      <c r="L48" s="15"/>
    </row>
    <row r="49" spans="1:12" x14ac:dyDescent="0.3">
      <c r="A49" s="5"/>
      <c r="B49" s="5"/>
      <c r="C49" s="5"/>
      <c r="D49" s="5"/>
      <c r="E49" s="5"/>
      <c r="F49" s="5"/>
      <c r="G49" s="5"/>
      <c r="H49" s="5"/>
      <c r="I49" s="142"/>
      <c r="J49" s="5"/>
      <c r="K49" s="5"/>
      <c r="L49" s="15"/>
    </row>
    <row r="50" spans="1:12" x14ac:dyDescent="0.3">
      <c r="A50" s="5"/>
      <c r="B50" s="5"/>
      <c r="C50" s="5"/>
      <c r="D50" s="5"/>
      <c r="E50" s="5"/>
      <c r="F50" s="5"/>
      <c r="G50" s="5"/>
      <c r="H50" s="5"/>
      <c r="I50" s="142"/>
      <c r="J50" s="5"/>
      <c r="K50" s="5"/>
      <c r="L50" s="15"/>
    </row>
    <row r="51" spans="1:12" x14ac:dyDescent="0.3">
      <c r="A51" s="5" t="s">
        <v>275</v>
      </c>
      <c r="B51" s="5" t="s">
        <v>29</v>
      </c>
      <c r="C51" s="5" t="str">
        <f>VLOOKUP(woodratio[[#This Row],[From_top]],woodstock[#All],7,FALSE)</f>
        <v>19</v>
      </c>
      <c r="D51" s="5" t="str">
        <f>VLOOKUP(woodratio[[#This Row],[To_top]],woodstock[#All],7,FALSE)</f>
        <v>50</v>
      </c>
      <c r="E51" s="5" t="s">
        <v>48</v>
      </c>
      <c r="F51" s="5" t="s">
        <v>58</v>
      </c>
      <c r="G51" s="5" t="str">
        <f>woodratio[[#This Row],[Processnumbersfromtop]]</f>
        <v>19</v>
      </c>
      <c r="H51" s="136" t="str">
        <f>woodflow!M188</f>
        <v>50-51-52-53-54-55</v>
      </c>
      <c r="I51" s="142">
        <f>'production-mass-balance'!B30/SUM('production-mass-balance'!B30:B33)</f>
        <v>0.52173913043478259</v>
      </c>
      <c r="J51" s="126" t="s">
        <v>456</v>
      </c>
      <c r="K51" s="5"/>
      <c r="L51" s="15"/>
    </row>
    <row r="52" spans="1:12" x14ac:dyDescent="0.3">
      <c r="A52" s="5" t="s">
        <v>275</v>
      </c>
      <c r="B52" s="5" t="s">
        <v>73</v>
      </c>
      <c r="C52" s="5" t="str">
        <f>VLOOKUP(woodratio[[#This Row],[From_top]],woodstock[#All],7,FALSE)</f>
        <v>19</v>
      </c>
      <c r="D52" s="5" t="str">
        <f>VLOOKUP(woodratio[[#This Row],[To_top]],woodstock[#All],7,FALSE)</f>
        <v>51</v>
      </c>
      <c r="E52" s="5" t="s">
        <v>48</v>
      </c>
      <c r="F52" s="5" t="s">
        <v>58</v>
      </c>
      <c r="G52" s="5" t="str">
        <f>woodratio[[#This Row],[Processnumbersfromtop]]</f>
        <v>19</v>
      </c>
      <c r="H52" s="5" t="str">
        <f>H51</f>
        <v>50-51-52-53-54-55</v>
      </c>
      <c r="I52" s="142">
        <f>'production-mass-balance'!B31/SUM('production-mass-balance'!B30:B33)</f>
        <v>0.23913043478260876</v>
      </c>
      <c r="J52" s="126" t="s">
        <v>456</v>
      </c>
      <c r="K52" s="5"/>
      <c r="L52" s="15"/>
    </row>
    <row r="53" spans="1:12" x14ac:dyDescent="0.3">
      <c r="A53" s="5" t="s">
        <v>275</v>
      </c>
      <c r="B53" s="5" t="s">
        <v>30</v>
      </c>
      <c r="C53" s="5" t="str">
        <f>VLOOKUP(woodratio[[#This Row],[From_top]],woodstock[#All],7,FALSE)</f>
        <v>19</v>
      </c>
      <c r="D53" s="5" t="str">
        <f>VLOOKUP(woodratio[[#This Row],[To_top]],woodstock[#All],7,FALSE)</f>
        <v>52</v>
      </c>
      <c r="E53" s="5" t="s">
        <v>48</v>
      </c>
      <c r="F53" s="5" t="s">
        <v>58</v>
      </c>
      <c r="G53" s="5" t="str">
        <f>woodratio[[#This Row],[Processnumbersfromtop]]</f>
        <v>19</v>
      </c>
      <c r="H53" s="5" t="str">
        <f t="shared" ref="H53" si="4">H52</f>
        <v>50-51-52-53-54-55</v>
      </c>
      <c r="I53" s="142">
        <f>'production-mass-balance'!B33/SUM('production-mass-balance'!B30:B33)</f>
        <v>0.1521739130434783</v>
      </c>
      <c r="J53" s="126" t="s">
        <v>456</v>
      </c>
      <c r="K53" s="5"/>
      <c r="L53" s="15"/>
    </row>
    <row r="54" spans="1:12" x14ac:dyDescent="0.3">
      <c r="A54" s="5" t="s">
        <v>275</v>
      </c>
      <c r="B54" s="5" t="s">
        <v>74</v>
      </c>
      <c r="C54" s="5" t="str">
        <f>VLOOKUP(woodratio[[#This Row],[From_top]],woodstock[#All],7,FALSE)</f>
        <v>19</v>
      </c>
      <c r="D54" s="5" t="str">
        <f>VLOOKUP(woodratio[[#This Row],[To_top]],woodstock[#All],7,FALSE)</f>
        <v>55</v>
      </c>
      <c r="E54" s="5" t="s">
        <v>48</v>
      </c>
      <c r="F54" s="5" t="s">
        <v>58</v>
      </c>
      <c r="G54" s="5" t="str">
        <f>woodratio[[#This Row],[Processnumbersfromtop]]</f>
        <v>19</v>
      </c>
      <c r="H54" s="5" t="str">
        <f>H53</f>
        <v>50-51-52-53-54-55</v>
      </c>
      <c r="I54" s="142">
        <f>'production-mass-balance'!B32/SUM('production-mass-balance'!B30:B33)</f>
        <v>8.6956521739130446E-2</v>
      </c>
      <c r="J54" s="126" t="s">
        <v>456</v>
      </c>
      <c r="K54" s="5"/>
      <c r="L54" s="15"/>
    </row>
    <row r="55" spans="1:12" x14ac:dyDescent="0.3">
      <c r="A55" s="5"/>
      <c r="B55" s="5"/>
      <c r="C55" s="5"/>
      <c r="D55" s="5"/>
      <c r="E55" s="5"/>
      <c r="F55" s="5"/>
      <c r="G55" s="5"/>
      <c r="H55" s="5"/>
      <c r="I55" s="142"/>
      <c r="J55" s="5"/>
      <c r="K55" s="5"/>
      <c r="L55" s="15"/>
    </row>
    <row r="56" spans="1:12" x14ac:dyDescent="0.3">
      <c r="A56" s="5"/>
      <c r="B56" s="5"/>
      <c r="C56" s="5"/>
      <c r="D56" s="5"/>
      <c r="E56" s="5"/>
      <c r="F56" s="5"/>
      <c r="G56" s="5"/>
      <c r="H56" s="5"/>
      <c r="I56" s="142"/>
      <c r="J56" s="5"/>
      <c r="K56" s="5"/>
      <c r="L56" s="15"/>
    </row>
    <row r="57" spans="1:12" x14ac:dyDescent="0.3">
      <c r="A57" s="5" t="s">
        <v>49</v>
      </c>
      <c r="B57" s="5" t="s">
        <v>37</v>
      </c>
      <c r="C57" s="5" t="str">
        <f>VLOOKUP(woodratio[[#This Row],[From_top]],woodstock[#All],7,FALSE)</f>
        <v>20</v>
      </c>
      <c r="D57" s="5" t="str">
        <f>VLOOKUP(woodratio[[#This Row],[To_top]],woodstock[#All],7,FALSE)</f>
        <v>38</v>
      </c>
      <c r="E57" s="5" t="s">
        <v>49</v>
      </c>
      <c r="F57" s="5" t="s">
        <v>51</v>
      </c>
      <c r="G57" s="5" t="str">
        <f>woodratio[[#This Row],[Processnumbersfromtop]]</f>
        <v>20</v>
      </c>
      <c r="H57" s="5" t="str">
        <f>woodflow!M200</f>
        <v>37-38-39-40-41-42</v>
      </c>
      <c r="I57" s="142">
        <v>0.15</v>
      </c>
      <c r="J57" s="5" t="s">
        <v>629</v>
      </c>
      <c r="K57" s="143" t="s">
        <v>630</v>
      </c>
      <c r="L57" s="15"/>
    </row>
    <row r="58" spans="1:12" x14ac:dyDescent="0.3">
      <c r="A58" s="5" t="s">
        <v>49</v>
      </c>
      <c r="B58" s="5" t="s">
        <v>39</v>
      </c>
      <c r="C58" s="5" t="str">
        <f>VLOOKUP(woodratio[[#This Row],[From_top]],woodstock[#All],7,FALSE)</f>
        <v>20</v>
      </c>
      <c r="D58" s="5" t="str">
        <f>VLOOKUP(woodratio[[#This Row],[To_top]],woodstock[#All],7,FALSE)</f>
        <v>39</v>
      </c>
      <c r="E58" s="5" t="s">
        <v>49</v>
      </c>
      <c r="F58" s="5" t="s">
        <v>51</v>
      </c>
      <c r="G58" s="5" t="str">
        <f t="shared" ref="G58:G61" si="5">G57</f>
        <v>20</v>
      </c>
      <c r="H58" s="5" t="str">
        <f t="shared" ref="H58:H61" si="6">H57</f>
        <v>37-38-39-40-41-42</v>
      </c>
      <c r="I58" s="142">
        <v>5.5E-2</v>
      </c>
      <c r="J58" s="5" t="s">
        <v>629</v>
      </c>
      <c r="K58" s="143" t="s">
        <v>630</v>
      </c>
      <c r="L58" s="15"/>
    </row>
    <row r="59" spans="1:12" x14ac:dyDescent="0.3">
      <c r="A59" s="5" t="s">
        <v>49</v>
      </c>
      <c r="B59" s="5" t="s">
        <v>40</v>
      </c>
      <c r="C59" s="5" t="str">
        <f>VLOOKUP(woodratio[[#This Row],[From_top]],woodstock[#All],7,FALSE)</f>
        <v>20</v>
      </c>
      <c r="D59" s="5" t="str">
        <f>VLOOKUP(woodratio[[#This Row],[To_top]],woodstock[#All],7,FALSE)</f>
        <v>40</v>
      </c>
      <c r="E59" s="5" t="s">
        <v>49</v>
      </c>
      <c r="F59" s="5" t="s">
        <v>51</v>
      </c>
      <c r="G59" s="5" t="str">
        <f t="shared" si="5"/>
        <v>20</v>
      </c>
      <c r="H59" s="5" t="str">
        <f t="shared" si="6"/>
        <v>37-38-39-40-41-42</v>
      </c>
      <c r="I59" s="142">
        <v>0.39500000000000002</v>
      </c>
      <c r="J59" s="5" t="s">
        <v>629</v>
      </c>
      <c r="K59" s="143" t="s">
        <v>630</v>
      </c>
      <c r="L59" s="15"/>
    </row>
    <row r="60" spans="1:12" x14ac:dyDescent="0.3">
      <c r="A60" s="5" t="s">
        <v>49</v>
      </c>
      <c r="B60" s="5" t="s">
        <v>41</v>
      </c>
      <c r="C60" s="5" t="str">
        <f>VLOOKUP(woodratio[[#This Row],[From_top]],woodstock[#All],7,FALSE)</f>
        <v>20</v>
      </c>
      <c r="D60" s="5" t="str">
        <f>VLOOKUP(woodratio[[#This Row],[To_top]],woodstock[#All],7,FALSE)</f>
        <v>41</v>
      </c>
      <c r="E60" s="5" t="s">
        <v>49</v>
      </c>
      <c r="F60" s="5" t="s">
        <v>51</v>
      </c>
      <c r="G60" s="5" t="str">
        <f t="shared" si="5"/>
        <v>20</v>
      </c>
      <c r="H60" s="5" t="str">
        <f t="shared" si="6"/>
        <v>37-38-39-40-41-42</v>
      </c>
      <c r="I60" s="142">
        <v>0.2</v>
      </c>
      <c r="J60" s="5" t="s">
        <v>629</v>
      </c>
      <c r="K60" s="143" t="s">
        <v>630</v>
      </c>
      <c r="L60" s="15"/>
    </row>
    <row r="61" spans="1:12" x14ac:dyDescent="0.3">
      <c r="A61" s="5" t="s">
        <v>49</v>
      </c>
      <c r="B61" s="5" t="s">
        <v>38</v>
      </c>
      <c r="C61" s="5" t="str">
        <f>VLOOKUP(woodratio[[#This Row],[From_top]],woodstock[#All],7,FALSE)</f>
        <v>20</v>
      </c>
      <c r="D61" s="5" t="str">
        <f>VLOOKUP(woodratio[[#This Row],[To_top]],woodstock[#All],7,FALSE)</f>
        <v>42</v>
      </c>
      <c r="E61" s="5" t="s">
        <v>49</v>
      </c>
      <c r="F61" s="5" t="s">
        <v>51</v>
      </c>
      <c r="G61" s="5" t="str">
        <f t="shared" si="5"/>
        <v>20</v>
      </c>
      <c r="H61" s="5" t="str">
        <f t="shared" si="6"/>
        <v>37-38-39-40-41-42</v>
      </c>
      <c r="I61" s="142">
        <v>0.2</v>
      </c>
      <c r="J61" s="5" t="s">
        <v>629</v>
      </c>
      <c r="K61" s="143" t="s">
        <v>630</v>
      </c>
      <c r="L61" s="15"/>
    </row>
    <row r="62" spans="1:12" x14ac:dyDescent="0.3">
      <c r="A62" s="5"/>
      <c r="B62" s="5"/>
      <c r="C62" s="5"/>
      <c r="D62" s="5"/>
      <c r="E62" s="5"/>
      <c r="F62" s="5"/>
      <c r="G62" s="5"/>
      <c r="H62" s="5"/>
      <c r="I62" s="142"/>
      <c r="J62" s="5"/>
      <c r="K62" s="5"/>
      <c r="L62" s="15"/>
    </row>
    <row r="63" spans="1:12" x14ac:dyDescent="0.3">
      <c r="A63" s="5"/>
      <c r="B63" s="5"/>
      <c r="C63" s="5"/>
      <c r="D63" s="5"/>
      <c r="E63" s="5"/>
      <c r="F63" s="5"/>
      <c r="G63" s="5"/>
      <c r="H63" s="5"/>
      <c r="I63" s="142"/>
      <c r="J63" s="5"/>
      <c r="K63" s="5"/>
      <c r="L63" s="15"/>
    </row>
    <row r="64" spans="1:12" x14ac:dyDescent="0.3">
      <c r="A64" s="5" t="s">
        <v>44</v>
      </c>
      <c r="B64" s="5" t="s">
        <v>37</v>
      </c>
      <c r="C64" s="5" t="str">
        <f>VLOOKUP(woodratio[[#This Row],[From_top]],woodstock[#All],7,FALSE)</f>
        <v>21</v>
      </c>
      <c r="D64" s="5" t="str">
        <f>VLOOKUP(woodratio[[#This Row],[To_top]],woodstock[#All],7,FALSE)</f>
        <v>38</v>
      </c>
      <c r="E64" s="5" t="s">
        <v>44</v>
      </c>
      <c r="F64" s="5" t="s">
        <v>51</v>
      </c>
      <c r="G64" s="5" t="str">
        <f>woodratio[[#This Row],[Processnumbersfromtop]]</f>
        <v>21</v>
      </c>
      <c r="H64" s="5" t="str">
        <f>woodflow!M212</f>
        <v>37-38-39-40-41-42</v>
      </c>
      <c r="I64" s="142">
        <v>0.08</v>
      </c>
      <c r="J64" s="5" t="s">
        <v>372</v>
      </c>
      <c r="K64" s="143" t="s">
        <v>243</v>
      </c>
      <c r="L64" s="15"/>
    </row>
    <row r="65" spans="1:12" x14ac:dyDescent="0.3">
      <c r="A65" s="5" t="s">
        <v>44</v>
      </c>
      <c r="B65" s="5" t="s">
        <v>39</v>
      </c>
      <c r="C65" s="5" t="str">
        <f>VLOOKUP(woodratio[[#This Row],[From_top]],woodstock[#All],7,FALSE)</f>
        <v>21</v>
      </c>
      <c r="D65" s="5" t="str">
        <f>VLOOKUP(woodratio[[#This Row],[To_top]],woodstock[#All],7,FALSE)</f>
        <v>39</v>
      </c>
      <c r="E65" s="5" t="s">
        <v>44</v>
      </c>
      <c r="F65" s="5" t="s">
        <v>51</v>
      </c>
      <c r="G65" s="5" t="str">
        <f>woodratio[[#This Row],[Processnumbersfromtop]]</f>
        <v>21</v>
      </c>
      <c r="H65" s="5" t="str">
        <f t="shared" ref="H65:H68" si="7">H64</f>
        <v>37-38-39-40-41-42</v>
      </c>
      <c r="I65" s="142">
        <v>2E-3</v>
      </c>
      <c r="J65" s="5" t="s">
        <v>372</v>
      </c>
      <c r="K65" s="143" t="s">
        <v>243</v>
      </c>
      <c r="L65" s="15"/>
    </row>
    <row r="66" spans="1:12" x14ac:dyDescent="0.3">
      <c r="A66" s="5" t="s">
        <v>44</v>
      </c>
      <c r="B66" s="5" t="s">
        <v>40</v>
      </c>
      <c r="C66" s="5" t="str">
        <f>VLOOKUP(woodratio[[#This Row],[From_top]],woodstock[#All],7,FALSE)</f>
        <v>21</v>
      </c>
      <c r="D66" s="5" t="str">
        <f>VLOOKUP(woodratio[[#This Row],[To_top]],woodstock[#All],7,FALSE)</f>
        <v>40</v>
      </c>
      <c r="E66" s="5" t="s">
        <v>44</v>
      </c>
      <c r="F66" s="5" t="s">
        <v>51</v>
      </c>
      <c r="G66" s="5" t="str">
        <f>woodratio[[#This Row],[Processnumbersfromtop]]</f>
        <v>21</v>
      </c>
      <c r="H66" s="5" t="str">
        <f t="shared" si="7"/>
        <v>37-38-39-40-41-42</v>
      </c>
      <c r="I66" s="142">
        <v>0.4</v>
      </c>
      <c r="J66" s="5" t="s">
        <v>372</v>
      </c>
      <c r="K66" s="143" t="s">
        <v>243</v>
      </c>
      <c r="L66" s="15"/>
    </row>
    <row r="67" spans="1:12" x14ac:dyDescent="0.3">
      <c r="A67" s="5" t="s">
        <v>44</v>
      </c>
      <c r="B67" s="5" t="s">
        <v>41</v>
      </c>
      <c r="C67" s="5" t="str">
        <f>VLOOKUP(woodratio[[#This Row],[From_top]],woodstock[#All],7,FALSE)</f>
        <v>21</v>
      </c>
      <c r="D67" s="5" t="str">
        <f>VLOOKUP(woodratio[[#This Row],[To_top]],woodstock[#All],7,FALSE)</f>
        <v>41</v>
      </c>
      <c r="E67" s="5" t="s">
        <v>44</v>
      </c>
      <c r="F67" s="5" t="s">
        <v>51</v>
      </c>
      <c r="G67" s="5" t="str">
        <f>woodratio[[#This Row],[Processnumbersfromtop]]</f>
        <v>21</v>
      </c>
      <c r="H67" s="5" t="str">
        <f t="shared" si="7"/>
        <v>37-38-39-40-41-42</v>
      </c>
      <c r="I67" s="142">
        <v>0.26800000000000002</v>
      </c>
      <c r="J67" s="5" t="s">
        <v>372</v>
      </c>
      <c r="K67" s="143" t="s">
        <v>243</v>
      </c>
      <c r="L67" s="15"/>
    </row>
    <row r="68" spans="1:12" x14ac:dyDescent="0.3">
      <c r="A68" s="5" t="s">
        <v>44</v>
      </c>
      <c r="B68" s="5" t="s">
        <v>38</v>
      </c>
      <c r="C68" s="5" t="str">
        <f>VLOOKUP(woodratio[[#This Row],[From_top]],woodstock[#All],7,FALSE)</f>
        <v>21</v>
      </c>
      <c r="D68" s="5" t="str">
        <f>VLOOKUP(woodratio[[#This Row],[To_top]],woodstock[#All],7,FALSE)</f>
        <v>42</v>
      </c>
      <c r="E68" s="5" t="s">
        <v>44</v>
      </c>
      <c r="F68" s="5" t="s">
        <v>51</v>
      </c>
      <c r="G68" s="5" t="str">
        <f>woodratio[[#This Row],[Processnumbersfromtop]]</f>
        <v>21</v>
      </c>
      <c r="H68" s="5" t="str">
        <f t="shared" si="7"/>
        <v>37-38-39-40-41-42</v>
      </c>
      <c r="I68" s="142">
        <v>0.25</v>
      </c>
      <c r="J68" s="5" t="s">
        <v>372</v>
      </c>
      <c r="K68" s="143" t="s">
        <v>243</v>
      </c>
      <c r="L68" s="15"/>
    </row>
    <row r="69" spans="1:12" x14ac:dyDescent="0.3">
      <c r="A69" s="5"/>
      <c r="B69" s="5"/>
      <c r="C69" s="5"/>
      <c r="D69" s="5"/>
      <c r="E69" s="5"/>
      <c r="F69" s="5"/>
      <c r="G69" s="5"/>
      <c r="H69" s="5"/>
      <c r="I69" s="142"/>
      <c r="J69" s="5"/>
      <c r="K69" s="5"/>
      <c r="L69" s="15"/>
    </row>
    <row r="70" spans="1:12" x14ac:dyDescent="0.3">
      <c r="A70" s="5"/>
      <c r="B70" s="5"/>
      <c r="C70" s="5"/>
      <c r="D70" s="5"/>
      <c r="E70" s="5"/>
      <c r="F70" s="5"/>
      <c r="G70" s="5"/>
      <c r="H70" s="5"/>
      <c r="I70" s="142"/>
      <c r="J70" s="5"/>
      <c r="K70" s="5"/>
      <c r="L70" s="15"/>
    </row>
    <row r="71" spans="1:12" x14ac:dyDescent="0.3">
      <c r="A71" s="5" t="s">
        <v>44</v>
      </c>
      <c r="B71" s="5" t="s">
        <v>29</v>
      </c>
      <c r="C71" s="5" t="str">
        <f>VLOOKUP(woodratio[[#This Row],[From_top]],woodstock[#All],7,FALSE)</f>
        <v>21</v>
      </c>
      <c r="D71" s="5" t="str">
        <f>VLOOKUP(woodratio[[#This Row],[To_top]],woodstock[#All],7,FALSE)</f>
        <v>50</v>
      </c>
      <c r="E71" s="5" t="s">
        <v>44</v>
      </c>
      <c r="F71" s="5" t="s">
        <v>58</v>
      </c>
      <c r="G71" s="5" t="str">
        <f>woodratio[[#This Row],[Processnumbersfromtop]]</f>
        <v>21</v>
      </c>
      <c r="H71" s="5" t="str">
        <f>woodflow!M179</f>
        <v>50-51-52-53-54-55</v>
      </c>
      <c r="I71" s="142">
        <f>'production-mass-balance'!B38/SUM('production-mass-balance'!B38:B41)</f>
        <v>0.75555555555555554</v>
      </c>
      <c r="J71" s="126" t="s">
        <v>456</v>
      </c>
      <c r="K71" s="5"/>
      <c r="L71" s="15"/>
    </row>
    <row r="72" spans="1:12" x14ac:dyDescent="0.3">
      <c r="A72" s="5" t="s">
        <v>44</v>
      </c>
      <c r="B72" s="5" t="s">
        <v>73</v>
      </c>
      <c r="C72" s="5" t="str">
        <f>VLOOKUP(woodratio[[#This Row],[From_top]],woodstock[#All],7,FALSE)</f>
        <v>21</v>
      </c>
      <c r="D72" s="5" t="str">
        <f>VLOOKUP(woodratio[[#This Row],[To_top]],woodstock[#All],7,FALSE)</f>
        <v>51</v>
      </c>
      <c r="E72" s="5" t="s">
        <v>44</v>
      </c>
      <c r="F72" s="5" t="s">
        <v>58</v>
      </c>
      <c r="G72" s="5" t="str">
        <f>woodratio[[#This Row],[Processnumbersfromtop]]</f>
        <v>21</v>
      </c>
      <c r="H72" s="5" t="str">
        <f>H71</f>
        <v>50-51-52-53-54-55</v>
      </c>
      <c r="I72" s="142">
        <f>'production-mass-balance'!B39/SUM('production-mass-balance'!B38:B41)</f>
        <v>2.2222222222222487E-2</v>
      </c>
      <c r="J72" s="126" t="s">
        <v>456</v>
      </c>
      <c r="K72" s="5"/>
      <c r="L72" s="15"/>
    </row>
    <row r="73" spans="1:12" x14ac:dyDescent="0.3">
      <c r="A73" s="5" t="s">
        <v>44</v>
      </c>
      <c r="B73" s="5" t="s">
        <v>30</v>
      </c>
      <c r="C73" s="5" t="str">
        <f>VLOOKUP(woodratio[[#This Row],[From_top]],woodstock[#All],7,FALSE)</f>
        <v>21</v>
      </c>
      <c r="D73" s="5" t="str">
        <f>VLOOKUP(woodratio[[#This Row],[To_top]],woodstock[#All],7,FALSE)</f>
        <v>52</v>
      </c>
      <c r="E73" s="5" t="s">
        <v>44</v>
      </c>
      <c r="F73" s="5" t="s">
        <v>58</v>
      </c>
      <c r="G73" s="5" t="str">
        <f>woodratio[[#This Row],[Processnumbersfromtop]]</f>
        <v>21</v>
      </c>
      <c r="H73" s="5" t="str">
        <f t="shared" ref="H73" si="8">H72</f>
        <v>50-51-52-53-54-55</v>
      </c>
      <c r="I73" s="142">
        <f>'production-mass-balance'!B41/SUM('production-mass-balance'!B38:B41)</f>
        <v>0.15555555555555556</v>
      </c>
      <c r="J73" s="126" t="s">
        <v>456</v>
      </c>
      <c r="K73" s="5"/>
      <c r="L73" s="15"/>
    </row>
    <row r="74" spans="1:12" x14ac:dyDescent="0.3">
      <c r="A74" s="5" t="s">
        <v>44</v>
      </c>
      <c r="B74" s="5" t="s">
        <v>74</v>
      </c>
      <c r="C74" s="5" t="str">
        <f>VLOOKUP(woodratio[[#This Row],[From_top]],woodstock[#All],7,FALSE)</f>
        <v>21</v>
      </c>
      <c r="D74" s="5" t="str">
        <f>VLOOKUP(woodratio[[#This Row],[To_top]],woodstock[#All],7,FALSE)</f>
        <v>55</v>
      </c>
      <c r="E74" s="5" t="s">
        <v>44</v>
      </c>
      <c r="F74" s="5" t="s">
        <v>58</v>
      </c>
      <c r="G74" s="5" t="str">
        <f>woodratio[[#This Row],[Processnumbersfromtop]]</f>
        <v>21</v>
      </c>
      <c r="H74" s="5" t="str">
        <f>H73</f>
        <v>50-51-52-53-54-55</v>
      </c>
      <c r="I74" s="142">
        <f>'production-mass-balance'!B40/SUM('production-mass-balance'!B38:B41)</f>
        <v>6.6666666666666471E-2</v>
      </c>
      <c r="J74" s="126" t="s">
        <v>456</v>
      </c>
      <c r="K74" s="5"/>
      <c r="L74" s="15"/>
    </row>
    <row r="75" spans="1:12" x14ac:dyDescent="0.3">
      <c r="A75" s="5"/>
      <c r="B75" s="5"/>
      <c r="C75" s="5"/>
      <c r="D75" s="5"/>
      <c r="E75" s="5"/>
      <c r="F75" s="5"/>
      <c r="G75" s="5"/>
      <c r="H75" s="5"/>
      <c r="I75" s="142"/>
      <c r="J75" s="5"/>
      <c r="K75" s="5"/>
      <c r="L75" s="15"/>
    </row>
    <row r="76" spans="1:12" x14ac:dyDescent="0.3">
      <c r="A76" s="5"/>
      <c r="B76" s="5"/>
      <c r="C76" s="5"/>
      <c r="D76" s="5"/>
      <c r="E76" s="5"/>
      <c r="F76" s="5"/>
      <c r="G76" s="5"/>
      <c r="H76" s="5"/>
      <c r="I76" s="142"/>
      <c r="J76" s="5"/>
      <c r="K76" s="5"/>
      <c r="L76" s="15"/>
    </row>
    <row r="77" spans="1:12" x14ac:dyDescent="0.3">
      <c r="A77" s="5" t="s">
        <v>45</v>
      </c>
      <c r="B77" s="5" t="s">
        <v>37</v>
      </c>
      <c r="C77" s="5" t="str">
        <f>VLOOKUP(woodratio[[#This Row],[From_top]],woodstock[#All],7,FALSE)</f>
        <v>22</v>
      </c>
      <c r="D77" s="5" t="str">
        <f>VLOOKUP(woodratio[[#This Row],[To_top]],woodstock[#All],7,FALSE)</f>
        <v>38</v>
      </c>
      <c r="E77" s="5" t="s">
        <v>45</v>
      </c>
      <c r="F77" s="5" t="s">
        <v>51</v>
      </c>
      <c r="G77" s="5" t="str">
        <f>woodratio[[#This Row],[Processnumbersfromtop]]</f>
        <v>22</v>
      </c>
      <c r="H77" s="5" t="str">
        <f>woodflow!M230</f>
        <v>37-38-39-40-41-42</v>
      </c>
      <c r="I77" s="142">
        <v>0.02</v>
      </c>
      <c r="J77" s="5" t="s">
        <v>372</v>
      </c>
      <c r="K77" s="143" t="s">
        <v>245</v>
      </c>
      <c r="L77" s="15"/>
    </row>
    <row r="78" spans="1:12" x14ac:dyDescent="0.3">
      <c r="A78" s="5" t="s">
        <v>45</v>
      </c>
      <c r="B78" s="5" t="s">
        <v>40</v>
      </c>
      <c r="C78" s="5" t="str">
        <f>VLOOKUP(woodratio[[#This Row],[From_top]],woodstock[#All],7,FALSE)</f>
        <v>22</v>
      </c>
      <c r="D78" s="5" t="str">
        <f>VLOOKUP(woodratio[[#This Row],[To_top]],woodstock[#All],7,FALSE)</f>
        <v>40</v>
      </c>
      <c r="E78" s="5" t="s">
        <v>45</v>
      </c>
      <c r="F78" s="5" t="s">
        <v>51</v>
      </c>
      <c r="G78" s="5" t="str">
        <f>woodratio[[#This Row],[Processnumbersfromtop]]</f>
        <v>22</v>
      </c>
      <c r="H78" s="5" t="str">
        <f>H77</f>
        <v>37-38-39-40-41-42</v>
      </c>
      <c r="I78" s="142">
        <v>0.27</v>
      </c>
      <c r="J78" s="5" t="s">
        <v>372</v>
      </c>
      <c r="K78" s="143" t="s">
        <v>245</v>
      </c>
      <c r="L78" s="15"/>
    </row>
    <row r="79" spans="1:12" x14ac:dyDescent="0.3">
      <c r="A79" s="5" t="s">
        <v>45</v>
      </c>
      <c r="B79" s="5" t="s">
        <v>41</v>
      </c>
      <c r="C79" s="5" t="str">
        <f>VLOOKUP(woodratio[[#This Row],[From_top]],woodstock[#All],7,FALSE)</f>
        <v>22</v>
      </c>
      <c r="D79" s="5" t="str">
        <f>VLOOKUP(woodratio[[#This Row],[To_top]],woodstock[#All],7,FALSE)</f>
        <v>41</v>
      </c>
      <c r="E79" s="5" t="s">
        <v>45</v>
      </c>
      <c r="F79" s="5" t="s">
        <v>51</v>
      </c>
      <c r="G79" s="5" t="str">
        <f>woodratio[[#This Row],[Processnumbersfromtop]]</f>
        <v>22</v>
      </c>
      <c r="H79" s="5" t="str">
        <f t="shared" ref="H79:H80" si="9">H78</f>
        <v>37-38-39-40-41-42</v>
      </c>
      <c r="I79" s="142">
        <v>0.66</v>
      </c>
      <c r="J79" s="5" t="s">
        <v>372</v>
      </c>
      <c r="K79" s="143" t="s">
        <v>245</v>
      </c>
      <c r="L79" s="15"/>
    </row>
    <row r="80" spans="1:12" x14ac:dyDescent="0.3">
      <c r="A80" s="5" t="s">
        <v>45</v>
      </c>
      <c r="B80" s="5" t="s">
        <v>38</v>
      </c>
      <c r="C80" s="5" t="str">
        <f>VLOOKUP(woodratio[[#This Row],[From_top]],woodstock[#All],7,FALSE)</f>
        <v>22</v>
      </c>
      <c r="D80" s="5" t="str">
        <f>VLOOKUP(woodratio[[#This Row],[To_top]],woodstock[#All],7,FALSE)</f>
        <v>42</v>
      </c>
      <c r="E80" s="5" t="s">
        <v>45</v>
      </c>
      <c r="F80" s="5" t="s">
        <v>51</v>
      </c>
      <c r="G80" s="5" t="str">
        <f>woodratio[[#This Row],[Processnumbersfromtop]]</f>
        <v>22</v>
      </c>
      <c r="H80" s="5" t="str">
        <f t="shared" si="9"/>
        <v>37-38-39-40-41-42</v>
      </c>
      <c r="I80" s="142">
        <v>0.05</v>
      </c>
      <c r="J80" s="5" t="s">
        <v>372</v>
      </c>
      <c r="K80" s="143" t="s">
        <v>245</v>
      </c>
      <c r="L80" s="15"/>
    </row>
    <row r="81" spans="1:12" x14ac:dyDescent="0.3">
      <c r="A81" s="5"/>
      <c r="B81" s="5"/>
      <c r="C81" s="5"/>
      <c r="D81" s="5"/>
      <c r="E81" s="5"/>
      <c r="F81" s="5"/>
      <c r="G81" s="5"/>
      <c r="H81" s="5"/>
      <c r="I81" s="142"/>
      <c r="J81" s="5"/>
      <c r="K81" s="5"/>
      <c r="L81" s="15"/>
    </row>
    <row r="82" spans="1:12" x14ac:dyDescent="0.3">
      <c r="A82" s="5"/>
      <c r="B82" s="5"/>
      <c r="C82" s="5"/>
      <c r="D82" s="5"/>
      <c r="E82" s="5"/>
      <c r="F82" s="5"/>
      <c r="G82" s="5"/>
      <c r="H82" s="5"/>
      <c r="I82" s="142"/>
      <c r="J82" s="5"/>
      <c r="K82" s="5"/>
      <c r="L82" s="15"/>
    </row>
    <row r="83" spans="1:12" x14ac:dyDescent="0.3">
      <c r="A83" s="5" t="s">
        <v>46</v>
      </c>
      <c r="B83" s="5" t="s">
        <v>37</v>
      </c>
      <c r="C83" s="5" t="str">
        <f>VLOOKUP(woodratio[[#This Row],[From_top]],woodstock[#All],7,FALSE)</f>
        <v>23</v>
      </c>
      <c r="D83" s="5" t="str">
        <f>VLOOKUP(woodratio[[#This Row],[To_top]],woodstock[#All],7,FALSE)</f>
        <v>38</v>
      </c>
      <c r="E83" s="5" t="s">
        <v>46</v>
      </c>
      <c r="F83" s="5" t="s">
        <v>51</v>
      </c>
      <c r="G83" s="5" t="str">
        <f>woodratio[[#This Row],[Processnumbersfromtop]]</f>
        <v>23</v>
      </c>
      <c r="H83" s="5" t="str">
        <f>woodflow!M239</f>
        <v>37-38-39-40-41-42</v>
      </c>
      <c r="I83" s="142">
        <v>0.06</v>
      </c>
      <c r="J83" s="5" t="s">
        <v>372</v>
      </c>
      <c r="K83" s="143" t="s">
        <v>247</v>
      </c>
      <c r="L83" s="15"/>
    </row>
    <row r="84" spans="1:12" x14ac:dyDescent="0.3">
      <c r="A84" s="5" t="s">
        <v>46</v>
      </c>
      <c r="B84" s="5" t="s">
        <v>39</v>
      </c>
      <c r="C84" s="5" t="str">
        <f>VLOOKUP(woodratio[[#This Row],[From_top]],woodstock[#All],7,FALSE)</f>
        <v>23</v>
      </c>
      <c r="D84" s="5" t="str">
        <f>VLOOKUP(woodratio[[#This Row],[To_top]],woodstock[#All],7,FALSE)</f>
        <v>39</v>
      </c>
      <c r="E84" s="5" t="s">
        <v>46</v>
      </c>
      <c r="F84" s="5" t="s">
        <v>51</v>
      </c>
      <c r="G84" s="5" t="str">
        <f>woodratio[[#This Row],[Processnumbersfromtop]]</f>
        <v>23</v>
      </c>
      <c r="H84" s="5" t="str">
        <f t="shared" ref="H84:H87" si="10">H83</f>
        <v>37-38-39-40-41-42</v>
      </c>
      <c r="I84" s="142">
        <v>1E-3</v>
      </c>
      <c r="J84" s="5" t="s">
        <v>372</v>
      </c>
      <c r="K84" s="143" t="s">
        <v>247</v>
      </c>
      <c r="L84" s="15"/>
    </row>
    <row r="85" spans="1:12" x14ac:dyDescent="0.3">
      <c r="A85" s="5" t="s">
        <v>46</v>
      </c>
      <c r="B85" s="5" t="s">
        <v>40</v>
      </c>
      <c r="C85" s="5" t="str">
        <f>VLOOKUP(woodratio[[#This Row],[From_top]],woodstock[#All],7,FALSE)</f>
        <v>23</v>
      </c>
      <c r="D85" s="5" t="str">
        <f>VLOOKUP(woodratio[[#This Row],[To_top]],woodstock[#All],7,FALSE)</f>
        <v>40</v>
      </c>
      <c r="E85" s="5" t="s">
        <v>46</v>
      </c>
      <c r="F85" s="5" t="s">
        <v>51</v>
      </c>
      <c r="G85" s="5" t="str">
        <f>woodratio[[#This Row],[Processnumbersfromtop]]</f>
        <v>23</v>
      </c>
      <c r="H85" s="5" t="str">
        <f t="shared" si="10"/>
        <v>37-38-39-40-41-42</v>
      </c>
      <c r="I85" s="142">
        <v>0.84899999999999998</v>
      </c>
      <c r="J85" s="5" t="s">
        <v>372</v>
      </c>
      <c r="K85" s="143" t="s">
        <v>247</v>
      </c>
      <c r="L85" s="15"/>
    </row>
    <row r="86" spans="1:12" x14ac:dyDescent="0.3">
      <c r="A86" s="5" t="s">
        <v>46</v>
      </c>
      <c r="B86" s="5" t="s">
        <v>41</v>
      </c>
      <c r="C86" s="5" t="str">
        <f>VLOOKUP(woodratio[[#This Row],[From_top]],woodstock[#All],7,FALSE)</f>
        <v>23</v>
      </c>
      <c r="D86" s="5" t="str">
        <f>VLOOKUP(woodratio[[#This Row],[To_top]],woodstock[#All],7,FALSE)</f>
        <v>41</v>
      </c>
      <c r="E86" s="5" t="s">
        <v>46</v>
      </c>
      <c r="F86" s="5" t="s">
        <v>51</v>
      </c>
      <c r="G86" s="5" t="str">
        <f>woodratio[[#This Row],[Processnumbersfromtop]]</f>
        <v>23</v>
      </c>
      <c r="H86" s="5" t="str">
        <f t="shared" si="10"/>
        <v>37-38-39-40-41-42</v>
      </c>
      <c r="I86" s="142">
        <v>0.03</v>
      </c>
      <c r="J86" s="5" t="s">
        <v>372</v>
      </c>
      <c r="K86" s="143" t="s">
        <v>247</v>
      </c>
      <c r="L86" s="15"/>
    </row>
    <row r="87" spans="1:12" x14ac:dyDescent="0.3">
      <c r="A87" s="5" t="s">
        <v>46</v>
      </c>
      <c r="B87" s="5" t="s">
        <v>38</v>
      </c>
      <c r="C87" s="5" t="str">
        <f>VLOOKUP(woodratio[[#This Row],[From_top]],woodstock[#All],7,FALSE)</f>
        <v>23</v>
      </c>
      <c r="D87" s="5" t="str">
        <f>VLOOKUP(woodratio[[#This Row],[To_top]],woodstock[#All],7,FALSE)</f>
        <v>42</v>
      </c>
      <c r="E87" s="5" t="s">
        <v>46</v>
      </c>
      <c r="F87" s="5" t="s">
        <v>51</v>
      </c>
      <c r="G87" s="5" t="str">
        <f>woodratio[[#This Row],[Processnumbersfromtop]]</f>
        <v>23</v>
      </c>
      <c r="H87" s="5" t="str">
        <f t="shared" si="10"/>
        <v>37-38-39-40-41-42</v>
      </c>
      <c r="I87" s="142">
        <v>0.06</v>
      </c>
      <c r="J87" s="5" t="s">
        <v>372</v>
      </c>
      <c r="K87" s="143" t="s">
        <v>247</v>
      </c>
      <c r="L87" s="15"/>
    </row>
    <row r="88" spans="1:12" x14ac:dyDescent="0.3">
      <c r="A88" s="5"/>
      <c r="B88" s="5"/>
      <c r="C88" s="5"/>
      <c r="D88" s="5"/>
      <c r="E88" s="5"/>
      <c r="F88" s="5"/>
      <c r="G88" s="5"/>
      <c r="H88" s="5"/>
      <c r="I88" s="142"/>
      <c r="J88" s="5"/>
      <c r="K88" s="5"/>
      <c r="L88" s="15"/>
    </row>
    <row r="89" spans="1:12" x14ac:dyDescent="0.3">
      <c r="A89" s="5"/>
      <c r="B89" s="5"/>
      <c r="C89" s="5"/>
      <c r="D89" s="5"/>
      <c r="E89" s="5"/>
      <c r="F89" s="5"/>
      <c r="G89" s="5"/>
      <c r="H89" s="5"/>
      <c r="I89" s="142"/>
      <c r="J89" s="5"/>
      <c r="K89" s="5"/>
      <c r="L89" s="15"/>
    </row>
    <row r="90" spans="1:12" x14ac:dyDescent="0.3">
      <c r="A90" s="5" t="s">
        <v>180</v>
      </c>
      <c r="B90" s="5" t="s">
        <v>37</v>
      </c>
      <c r="C90" s="5" t="str">
        <f>VLOOKUP(woodratio[[#This Row],[From_top]],woodstock[#All],7,FALSE)</f>
        <v>24</v>
      </c>
      <c r="D90" s="5" t="str">
        <f>VLOOKUP(woodratio[[#This Row],[To_top]],woodstock[#All],7,FALSE)</f>
        <v>38</v>
      </c>
      <c r="E90" s="5" t="s">
        <v>180</v>
      </c>
      <c r="F90" s="5" t="s">
        <v>51</v>
      </c>
      <c r="G90" s="5" t="str">
        <f>woodratio[[#This Row],[Processnumbersfromtop]]</f>
        <v>24</v>
      </c>
      <c r="H90" s="5" t="str">
        <f>woodflow!M251</f>
        <v>37-38-39-40-41-42</v>
      </c>
      <c r="I90" s="142">
        <v>0.25</v>
      </c>
      <c r="J90" s="5" t="s">
        <v>372</v>
      </c>
      <c r="K90" s="143" t="s">
        <v>244</v>
      </c>
      <c r="L90" s="15"/>
    </row>
    <row r="91" spans="1:12" x14ac:dyDescent="0.3">
      <c r="A91" s="5" t="s">
        <v>180</v>
      </c>
      <c r="B91" s="5" t="s">
        <v>40</v>
      </c>
      <c r="C91" s="5" t="str">
        <f>VLOOKUP(woodratio[[#This Row],[From_top]],woodstock[#All],7,FALSE)</f>
        <v>24</v>
      </c>
      <c r="D91" s="5" t="str">
        <f>VLOOKUP(woodratio[[#This Row],[To_top]],woodstock[#All],7,FALSE)</f>
        <v>40</v>
      </c>
      <c r="E91" s="5" t="s">
        <v>180</v>
      </c>
      <c r="F91" s="5" t="s">
        <v>51</v>
      </c>
      <c r="G91" s="5" t="str">
        <f>woodratio[[#This Row],[Processnumbersfromtop]]</f>
        <v>24</v>
      </c>
      <c r="H91" s="5" t="str">
        <f>H90</f>
        <v>37-38-39-40-41-42</v>
      </c>
      <c r="I91" s="142">
        <v>0.1</v>
      </c>
      <c r="J91" s="5" t="s">
        <v>372</v>
      </c>
      <c r="K91" s="143" t="s">
        <v>244</v>
      </c>
      <c r="L91" s="15"/>
    </row>
    <row r="92" spans="1:12" x14ac:dyDescent="0.3">
      <c r="A92" s="5" t="s">
        <v>180</v>
      </c>
      <c r="B92" s="5" t="s">
        <v>41</v>
      </c>
      <c r="C92" s="5" t="str">
        <f>VLOOKUP(woodratio[[#This Row],[From_top]],woodstock[#All],7,FALSE)</f>
        <v>24</v>
      </c>
      <c r="D92" s="5" t="str">
        <f>VLOOKUP(woodratio[[#This Row],[To_top]],woodstock[#All],7,FALSE)</f>
        <v>41</v>
      </c>
      <c r="E92" s="5" t="s">
        <v>180</v>
      </c>
      <c r="F92" s="5" t="s">
        <v>51</v>
      </c>
      <c r="G92" s="5" t="str">
        <f>woodratio[[#This Row],[Processnumbersfromtop]]</f>
        <v>24</v>
      </c>
      <c r="H92" s="5" t="str">
        <f t="shared" ref="H92:H93" si="11">H91</f>
        <v>37-38-39-40-41-42</v>
      </c>
      <c r="I92" s="142">
        <v>0.15</v>
      </c>
      <c r="J92" s="5" t="s">
        <v>372</v>
      </c>
      <c r="K92" s="143" t="s">
        <v>244</v>
      </c>
      <c r="L92" s="15"/>
    </row>
    <row r="93" spans="1:12" x14ac:dyDescent="0.3">
      <c r="A93" s="5" t="s">
        <v>180</v>
      </c>
      <c r="B93" s="5" t="s">
        <v>38</v>
      </c>
      <c r="C93" s="5" t="str">
        <f>VLOOKUP(woodratio[[#This Row],[From_top]],woodstock[#All],7,FALSE)</f>
        <v>24</v>
      </c>
      <c r="D93" s="5" t="str">
        <f>VLOOKUP(woodratio[[#This Row],[To_top]],woodstock[#All],7,FALSE)</f>
        <v>42</v>
      </c>
      <c r="E93" s="5" t="s">
        <v>180</v>
      </c>
      <c r="F93" s="5" t="s">
        <v>51</v>
      </c>
      <c r="G93" s="5" t="str">
        <f>woodratio[[#This Row],[Processnumbersfromtop]]</f>
        <v>24</v>
      </c>
      <c r="H93" s="5" t="str">
        <f t="shared" si="11"/>
        <v>37-38-39-40-41-42</v>
      </c>
      <c r="I93" s="142">
        <v>0.5</v>
      </c>
      <c r="J93" s="5" t="s">
        <v>372</v>
      </c>
      <c r="K93" s="143" t="s">
        <v>244</v>
      </c>
      <c r="L93" s="15"/>
    </row>
    <row r="94" spans="1:12" x14ac:dyDescent="0.3">
      <c r="A94" s="5"/>
      <c r="B94" s="5"/>
      <c r="C94" s="5"/>
      <c r="D94" s="5"/>
      <c r="E94" s="5"/>
      <c r="F94" s="5"/>
      <c r="G94" s="5"/>
      <c r="H94" s="5"/>
      <c r="I94" s="142"/>
      <c r="J94" s="5"/>
      <c r="K94" s="143"/>
      <c r="L94" s="15"/>
    </row>
    <row r="95" spans="1:12" x14ac:dyDescent="0.3">
      <c r="A95" s="5"/>
      <c r="B95" s="5"/>
      <c r="C95" s="5"/>
      <c r="D95" s="5"/>
      <c r="E95" s="5"/>
      <c r="F95" s="5"/>
      <c r="G95" s="5"/>
      <c r="H95" s="5"/>
      <c r="I95" s="142"/>
      <c r="J95" s="5"/>
      <c r="K95" s="5"/>
      <c r="L95" s="15"/>
    </row>
    <row r="96" spans="1:12" x14ac:dyDescent="0.3">
      <c r="A96" s="5" t="s">
        <v>209</v>
      </c>
      <c r="B96" s="5" t="s">
        <v>37</v>
      </c>
      <c r="C96" s="5" t="str">
        <f>VLOOKUP(woodratio[[#This Row],[From_top]],woodstock[#All],7,FALSE)</f>
        <v>25</v>
      </c>
      <c r="D96" s="5" t="str">
        <f>VLOOKUP(woodratio[[#This Row],[To_top]],woodstock[#All],7,FALSE)</f>
        <v>38</v>
      </c>
      <c r="E96" s="5" t="s">
        <v>209</v>
      </c>
      <c r="F96" s="5" t="s">
        <v>51</v>
      </c>
      <c r="G96" s="5" t="str">
        <f>woodratio[[#This Row],[Processnumbersfromtop]]</f>
        <v>25</v>
      </c>
      <c r="H96" s="5" t="str">
        <f>woodflow!M260</f>
        <v>37-38-39-40-41-42</v>
      </c>
      <c r="I96" s="142">
        <v>0.06</v>
      </c>
      <c r="J96" s="5" t="s">
        <v>372</v>
      </c>
      <c r="K96" s="143" t="s">
        <v>246</v>
      </c>
      <c r="L96" s="15"/>
    </row>
    <row r="97" spans="1:12" x14ac:dyDescent="0.3">
      <c r="A97" s="5" t="s">
        <v>209</v>
      </c>
      <c r="B97" s="5" t="s">
        <v>40</v>
      </c>
      <c r="C97" s="5" t="str">
        <f>VLOOKUP(woodratio[[#This Row],[From_top]],woodstock[#All],7,FALSE)</f>
        <v>25</v>
      </c>
      <c r="D97" s="5" t="str">
        <f>VLOOKUP(woodratio[[#This Row],[To_top]],woodstock[#All],7,FALSE)</f>
        <v>40</v>
      </c>
      <c r="E97" s="5" t="s">
        <v>209</v>
      </c>
      <c r="F97" s="5" t="s">
        <v>51</v>
      </c>
      <c r="G97" s="5" t="str">
        <f>woodratio[[#This Row],[Processnumbersfromtop]]</f>
        <v>25</v>
      </c>
      <c r="H97" s="5" t="str">
        <f>H96</f>
        <v>37-38-39-40-41-42</v>
      </c>
      <c r="I97" s="142">
        <v>0.3</v>
      </c>
      <c r="J97" s="5" t="s">
        <v>372</v>
      </c>
      <c r="K97" s="143" t="s">
        <v>246</v>
      </c>
      <c r="L97" s="15"/>
    </row>
    <row r="98" spans="1:12" x14ac:dyDescent="0.3">
      <c r="A98" s="5" t="s">
        <v>209</v>
      </c>
      <c r="B98" s="5" t="s">
        <v>41</v>
      </c>
      <c r="C98" s="5" t="str">
        <f>VLOOKUP(woodratio[[#This Row],[From_top]],woodstock[#All],7,FALSE)</f>
        <v>25</v>
      </c>
      <c r="D98" s="5" t="str">
        <f>VLOOKUP(woodratio[[#This Row],[To_top]],woodstock[#All],7,FALSE)</f>
        <v>41</v>
      </c>
      <c r="E98" s="5" t="s">
        <v>209</v>
      </c>
      <c r="F98" s="5" t="s">
        <v>51</v>
      </c>
      <c r="G98" s="5" t="str">
        <f>woodratio[[#This Row],[Processnumbersfromtop]]</f>
        <v>25</v>
      </c>
      <c r="H98" s="5" t="str">
        <f t="shared" ref="H98:H99" si="12">H97</f>
        <v>37-38-39-40-41-42</v>
      </c>
      <c r="I98" s="142">
        <v>0.56999999999999995</v>
      </c>
      <c r="J98" s="5" t="s">
        <v>372</v>
      </c>
      <c r="K98" s="143" t="s">
        <v>246</v>
      </c>
      <c r="L98" s="15"/>
    </row>
    <row r="99" spans="1:12" x14ac:dyDescent="0.3">
      <c r="A99" s="5" t="s">
        <v>209</v>
      </c>
      <c r="B99" s="5" t="s">
        <v>38</v>
      </c>
      <c r="C99" s="5" t="str">
        <f>VLOOKUP(woodratio[[#This Row],[From_top]],woodstock[#All],7,FALSE)</f>
        <v>25</v>
      </c>
      <c r="D99" s="5" t="str">
        <f>VLOOKUP(woodratio[[#This Row],[To_top]],woodstock[#All],7,FALSE)</f>
        <v>42</v>
      </c>
      <c r="E99" s="5" t="s">
        <v>209</v>
      </c>
      <c r="F99" s="5" t="s">
        <v>51</v>
      </c>
      <c r="G99" s="5" t="str">
        <f>woodratio[[#This Row],[Processnumbersfromtop]]</f>
        <v>25</v>
      </c>
      <c r="H99" s="5" t="str">
        <f t="shared" si="12"/>
        <v>37-38-39-40-41-42</v>
      </c>
      <c r="I99" s="142">
        <v>7.0000000000000007E-2</v>
      </c>
      <c r="J99" s="5" t="s">
        <v>372</v>
      </c>
      <c r="K99" s="143" t="s">
        <v>246</v>
      </c>
      <c r="L99" s="15"/>
    </row>
    <row r="100" spans="1:12" x14ac:dyDescent="0.3">
      <c r="A100" s="5"/>
      <c r="B100" s="5"/>
      <c r="C100" s="5"/>
      <c r="D100" s="5"/>
      <c r="E100" s="5"/>
      <c r="F100" s="5"/>
      <c r="G100" s="5"/>
      <c r="H100" s="5"/>
      <c r="I100" s="142"/>
      <c r="J100" s="5"/>
      <c r="K100" s="5"/>
      <c r="L100" s="15"/>
    </row>
    <row r="101" spans="1:12" x14ac:dyDescent="0.3">
      <c r="A101" s="5"/>
      <c r="B101" s="5"/>
      <c r="C101" s="5"/>
      <c r="D101" s="5"/>
      <c r="E101" s="5"/>
      <c r="F101" s="5"/>
      <c r="G101" s="5"/>
      <c r="H101" s="5"/>
      <c r="I101" s="142"/>
      <c r="J101" s="5"/>
      <c r="K101" s="5"/>
      <c r="L101" s="15"/>
    </row>
    <row r="102" spans="1:12" x14ac:dyDescent="0.3">
      <c r="A102" s="5" t="s">
        <v>78</v>
      </c>
      <c r="B102" s="5" t="s">
        <v>31</v>
      </c>
      <c r="C102" s="5" t="str">
        <f>VLOOKUP(woodratio[[#This Row],[From_top]],woodstock[#All],7,FALSE)</f>
        <v>32</v>
      </c>
      <c r="D102" s="5" t="str">
        <f>VLOOKUP(woodratio[[#This Row],[To_top]],woodstock[#All],7,FALSE)</f>
        <v>44</v>
      </c>
      <c r="E102" s="5" t="s">
        <v>50</v>
      </c>
      <c r="F102" s="5" t="s">
        <v>31</v>
      </c>
      <c r="G102" s="5" t="str">
        <f>woodflow!L314</f>
        <v>32-33-34-35-36</v>
      </c>
      <c r="H102" s="5" t="str">
        <f>woodratio[[#This Row],[Processnumberstotop]]</f>
        <v>44</v>
      </c>
      <c r="I102" s="142">
        <f>woodflow!N315/woodflow!$N$314</f>
        <v>0.11585214089554828</v>
      </c>
      <c r="J102" s="126" t="s">
        <v>239</v>
      </c>
      <c r="K102" s="5"/>
      <c r="L102" s="15"/>
    </row>
    <row r="103" spans="1:12" x14ac:dyDescent="0.3">
      <c r="A103" s="5" t="s">
        <v>79</v>
      </c>
      <c r="B103" s="5" t="s">
        <v>31</v>
      </c>
      <c r="C103" s="5" t="str">
        <f>VLOOKUP(woodratio[[#This Row],[From_top]],woodstock[#All],7,FALSE)</f>
        <v>33</v>
      </c>
      <c r="D103" s="5" t="str">
        <f>VLOOKUP(woodratio[[#This Row],[To_top]],woodstock[#All],7,FALSE)</f>
        <v>44</v>
      </c>
      <c r="E103" s="5" t="s">
        <v>50</v>
      </c>
      <c r="F103" s="5" t="s">
        <v>31</v>
      </c>
      <c r="G103" s="5" t="str">
        <f>G102</f>
        <v>32-33-34-35-36</v>
      </c>
      <c r="H103" s="5" t="str">
        <f>woodratio[[#This Row],[Processnumberstotop]]</f>
        <v>44</v>
      </c>
      <c r="I103" s="142">
        <f>woodflow!N316/woodflow!$N$314</f>
        <v>0.62761818633027822</v>
      </c>
      <c r="J103" s="126" t="s">
        <v>239</v>
      </c>
      <c r="K103" s="5"/>
      <c r="L103" s="15"/>
    </row>
    <row r="104" spans="1:12" x14ac:dyDescent="0.3">
      <c r="A104" s="5" t="s">
        <v>67</v>
      </c>
      <c r="B104" s="5" t="s">
        <v>31</v>
      </c>
      <c r="C104" s="5" t="str">
        <f>VLOOKUP(woodratio[[#This Row],[From_top]],woodstock[#All],7,FALSE)</f>
        <v>34</v>
      </c>
      <c r="D104" s="5" t="str">
        <f>VLOOKUP(woodratio[[#This Row],[To_top]],woodstock[#All],7,FALSE)</f>
        <v>44</v>
      </c>
      <c r="E104" s="5" t="s">
        <v>50</v>
      </c>
      <c r="F104" s="5" t="s">
        <v>31</v>
      </c>
      <c r="G104" s="5" t="str">
        <f t="shared" ref="G104" si="13">G103</f>
        <v>32-33-34-35-36</v>
      </c>
      <c r="H104" s="5" t="str">
        <f>woodratio[[#This Row],[Processnumberstotop]]</f>
        <v>44</v>
      </c>
      <c r="I104" s="142">
        <f>woodflow!N317/woodflow!$N$314</f>
        <v>0.15190566312509265</v>
      </c>
      <c r="J104" s="126" t="s">
        <v>239</v>
      </c>
      <c r="K104" s="5"/>
      <c r="L104" s="15"/>
    </row>
    <row r="105" spans="1:12" x14ac:dyDescent="0.3">
      <c r="A105" s="5" t="s">
        <v>69</v>
      </c>
      <c r="B105" s="5" t="s">
        <v>31</v>
      </c>
      <c r="C105" s="5" t="str">
        <f>VLOOKUP(woodratio[[#This Row],[From_top]],woodstock[#All],7,FALSE)</f>
        <v>36</v>
      </c>
      <c r="D105" s="5" t="str">
        <f>VLOOKUP(woodratio[[#This Row],[To_top]],woodstock[#All],7,FALSE)</f>
        <v>44</v>
      </c>
      <c r="E105" s="5" t="s">
        <v>50</v>
      </c>
      <c r="F105" s="5" t="s">
        <v>31</v>
      </c>
      <c r="G105" s="5" t="str">
        <f>G104</f>
        <v>32-33-34-35-36</v>
      </c>
      <c r="H105" s="5" t="str">
        <f>woodratio[[#This Row],[Processnumberstotop]]</f>
        <v>44</v>
      </c>
      <c r="I105" s="142">
        <f>woodflow!N319/woodflow!$N$314</f>
        <v>0.10462400964908086</v>
      </c>
      <c r="J105" s="126" t="s">
        <v>239</v>
      </c>
      <c r="K105" s="5"/>
      <c r="L105" s="15"/>
    </row>
    <row r="106" spans="1:12" x14ac:dyDescent="0.3">
      <c r="A106" s="5"/>
      <c r="B106" s="5"/>
      <c r="C106" s="5"/>
      <c r="D106" s="5"/>
      <c r="E106" s="5"/>
      <c r="F106" s="5"/>
      <c r="G106" s="5"/>
      <c r="H106" s="5"/>
      <c r="I106" s="142"/>
      <c r="J106" s="5"/>
      <c r="K106" s="5"/>
      <c r="L106" s="15"/>
    </row>
    <row r="107" spans="1:12" x14ac:dyDescent="0.3">
      <c r="A107" s="5"/>
      <c r="B107" s="5"/>
      <c r="C107" s="5"/>
      <c r="D107" s="5"/>
      <c r="E107" s="5"/>
      <c r="F107" s="5"/>
      <c r="G107" s="5"/>
      <c r="H107" s="5"/>
      <c r="I107" s="142"/>
      <c r="J107" s="5"/>
      <c r="K107" s="5"/>
      <c r="L107" s="15"/>
    </row>
    <row r="108" spans="1:12" x14ac:dyDescent="0.3">
      <c r="A108" s="5" t="s">
        <v>36</v>
      </c>
      <c r="B108" s="5" t="s">
        <v>32</v>
      </c>
      <c r="C108" s="5" t="str">
        <f>VLOOKUP(woodratio[[#This Row],[From_top]],woodstock[#All],7,FALSE)</f>
        <v>37</v>
      </c>
      <c r="D108" s="5" t="str">
        <f>VLOOKUP(woodratio[[#This Row],[To_top]],woodstock[#All],7,FALSE)</f>
        <v>45</v>
      </c>
      <c r="E108" s="5" t="s">
        <v>36</v>
      </c>
      <c r="F108" s="5" t="s">
        <v>59</v>
      </c>
      <c r="G108" s="5" t="str">
        <f>woodratio[[#This Row],[Processnumbersfromtop]]</f>
        <v>37</v>
      </c>
      <c r="H108" s="5" t="str">
        <f>woodflow!M333</f>
        <v>43-44-45-46-47-48-49</v>
      </c>
      <c r="I108" s="142">
        <v>0.2</v>
      </c>
      <c r="J108" s="5" t="s">
        <v>629</v>
      </c>
      <c r="K108" s="143" t="s">
        <v>630</v>
      </c>
      <c r="L108" s="15"/>
    </row>
    <row r="109" spans="1:12" x14ac:dyDescent="0.3">
      <c r="A109" s="5" t="s">
        <v>36</v>
      </c>
      <c r="B109" s="5" t="s">
        <v>33</v>
      </c>
      <c r="C109" s="5" t="str">
        <f>VLOOKUP(woodratio[[#This Row],[From_top]],woodstock[#All],7,FALSE)</f>
        <v>37</v>
      </c>
      <c r="D109" s="5" t="str">
        <f>VLOOKUP(woodratio[[#This Row],[To_top]],woodstock[#All],7,FALSE)</f>
        <v>46</v>
      </c>
      <c r="E109" s="5" t="s">
        <v>36</v>
      </c>
      <c r="F109" s="5" t="s">
        <v>59</v>
      </c>
      <c r="G109" s="5" t="str">
        <f>woodratio[[#This Row],[Processnumbersfromtop]]</f>
        <v>37</v>
      </c>
      <c r="H109" s="5" t="str">
        <f t="shared" ref="H109:H110" si="14">H108</f>
        <v>43-44-45-46-47-48-49</v>
      </c>
      <c r="I109" s="142">
        <v>0.4</v>
      </c>
      <c r="J109" s="5" t="s">
        <v>629</v>
      </c>
      <c r="K109" s="143" t="s">
        <v>630</v>
      </c>
      <c r="L109" s="15"/>
    </row>
    <row r="110" spans="1:12" x14ac:dyDescent="0.3">
      <c r="A110" s="5" t="s">
        <v>36</v>
      </c>
      <c r="B110" s="5" t="s">
        <v>34</v>
      </c>
      <c r="C110" s="5" t="str">
        <f>VLOOKUP(woodratio[[#This Row],[From_top]],woodstock[#All],7,FALSE)</f>
        <v>37</v>
      </c>
      <c r="D110" s="5" t="str">
        <f>VLOOKUP(woodratio[[#This Row],[To_top]],woodstock[#All],7,FALSE)</f>
        <v>47</v>
      </c>
      <c r="E110" s="5" t="s">
        <v>36</v>
      </c>
      <c r="F110" s="5" t="s">
        <v>59</v>
      </c>
      <c r="G110" s="5" t="str">
        <f>woodratio[[#This Row],[Processnumbersfromtop]]</f>
        <v>37</v>
      </c>
      <c r="H110" s="5" t="str">
        <f t="shared" si="14"/>
        <v>43-44-45-46-47-48-49</v>
      </c>
      <c r="I110" s="142">
        <v>0.2</v>
      </c>
      <c r="J110" s="5" t="s">
        <v>629</v>
      </c>
      <c r="K110" s="143" t="s">
        <v>630</v>
      </c>
      <c r="L110" s="15"/>
    </row>
    <row r="111" spans="1:12" x14ac:dyDescent="0.3">
      <c r="A111" s="5" t="s">
        <v>36</v>
      </c>
      <c r="B111" s="5" t="s">
        <v>57</v>
      </c>
      <c r="C111" s="5" t="str">
        <f>VLOOKUP(woodratio[[#This Row],[From_top]],woodstock[#All],7,FALSE)</f>
        <v>37</v>
      </c>
      <c r="D111" s="5" t="str">
        <f>VLOOKUP(woodratio[[#This Row],[To_top]],woodstock[#All],7,FALSE)</f>
        <v>49</v>
      </c>
      <c r="E111" s="5" t="s">
        <v>36</v>
      </c>
      <c r="F111" s="5" t="s">
        <v>59</v>
      </c>
      <c r="G111" s="5" t="str">
        <f>woodratio[[#This Row],[Processnumbersfromtop]]</f>
        <v>37</v>
      </c>
      <c r="H111" s="5" t="str">
        <f>H110</f>
        <v>43-44-45-46-47-48-49</v>
      </c>
      <c r="I111" s="142">
        <v>0.2</v>
      </c>
      <c r="J111" s="5" t="s">
        <v>629</v>
      </c>
      <c r="K111" s="143" t="s">
        <v>630</v>
      </c>
      <c r="L111" s="15"/>
    </row>
    <row r="112" spans="1:12" x14ac:dyDescent="0.3">
      <c r="A112" s="5"/>
      <c r="B112" s="5"/>
      <c r="C112" s="5"/>
      <c r="D112" s="5"/>
      <c r="E112" s="5"/>
      <c r="F112" s="5"/>
      <c r="G112" s="5"/>
      <c r="H112" s="5"/>
      <c r="I112" s="142"/>
      <c r="J112" s="5"/>
      <c r="K112" s="5"/>
      <c r="L112" s="15"/>
    </row>
    <row r="113" spans="1:12" x14ac:dyDescent="0.3">
      <c r="A113" s="5"/>
      <c r="B113" s="5"/>
      <c r="C113" s="5"/>
      <c r="D113" s="5"/>
      <c r="E113" s="5"/>
      <c r="F113" s="5"/>
      <c r="G113" s="5"/>
      <c r="H113" s="5"/>
      <c r="I113" s="142"/>
      <c r="J113" s="5"/>
      <c r="K113" s="5"/>
      <c r="L113" s="15"/>
    </row>
    <row r="114" spans="1:12" x14ac:dyDescent="0.3">
      <c r="A114" s="5" t="s">
        <v>32</v>
      </c>
      <c r="B114" s="5" t="s">
        <v>378</v>
      </c>
      <c r="C114" s="5" t="str">
        <f>VLOOKUP(woodratio[[#This Row],[From_top]],woodstock[#All],7,FALSE)</f>
        <v>45</v>
      </c>
      <c r="D114" s="5" t="str">
        <f>VLOOKUP(woodratio[[#This Row],[To_top]],woodstock[#All],7,FALSE)</f>
        <v>56</v>
      </c>
      <c r="E114" s="5" t="s">
        <v>59</v>
      </c>
      <c r="F114" s="5" t="s">
        <v>378</v>
      </c>
      <c r="G114" s="136" t="str">
        <f>woodflow!L376</f>
        <v>43-44-45-46-47-48-49</v>
      </c>
      <c r="H114" s="5" t="str">
        <f>woodratio[[#This Row],[Processnumberstotop]]</f>
        <v>56</v>
      </c>
      <c r="I114" s="142">
        <v>0.19700000000000001</v>
      </c>
      <c r="J114" s="74" t="s">
        <v>372</v>
      </c>
      <c r="K114" s="70" t="s">
        <v>451</v>
      </c>
      <c r="L114" s="15"/>
    </row>
    <row r="115" spans="1:12" x14ac:dyDescent="0.3">
      <c r="A115" s="5" t="s">
        <v>33</v>
      </c>
      <c r="B115" s="5" t="s">
        <v>378</v>
      </c>
      <c r="C115" s="5" t="str">
        <f>VLOOKUP(woodratio[[#This Row],[From_top]],woodstock[#All],7,FALSE)</f>
        <v>46</v>
      </c>
      <c r="D115" s="5" t="str">
        <f>VLOOKUP(woodratio[[#This Row],[To_top]],woodstock[#All],7,FALSE)</f>
        <v>56</v>
      </c>
      <c r="E115" s="5" t="s">
        <v>59</v>
      </c>
      <c r="F115" s="5" t="s">
        <v>378</v>
      </c>
      <c r="G115" s="136" t="str">
        <f>G114</f>
        <v>43-44-45-46-47-48-49</v>
      </c>
      <c r="H115" s="5" t="str">
        <f>woodratio[[#This Row],[Processnumberstotop]]</f>
        <v>56</v>
      </c>
      <c r="I115" s="142">
        <v>0.69299999999999995</v>
      </c>
      <c r="J115" s="74" t="s">
        <v>372</v>
      </c>
      <c r="K115" s="70" t="s">
        <v>451</v>
      </c>
      <c r="L115" s="15"/>
    </row>
    <row r="116" spans="1:12" x14ac:dyDescent="0.3">
      <c r="A116" s="5" t="s">
        <v>34</v>
      </c>
      <c r="B116" s="5" t="s">
        <v>378</v>
      </c>
      <c r="C116" s="5" t="str">
        <f>VLOOKUP(woodratio[[#This Row],[From_top]],woodstock[#All],7,FALSE)</f>
        <v>47</v>
      </c>
      <c r="D116" s="5" t="str">
        <f>VLOOKUP(woodratio[[#This Row],[To_top]],woodstock[#All],7,FALSE)</f>
        <v>56</v>
      </c>
      <c r="E116" s="5" t="s">
        <v>59</v>
      </c>
      <c r="F116" s="5" t="s">
        <v>378</v>
      </c>
      <c r="G116" s="136" t="str">
        <f t="shared" ref="G116:G117" si="15">G115</f>
        <v>43-44-45-46-47-48-49</v>
      </c>
      <c r="H116" s="5" t="str">
        <f>woodratio[[#This Row],[Processnumberstotop]]</f>
        <v>56</v>
      </c>
      <c r="I116" s="142">
        <v>5.5E-2</v>
      </c>
      <c r="J116" s="74" t="s">
        <v>372</v>
      </c>
      <c r="K116" s="70" t="s">
        <v>451</v>
      </c>
      <c r="L116" s="15"/>
    </row>
    <row r="117" spans="1:12" x14ac:dyDescent="0.3">
      <c r="A117" s="5" t="s">
        <v>57</v>
      </c>
      <c r="B117" s="5" t="s">
        <v>378</v>
      </c>
      <c r="C117" s="5" t="str">
        <f>VLOOKUP(woodratio[[#This Row],[From_top]],woodstock[#All],7,FALSE)</f>
        <v>49</v>
      </c>
      <c r="D117" s="5" t="str">
        <f>VLOOKUP(woodratio[[#This Row],[To_top]],woodstock[#All],7,FALSE)</f>
        <v>56</v>
      </c>
      <c r="E117" s="5" t="s">
        <v>59</v>
      </c>
      <c r="F117" s="5" t="s">
        <v>378</v>
      </c>
      <c r="G117" s="136" t="str">
        <f t="shared" si="15"/>
        <v>43-44-45-46-47-48-49</v>
      </c>
      <c r="H117" s="5" t="str">
        <f>woodratio[[#This Row],[Processnumberstotop]]</f>
        <v>56</v>
      </c>
      <c r="I117" s="142">
        <v>5.5E-2</v>
      </c>
      <c r="J117" s="79" t="s">
        <v>372</v>
      </c>
      <c r="K117" s="80" t="s">
        <v>451</v>
      </c>
      <c r="L117" s="15"/>
    </row>
    <row r="118" spans="1:12" x14ac:dyDescent="0.3">
      <c r="A118" s="5"/>
      <c r="B118" s="5"/>
      <c r="C118" s="5"/>
      <c r="D118" s="5"/>
      <c r="E118" s="5"/>
      <c r="F118" s="5"/>
      <c r="G118" s="5"/>
      <c r="H118" s="5"/>
      <c r="I118" s="142"/>
      <c r="J118" s="5"/>
      <c r="K118" s="5"/>
      <c r="L118" s="15"/>
    </row>
    <row r="119" spans="1:12" x14ac:dyDescent="0.3">
      <c r="A119" s="5"/>
      <c r="B119" s="5"/>
      <c r="C119" s="5"/>
      <c r="D119" s="5"/>
      <c r="E119" s="5"/>
      <c r="F119" s="5"/>
      <c r="G119" s="5"/>
      <c r="H119" s="5"/>
      <c r="I119" s="142"/>
      <c r="J119" s="5"/>
      <c r="K119" s="5"/>
      <c r="L119" s="15"/>
    </row>
    <row r="120" spans="1:12" x14ac:dyDescent="0.3">
      <c r="A120" s="5" t="s">
        <v>378</v>
      </c>
      <c r="B120" s="5" t="s">
        <v>358</v>
      </c>
      <c r="C120" s="5" t="str">
        <f>VLOOKUP(woodratio[[#This Row],[From_top]],woodstock[#All],7,FALSE)</f>
        <v>56</v>
      </c>
      <c r="D120" s="5" t="str">
        <f>VLOOKUP(woodratio[[#This Row],[To_top]],woodstock[#All],7,FALSE)</f>
        <v>58</v>
      </c>
      <c r="E120" s="5" t="s">
        <v>378</v>
      </c>
      <c r="F120" s="5" t="s">
        <v>357</v>
      </c>
      <c r="G120" s="5" t="str">
        <f>woodratio[[#This Row],[Processnumbersfromtop]]</f>
        <v>56</v>
      </c>
      <c r="H120" s="136" t="str">
        <f>woodflow!M404</f>
        <v>58-59-60-61-62-63-64</v>
      </c>
      <c r="I120" s="142">
        <f>'supporting-percentages'!B66</f>
        <v>0.16845444995730044</v>
      </c>
      <c r="J120" s="126" t="s">
        <v>459</v>
      </c>
      <c r="K120" s="5"/>
      <c r="L120" s="15"/>
    </row>
    <row r="121" spans="1:12" x14ac:dyDescent="0.3">
      <c r="A121" s="5" t="s">
        <v>378</v>
      </c>
      <c r="B121" s="5" t="s">
        <v>539</v>
      </c>
      <c r="C121" s="5" t="str">
        <f>VLOOKUP(woodratio[[#This Row],[From_top]],woodstock[#All],7,FALSE)</f>
        <v>56</v>
      </c>
      <c r="D121" s="5" t="str">
        <f>VLOOKUP(woodratio[[#This Row],[To_top]],woodstock[#All],7,FALSE)</f>
        <v>59</v>
      </c>
      <c r="E121" s="5" t="s">
        <v>378</v>
      </c>
      <c r="F121" s="5" t="s">
        <v>357</v>
      </c>
      <c r="G121" s="5" t="str">
        <f>woodratio[[#This Row],[Processnumbersfromtop]]</f>
        <v>56</v>
      </c>
      <c r="H121" s="136" t="str">
        <f>H120</f>
        <v>58-59-60-61-62-63-64</v>
      </c>
      <c r="I121" s="142">
        <f>'supporting-percentages'!B67</f>
        <v>7.8418450842191595E-2</v>
      </c>
      <c r="J121" s="126" t="s">
        <v>459</v>
      </c>
      <c r="K121" s="5"/>
      <c r="L121" s="15"/>
    </row>
    <row r="122" spans="1:12" x14ac:dyDescent="0.3">
      <c r="A122" s="5" t="s">
        <v>378</v>
      </c>
      <c r="B122" s="5" t="s">
        <v>398</v>
      </c>
      <c r="C122" s="5" t="str">
        <f>VLOOKUP(woodratio[[#This Row],[From_top]],woodstock[#All],7,FALSE)</f>
        <v>56</v>
      </c>
      <c r="D122" s="5" t="str">
        <f>VLOOKUP(woodratio[[#This Row],[To_top]],woodstock[#All],7,FALSE)</f>
        <v>61</v>
      </c>
      <c r="E122" s="5" t="s">
        <v>378</v>
      </c>
      <c r="F122" s="5" t="s">
        <v>357</v>
      </c>
      <c r="G122" s="5" t="str">
        <f>woodratio[[#This Row],[Processnumbersfromtop]]</f>
        <v>56</v>
      </c>
      <c r="H122" s="136" t="str">
        <f>H121</f>
        <v>58-59-60-61-62-63-64</v>
      </c>
      <c r="I122" s="142">
        <f>'supporting-percentages'!B68</f>
        <v>4.356580602343977E-2</v>
      </c>
      <c r="J122" s="126" t="s">
        <v>459</v>
      </c>
      <c r="K122" s="5"/>
      <c r="L122" s="15"/>
    </row>
    <row r="123" spans="1:12" x14ac:dyDescent="0.3">
      <c r="A123" s="5" t="s">
        <v>378</v>
      </c>
      <c r="B123" s="5" t="s">
        <v>407</v>
      </c>
      <c r="C123" s="5" t="str">
        <f>VLOOKUP(woodratio[[#This Row],[From_top]],woodstock[#All],7,FALSE)</f>
        <v>56</v>
      </c>
      <c r="D123" s="5" t="str">
        <f>VLOOKUP(woodratio[[#This Row],[To_top]],woodstock[#All],7,FALSE)</f>
        <v>62</v>
      </c>
      <c r="E123" s="5" t="s">
        <v>378</v>
      </c>
      <c r="F123" s="5" t="s">
        <v>357</v>
      </c>
      <c r="G123" s="5" t="str">
        <f>woodratio[[#This Row],[Processnumbersfromtop]]</f>
        <v>56</v>
      </c>
      <c r="H123" s="136" t="str">
        <f t="shared" ref="H123:H125" si="16">H122</f>
        <v>58-59-60-61-62-63-64</v>
      </c>
      <c r="I123" s="142">
        <f>'supporting-percentages'!B70</f>
        <v>9.2577089876899027E-2</v>
      </c>
      <c r="J123" s="126" t="s">
        <v>459</v>
      </c>
      <c r="K123" s="5"/>
      <c r="L123" s="15"/>
    </row>
    <row r="124" spans="1:12" x14ac:dyDescent="0.3">
      <c r="A124" s="5" t="s">
        <v>378</v>
      </c>
      <c r="B124" s="5" t="s">
        <v>359</v>
      </c>
      <c r="C124" s="5" t="str">
        <f>VLOOKUP(woodratio[[#This Row],[From_top]],woodstock[#All],7,FALSE)</f>
        <v>56</v>
      </c>
      <c r="D124" s="5" t="str">
        <f>VLOOKUP(woodratio[[#This Row],[To_top]],woodstock[#All],7,FALSE)</f>
        <v>63</v>
      </c>
      <c r="E124" s="5" t="s">
        <v>378</v>
      </c>
      <c r="F124" s="5" t="s">
        <v>357</v>
      </c>
      <c r="G124" s="5" t="str">
        <f>woodratio[[#This Row],[Processnumbersfromtop]]</f>
        <v>56</v>
      </c>
      <c r="H124" s="136" t="str">
        <f t="shared" si="16"/>
        <v>58-59-60-61-62-63-64</v>
      </c>
      <c r="I124" s="142">
        <f>'supporting-percentages'!B71</f>
        <v>0.36677832649267833</v>
      </c>
      <c r="J124" s="126" t="s">
        <v>459</v>
      </c>
      <c r="K124" s="5"/>
      <c r="L124" s="15"/>
    </row>
    <row r="125" spans="1:12" x14ac:dyDescent="0.3">
      <c r="A125" s="5" t="s">
        <v>378</v>
      </c>
      <c r="B125" s="5" t="s">
        <v>380</v>
      </c>
      <c r="C125" s="5" t="str">
        <f>VLOOKUP(woodratio[[#This Row],[From_top]],woodstock[#All],7,FALSE)</f>
        <v>56</v>
      </c>
      <c r="D125" s="5" t="str">
        <f>VLOOKUP(woodratio[[#This Row],[To_top]],woodstock[#All],7,FALSE)</f>
        <v>64</v>
      </c>
      <c r="E125" s="5" t="s">
        <v>378</v>
      </c>
      <c r="F125" s="5" t="s">
        <v>357</v>
      </c>
      <c r="G125" s="5" t="str">
        <f>woodratio[[#This Row],[Processnumbersfromtop]]</f>
        <v>56</v>
      </c>
      <c r="H125" s="136" t="str">
        <f t="shared" si="16"/>
        <v>58-59-60-61-62-63-64</v>
      </c>
      <c r="I125" s="142">
        <f>'supporting-percentages'!B72</f>
        <v>0.25020587680749085</v>
      </c>
      <c r="J125" s="126" t="s">
        <v>459</v>
      </c>
      <c r="K125" s="5"/>
      <c r="L125" s="15"/>
    </row>
    <row r="126" spans="1:12" x14ac:dyDescent="0.3">
      <c r="A126" s="5"/>
      <c r="B126" s="5"/>
      <c r="C126" s="5"/>
      <c r="D126" s="5"/>
      <c r="E126" s="5"/>
      <c r="F126" s="5"/>
      <c r="G126" s="5"/>
      <c r="H126" s="5"/>
      <c r="I126" s="142"/>
      <c r="J126" s="5"/>
      <c r="K126" s="5"/>
      <c r="L126" s="15"/>
    </row>
    <row r="127" spans="1:12" x14ac:dyDescent="0.3">
      <c r="A127" s="5"/>
      <c r="B127" s="5"/>
      <c r="C127" s="5"/>
      <c r="D127" s="5"/>
      <c r="E127" s="5"/>
      <c r="F127" s="5"/>
      <c r="G127" s="5"/>
      <c r="H127" s="5"/>
      <c r="I127" s="142"/>
      <c r="J127" s="5"/>
      <c r="K127" s="5"/>
      <c r="L127" s="15"/>
    </row>
    <row r="128" spans="1:12" x14ac:dyDescent="0.3">
      <c r="A128" s="5" t="s">
        <v>379</v>
      </c>
      <c r="B128" s="5" t="s">
        <v>358</v>
      </c>
      <c r="C128" s="5" t="str">
        <f>VLOOKUP(woodratio[[#This Row],[From_top]],woodstock[#All],7,FALSE)</f>
        <v>57</v>
      </c>
      <c r="D128" s="5" t="str">
        <f>VLOOKUP(woodratio[[#This Row],[To_top]],woodstock[#All],7,FALSE)</f>
        <v>58</v>
      </c>
      <c r="E128" s="5" t="s">
        <v>379</v>
      </c>
      <c r="F128" s="5" t="s">
        <v>357</v>
      </c>
      <c r="G128" s="5" t="str">
        <f>woodratio[[#This Row],[Processnumbersfromtop]]</f>
        <v>57</v>
      </c>
      <c r="H128" s="136" t="str">
        <f>woodflow!M404</f>
        <v>58-59-60-61-62-63-64</v>
      </c>
      <c r="I128" s="142">
        <f>'supporting-percentages'!B78</f>
        <v>4.2463867501878562E-2</v>
      </c>
      <c r="J128" s="126" t="s">
        <v>459</v>
      </c>
      <c r="K128" s="5"/>
      <c r="L128" s="15"/>
    </row>
    <row r="129" spans="1:12" x14ac:dyDescent="0.3">
      <c r="A129" s="5" t="s">
        <v>379</v>
      </c>
      <c r="B129" s="5" t="s">
        <v>540</v>
      </c>
      <c r="C129" s="5" t="str">
        <f>VLOOKUP(woodratio[[#This Row],[From_top]],woodstock[#All],7,FALSE)</f>
        <v>57</v>
      </c>
      <c r="D129" s="5" t="str">
        <f>VLOOKUP(woodratio[[#This Row],[To_top]],woodstock[#All],7,FALSE)</f>
        <v>60</v>
      </c>
      <c r="E129" s="5" t="s">
        <v>379</v>
      </c>
      <c r="F129" s="5" t="s">
        <v>357</v>
      </c>
      <c r="G129" s="5" t="str">
        <f>G128</f>
        <v>57</v>
      </c>
      <c r="H129" s="136" t="str">
        <f>H128</f>
        <v>58-59-60-61-62-63-64</v>
      </c>
      <c r="I129" s="142">
        <f>'supporting-percentages'!B79</f>
        <v>0.51402827837565324</v>
      </c>
      <c r="J129" s="126" t="s">
        <v>459</v>
      </c>
      <c r="K129" s="5"/>
      <c r="L129" s="15"/>
    </row>
    <row r="130" spans="1:12" x14ac:dyDescent="0.3">
      <c r="A130" s="5" t="s">
        <v>379</v>
      </c>
      <c r="B130" s="5" t="s">
        <v>398</v>
      </c>
      <c r="C130" s="5" t="str">
        <f>VLOOKUP(woodratio[[#This Row],[From_top]],woodstock[#All],7,FALSE)</f>
        <v>57</v>
      </c>
      <c r="D130" s="5" t="str">
        <f>VLOOKUP(woodratio[[#This Row],[To_top]],woodstock[#All],7,FALSE)</f>
        <v>61</v>
      </c>
      <c r="E130" s="5" t="s">
        <v>379</v>
      </c>
      <c r="F130" s="5" t="s">
        <v>357</v>
      </c>
      <c r="G130" s="5" t="str">
        <f>G129</f>
        <v>57</v>
      </c>
      <c r="H130" s="136" t="str">
        <f>H129</f>
        <v>58-59-60-61-62-63-64</v>
      </c>
      <c r="I130" s="142">
        <f>'supporting-percentages'!B80</f>
        <v>2.101995967735211E-2</v>
      </c>
      <c r="J130" s="126" t="s">
        <v>459</v>
      </c>
      <c r="K130" s="5"/>
      <c r="L130" s="15"/>
    </row>
    <row r="131" spans="1:12" x14ac:dyDescent="0.3">
      <c r="A131" s="5" t="s">
        <v>379</v>
      </c>
      <c r="B131" s="5" t="s">
        <v>407</v>
      </c>
      <c r="C131" s="5" t="str">
        <f>VLOOKUP(woodratio[[#This Row],[From_top]],woodstock[#All],7,FALSE)</f>
        <v>57</v>
      </c>
      <c r="D131" s="5" t="str">
        <f>VLOOKUP(woodratio[[#This Row],[To_top]],woodstock[#All],7,FALSE)</f>
        <v>62</v>
      </c>
      <c r="E131" s="5" t="s">
        <v>379</v>
      </c>
      <c r="F131" s="5" t="s">
        <v>357</v>
      </c>
      <c r="G131" s="5" t="str">
        <f t="shared" ref="G131:G133" si="17">G130</f>
        <v>57</v>
      </c>
      <c r="H131" s="136" t="str">
        <f t="shared" ref="H131:H133" si="18">H130</f>
        <v>58-59-60-61-62-63-64</v>
      </c>
      <c r="I131" s="142">
        <f>'supporting-percentages'!B82</f>
        <v>1.8198800357947957E-2</v>
      </c>
      <c r="J131" s="126" t="s">
        <v>459</v>
      </c>
      <c r="K131" s="5"/>
      <c r="L131" s="15"/>
    </row>
    <row r="132" spans="1:12" x14ac:dyDescent="0.3">
      <c r="A132" s="5" t="s">
        <v>379</v>
      </c>
      <c r="B132" s="5" t="s">
        <v>359</v>
      </c>
      <c r="C132" s="5" t="str">
        <f>VLOOKUP(woodratio[[#This Row],[From_top]],woodstock[#All],7,FALSE)</f>
        <v>57</v>
      </c>
      <c r="D132" s="5" t="str">
        <f>VLOOKUP(woodratio[[#This Row],[To_top]],woodstock[#All],7,FALSE)</f>
        <v>63</v>
      </c>
      <c r="E132" s="5" t="s">
        <v>379</v>
      </c>
      <c r="F132" s="5" t="s">
        <v>357</v>
      </c>
      <c r="G132" s="5" t="str">
        <f t="shared" si="17"/>
        <v>57</v>
      </c>
      <c r="H132" s="136" t="str">
        <f t="shared" si="18"/>
        <v>58-59-60-61-62-63-64</v>
      </c>
      <c r="I132" s="142">
        <f>'supporting-percentages'!B83</f>
        <v>0.24033755897700118</v>
      </c>
      <c r="J132" s="126" t="s">
        <v>459</v>
      </c>
      <c r="K132" s="5"/>
      <c r="L132" s="15"/>
    </row>
    <row r="133" spans="1:12" x14ac:dyDescent="0.3">
      <c r="A133" s="5" t="s">
        <v>379</v>
      </c>
      <c r="B133" s="5" t="s">
        <v>380</v>
      </c>
      <c r="C133" s="5" t="str">
        <f>VLOOKUP(woodratio[[#This Row],[From_top]],woodstock[#All],7,FALSE)</f>
        <v>57</v>
      </c>
      <c r="D133" s="5" t="str">
        <f>VLOOKUP(woodratio[[#This Row],[To_top]],woodstock[#All],7,FALSE)</f>
        <v>64</v>
      </c>
      <c r="E133" s="5" t="s">
        <v>379</v>
      </c>
      <c r="F133" s="5" t="s">
        <v>357</v>
      </c>
      <c r="G133" s="5" t="str">
        <f t="shared" si="17"/>
        <v>57</v>
      </c>
      <c r="H133" s="136" t="str">
        <f t="shared" si="18"/>
        <v>58-59-60-61-62-63-64</v>
      </c>
      <c r="I133" s="142">
        <f>'supporting-percentages'!B84</f>
        <v>0.16395153511016691</v>
      </c>
      <c r="J133" s="126" t="s">
        <v>459</v>
      </c>
      <c r="K133" s="5"/>
      <c r="L133" s="15"/>
    </row>
    <row r="134" spans="1:12" x14ac:dyDescent="0.3">
      <c r="A134" s="5"/>
      <c r="B134" s="5"/>
      <c r="C134" s="5"/>
      <c r="D134" s="5"/>
      <c r="E134" s="5"/>
      <c r="F134" s="5"/>
      <c r="G134" s="5"/>
      <c r="H134" s="5"/>
      <c r="I134" s="142"/>
      <c r="J134" s="5"/>
      <c r="K134" s="5"/>
      <c r="L134" s="15"/>
    </row>
    <row r="135" spans="1:12" x14ac:dyDescent="0.3">
      <c r="A135" s="5"/>
      <c r="B135" s="5"/>
      <c r="C135" s="5"/>
      <c r="D135" s="5"/>
      <c r="E135" s="5"/>
      <c r="F135" s="5"/>
      <c r="G135" s="5"/>
      <c r="H135" s="5"/>
      <c r="I135" s="142"/>
      <c r="J135" s="5"/>
      <c r="K135" s="5"/>
      <c r="L135" s="15"/>
    </row>
    <row r="136" spans="1:12" x14ac:dyDescent="0.3">
      <c r="A136" s="126" t="s">
        <v>29</v>
      </c>
      <c r="B136" s="5" t="s">
        <v>358</v>
      </c>
      <c r="C136" s="5" t="str">
        <f>VLOOKUP(woodratio[[#This Row],[From_top]],woodstock[#All],7,FALSE)</f>
        <v>50</v>
      </c>
      <c r="D136" s="5" t="str">
        <f>VLOOKUP(woodratio[[#This Row],[To_top]],woodstock[#All],7,FALSE)</f>
        <v>58</v>
      </c>
      <c r="E136" s="126" t="str">
        <f>woodratio[[#This Row],[From_top]]</f>
        <v>pw-wood-chips-and-particles</v>
      </c>
      <c r="F136" s="5" t="s">
        <v>357</v>
      </c>
      <c r="G136" s="5" t="str">
        <f>woodratio[[#This Row],[Processnumbersfromtop]]</f>
        <v>50</v>
      </c>
      <c r="H136" s="136" t="str">
        <f>woodflow!M419</f>
        <v>58-59-60-61-62-63-64</v>
      </c>
      <c r="I136" s="142">
        <f>'supporting-percentages'!B38</f>
        <v>0.78571428571428581</v>
      </c>
      <c r="J136" s="126" t="s">
        <v>459</v>
      </c>
      <c r="K136" s="5"/>
      <c r="L136" s="15"/>
    </row>
    <row r="137" spans="1:12" x14ac:dyDescent="0.3">
      <c r="A137" s="126" t="s">
        <v>29</v>
      </c>
      <c r="B137" s="5" t="s">
        <v>398</v>
      </c>
      <c r="C137" s="5" t="str">
        <f>VLOOKUP(woodratio[[#This Row],[From_top]],woodstock[#All],7,FALSE)</f>
        <v>50</v>
      </c>
      <c r="D137" s="5" t="str">
        <f>VLOOKUP(woodratio[[#This Row],[To_top]],woodstock[#All],7,FALSE)</f>
        <v>61</v>
      </c>
      <c r="E137" s="126" t="str">
        <f>woodratio[[#This Row],[From_top]]</f>
        <v>pw-wood-chips-and-particles</v>
      </c>
      <c r="F137" s="5" t="s">
        <v>357</v>
      </c>
      <c r="G137" s="5" t="str">
        <f>woodratio[[#This Row],[Processnumbersfromtop]]</f>
        <v>50</v>
      </c>
      <c r="H137" s="136" t="str">
        <f>H136</f>
        <v>58-59-60-61-62-63-64</v>
      </c>
      <c r="I137" s="142">
        <f>'supporting-percentages'!B39</f>
        <v>7.1428571428571438E-2</v>
      </c>
      <c r="J137" s="126" t="s">
        <v>459</v>
      </c>
      <c r="K137" s="5"/>
      <c r="L137" s="15"/>
    </row>
    <row r="138" spans="1:12" x14ac:dyDescent="0.3">
      <c r="A138" s="126" t="s">
        <v>29</v>
      </c>
      <c r="B138" s="5" t="s">
        <v>407</v>
      </c>
      <c r="C138" s="5" t="str">
        <f>VLOOKUP(woodratio[[#This Row],[From_top]],woodstock[#All],7,FALSE)</f>
        <v>50</v>
      </c>
      <c r="D138" s="5" t="str">
        <f>VLOOKUP(woodratio[[#This Row],[To_top]],woodstock[#All],7,FALSE)</f>
        <v>62</v>
      </c>
      <c r="E138" s="126" t="str">
        <f>woodratio[[#This Row],[From_top]]</f>
        <v>pw-wood-chips-and-particles</v>
      </c>
      <c r="F138" s="5" t="s">
        <v>357</v>
      </c>
      <c r="G138" s="5" t="str">
        <f>woodratio[[#This Row],[Processnumbersfromtop]]</f>
        <v>50</v>
      </c>
      <c r="H138" s="136" t="str">
        <f t="shared" ref="H138:H139" si="19">H137</f>
        <v>58-59-60-61-62-63-64</v>
      </c>
      <c r="I138" s="142">
        <f>'supporting-percentages'!B40</f>
        <v>7.1428571428571438E-2</v>
      </c>
      <c r="J138" s="126" t="s">
        <v>459</v>
      </c>
      <c r="K138" s="5"/>
      <c r="L138" s="15"/>
    </row>
    <row r="139" spans="1:12" x14ac:dyDescent="0.3">
      <c r="A139" s="126" t="s">
        <v>29</v>
      </c>
      <c r="B139" s="5" t="s">
        <v>359</v>
      </c>
      <c r="C139" s="5" t="str">
        <f>VLOOKUP(woodratio[[#This Row],[From_top]],woodstock[#All],7,FALSE)</f>
        <v>50</v>
      </c>
      <c r="D139" s="5" t="str">
        <f>VLOOKUP(woodratio[[#This Row],[To_top]],woodstock[#All],7,FALSE)</f>
        <v>63</v>
      </c>
      <c r="E139" s="126" t="str">
        <f>woodratio[[#This Row],[From_top]]</f>
        <v>pw-wood-chips-and-particles</v>
      </c>
      <c r="F139" s="5" t="s">
        <v>357</v>
      </c>
      <c r="G139" s="5" t="str">
        <f>woodratio[[#This Row],[Processnumbersfromtop]]</f>
        <v>50</v>
      </c>
      <c r="H139" s="136" t="str">
        <f t="shared" si="19"/>
        <v>58-59-60-61-62-63-64</v>
      </c>
      <c r="I139" s="142">
        <f>'supporting-percentages'!B41</f>
        <v>7.1428571428571438E-2</v>
      </c>
      <c r="J139" s="126" t="s">
        <v>459</v>
      </c>
      <c r="K139" s="5"/>
      <c r="L139" s="15"/>
    </row>
    <row r="140" spans="1:12" x14ac:dyDescent="0.3">
      <c r="A140" s="5"/>
      <c r="B140" s="5"/>
      <c r="C140" s="5"/>
      <c r="D140" s="5"/>
      <c r="E140" s="5"/>
      <c r="F140" s="5"/>
      <c r="G140" s="5"/>
      <c r="H140" s="5"/>
      <c r="I140" s="142"/>
      <c r="J140" s="5"/>
      <c r="K140" s="5"/>
      <c r="L140" s="15"/>
    </row>
    <row r="141" spans="1:12" x14ac:dyDescent="0.3">
      <c r="A141" s="5"/>
      <c r="B141" s="5"/>
      <c r="C141" s="5"/>
      <c r="D141" s="5"/>
      <c r="E141" s="5"/>
      <c r="F141" s="5"/>
      <c r="G141" s="5"/>
      <c r="H141" s="5"/>
      <c r="I141" s="142"/>
      <c r="J141" s="5"/>
      <c r="K141" s="5"/>
      <c r="L141" s="15"/>
    </row>
    <row r="142" spans="1:12" x14ac:dyDescent="0.3">
      <c r="A142" s="126" t="s">
        <v>73</v>
      </c>
      <c r="B142" s="5" t="s">
        <v>358</v>
      </c>
      <c r="C142" s="5" t="str">
        <f>VLOOKUP(woodratio[[#This Row],[From_top]],woodstock[#All],7,FALSE)</f>
        <v>51</v>
      </c>
      <c r="D142" s="5" t="str">
        <f>VLOOKUP(woodratio[[#This Row],[To_top]],woodstock[#All],7,FALSE)</f>
        <v>58</v>
      </c>
      <c r="E142" s="126" t="str">
        <f>woodratio[[#This Row],[From_top]]</f>
        <v>pw-sanding-and-sawdust</v>
      </c>
      <c r="F142" s="5" t="s">
        <v>357</v>
      </c>
      <c r="G142" s="5" t="str">
        <f>woodratio[[#This Row],[Processnumbersfromtop]]</f>
        <v>51</v>
      </c>
      <c r="H142" s="136" t="str">
        <f>woodflow!M434</f>
        <v>58-59-60-61-62-63-64</v>
      </c>
      <c r="I142" s="142">
        <f>'supporting-percentages'!B47</f>
        <v>0.8125</v>
      </c>
      <c r="J142" s="126" t="s">
        <v>459</v>
      </c>
      <c r="K142" s="5"/>
      <c r="L142" s="15"/>
    </row>
    <row r="143" spans="1:12" x14ac:dyDescent="0.3">
      <c r="A143" s="126" t="s">
        <v>73</v>
      </c>
      <c r="B143" s="5" t="s">
        <v>398</v>
      </c>
      <c r="C143" s="5" t="str">
        <f>VLOOKUP(woodratio[[#This Row],[From_top]],woodstock[#All],7,FALSE)</f>
        <v>51</v>
      </c>
      <c r="D143" s="5" t="str">
        <f>VLOOKUP(woodratio[[#This Row],[To_top]],woodstock[#All],7,FALSE)</f>
        <v>61</v>
      </c>
      <c r="E143" s="126" t="str">
        <f>woodratio[[#This Row],[From_top]]</f>
        <v>pw-sanding-and-sawdust</v>
      </c>
      <c r="F143" s="5" t="s">
        <v>357</v>
      </c>
      <c r="G143" s="5" t="str">
        <f>woodratio[[#This Row],[Processnumbersfromtop]]</f>
        <v>51</v>
      </c>
      <c r="H143" s="136" t="str">
        <f>H142</f>
        <v>58-59-60-61-62-63-64</v>
      </c>
      <c r="I143" s="142">
        <f>'supporting-percentages'!B48</f>
        <v>6.25E-2</v>
      </c>
      <c r="J143" s="126" t="s">
        <v>459</v>
      </c>
      <c r="K143" s="5"/>
      <c r="L143" s="15"/>
    </row>
    <row r="144" spans="1:12" x14ac:dyDescent="0.3">
      <c r="A144" s="126" t="s">
        <v>73</v>
      </c>
      <c r="B144" s="5" t="s">
        <v>407</v>
      </c>
      <c r="C144" s="5" t="str">
        <f>VLOOKUP(woodratio[[#This Row],[From_top]],woodstock[#All],7,FALSE)</f>
        <v>51</v>
      </c>
      <c r="D144" s="5" t="str">
        <f>VLOOKUP(woodratio[[#This Row],[To_top]],woodstock[#All],7,FALSE)</f>
        <v>62</v>
      </c>
      <c r="E144" s="126" t="str">
        <f>woodratio[[#This Row],[From_top]]</f>
        <v>pw-sanding-and-sawdust</v>
      </c>
      <c r="F144" s="5" t="s">
        <v>357</v>
      </c>
      <c r="G144" s="5" t="str">
        <f>woodratio[[#This Row],[Processnumbersfromtop]]</f>
        <v>51</v>
      </c>
      <c r="H144" s="136" t="str">
        <f t="shared" ref="H144:H145" si="20">H143</f>
        <v>58-59-60-61-62-63-64</v>
      </c>
      <c r="I144" s="142">
        <f>'supporting-percentages'!B49</f>
        <v>6.25E-2</v>
      </c>
      <c r="J144" s="126" t="s">
        <v>459</v>
      </c>
      <c r="K144" s="5"/>
      <c r="L144" s="15"/>
    </row>
    <row r="145" spans="1:12" x14ac:dyDescent="0.3">
      <c r="A145" s="126" t="s">
        <v>73</v>
      </c>
      <c r="B145" s="5" t="s">
        <v>359</v>
      </c>
      <c r="C145" s="5" t="str">
        <f>VLOOKUP(woodratio[[#This Row],[From_top]],woodstock[#All],7,FALSE)</f>
        <v>51</v>
      </c>
      <c r="D145" s="5" t="str">
        <f>VLOOKUP(woodratio[[#This Row],[To_top]],woodstock[#All],7,FALSE)</f>
        <v>63</v>
      </c>
      <c r="E145" s="126" t="str">
        <f>woodratio[[#This Row],[From_top]]</f>
        <v>pw-sanding-and-sawdust</v>
      </c>
      <c r="F145" s="5" t="s">
        <v>357</v>
      </c>
      <c r="G145" s="5" t="str">
        <f>woodratio[[#This Row],[Processnumbersfromtop]]</f>
        <v>51</v>
      </c>
      <c r="H145" s="136" t="str">
        <f t="shared" si="20"/>
        <v>58-59-60-61-62-63-64</v>
      </c>
      <c r="I145" s="142">
        <f>'supporting-percentages'!B50</f>
        <v>6.25E-2</v>
      </c>
      <c r="J145" s="126" t="s">
        <v>459</v>
      </c>
      <c r="K145" s="5"/>
      <c r="L145" s="15"/>
    </row>
    <row r="146" spans="1:12" x14ac:dyDescent="0.3">
      <c r="A146" s="5"/>
      <c r="B146" s="5"/>
      <c r="C146" s="5"/>
      <c r="D146" s="5"/>
      <c r="E146" s="5"/>
      <c r="F146" s="5"/>
      <c r="G146" s="5"/>
      <c r="H146" s="5"/>
      <c r="I146" s="142"/>
      <c r="J146" s="5"/>
      <c r="K146" s="5"/>
      <c r="L146" s="15"/>
    </row>
    <row r="147" spans="1:12" x14ac:dyDescent="0.3">
      <c r="A147" s="5"/>
      <c r="B147" s="5"/>
      <c r="C147" s="5"/>
      <c r="D147" s="5"/>
      <c r="E147" s="5"/>
      <c r="F147" s="5"/>
      <c r="G147" s="5"/>
      <c r="H147" s="5"/>
      <c r="I147" s="142"/>
      <c r="J147" s="5"/>
      <c r="K147" s="5"/>
      <c r="L147" s="15"/>
    </row>
    <row r="148" spans="1:12" x14ac:dyDescent="0.3">
      <c r="A148" s="126" t="s">
        <v>30</v>
      </c>
      <c r="B148" s="5" t="s">
        <v>358</v>
      </c>
      <c r="C148" s="5" t="str">
        <f>VLOOKUP(woodratio[[#This Row],[From_top]],woodstock[#All],7,FALSE)</f>
        <v>52</v>
      </c>
      <c r="D148" s="5" t="str">
        <f>VLOOKUP(woodratio[[#This Row],[To_top]],woodstock[#All],7,FALSE)</f>
        <v>58</v>
      </c>
      <c r="E148" s="126" t="str">
        <f>woodratio[[#This Row],[From_top]]</f>
        <v>pw-bark</v>
      </c>
      <c r="F148" s="5" t="s">
        <v>357</v>
      </c>
      <c r="G148" s="5" t="str">
        <f>woodratio[[#This Row],[Processnumbersfromtop]]</f>
        <v>52</v>
      </c>
      <c r="H148" s="136" t="str">
        <f>woodflow!M449</f>
        <v>58-59-60-61-62-63-64</v>
      </c>
      <c r="I148" s="142">
        <f>'supporting-percentages'!B56</f>
        <v>0.84210526315789469</v>
      </c>
      <c r="J148" s="126" t="s">
        <v>459</v>
      </c>
      <c r="K148" s="5"/>
      <c r="L148" s="15"/>
    </row>
    <row r="149" spans="1:12" x14ac:dyDescent="0.3">
      <c r="A149" s="126" t="s">
        <v>30</v>
      </c>
      <c r="B149" s="5" t="s">
        <v>398</v>
      </c>
      <c r="C149" s="5" t="str">
        <f>VLOOKUP(woodratio[[#This Row],[From_top]],woodstock[#All],7,FALSE)</f>
        <v>52</v>
      </c>
      <c r="D149" s="5" t="str">
        <f>VLOOKUP(woodratio[[#This Row],[To_top]],woodstock[#All],7,FALSE)</f>
        <v>61</v>
      </c>
      <c r="E149" s="126" t="str">
        <f>woodratio[[#This Row],[From_top]]</f>
        <v>pw-bark</v>
      </c>
      <c r="F149" s="5" t="s">
        <v>357</v>
      </c>
      <c r="G149" s="5" t="str">
        <f>woodratio[[#This Row],[Processnumbersfromtop]]</f>
        <v>52</v>
      </c>
      <c r="H149" s="136" t="str">
        <f>H148</f>
        <v>58-59-60-61-62-63-64</v>
      </c>
      <c r="I149" s="142">
        <f>'supporting-percentages'!B57</f>
        <v>5.2631578947368418E-2</v>
      </c>
      <c r="J149" s="126" t="s">
        <v>459</v>
      </c>
      <c r="K149" s="5"/>
      <c r="L149" s="15"/>
    </row>
    <row r="150" spans="1:12" x14ac:dyDescent="0.3">
      <c r="A150" s="126" t="s">
        <v>30</v>
      </c>
      <c r="B150" s="5" t="s">
        <v>407</v>
      </c>
      <c r="C150" s="5" t="str">
        <f>VLOOKUP(woodratio[[#This Row],[From_top]],woodstock[#All],7,FALSE)</f>
        <v>52</v>
      </c>
      <c r="D150" s="5" t="str">
        <f>VLOOKUP(woodratio[[#This Row],[To_top]],woodstock[#All],7,FALSE)</f>
        <v>62</v>
      </c>
      <c r="E150" s="126" t="str">
        <f>woodratio[[#This Row],[From_top]]</f>
        <v>pw-bark</v>
      </c>
      <c r="F150" s="5" t="s">
        <v>357</v>
      </c>
      <c r="G150" s="5" t="str">
        <f>woodratio[[#This Row],[Processnumbersfromtop]]</f>
        <v>52</v>
      </c>
      <c r="H150" s="136" t="str">
        <f t="shared" ref="H150:H151" si="21">H149</f>
        <v>58-59-60-61-62-63-64</v>
      </c>
      <c r="I150" s="142">
        <f>'supporting-percentages'!B58</f>
        <v>5.2631578947368418E-2</v>
      </c>
      <c r="J150" s="126" t="s">
        <v>459</v>
      </c>
      <c r="K150" s="5"/>
      <c r="L150" s="15"/>
    </row>
    <row r="151" spans="1:12" x14ac:dyDescent="0.3">
      <c r="A151" s="126" t="s">
        <v>30</v>
      </c>
      <c r="B151" s="5" t="s">
        <v>359</v>
      </c>
      <c r="C151" s="5" t="str">
        <f>VLOOKUP(woodratio[[#This Row],[From_top]],woodstock[#All],7,FALSE)</f>
        <v>52</v>
      </c>
      <c r="D151" s="5" t="str">
        <f>VLOOKUP(woodratio[[#This Row],[To_top]],woodstock[#All],7,FALSE)</f>
        <v>63</v>
      </c>
      <c r="E151" s="126" t="str">
        <f>woodratio[[#This Row],[From_top]]</f>
        <v>pw-bark</v>
      </c>
      <c r="F151" s="5" t="s">
        <v>357</v>
      </c>
      <c r="G151" s="5" t="str">
        <f>woodratio[[#This Row],[Processnumbersfromtop]]</f>
        <v>52</v>
      </c>
      <c r="H151" s="136" t="str">
        <f t="shared" si="21"/>
        <v>58-59-60-61-62-63-64</v>
      </c>
      <c r="I151" s="142">
        <f>'supporting-percentages'!B59</f>
        <v>5.2631578947368418E-2</v>
      </c>
      <c r="J151" s="126" t="s">
        <v>459</v>
      </c>
      <c r="K151" s="5"/>
      <c r="L151" s="15"/>
    </row>
    <row r="152" spans="1:12" x14ac:dyDescent="0.3">
      <c r="A152" s="5"/>
      <c r="B152" s="5"/>
      <c r="C152" s="5"/>
      <c r="D152" s="5"/>
      <c r="E152" s="5"/>
      <c r="F152" s="5"/>
      <c r="G152" s="5"/>
      <c r="H152" s="5"/>
      <c r="I152" s="142"/>
      <c r="J152" s="5"/>
      <c r="K152" s="5"/>
      <c r="L152" s="15"/>
    </row>
    <row r="153" spans="1:12" x14ac:dyDescent="0.3">
      <c r="A153" s="5"/>
      <c r="B153" s="5"/>
      <c r="C153" s="5"/>
      <c r="D153" s="5"/>
      <c r="E153" s="5"/>
      <c r="F153" s="5"/>
      <c r="G153" s="5"/>
      <c r="H153" s="5"/>
      <c r="I153" s="142"/>
      <c r="J153" s="5"/>
      <c r="K153" s="5"/>
      <c r="L153" s="15"/>
    </row>
    <row r="154" spans="1:12" x14ac:dyDescent="0.3">
      <c r="A154" s="126" t="s">
        <v>80</v>
      </c>
      <c r="B154" s="5" t="s">
        <v>358</v>
      </c>
      <c r="C154" s="5" t="str">
        <f>VLOOKUP(woodratio[[#This Row],[From_top]],woodstock[#All],7,FALSE)</f>
        <v>53</v>
      </c>
      <c r="D154" s="5" t="str">
        <f>VLOOKUP(woodratio[[#This Row],[To_top]],woodstock[#All],7,FALSE)</f>
        <v>58</v>
      </c>
      <c r="E154" s="126" t="str">
        <f>woodratio[[#This Row],[From_top]]</f>
        <v>pw-pulp-waste</v>
      </c>
      <c r="F154" s="5" t="s">
        <v>357</v>
      </c>
      <c r="G154" s="5" t="str">
        <f>woodratio[[#This Row],[Processnumbersfromtop]]</f>
        <v>53</v>
      </c>
      <c r="H154" s="136" t="str">
        <f>woodflow!M461</f>
        <v>58-59-60-61-62-63-64</v>
      </c>
      <c r="I154" s="142">
        <f>158/206</f>
        <v>0.76699029126213591</v>
      </c>
      <c r="J154" s="74" t="s">
        <v>372</v>
      </c>
      <c r="K154" s="70" t="s">
        <v>444</v>
      </c>
      <c r="L154" s="15"/>
    </row>
    <row r="155" spans="1:12" x14ac:dyDescent="0.3">
      <c r="A155" s="126" t="s">
        <v>80</v>
      </c>
      <c r="B155" s="5" t="s">
        <v>398</v>
      </c>
      <c r="C155" s="5" t="str">
        <f>VLOOKUP(woodratio[[#This Row],[From_top]],woodstock[#All],7,FALSE)</f>
        <v>53</v>
      </c>
      <c r="D155" s="5" t="str">
        <f>VLOOKUP(woodratio[[#This Row],[To_top]],woodstock[#All],7,FALSE)</f>
        <v>61</v>
      </c>
      <c r="E155" s="126" t="str">
        <f>woodratio[[#This Row],[From_top]]</f>
        <v>pw-pulp-waste</v>
      </c>
      <c r="F155" s="5" t="s">
        <v>357</v>
      </c>
      <c r="G155" s="5" t="str">
        <f>woodratio[[#This Row],[Processnumbersfromtop]]</f>
        <v>53</v>
      </c>
      <c r="H155" s="136" t="str">
        <f t="shared" ref="H155" si="22">H154</f>
        <v>58-59-60-61-62-63-64</v>
      </c>
      <c r="I155" s="142">
        <f>24/206</f>
        <v>0.11650485436893204</v>
      </c>
      <c r="J155" s="74" t="s">
        <v>372</v>
      </c>
      <c r="K155" s="70" t="s">
        <v>227</v>
      </c>
      <c r="L155" s="15"/>
    </row>
    <row r="156" spans="1:12" x14ac:dyDescent="0.3">
      <c r="A156" s="126" t="s">
        <v>80</v>
      </c>
      <c r="B156" s="5" t="s">
        <v>359</v>
      </c>
      <c r="C156" s="5" t="str">
        <f>VLOOKUP(woodratio[[#This Row],[From_top]],woodstock[#All],7,FALSE)</f>
        <v>53</v>
      </c>
      <c r="D156" s="5" t="str">
        <f>VLOOKUP(woodratio[[#This Row],[To_top]],woodstock[#All],7,FALSE)</f>
        <v>63</v>
      </c>
      <c r="E156" s="126" t="str">
        <f>woodratio[[#This Row],[From_top]]</f>
        <v>pw-pulp-waste</v>
      </c>
      <c r="F156" s="5" t="s">
        <v>357</v>
      </c>
      <c r="G156" s="5" t="str">
        <f>woodratio[[#This Row],[Processnumbersfromtop]]</f>
        <v>53</v>
      </c>
      <c r="H156" s="136" t="str">
        <f>H155</f>
        <v>58-59-60-61-62-63-64</v>
      </c>
      <c r="I156" s="142">
        <f>24/206</f>
        <v>0.11650485436893204</v>
      </c>
      <c r="J156" s="74" t="s">
        <v>372</v>
      </c>
      <c r="K156" s="70" t="s">
        <v>227</v>
      </c>
      <c r="L156" s="15"/>
    </row>
    <row r="157" spans="1:12" x14ac:dyDescent="0.3">
      <c r="L157" s="15"/>
    </row>
  </sheetData>
  <phoneticPr fontId="1" type="noConversion"/>
  <hyperlinks>
    <hyperlink ref="K64" r:id="rId1" xr:uid="{ABEF3E76-493A-4676-8EFE-C28248525C67}"/>
    <hyperlink ref="K65:K68" r:id="rId2" display="https://europanels.org/the-wood-based-panel-industry/types-of-wood-based-panels-economic-impact/plywood/" xr:uid="{7D7BF0CB-7391-494C-9989-35B7B35032AC}"/>
    <hyperlink ref="K77" r:id="rId3" xr:uid="{F2028453-A141-4DB8-8184-A0B6D043AA74}"/>
    <hyperlink ref="K78:K80" r:id="rId4" display="https://europanels.org/the-wood-based-panel-industry/types-of-wood-based-panels-economic-impact/particleboard/" xr:uid="{9E77FCA4-BFFD-4B06-8FA7-E71272C3D0DB}"/>
    <hyperlink ref="K96" r:id="rId5" xr:uid="{FAA1FFEE-E85B-4ABC-906B-65F061BEA62A}"/>
    <hyperlink ref="K97:K99" r:id="rId6" display="https://europanels.org/the-wood-based-panel-industry/types-of-wood-based-panels-economic-impact/medium-density-fibreboard/" xr:uid="{09609EE5-4FC5-47B6-8A89-E64DBAA25952}"/>
    <hyperlink ref="K90" r:id="rId7" xr:uid="{C45E12DF-F89A-49B5-8351-57C18739D166}"/>
    <hyperlink ref="K91:K94" r:id="rId8" display="https://europanels.org/the-wood-based-panel-industry/types-of-wood-based-panels-economic-impact/hardboard/" xr:uid="{C2D644A1-FB23-4F31-9DB9-BA63047DBD2F}"/>
    <hyperlink ref="K29" r:id="rId9" xr:uid="{0B2EE391-57CD-4B46-A600-D2E3ADB24C55}"/>
    <hyperlink ref="K30:K34" r:id="rId10" display="https://woodforgrowth.eu/facts-figures/" xr:uid="{3429A876-00BB-49BD-A450-DBF45FAD3504}"/>
    <hyperlink ref="K114" r:id="rId11" xr:uid="{566DF840-E7AC-4907-A01E-F339D81FFA87}"/>
    <hyperlink ref="K115" r:id="rId12" xr:uid="{A4D9B159-F233-495B-9021-7B571134CEF4}"/>
    <hyperlink ref="K116" r:id="rId13" xr:uid="{57376674-7795-4D13-ADD3-CF4BC6F55435}"/>
    <hyperlink ref="K117" r:id="rId14" xr:uid="{2157EFCD-9DB2-4447-B4DD-A438160C6B61}"/>
    <hyperlink ref="K156" r:id="rId15" xr:uid="{057044FC-4212-41CA-901E-47AAE23054CA}"/>
    <hyperlink ref="K155" r:id="rId16" xr:uid="{637E5C9E-147A-4EBF-9E39-0E9B9E8A2EF6}"/>
    <hyperlink ref="K154" r:id="rId17" display="https://doi.org/10.1111/jiec.12613" xr:uid="{7E24BB0D-75E5-4EB9-9DBF-53790B8505F7}"/>
    <hyperlink ref="K37" r:id="rId18" xr:uid="{C7DC9677-719B-4C3F-985B-A923B97B71D8}"/>
    <hyperlink ref="K38:K42" r:id="rId19" display="https://woodforgrowth.eu/facts-figures/" xr:uid="{5B1E499B-3531-4E2E-B5DA-7963F14BEAFD}"/>
    <hyperlink ref="K18" r:id="rId20" xr:uid="{7EF5598B-F536-4426-9BA9-FAA7D28E48A3}"/>
    <hyperlink ref="K19" r:id="rId21" xr:uid="{9CAA7F68-3723-4839-BD9D-07FB1E062FC6}"/>
    <hyperlink ref="K20" r:id="rId22" xr:uid="{8AA3612D-8923-4314-9908-99CF82D4DCA2}"/>
    <hyperlink ref="K57" r:id="rId23" xr:uid="{AD9B826B-5AAB-466C-8FA9-BB39A7F22A1F}"/>
    <hyperlink ref="K58" r:id="rId24" xr:uid="{57E0D979-8621-4E21-B543-5FB8DC3B2F26}"/>
    <hyperlink ref="K59" r:id="rId25" xr:uid="{DFD43C6B-A9E6-4BDB-93D0-794E2B9D574B}"/>
    <hyperlink ref="K60" r:id="rId26" xr:uid="{98581752-FA85-44DE-88A9-5D5A461E55AF}"/>
    <hyperlink ref="K61" r:id="rId27" xr:uid="{73C1A9F2-9B18-4BF5-B190-5604CEF02ED1}"/>
    <hyperlink ref="K108" r:id="rId28" xr:uid="{3A38D122-69CA-4F25-9FC6-7C357997FDC1}"/>
    <hyperlink ref="K109" r:id="rId29" xr:uid="{4AAB1E1C-7EFA-41F3-BB81-32CB471CEB51}"/>
    <hyperlink ref="K110" r:id="rId30" xr:uid="{5A5D4C5D-82FA-4FF9-9E79-224029265390}"/>
    <hyperlink ref="K111" r:id="rId31" xr:uid="{BC952F49-049C-4836-A61C-6A81CF9D0F80}"/>
  </hyperlinks>
  <pageMargins left="0.7" right="0.7" top="0.75" bottom="0.75" header="0.3" footer="0.3"/>
  <pageSetup orientation="portrait" horizontalDpi="1200" verticalDpi="1200" r:id="rId32"/>
  <tableParts count="1">
    <tablePart r:id="rId3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5082-045A-439C-822F-D83FC4618CC3}">
  <sheetPr codeName="Sheet9"/>
  <dimension ref="A1:H91"/>
  <sheetViews>
    <sheetView zoomScale="70" zoomScaleNormal="70" workbookViewId="0"/>
  </sheetViews>
  <sheetFormatPr defaultColWidth="8.88671875" defaultRowHeight="14.4" x14ac:dyDescent="0.3"/>
  <cols>
    <col min="1" max="1" width="8.88671875" style="15"/>
    <col min="2" max="2" width="12.6640625" style="15" bestFit="1" customWidth="1"/>
    <col min="3" max="16384" width="8.88671875" style="15"/>
  </cols>
  <sheetData>
    <row r="1" spans="1:8" x14ac:dyDescent="0.3">
      <c r="A1" s="15" t="s">
        <v>4</v>
      </c>
      <c r="B1" s="15" t="s">
        <v>0</v>
      </c>
      <c r="C1" s="15" t="s">
        <v>1</v>
      </c>
      <c r="D1" s="15" t="s">
        <v>2</v>
      </c>
      <c r="E1" s="15" t="s">
        <v>5</v>
      </c>
      <c r="F1" s="15" t="s">
        <v>6</v>
      </c>
      <c r="G1" s="15" t="s">
        <v>7</v>
      </c>
      <c r="H1" s="15" t="s">
        <v>8</v>
      </c>
    </row>
    <row r="2" spans="1:8" x14ac:dyDescent="0.3">
      <c r="A2" s="15" t="s">
        <v>541</v>
      </c>
      <c r="B2" s="15">
        <v>-321.23103891103125</v>
      </c>
      <c r="C2" s="15">
        <v>2021</v>
      </c>
      <c r="D2" s="15" t="s">
        <v>465</v>
      </c>
      <c r="E2" s="15" t="s">
        <v>18</v>
      </c>
      <c r="F2" s="15" t="s">
        <v>269</v>
      </c>
      <c r="G2" s="15" t="s">
        <v>18</v>
      </c>
      <c r="H2" s="15" t="s">
        <v>210</v>
      </c>
    </row>
    <row r="3" spans="1:8" x14ac:dyDescent="0.3">
      <c r="A3" s="15" t="s">
        <v>542</v>
      </c>
      <c r="B3" s="15">
        <v>-6.7548262762500002</v>
      </c>
      <c r="C3" s="15">
        <v>2021</v>
      </c>
      <c r="D3" s="15" t="s">
        <v>465</v>
      </c>
      <c r="E3" s="15" t="s">
        <v>18</v>
      </c>
      <c r="F3" s="15" t="s">
        <v>269</v>
      </c>
      <c r="G3" s="15" t="s">
        <v>269</v>
      </c>
      <c r="H3" s="15" t="s">
        <v>3</v>
      </c>
    </row>
    <row r="4" spans="1:8" x14ac:dyDescent="0.3">
      <c r="A4" s="15" t="s">
        <v>543</v>
      </c>
      <c r="B4" s="15">
        <v>-278.78387497800003</v>
      </c>
      <c r="C4" s="15">
        <v>2021</v>
      </c>
      <c r="D4" s="15" t="s">
        <v>465</v>
      </c>
      <c r="E4" s="15" t="s">
        <v>18</v>
      </c>
      <c r="F4" s="15" t="s">
        <v>18</v>
      </c>
      <c r="G4" s="15" t="s">
        <v>269</v>
      </c>
      <c r="H4" s="15" t="s">
        <v>3</v>
      </c>
    </row>
    <row r="5" spans="1:8" x14ac:dyDescent="0.3">
      <c r="A5" s="15" t="s">
        <v>544</v>
      </c>
      <c r="B5" s="15" t="s">
        <v>3</v>
      </c>
      <c r="C5" s="15">
        <v>2021</v>
      </c>
      <c r="D5" s="15" t="s">
        <v>465</v>
      </c>
      <c r="E5" s="15" t="s">
        <v>18</v>
      </c>
      <c r="F5" s="15" t="s">
        <v>276</v>
      </c>
      <c r="G5" s="15" t="s">
        <v>269</v>
      </c>
      <c r="H5" s="15" t="s">
        <v>3</v>
      </c>
    </row>
    <row r="6" spans="1:8" x14ac:dyDescent="0.3">
      <c r="A6" s="15" t="s">
        <v>545</v>
      </c>
      <c r="B6" s="15">
        <v>0</v>
      </c>
      <c r="C6" s="15">
        <v>2021</v>
      </c>
      <c r="D6" s="15" t="s">
        <v>465</v>
      </c>
      <c r="E6" s="15" t="s">
        <v>18</v>
      </c>
      <c r="F6" s="15" t="s">
        <v>277</v>
      </c>
      <c r="G6" s="15" t="s">
        <v>269</v>
      </c>
      <c r="H6" s="15" t="s">
        <v>3</v>
      </c>
    </row>
    <row r="7" spans="1:8" x14ac:dyDescent="0.3">
      <c r="A7" s="15" t="s">
        <v>211</v>
      </c>
      <c r="B7" s="15">
        <v>0</v>
      </c>
      <c r="C7" s="15">
        <v>2021</v>
      </c>
      <c r="D7" s="15" t="s">
        <v>465</v>
      </c>
      <c r="E7" s="15" t="s">
        <v>18</v>
      </c>
      <c r="F7" s="15" t="s">
        <v>18</v>
      </c>
      <c r="G7" s="15" t="s">
        <v>18</v>
      </c>
      <c r="H7" s="15" t="s">
        <v>338</v>
      </c>
    </row>
    <row r="8" spans="1:8" x14ac:dyDescent="0.3">
      <c r="A8" s="15" t="s">
        <v>61</v>
      </c>
      <c r="B8" s="15">
        <v>0</v>
      </c>
      <c r="C8" s="15">
        <v>2021</v>
      </c>
      <c r="D8" s="15" t="s">
        <v>465</v>
      </c>
      <c r="E8" s="15" t="s">
        <v>18</v>
      </c>
      <c r="F8" s="15" t="s">
        <v>276</v>
      </c>
      <c r="G8" s="15" t="s">
        <v>18</v>
      </c>
      <c r="H8" s="15" t="s">
        <v>334</v>
      </c>
    </row>
    <row r="9" spans="1:8" x14ac:dyDescent="0.3">
      <c r="A9" s="15" t="s">
        <v>265</v>
      </c>
      <c r="B9" s="15">
        <v>0</v>
      </c>
      <c r="C9" s="15">
        <v>2021</v>
      </c>
      <c r="D9" s="15" t="s">
        <v>465</v>
      </c>
      <c r="E9" s="15" t="s">
        <v>18</v>
      </c>
      <c r="F9" s="15" t="s">
        <v>278</v>
      </c>
      <c r="G9" s="15" t="s">
        <v>269</v>
      </c>
      <c r="H9" s="15" t="s">
        <v>3</v>
      </c>
    </row>
    <row r="10" spans="1:8" x14ac:dyDescent="0.3">
      <c r="A10" s="15" t="s">
        <v>266</v>
      </c>
      <c r="B10" s="15">
        <v>0</v>
      </c>
      <c r="C10" s="15">
        <v>2021</v>
      </c>
      <c r="D10" s="15" t="s">
        <v>465</v>
      </c>
      <c r="E10" s="15" t="s">
        <v>18</v>
      </c>
      <c r="F10" s="15" t="s">
        <v>279</v>
      </c>
      <c r="G10" s="15" t="s">
        <v>269</v>
      </c>
      <c r="H10" s="15" t="s">
        <v>3</v>
      </c>
    </row>
    <row r="11" spans="1:8" x14ac:dyDescent="0.3">
      <c r="A11" s="15" t="s">
        <v>350</v>
      </c>
      <c r="B11" s="15">
        <v>0</v>
      </c>
      <c r="C11" s="15">
        <v>2021</v>
      </c>
      <c r="D11" s="15" t="s">
        <v>465</v>
      </c>
      <c r="E11" s="15" t="s">
        <v>18</v>
      </c>
      <c r="F11" s="15" t="s">
        <v>277</v>
      </c>
      <c r="G11" s="15" t="s">
        <v>18</v>
      </c>
      <c r="H11" s="15" t="s">
        <v>352</v>
      </c>
    </row>
    <row r="12" spans="1:8" x14ac:dyDescent="0.3">
      <c r="A12" s="15" t="s">
        <v>351</v>
      </c>
      <c r="B12" s="15">
        <v>0</v>
      </c>
      <c r="C12" s="15">
        <v>2021</v>
      </c>
      <c r="D12" s="15" t="s">
        <v>465</v>
      </c>
      <c r="E12" s="15" t="s">
        <v>18</v>
      </c>
      <c r="F12" s="15" t="s">
        <v>278</v>
      </c>
      <c r="G12" s="15" t="s">
        <v>18</v>
      </c>
      <c r="H12" s="15" t="s">
        <v>353</v>
      </c>
    </row>
    <row r="13" spans="1:8" x14ac:dyDescent="0.3">
      <c r="A13" s="15" t="s">
        <v>62</v>
      </c>
      <c r="B13" s="15">
        <v>0</v>
      </c>
      <c r="C13" s="15">
        <v>2021</v>
      </c>
      <c r="D13" s="15" t="s">
        <v>465</v>
      </c>
      <c r="E13" s="15" t="s">
        <v>18</v>
      </c>
      <c r="F13" s="15" t="s">
        <v>279</v>
      </c>
      <c r="G13" s="15" t="s">
        <v>18</v>
      </c>
      <c r="H13" s="15" t="s">
        <v>335</v>
      </c>
    </row>
    <row r="14" spans="1:8" x14ac:dyDescent="0.3">
      <c r="A14" s="15" t="s">
        <v>267</v>
      </c>
      <c r="B14" s="15">
        <v>0</v>
      </c>
      <c r="C14" s="15">
        <v>2021</v>
      </c>
      <c r="D14" s="15" t="s">
        <v>465</v>
      </c>
      <c r="E14" s="15" t="s">
        <v>18</v>
      </c>
      <c r="F14" s="15" t="s">
        <v>280</v>
      </c>
      <c r="G14" s="15" t="s">
        <v>269</v>
      </c>
      <c r="H14" s="15" t="s">
        <v>3</v>
      </c>
    </row>
    <row r="15" spans="1:8" x14ac:dyDescent="0.3">
      <c r="A15" s="15" t="s">
        <v>268</v>
      </c>
      <c r="B15" s="15">
        <v>0</v>
      </c>
      <c r="C15" s="15">
        <v>2021</v>
      </c>
      <c r="D15" s="15" t="s">
        <v>465</v>
      </c>
      <c r="E15" s="15" t="s">
        <v>18</v>
      </c>
      <c r="F15" s="15" t="s">
        <v>283</v>
      </c>
      <c r="G15" s="15" t="s">
        <v>269</v>
      </c>
      <c r="H15" s="15" t="s">
        <v>3</v>
      </c>
    </row>
    <row r="16" spans="1:8" x14ac:dyDescent="0.3">
      <c r="A16" s="15" t="s">
        <v>63</v>
      </c>
      <c r="B16" s="15">
        <v>0</v>
      </c>
      <c r="C16" s="15">
        <v>2021</v>
      </c>
      <c r="D16" s="15" t="s">
        <v>465</v>
      </c>
      <c r="E16" s="15" t="s">
        <v>18</v>
      </c>
      <c r="F16" s="15" t="s">
        <v>280</v>
      </c>
      <c r="G16" s="15" t="s">
        <v>18</v>
      </c>
      <c r="H16" s="15" t="s">
        <v>336</v>
      </c>
    </row>
    <row r="17" spans="1:8" x14ac:dyDescent="0.3">
      <c r="A17" s="15" t="s">
        <v>270</v>
      </c>
      <c r="B17" s="15">
        <v>0</v>
      </c>
      <c r="C17" s="15">
        <v>2021</v>
      </c>
      <c r="D17" s="15" t="s">
        <v>465</v>
      </c>
      <c r="E17" s="15" t="s">
        <v>18</v>
      </c>
      <c r="F17" s="15" t="s">
        <v>284</v>
      </c>
      <c r="G17" s="15" t="s">
        <v>269</v>
      </c>
      <c r="H17" s="15" t="s">
        <v>3</v>
      </c>
    </row>
    <row r="18" spans="1:8" x14ac:dyDescent="0.3">
      <c r="A18" s="15" t="s">
        <v>271</v>
      </c>
      <c r="B18" s="15">
        <v>0</v>
      </c>
      <c r="C18" s="15">
        <v>2021</v>
      </c>
      <c r="D18" s="15" t="s">
        <v>465</v>
      </c>
      <c r="E18" s="15" t="s">
        <v>18</v>
      </c>
      <c r="F18" s="15" t="s">
        <v>285</v>
      </c>
      <c r="G18" s="15" t="s">
        <v>269</v>
      </c>
      <c r="H18" s="15" t="s">
        <v>3</v>
      </c>
    </row>
    <row r="19" spans="1:8" x14ac:dyDescent="0.3">
      <c r="A19" s="15" t="s">
        <v>64</v>
      </c>
      <c r="B19" s="15">
        <v>0</v>
      </c>
      <c r="C19" s="15">
        <v>2021</v>
      </c>
      <c r="D19" s="15" t="s">
        <v>465</v>
      </c>
      <c r="E19" s="15" t="s">
        <v>18</v>
      </c>
      <c r="F19" s="15" t="s">
        <v>283</v>
      </c>
      <c r="G19" s="15" t="s">
        <v>18</v>
      </c>
      <c r="H19" s="15" t="s">
        <v>337</v>
      </c>
    </row>
    <row r="20" spans="1:8" x14ac:dyDescent="0.3">
      <c r="A20" s="15" t="s">
        <v>272</v>
      </c>
      <c r="B20" s="15">
        <v>0</v>
      </c>
      <c r="C20" s="15">
        <v>2021</v>
      </c>
      <c r="D20" s="15" t="s">
        <v>465</v>
      </c>
      <c r="E20" s="15" t="s">
        <v>18</v>
      </c>
      <c r="F20" s="15" t="s">
        <v>286</v>
      </c>
      <c r="G20" s="15" t="s">
        <v>269</v>
      </c>
      <c r="H20" s="15" t="s">
        <v>3</v>
      </c>
    </row>
    <row r="21" spans="1:8" x14ac:dyDescent="0.3">
      <c r="A21" s="15" t="s">
        <v>273</v>
      </c>
      <c r="B21" s="15">
        <v>0</v>
      </c>
      <c r="C21" s="15">
        <v>2021</v>
      </c>
      <c r="D21" s="15" t="s">
        <v>465</v>
      </c>
      <c r="E21" s="15" t="s">
        <v>18</v>
      </c>
      <c r="F21" s="15" t="s">
        <v>287</v>
      </c>
      <c r="G21" s="15" t="s">
        <v>269</v>
      </c>
      <c r="H21" s="15" t="s">
        <v>3</v>
      </c>
    </row>
    <row r="22" spans="1:8" x14ac:dyDescent="0.3">
      <c r="A22" s="15" t="s">
        <v>212</v>
      </c>
      <c r="B22" s="15">
        <v>0</v>
      </c>
      <c r="C22" s="15">
        <v>2021</v>
      </c>
      <c r="D22" s="15" t="s">
        <v>465</v>
      </c>
      <c r="E22" s="15" t="s">
        <v>18</v>
      </c>
      <c r="F22" s="15" t="s">
        <v>288</v>
      </c>
      <c r="G22" s="15" t="s">
        <v>269</v>
      </c>
      <c r="H22" s="15" t="s">
        <v>3</v>
      </c>
    </row>
    <row r="23" spans="1:8" x14ac:dyDescent="0.3">
      <c r="A23" s="15" t="s">
        <v>66</v>
      </c>
      <c r="B23" s="15">
        <v>0</v>
      </c>
      <c r="C23" s="15">
        <v>2021</v>
      </c>
      <c r="D23" s="15" t="s">
        <v>465</v>
      </c>
      <c r="E23" s="15" t="s">
        <v>18</v>
      </c>
      <c r="F23" s="15" t="s">
        <v>284</v>
      </c>
      <c r="G23" s="15" t="s">
        <v>18</v>
      </c>
      <c r="H23" s="15" t="s">
        <v>236</v>
      </c>
    </row>
    <row r="24" spans="1:8" x14ac:dyDescent="0.3">
      <c r="A24" s="15" t="s">
        <v>55</v>
      </c>
      <c r="B24" s="15">
        <v>0</v>
      </c>
      <c r="C24" s="15">
        <v>2021</v>
      </c>
      <c r="D24" s="15" t="s">
        <v>465</v>
      </c>
      <c r="E24" s="15" t="s">
        <v>18</v>
      </c>
      <c r="F24" s="15" t="s">
        <v>289</v>
      </c>
      <c r="G24" s="15" t="s">
        <v>269</v>
      </c>
      <c r="H24" s="15" t="s">
        <v>3</v>
      </c>
    </row>
    <row r="25" spans="1:8" x14ac:dyDescent="0.3">
      <c r="A25" s="15" t="s">
        <v>179</v>
      </c>
      <c r="B25" s="15">
        <v>0</v>
      </c>
      <c r="C25" s="15">
        <v>2021</v>
      </c>
      <c r="D25" s="15" t="s">
        <v>465</v>
      </c>
      <c r="E25" s="15" t="s">
        <v>18</v>
      </c>
      <c r="F25" s="15" t="s">
        <v>290</v>
      </c>
      <c r="G25" s="15" t="s">
        <v>269</v>
      </c>
      <c r="H25" s="15" t="s">
        <v>3</v>
      </c>
    </row>
    <row r="26" spans="1:8" x14ac:dyDescent="0.3">
      <c r="A26" s="15" t="s">
        <v>65</v>
      </c>
      <c r="B26" s="15">
        <v>0</v>
      </c>
      <c r="C26" s="15">
        <v>2021</v>
      </c>
      <c r="D26" s="15" t="s">
        <v>465</v>
      </c>
      <c r="E26" s="15" t="s">
        <v>18</v>
      </c>
      <c r="F26" s="15" t="s">
        <v>285</v>
      </c>
      <c r="G26" s="15" t="s">
        <v>18</v>
      </c>
      <c r="H26" s="15" t="s">
        <v>341</v>
      </c>
    </row>
    <row r="27" spans="1:8" x14ac:dyDescent="0.3">
      <c r="A27" s="15" t="s">
        <v>53</v>
      </c>
      <c r="B27" s="15">
        <v>0</v>
      </c>
      <c r="C27" s="15">
        <v>2021</v>
      </c>
      <c r="D27" s="15" t="s">
        <v>465</v>
      </c>
      <c r="E27" s="15" t="s">
        <v>18</v>
      </c>
      <c r="F27" s="15" t="s">
        <v>291</v>
      </c>
      <c r="G27" s="15" t="s">
        <v>269</v>
      </c>
      <c r="H27" s="15" t="s">
        <v>3</v>
      </c>
    </row>
    <row r="28" spans="1:8" x14ac:dyDescent="0.3">
      <c r="A28" s="15" t="s">
        <v>54</v>
      </c>
      <c r="B28" s="15">
        <v>0</v>
      </c>
      <c r="C28" s="15">
        <v>2021</v>
      </c>
      <c r="D28" s="15" t="s">
        <v>465</v>
      </c>
      <c r="E28" s="15" t="s">
        <v>18</v>
      </c>
      <c r="F28" s="15" t="s">
        <v>292</v>
      </c>
      <c r="G28" s="15" t="s">
        <v>269</v>
      </c>
      <c r="H28" s="15" t="s">
        <v>3</v>
      </c>
    </row>
    <row r="29" spans="1:8" x14ac:dyDescent="0.3">
      <c r="A29" s="15" t="s">
        <v>47</v>
      </c>
      <c r="B29" s="15">
        <v>0</v>
      </c>
      <c r="C29" s="15">
        <v>2021</v>
      </c>
      <c r="D29" s="15" t="s">
        <v>465</v>
      </c>
      <c r="E29" s="15" t="s">
        <v>18</v>
      </c>
      <c r="F29" s="15" t="s">
        <v>293</v>
      </c>
      <c r="G29" s="15" t="s">
        <v>269</v>
      </c>
      <c r="H29" s="15" t="s">
        <v>3</v>
      </c>
    </row>
    <row r="30" spans="1:8" x14ac:dyDescent="0.3">
      <c r="A30" s="15" t="s">
        <v>48</v>
      </c>
      <c r="B30" s="15">
        <v>0</v>
      </c>
      <c r="C30" s="15">
        <v>2021</v>
      </c>
      <c r="D30" s="15" t="s">
        <v>465</v>
      </c>
      <c r="E30" s="15" t="s">
        <v>18</v>
      </c>
      <c r="F30" s="15" t="s">
        <v>286</v>
      </c>
      <c r="G30" s="15" t="s">
        <v>18</v>
      </c>
      <c r="H30" s="15" t="s">
        <v>362</v>
      </c>
    </row>
    <row r="31" spans="1:8" x14ac:dyDescent="0.3">
      <c r="A31" s="15" t="s">
        <v>274</v>
      </c>
      <c r="B31" s="15">
        <v>0</v>
      </c>
      <c r="C31" s="15">
        <v>2021</v>
      </c>
      <c r="D31" s="15" t="s">
        <v>465</v>
      </c>
      <c r="E31" s="15" t="s">
        <v>18</v>
      </c>
      <c r="F31" s="15" t="s">
        <v>294</v>
      </c>
      <c r="G31" s="15" t="s">
        <v>269</v>
      </c>
      <c r="H31" s="15" t="s">
        <v>3</v>
      </c>
    </row>
    <row r="32" spans="1:8" x14ac:dyDescent="0.3">
      <c r="A32" s="15" t="s">
        <v>275</v>
      </c>
      <c r="B32" s="15">
        <v>0</v>
      </c>
      <c r="C32" s="15">
        <v>2021</v>
      </c>
      <c r="D32" s="15" t="s">
        <v>465</v>
      </c>
      <c r="E32" s="15" t="s">
        <v>18</v>
      </c>
      <c r="F32" s="15" t="s">
        <v>295</v>
      </c>
      <c r="G32" s="15" t="s">
        <v>269</v>
      </c>
      <c r="H32" s="15" t="s">
        <v>3</v>
      </c>
    </row>
    <row r="33" spans="1:8" x14ac:dyDescent="0.3">
      <c r="A33" s="15" t="s">
        <v>49</v>
      </c>
      <c r="B33" s="15">
        <v>0</v>
      </c>
      <c r="C33" s="15">
        <v>2021</v>
      </c>
      <c r="D33" s="15" t="s">
        <v>465</v>
      </c>
      <c r="E33" s="15" t="s">
        <v>18</v>
      </c>
      <c r="F33" s="15" t="s">
        <v>296</v>
      </c>
      <c r="G33" s="15" t="s">
        <v>269</v>
      </c>
      <c r="H33" s="15" t="s">
        <v>3</v>
      </c>
    </row>
    <row r="34" spans="1:8" x14ac:dyDescent="0.3">
      <c r="A34" s="15" t="s">
        <v>52</v>
      </c>
      <c r="B34" s="15">
        <v>0</v>
      </c>
      <c r="C34" s="15">
        <v>2021</v>
      </c>
      <c r="D34" s="15" t="s">
        <v>465</v>
      </c>
      <c r="E34" s="15" t="s">
        <v>18</v>
      </c>
      <c r="F34" s="15" t="s">
        <v>287</v>
      </c>
      <c r="G34" s="15" t="s">
        <v>18</v>
      </c>
      <c r="H34" s="15" t="s">
        <v>363</v>
      </c>
    </row>
    <row r="35" spans="1:8" x14ac:dyDescent="0.3">
      <c r="A35" s="15" t="s">
        <v>44</v>
      </c>
      <c r="B35" s="15">
        <v>0</v>
      </c>
      <c r="C35" s="15">
        <v>2021</v>
      </c>
      <c r="D35" s="15" t="s">
        <v>465</v>
      </c>
      <c r="E35" s="15" t="s">
        <v>18</v>
      </c>
      <c r="F35" s="15" t="s">
        <v>297</v>
      </c>
      <c r="G35" s="15" t="s">
        <v>269</v>
      </c>
      <c r="H35" s="15" t="s">
        <v>3</v>
      </c>
    </row>
    <row r="36" spans="1:8" x14ac:dyDescent="0.3">
      <c r="A36" s="15" t="s">
        <v>45</v>
      </c>
      <c r="B36" s="15">
        <v>0</v>
      </c>
      <c r="C36" s="15">
        <v>2021</v>
      </c>
      <c r="D36" s="15" t="s">
        <v>465</v>
      </c>
      <c r="E36" s="15" t="s">
        <v>18</v>
      </c>
      <c r="F36" s="15" t="s">
        <v>298</v>
      </c>
      <c r="G36" s="15" t="s">
        <v>269</v>
      </c>
      <c r="H36" s="15" t="s">
        <v>3</v>
      </c>
    </row>
    <row r="37" spans="1:8" x14ac:dyDescent="0.3">
      <c r="A37" s="15" t="s">
        <v>76</v>
      </c>
      <c r="B37" s="15">
        <v>0</v>
      </c>
      <c r="C37" s="15">
        <v>2021</v>
      </c>
      <c r="D37" s="15" t="s">
        <v>465</v>
      </c>
      <c r="E37" s="15" t="s">
        <v>18</v>
      </c>
      <c r="F37" s="15" t="s">
        <v>299</v>
      </c>
      <c r="G37" s="15" t="s">
        <v>269</v>
      </c>
      <c r="H37" s="15" t="s">
        <v>3</v>
      </c>
    </row>
    <row r="38" spans="1:8" x14ac:dyDescent="0.3">
      <c r="A38" s="15" t="s">
        <v>281</v>
      </c>
      <c r="B38" s="15">
        <v>0</v>
      </c>
      <c r="C38" s="15">
        <v>2021</v>
      </c>
      <c r="D38" s="15" t="s">
        <v>465</v>
      </c>
      <c r="E38" s="15" t="s">
        <v>18</v>
      </c>
      <c r="F38" s="15" t="s">
        <v>288</v>
      </c>
      <c r="G38" s="15" t="s">
        <v>18</v>
      </c>
      <c r="H38" s="15" t="s">
        <v>364</v>
      </c>
    </row>
    <row r="39" spans="1:8" x14ac:dyDescent="0.3">
      <c r="A39" s="15" t="s">
        <v>180</v>
      </c>
      <c r="B39" s="15">
        <v>0</v>
      </c>
      <c r="C39" s="15">
        <v>2021</v>
      </c>
      <c r="D39" s="15" t="s">
        <v>465</v>
      </c>
      <c r="E39" s="15" t="s">
        <v>18</v>
      </c>
      <c r="F39" s="15" t="s">
        <v>300</v>
      </c>
      <c r="G39" s="15" t="s">
        <v>269</v>
      </c>
      <c r="H39" s="15" t="s">
        <v>3</v>
      </c>
    </row>
    <row r="40" spans="1:8" x14ac:dyDescent="0.3">
      <c r="A40" s="15" t="s">
        <v>209</v>
      </c>
      <c r="B40" s="15">
        <v>0</v>
      </c>
      <c r="C40" s="15">
        <v>2021</v>
      </c>
      <c r="D40" s="15" t="s">
        <v>465</v>
      </c>
      <c r="E40" s="15" t="s">
        <v>18</v>
      </c>
      <c r="F40" s="15" t="s">
        <v>301</v>
      </c>
      <c r="G40" s="15" t="s">
        <v>269</v>
      </c>
      <c r="H40" s="15" t="s">
        <v>3</v>
      </c>
    </row>
    <row r="41" spans="1:8" x14ac:dyDescent="0.3">
      <c r="A41" s="15" t="s">
        <v>75</v>
      </c>
      <c r="B41" s="15">
        <v>0</v>
      </c>
      <c r="C41" s="15">
        <v>2021</v>
      </c>
      <c r="D41" s="15" t="s">
        <v>465</v>
      </c>
      <c r="E41" s="15" t="s">
        <v>18</v>
      </c>
      <c r="F41" s="15" t="s">
        <v>302</v>
      </c>
      <c r="G41" s="15" t="s">
        <v>269</v>
      </c>
      <c r="H41" s="15" t="s">
        <v>3</v>
      </c>
    </row>
    <row r="42" spans="1:8" x14ac:dyDescent="0.3">
      <c r="A42" s="15" t="s">
        <v>42</v>
      </c>
      <c r="B42" s="15">
        <v>0</v>
      </c>
      <c r="C42" s="15">
        <v>2021</v>
      </c>
      <c r="D42" s="15" t="s">
        <v>465</v>
      </c>
      <c r="E42" s="15" t="s">
        <v>18</v>
      </c>
      <c r="F42" s="15" t="s">
        <v>289</v>
      </c>
      <c r="G42" s="15" t="s">
        <v>18</v>
      </c>
      <c r="H42" s="15" t="s">
        <v>365</v>
      </c>
    </row>
    <row r="43" spans="1:8" x14ac:dyDescent="0.3">
      <c r="A43" s="15" t="s">
        <v>70</v>
      </c>
      <c r="B43" s="15">
        <v>0</v>
      </c>
      <c r="C43" s="15">
        <v>2021</v>
      </c>
      <c r="D43" s="15" t="s">
        <v>465</v>
      </c>
      <c r="E43" s="15" t="s">
        <v>18</v>
      </c>
      <c r="F43" s="15" t="s">
        <v>303</v>
      </c>
      <c r="G43" s="15" t="s">
        <v>269</v>
      </c>
      <c r="H43" s="15" t="s">
        <v>3</v>
      </c>
    </row>
    <row r="44" spans="1:8" x14ac:dyDescent="0.3">
      <c r="A44" s="15" t="s">
        <v>71</v>
      </c>
      <c r="B44" s="15">
        <v>0</v>
      </c>
      <c r="C44" s="15">
        <v>2021</v>
      </c>
      <c r="D44" s="15" t="s">
        <v>465</v>
      </c>
      <c r="E44" s="15" t="s">
        <v>18</v>
      </c>
      <c r="F44" s="15" t="s">
        <v>304</v>
      </c>
      <c r="G44" s="15" t="s">
        <v>269</v>
      </c>
      <c r="H44" s="15" t="s">
        <v>3</v>
      </c>
    </row>
    <row r="45" spans="1:8" x14ac:dyDescent="0.3">
      <c r="A45" s="15" t="s">
        <v>72</v>
      </c>
      <c r="B45" s="15">
        <v>0</v>
      </c>
      <c r="C45" s="15">
        <v>2021</v>
      </c>
      <c r="D45" s="15" t="s">
        <v>465</v>
      </c>
      <c r="E45" s="15" t="s">
        <v>18</v>
      </c>
      <c r="F45" s="15" t="s">
        <v>305</v>
      </c>
      <c r="G45" s="15" t="s">
        <v>269</v>
      </c>
      <c r="H45" s="15" t="s">
        <v>3</v>
      </c>
    </row>
    <row r="46" spans="1:8" x14ac:dyDescent="0.3">
      <c r="A46" s="15" t="s">
        <v>77</v>
      </c>
      <c r="B46" s="15">
        <v>0</v>
      </c>
      <c r="C46" s="15">
        <v>2021</v>
      </c>
      <c r="D46" s="15" t="s">
        <v>465</v>
      </c>
      <c r="E46" s="15" t="s">
        <v>18</v>
      </c>
      <c r="F46" s="15" t="s">
        <v>306</v>
      </c>
      <c r="G46" s="15" t="s">
        <v>269</v>
      </c>
      <c r="H46" s="15" t="s">
        <v>3</v>
      </c>
    </row>
    <row r="47" spans="1:8" x14ac:dyDescent="0.3">
      <c r="A47" s="15" t="s">
        <v>43</v>
      </c>
      <c r="B47" s="15">
        <v>-5.0953096040000005</v>
      </c>
      <c r="C47" s="15">
        <v>2021</v>
      </c>
      <c r="D47" s="15" t="s">
        <v>465</v>
      </c>
      <c r="E47" s="15" t="s">
        <v>18</v>
      </c>
      <c r="F47" s="15" t="s">
        <v>307</v>
      </c>
      <c r="G47" s="15" t="s">
        <v>269</v>
      </c>
      <c r="H47" s="15" t="s">
        <v>3</v>
      </c>
    </row>
    <row r="48" spans="1:8" x14ac:dyDescent="0.3">
      <c r="A48" s="15" t="s">
        <v>50</v>
      </c>
      <c r="B48" s="15">
        <v>0</v>
      </c>
      <c r="C48" s="15">
        <v>2021</v>
      </c>
      <c r="D48" s="15" t="s">
        <v>465</v>
      </c>
      <c r="E48" s="15" t="s">
        <v>18</v>
      </c>
      <c r="F48" s="15" t="s">
        <v>290</v>
      </c>
      <c r="G48" s="15" t="s">
        <v>18</v>
      </c>
      <c r="H48" s="15" t="s">
        <v>366</v>
      </c>
    </row>
    <row r="49" spans="1:8" x14ac:dyDescent="0.3">
      <c r="A49" s="15" t="s">
        <v>78</v>
      </c>
      <c r="B49" s="15">
        <v>0</v>
      </c>
      <c r="C49" s="15">
        <v>2021</v>
      </c>
      <c r="D49" s="15" t="s">
        <v>465</v>
      </c>
      <c r="E49" s="15" t="s">
        <v>18</v>
      </c>
      <c r="F49" s="15" t="s">
        <v>308</v>
      </c>
      <c r="G49" s="15" t="s">
        <v>269</v>
      </c>
      <c r="H49" s="15" t="s">
        <v>3</v>
      </c>
    </row>
    <row r="50" spans="1:8" x14ac:dyDescent="0.3">
      <c r="A50" s="15" t="s">
        <v>79</v>
      </c>
      <c r="B50" s="15">
        <v>0</v>
      </c>
      <c r="C50" s="15">
        <v>2021</v>
      </c>
      <c r="D50" s="15" t="s">
        <v>465</v>
      </c>
      <c r="E50" s="15" t="s">
        <v>18</v>
      </c>
      <c r="F50" s="15" t="s">
        <v>309</v>
      </c>
      <c r="G50" s="15" t="s">
        <v>269</v>
      </c>
      <c r="H50" s="15" t="s">
        <v>3</v>
      </c>
    </row>
    <row r="51" spans="1:8" x14ac:dyDescent="0.3">
      <c r="A51" s="15" t="s">
        <v>67</v>
      </c>
      <c r="B51" s="15">
        <v>0</v>
      </c>
      <c r="C51" s="15">
        <v>2021</v>
      </c>
      <c r="D51" s="15" t="s">
        <v>465</v>
      </c>
      <c r="E51" s="15" t="s">
        <v>18</v>
      </c>
      <c r="F51" s="15" t="s">
        <v>310</v>
      </c>
      <c r="G51" s="15" t="s">
        <v>269</v>
      </c>
      <c r="H51" s="15" t="s">
        <v>3</v>
      </c>
    </row>
    <row r="52" spans="1:8" x14ac:dyDescent="0.3">
      <c r="A52" s="15" t="s">
        <v>68</v>
      </c>
      <c r="B52" s="15">
        <v>0</v>
      </c>
      <c r="C52" s="15">
        <v>2021</v>
      </c>
      <c r="D52" s="15" t="s">
        <v>465</v>
      </c>
      <c r="E52" s="15" t="s">
        <v>18</v>
      </c>
      <c r="F52" s="15" t="s">
        <v>311</v>
      </c>
      <c r="G52" s="15" t="s">
        <v>269</v>
      </c>
      <c r="H52" s="15" t="s">
        <v>3</v>
      </c>
    </row>
    <row r="53" spans="1:8" x14ac:dyDescent="0.3">
      <c r="A53" s="15" t="s">
        <v>69</v>
      </c>
      <c r="B53" s="15">
        <v>0</v>
      </c>
      <c r="C53" s="15">
        <v>2021</v>
      </c>
      <c r="D53" s="15" t="s">
        <v>465</v>
      </c>
      <c r="E53" s="15" t="s">
        <v>18</v>
      </c>
      <c r="F53" s="15" t="s">
        <v>312</v>
      </c>
      <c r="G53" s="15" t="s">
        <v>269</v>
      </c>
      <c r="H53" s="15" t="s">
        <v>3</v>
      </c>
    </row>
    <row r="54" spans="1:8" x14ac:dyDescent="0.3">
      <c r="A54" s="15" t="s">
        <v>51</v>
      </c>
      <c r="B54" s="15">
        <v>0</v>
      </c>
      <c r="C54" s="15">
        <v>2021</v>
      </c>
      <c r="D54" s="15" t="s">
        <v>465</v>
      </c>
      <c r="E54" s="15" t="s">
        <v>18</v>
      </c>
      <c r="F54" s="15" t="s">
        <v>291</v>
      </c>
      <c r="G54" s="15" t="s">
        <v>18</v>
      </c>
      <c r="H54" s="15" t="s">
        <v>367</v>
      </c>
    </row>
    <row r="55" spans="1:8" x14ac:dyDescent="0.3">
      <c r="A55" s="15" t="s">
        <v>36</v>
      </c>
      <c r="B55" s="15">
        <v>0</v>
      </c>
      <c r="C55" s="15">
        <v>2021</v>
      </c>
      <c r="D55" s="15" t="s">
        <v>465</v>
      </c>
      <c r="E55" s="15" t="s">
        <v>18</v>
      </c>
      <c r="F55" s="15" t="s">
        <v>313</v>
      </c>
      <c r="G55" s="15" t="s">
        <v>269</v>
      </c>
      <c r="H55" s="15" t="s">
        <v>3</v>
      </c>
    </row>
    <row r="56" spans="1:8" x14ac:dyDescent="0.3">
      <c r="A56" s="15" t="s">
        <v>37</v>
      </c>
      <c r="B56" s="15">
        <v>0</v>
      </c>
      <c r="C56" s="15">
        <v>2021</v>
      </c>
      <c r="D56" s="15" t="s">
        <v>465</v>
      </c>
      <c r="E56" s="15" t="s">
        <v>18</v>
      </c>
      <c r="F56" s="15" t="s">
        <v>314</v>
      </c>
      <c r="G56" s="15" t="s">
        <v>269</v>
      </c>
      <c r="H56" s="15" t="s">
        <v>3</v>
      </c>
    </row>
    <row r="57" spans="1:8" x14ac:dyDescent="0.3">
      <c r="A57" s="15" t="s">
        <v>282</v>
      </c>
      <c r="B57" s="15">
        <v>0</v>
      </c>
      <c r="C57" s="15">
        <v>2021</v>
      </c>
      <c r="D57" s="15" t="s">
        <v>465</v>
      </c>
      <c r="E57" s="15" t="s">
        <v>18</v>
      </c>
      <c r="F57" s="15" t="s">
        <v>292</v>
      </c>
      <c r="G57" s="15" t="s">
        <v>18</v>
      </c>
      <c r="H57" s="15" t="s">
        <v>370</v>
      </c>
    </row>
    <row r="58" spans="1:8" x14ac:dyDescent="0.3">
      <c r="A58" s="15" t="s">
        <v>39</v>
      </c>
      <c r="B58" s="15">
        <v>0</v>
      </c>
      <c r="C58" s="15">
        <v>2021</v>
      </c>
      <c r="D58" s="15" t="s">
        <v>465</v>
      </c>
      <c r="E58" s="15" t="s">
        <v>18</v>
      </c>
      <c r="F58" s="15" t="s">
        <v>315</v>
      </c>
      <c r="G58" s="15" t="s">
        <v>269</v>
      </c>
      <c r="H58" s="15" t="s">
        <v>3</v>
      </c>
    </row>
    <row r="59" spans="1:8" x14ac:dyDescent="0.3">
      <c r="A59" s="15" t="s">
        <v>40</v>
      </c>
      <c r="B59" s="15">
        <v>0</v>
      </c>
      <c r="C59" s="15">
        <v>2021</v>
      </c>
      <c r="D59" s="15" t="s">
        <v>465</v>
      </c>
      <c r="E59" s="15" t="s">
        <v>18</v>
      </c>
      <c r="F59" s="15" t="s">
        <v>316</v>
      </c>
      <c r="G59" s="15" t="s">
        <v>269</v>
      </c>
      <c r="H59" s="15" t="s">
        <v>3</v>
      </c>
    </row>
    <row r="60" spans="1:8" x14ac:dyDescent="0.3">
      <c r="A60" s="15" t="s">
        <v>41</v>
      </c>
      <c r="B60" s="15">
        <v>0</v>
      </c>
      <c r="C60" s="15">
        <v>2021</v>
      </c>
      <c r="D60" s="15" t="s">
        <v>465</v>
      </c>
      <c r="E60" s="15" t="s">
        <v>18</v>
      </c>
      <c r="F60" s="15" t="s">
        <v>317</v>
      </c>
      <c r="G60" s="15" t="s">
        <v>269</v>
      </c>
      <c r="H60" s="15" t="s">
        <v>3</v>
      </c>
    </row>
    <row r="61" spans="1:8" x14ac:dyDescent="0.3">
      <c r="A61" s="15" t="s">
        <v>38</v>
      </c>
      <c r="B61" s="15">
        <v>0</v>
      </c>
      <c r="C61" s="15">
        <v>2021</v>
      </c>
      <c r="D61" s="15" t="s">
        <v>465</v>
      </c>
      <c r="E61" s="15" t="s">
        <v>18</v>
      </c>
      <c r="F61" s="15" t="s">
        <v>318</v>
      </c>
      <c r="G61" s="15" t="s">
        <v>269</v>
      </c>
      <c r="H61" s="15" t="s">
        <v>3</v>
      </c>
    </row>
    <row r="62" spans="1:8" x14ac:dyDescent="0.3">
      <c r="A62" s="15" t="s">
        <v>59</v>
      </c>
      <c r="B62" s="15" t="s">
        <v>3</v>
      </c>
      <c r="C62" s="15">
        <v>2021</v>
      </c>
      <c r="D62" s="15" t="s">
        <v>465</v>
      </c>
      <c r="E62" s="15" t="s">
        <v>18</v>
      </c>
      <c r="F62" s="15" t="s">
        <v>293</v>
      </c>
      <c r="G62" s="15" t="s">
        <v>18</v>
      </c>
      <c r="H62" s="15" t="s">
        <v>368</v>
      </c>
    </row>
    <row r="63" spans="1:8" x14ac:dyDescent="0.3">
      <c r="A63" s="15" t="s">
        <v>409</v>
      </c>
      <c r="B63" s="15" t="s">
        <v>3</v>
      </c>
      <c r="C63" s="15">
        <v>2021</v>
      </c>
      <c r="D63" s="15" t="s">
        <v>465</v>
      </c>
      <c r="E63" s="15" t="s">
        <v>18</v>
      </c>
      <c r="F63" s="15" t="s">
        <v>319</v>
      </c>
      <c r="G63" s="15" t="s">
        <v>269</v>
      </c>
      <c r="H63" s="15" t="s">
        <v>3</v>
      </c>
    </row>
    <row r="64" spans="1:8" x14ac:dyDescent="0.3">
      <c r="A64" s="15" t="s">
        <v>31</v>
      </c>
      <c r="B64" s="15">
        <v>1.0596006202049999</v>
      </c>
      <c r="C64" s="15">
        <v>2021</v>
      </c>
      <c r="D64" s="15" t="s">
        <v>465</v>
      </c>
      <c r="E64" s="15" t="s">
        <v>18</v>
      </c>
      <c r="F64" s="15" t="s">
        <v>320</v>
      </c>
      <c r="G64" s="15" t="s">
        <v>269</v>
      </c>
      <c r="H64" s="15" t="s">
        <v>3</v>
      </c>
    </row>
    <row r="65" spans="1:8" x14ac:dyDescent="0.3">
      <c r="A65" s="15" t="s">
        <v>32</v>
      </c>
      <c r="B65" s="15" t="s">
        <v>3</v>
      </c>
      <c r="C65" s="15">
        <v>2021</v>
      </c>
      <c r="D65" s="15" t="s">
        <v>465</v>
      </c>
      <c r="E65" s="15" t="s">
        <v>18</v>
      </c>
      <c r="F65" s="15" t="s">
        <v>321</v>
      </c>
      <c r="G65" s="15" t="s">
        <v>269</v>
      </c>
      <c r="H65" s="15" t="s">
        <v>3</v>
      </c>
    </row>
    <row r="66" spans="1:8" x14ac:dyDescent="0.3">
      <c r="A66" s="15" t="s">
        <v>33</v>
      </c>
      <c r="B66" s="15" t="s">
        <v>3</v>
      </c>
      <c r="C66" s="15">
        <v>2021</v>
      </c>
      <c r="D66" s="15" t="s">
        <v>465</v>
      </c>
      <c r="E66" s="15" t="s">
        <v>18</v>
      </c>
      <c r="F66" s="15" t="s">
        <v>322</v>
      </c>
      <c r="G66" s="15" t="s">
        <v>269</v>
      </c>
      <c r="H66" s="15" t="s">
        <v>3</v>
      </c>
    </row>
    <row r="67" spans="1:8" x14ac:dyDescent="0.3">
      <c r="A67" s="15" t="s">
        <v>34</v>
      </c>
      <c r="B67" s="15" t="s">
        <v>3</v>
      </c>
      <c r="C67" s="15">
        <v>2021</v>
      </c>
      <c r="D67" s="15" t="s">
        <v>465</v>
      </c>
      <c r="E67" s="15" t="s">
        <v>18</v>
      </c>
      <c r="F67" s="15" t="s">
        <v>323</v>
      </c>
      <c r="G67" s="15" t="s">
        <v>269</v>
      </c>
      <c r="H67" s="15" t="s">
        <v>3</v>
      </c>
    </row>
    <row r="68" spans="1:8" x14ac:dyDescent="0.3">
      <c r="A68" s="15" t="s">
        <v>35</v>
      </c>
      <c r="B68" s="15" t="s">
        <v>3</v>
      </c>
      <c r="C68" s="15">
        <v>2021</v>
      </c>
      <c r="D68" s="15" t="s">
        <v>465</v>
      </c>
      <c r="E68" s="15" t="s">
        <v>18</v>
      </c>
      <c r="F68" s="15" t="s">
        <v>324</v>
      </c>
      <c r="G68" s="15" t="s">
        <v>269</v>
      </c>
      <c r="H68" s="15" t="s">
        <v>3</v>
      </c>
    </row>
    <row r="69" spans="1:8" x14ac:dyDescent="0.3">
      <c r="A69" s="15" t="s">
        <v>57</v>
      </c>
      <c r="B69" s="15" t="s">
        <v>3</v>
      </c>
      <c r="C69" s="15">
        <v>2021</v>
      </c>
      <c r="D69" s="15" t="s">
        <v>465</v>
      </c>
      <c r="E69" s="15" t="s">
        <v>18</v>
      </c>
      <c r="F69" s="15" t="s">
        <v>325</v>
      </c>
      <c r="G69" s="15" t="s">
        <v>269</v>
      </c>
      <c r="H69" s="15" t="s">
        <v>3</v>
      </c>
    </row>
    <row r="70" spans="1:8" x14ac:dyDescent="0.3">
      <c r="A70" s="15" t="s">
        <v>58</v>
      </c>
      <c r="B70" s="15" t="s">
        <v>3</v>
      </c>
      <c r="C70" s="15">
        <v>2021</v>
      </c>
      <c r="D70" s="15" t="s">
        <v>465</v>
      </c>
      <c r="E70" s="15" t="s">
        <v>18</v>
      </c>
      <c r="F70" s="15" t="s">
        <v>294</v>
      </c>
      <c r="G70" s="15" t="s">
        <v>18</v>
      </c>
      <c r="H70" s="15" t="s">
        <v>369</v>
      </c>
    </row>
    <row r="71" spans="1:8" x14ac:dyDescent="0.3">
      <c r="A71" s="15" t="s">
        <v>29</v>
      </c>
      <c r="B71" s="15">
        <v>0</v>
      </c>
      <c r="C71" s="15" t="s">
        <v>19</v>
      </c>
      <c r="D71" s="15" t="s">
        <v>465</v>
      </c>
      <c r="E71" s="15" t="s">
        <v>18</v>
      </c>
      <c r="F71" s="15" t="s">
        <v>326</v>
      </c>
      <c r="G71" s="15" t="s">
        <v>269</v>
      </c>
      <c r="H71" s="15" t="s">
        <v>3</v>
      </c>
    </row>
    <row r="72" spans="1:8" x14ac:dyDescent="0.3">
      <c r="A72" s="15" t="s">
        <v>73</v>
      </c>
      <c r="B72" s="15">
        <v>0</v>
      </c>
      <c r="C72" s="15" t="s">
        <v>19</v>
      </c>
      <c r="D72" s="15" t="s">
        <v>465</v>
      </c>
      <c r="E72" s="15" t="s">
        <v>18</v>
      </c>
      <c r="F72" s="15" t="s">
        <v>327</v>
      </c>
      <c r="G72" s="15" t="s">
        <v>269</v>
      </c>
      <c r="H72" s="15" t="s">
        <v>3</v>
      </c>
    </row>
    <row r="73" spans="1:8" x14ac:dyDescent="0.3">
      <c r="A73" s="15" t="s">
        <v>30</v>
      </c>
      <c r="B73" s="15">
        <v>0</v>
      </c>
      <c r="C73" s="15" t="s">
        <v>19</v>
      </c>
      <c r="D73" s="15" t="s">
        <v>465</v>
      </c>
      <c r="E73" s="15" t="s">
        <v>18</v>
      </c>
      <c r="F73" s="15" t="s">
        <v>328</v>
      </c>
      <c r="G73" s="15" t="s">
        <v>269</v>
      </c>
      <c r="H73" s="15" t="s">
        <v>3</v>
      </c>
    </row>
    <row r="74" spans="1:8" x14ac:dyDescent="0.3">
      <c r="A74" s="15" t="s">
        <v>80</v>
      </c>
      <c r="B74" s="15">
        <v>0</v>
      </c>
      <c r="C74" s="15" t="s">
        <v>19</v>
      </c>
      <c r="D74" s="15" t="s">
        <v>465</v>
      </c>
      <c r="E74" s="15" t="s">
        <v>18</v>
      </c>
      <c r="F74" s="15" t="s">
        <v>329</v>
      </c>
      <c r="G74" s="15" t="s">
        <v>269</v>
      </c>
      <c r="H74" s="15" t="s">
        <v>3</v>
      </c>
    </row>
    <row r="75" spans="1:8" x14ac:dyDescent="0.3">
      <c r="A75" s="15" t="s">
        <v>242</v>
      </c>
      <c r="B75" s="15">
        <v>0</v>
      </c>
      <c r="C75" s="15">
        <v>2021</v>
      </c>
      <c r="D75" s="15" t="s">
        <v>465</v>
      </c>
      <c r="E75" s="15" t="s">
        <v>18</v>
      </c>
      <c r="F75" s="15" t="s">
        <v>330</v>
      </c>
      <c r="G75" s="15" t="s">
        <v>269</v>
      </c>
      <c r="H75" s="15" t="s">
        <v>3</v>
      </c>
    </row>
    <row r="76" spans="1:8" x14ac:dyDescent="0.3">
      <c r="A76" s="15" t="s">
        <v>74</v>
      </c>
      <c r="B76" s="15" t="s">
        <v>3</v>
      </c>
      <c r="C76" s="15" t="s">
        <v>19</v>
      </c>
      <c r="D76" s="15" t="s">
        <v>465</v>
      </c>
      <c r="E76" s="15" t="s">
        <v>18</v>
      </c>
      <c r="F76" s="15" t="s">
        <v>331</v>
      </c>
      <c r="G76" s="15" t="s">
        <v>269</v>
      </c>
      <c r="H76" s="15" t="s">
        <v>3</v>
      </c>
    </row>
    <row r="77" spans="1:8" x14ac:dyDescent="0.3">
      <c r="A77" s="15" t="s">
        <v>60</v>
      </c>
      <c r="B77" s="15">
        <v>0</v>
      </c>
      <c r="C77" s="15">
        <v>2021</v>
      </c>
      <c r="D77" s="15" t="s">
        <v>465</v>
      </c>
      <c r="E77" s="15" t="s">
        <v>18</v>
      </c>
      <c r="F77" s="15" t="s">
        <v>295</v>
      </c>
      <c r="G77" s="15" t="s">
        <v>18</v>
      </c>
      <c r="H77" s="15" t="s">
        <v>381</v>
      </c>
    </row>
    <row r="78" spans="1:8" x14ac:dyDescent="0.3">
      <c r="A78" s="15" t="s">
        <v>378</v>
      </c>
      <c r="B78" s="15">
        <v>0</v>
      </c>
      <c r="C78" s="15">
        <v>2021</v>
      </c>
      <c r="D78" s="15" t="s">
        <v>465</v>
      </c>
      <c r="E78" s="15">
        <v>1</v>
      </c>
      <c r="F78" s="15" t="s">
        <v>332</v>
      </c>
      <c r="G78" s="15" t="s">
        <v>269</v>
      </c>
      <c r="H78" s="15" t="s">
        <v>3</v>
      </c>
    </row>
    <row r="79" spans="1:8" x14ac:dyDescent="0.3">
      <c r="A79" s="15" t="s">
        <v>379</v>
      </c>
      <c r="B79" s="15">
        <v>0</v>
      </c>
      <c r="C79" s="15">
        <v>2021</v>
      </c>
      <c r="D79" s="15" t="s">
        <v>465</v>
      </c>
      <c r="E79" s="15">
        <v>1</v>
      </c>
      <c r="F79" s="15" t="s">
        <v>333</v>
      </c>
      <c r="G79" s="15" t="s">
        <v>269</v>
      </c>
      <c r="H79" s="15" t="s">
        <v>3</v>
      </c>
    </row>
    <row r="80" spans="1:8" x14ac:dyDescent="0.3">
      <c r="A80" s="15" t="s">
        <v>357</v>
      </c>
      <c r="B80" s="15" t="s">
        <v>3</v>
      </c>
      <c r="C80" s="15">
        <v>2021</v>
      </c>
      <c r="D80" s="15" t="s">
        <v>465</v>
      </c>
      <c r="E80" s="15" t="s">
        <v>18</v>
      </c>
      <c r="F80" s="15" t="s">
        <v>296</v>
      </c>
      <c r="G80" s="15" t="s">
        <v>18</v>
      </c>
      <c r="H80" s="15" t="s">
        <v>406</v>
      </c>
    </row>
    <row r="81" spans="1:8" x14ac:dyDescent="0.3">
      <c r="A81" s="15" t="s">
        <v>399</v>
      </c>
      <c r="B81" s="15" t="s">
        <v>3</v>
      </c>
      <c r="C81" s="15">
        <v>2021</v>
      </c>
      <c r="D81" s="15" t="s">
        <v>465</v>
      </c>
      <c r="E81" s="15" t="s">
        <v>18</v>
      </c>
      <c r="F81" s="15" t="s">
        <v>297</v>
      </c>
      <c r="G81" s="15" t="s">
        <v>18</v>
      </c>
      <c r="H81" s="15" t="s">
        <v>405</v>
      </c>
    </row>
    <row r="82" spans="1:8" x14ac:dyDescent="0.3">
      <c r="A82" s="15" t="s">
        <v>358</v>
      </c>
      <c r="B82" s="15">
        <v>0</v>
      </c>
      <c r="C82" s="15">
        <v>2021</v>
      </c>
      <c r="D82" s="15" t="s">
        <v>465</v>
      </c>
      <c r="E82" s="15" t="s">
        <v>18</v>
      </c>
      <c r="F82" s="15" t="s">
        <v>339</v>
      </c>
      <c r="G82" s="15" t="s">
        <v>269</v>
      </c>
      <c r="H82" s="15" t="s">
        <v>3</v>
      </c>
    </row>
    <row r="83" spans="1:8" x14ac:dyDescent="0.3">
      <c r="A83" s="15" t="s">
        <v>539</v>
      </c>
      <c r="B83" s="15">
        <v>0</v>
      </c>
      <c r="C83" s="15">
        <v>2021</v>
      </c>
      <c r="D83" s="15" t="s">
        <v>465</v>
      </c>
      <c r="E83" s="15" t="s">
        <v>18</v>
      </c>
      <c r="F83" s="15" t="s">
        <v>340</v>
      </c>
      <c r="G83" s="15" t="s">
        <v>269</v>
      </c>
      <c r="H83" s="15" t="s">
        <v>3</v>
      </c>
    </row>
    <row r="84" spans="1:8" x14ac:dyDescent="0.3">
      <c r="A84" s="15" t="s">
        <v>540</v>
      </c>
      <c r="B84" s="15">
        <v>0</v>
      </c>
      <c r="C84" s="15">
        <v>2021</v>
      </c>
      <c r="D84" s="15" t="s">
        <v>465</v>
      </c>
      <c r="E84" s="15" t="s">
        <v>18</v>
      </c>
      <c r="F84" s="15" t="s">
        <v>344</v>
      </c>
      <c r="G84" s="15" t="s">
        <v>269</v>
      </c>
      <c r="H84" s="15" t="s">
        <v>3</v>
      </c>
    </row>
    <row r="85" spans="1:8" x14ac:dyDescent="0.3">
      <c r="A85" s="15" t="s">
        <v>398</v>
      </c>
      <c r="B85" s="15" t="s">
        <v>3</v>
      </c>
      <c r="C85" s="15">
        <v>2021</v>
      </c>
      <c r="D85" s="15" t="s">
        <v>465</v>
      </c>
      <c r="E85" s="15" t="s">
        <v>18</v>
      </c>
      <c r="F85" s="15" t="s">
        <v>345</v>
      </c>
      <c r="G85" s="15" t="s">
        <v>269</v>
      </c>
      <c r="H85" s="15" t="s">
        <v>3</v>
      </c>
    </row>
    <row r="86" spans="1:8" x14ac:dyDescent="0.3">
      <c r="A86" s="15" t="s">
        <v>404</v>
      </c>
      <c r="B86" s="15" t="s">
        <v>3</v>
      </c>
      <c r="C86" s="15">
        <v>2021</v>
      </c>
      <c r="D86" s="15" t="s">
        <v>465</v>
      </c>
      <c r="E86" s="15" t="s">
        <v>18</v>
      </c>
      <c r="F86" s="15" t="s">
        <v>298</v>
      </c>
      <c r="G86" s="15" t="s">
        <v>18</v>
      </c>
      <c r="H86" s="15" t="s">
        <v>408</v>
      </c>
    </row>
    <row r="87" spans="1:8" x14ac:dyDescent="0.3">
      <c r="A87" s="15" t="s">
        <v>407</v>
      </c>
      <c r="B87" s="15" t="s">
        <v>3</v>
      </c>
      <c r="C87" s="15">
        <v>2021</v>
      </c>
      <c r="D87" s="15" t="s">
        <v>465</v>
      </c>
      <c r="E87" s="15" t="s">
        <v>18</v>
      </c>
      <c r="F87" s="15" t="s">
        <v>356</v>
      </c>
      <c r="G87" s="15" t="s">
        <v>269</v>
      </c>
      <c r="H87" s="15" t="s">
        <v>3</v>
      </c>
    </row>
    <row r="88" spans="1:8" x14ac:dyDescent="0.3">
      <c r="A88" s="15" t="s">
        <v>359</v>
      </c>
      <c r="B88" s="15" t="s">
        <v>3</v>
      </c>
      <c r="C88" s="15">
        <v>2021</v>
      </c>
      <c r="D88" s="15" t="s">
        <v>465</v>
      </c>
      <c r="E88" s="15" t="s">
        <v>18</v>
      </c>
      <c r="F88" s="15" t="s">
        <v>360</v>
      </c>
      <c r="G88" s="15" t="s">
        <v>269</v>
      </c>
      <c r="H88" s="15" t="s">
        <v>3</v>
      </c>
    </row>
    <row r="89" spans="1:8" x14ac:dyDescent="0.3">
      <c r="A89" s="15" t="s">
        <v>380</v>
      </c>
      <c r="B89" s="15" t="s">
        <v>3</v>
      </c>
      <c r="C89" s="15">
        <v>2021</v>
      </c>
      <c r="D89" s="15" t="s">
        <v>465</v>
      </c>
      <c r="E89" s="15" t="s">
        <v>18</v>
      </c>
      <c r="F89" s="15" t="s">
        <v>361</v>
      </c>
      <c r="G89" s="15" t="s">
        <v>269</v>
      </c>
      <c r="H89" s="15" t="s">
        <v>3</v>
      </c>
    </row>
    <row r="90" spans="1:8" x14ac:dyDescent="0.3">
      <c r="A90" s="15" t="s">
        <v>342</v>
      </c>
      <c r="B90" s="15" t="s">
        <v>3</v>
      </c>
      <c r="C90" s="15">
        <v>2021</v>
      </c>
      <c r="D90" s="15" t="s">
        <v>465</v>
      </c>
      <c r="E90" s="15" t="s">
        <v>18</v>
      </c>
      <c r="F90" s="15" t="s">
        <v>371</v>
      </c>
      <c r="G90" s="15" t="s">
        <v>269</v>
      </c>
      <c r="H90" s="15" t="s">
        <v>3</v>
      </c>
    </row>
    <row r="91" spans="1:8" x14ac:dyDescent="0.3">
      <c r="A91" s="15" t="s">
        <v>343</v>
      </c>
      <c r="B91" s="15" t="s">
        <v>3</v>
      </c>
      <c r="C91" s="15">
        <v>2021</v>
      </c>
      <c r="D91" s="15" t="s">
        <v>465</v>
      </c>
      <c r="E91" s="15" t="s">
        <v>18</v>
      </c>
      <c r="F91" s="15" t="s">
        <v>375</v>
      </c>
      <c r="G91" s="15" t="s">
        <v>269</v>
      </c>
      <c r="H91" s="15" t="s">
        <v>3</v>
      </c>
    </row>
  </sheetData>
  <autoFilter ref="A1:B24" xr:uid="{9BAF5082-045A-439C-822F-D83FC4618CC3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49B5-7B2A-49B9-BB30-1BDC8440F825}">
  <sheetPr codeName="Sheet10"/>
  <dimension ref="A1:H18"/>
  <sheetViews>
    <sheetView zoomScale="70" zoomScaleNormal="70" workbookViewId="0"/>
  </sheetViews>
  <sheetFormatPr defaultColWidth="9.109375" defaultRowHeight="14.4" x14ac:dyDescent="0.3"/>
  <cols>
    <col min="1" max="1" width="22" style="15" customWidth="1"/>
    <col min="2" max="16384" width="9.109375" style="15"/>
  </cols>
  <sheetData>
    <row r="1" spans="1:8" x14ac:dyDescent="0.3">
      <c r="A1" s="15" t="s">
        <v>4</v>
      </c>
      <c r="B1" s="15" t="s">
        <v>0</v>
      </c>
      <c r="C1" s="15" t="s">
        <v>1</v>
      </c>
      <c r="D1" s="15" t="s">
        <v>2</v>
      </c>
      <c r="E1" s="15" t="s">
        <v>5</v>
      </c>
      <c r="F1" s="15" t="s">
        <v>6</v>
      </c>
      <c r="G1" s="15" t="s">
        <v>7</v>
      </c>
      <c r="H1" s="15" t="s">
        <v>8</v>
      </c>
    </row>
    <row r="2" spans="1:8" x14ac:dyDescent="0.3">
      <c r="A2" s="15" t="s">
        <v>544</v>
      </c>
      <c r="B2" s="15">
        <v>-35.692337656781248</v>
      </c>
      <c r="C2" s="15">
        <v>2021</v>
      </c>
      <c r="D2" s="15" t="s">
        <v>465</v>
      </c>
      <c r="E2" s="15" t="s">
        <v>18</v>
      </c>
      <c r="F2" s="15" t="s">
        <v>276</v>
      </c>
      <c r="G2" s="15" t="s">
        <v>269</v>
      </c>
      <c r="H2" s="15" t="s">
        <v>3</v>
      </c>
    </row>
    <row r="3" spans="1:8" x14ac:dyDescent="0.3">
      <c r="A3" s="15" t="s">
        <v>59</v>
      </c>
      <c r="B3" s="15">
        <v>254.26583422158123</v>
      </c>
      <c r="C3" s="15">
        <v>2021</v>
      </c>
      <c r="D3" s="15" t="s">
        <v>465</v>
      </c>
      <c r="E3" s="15" t="s">
        <v>18</v>
      </c>
      <c r="F3" s="15" t="s">
        <v>293</v>
      </c>
      <c r="G3" s="15" t="s">
        <v>18</v>
      </c>
      <c r="H3" s="15" t="s">
        <v>368</v>
      </c>
    </row>
    <row r="4" spans="1:8" x14ac:dyDescent="0.3">
      <c r="A4" s="15" t="s">
        <v>409</v>
      </c>
      <c r="B4" s="15">
        <v>234.33106939093062</v>
      </c>
      <c r="C4" s="15">
        <v>2021</v>
      </c>
      <c r="D4" s="15" t="s">
        <v>465</v>
      </c>
      <c r="E4" s="15" t="s">
        <v>18</v>
      </c>
      <c r="F4" s="15" t="s">
        <v>319</v>
      </c>
      <c r="G4" s="15" t="s">
        <v>269</v>
      </c>
      <c r="H4" s="15" t="s">
        <v>3</v>
      </c>
    </row>
    <row r="5" spans="1:8" x14ac:dyDescent="0.3">
      <c r="A5" s="15" t="s">
        <v>32</v>
      </c>
      <c r="B5" s="15">
        <v>2.0679729116748753</v>
      </c>
      <c r="C5" s="15">
        <v>2021</v>
      </c>
      <c r="D5" s="15" t="s">
        <v>465</v>
      </c>
      <c r="E5" s="15" t="s">
        <v>18</v>
      </c>
      <c r="F5" s="15" t="s">
        <v>321</v>
      </c>
      <c r="G5" s="15" t="s">
        <v>269</v>
      </c>
      <c r="H5" s="15" t="s">
        <v>3</v>
      </c>
    </row>
    <row r="6" spans="1:8" x14ac:dyDescent="0.3">
      <c r="A6" s="15" t="s">
        <v>33</v>
      </c>
      <c r="B6" s="15">
        <v>6.5926920530698911</v>
      </c>
      <c r="C6" s="15">
        <v>2021</v>
      </c>
      <c r="D6" s="15" t="s">
        <v>465</v>
      </c>
      <c r="E6" s="15" t="s">
        <v>18</v>
      </c>
      <c r="F6" s="15" t="s">
        <v>322</v>
      </c>
      <c r="G6" s="15" t="s">
        <v>269</v>
      </c>
      <c r="H6" s="15" t="s">
        <v>3</v>
      </c>
    </row>
    <row r="7" spans="1:8" x14ac:dyDescent="0.3">
      <c r="A7" s="15" t="s">
        <v>34</v>
      </c>
      <c r="B7" s="15">
        <v>5.3060383132657796</v>
      </c>
      <c r="C7" s="15">
        <v>2021</v>
      </c>
      <c r="D7" s="15" t="s">
        <v>465</v>
      </c>
      <c r="E7" s="15" t="s">
        <v>18</v>
      </c>
      <c r="F7" s="15" t="s">
        <v>323</v>
      </c>
      <c r="G7" s="15" t="s">
        <v>269</v>
      </c>
      <c r="H7" s="15" t="s">
        <v>3</v>
      </c>
    </row>
    <row r="8" spans="1:8" x14ac:dyDescent="0.3">
      <c r="A8" s="15" t="s">
        <v>35</v>
      </c>
      <c r="B8" s="15">
        <v>1.1619885825000003</v>
      </c>
      <c r="C8" s="15">
        <v>2021</v>
      </c>
      <c r="D8" s="15" t="s">
        <v>465</v>
      </c>
      <c r="E8" s="15" t="s">
        <v>18</v>
      </c>
      <c r="F8" s="15" t="s">
        <v>324</v>
      </c>
      <c r="G8" s="15" t="s">
        <v>269</v>
      </c>
      <c r="H8" s="15" t="s">
        <v>3</v>
      </c>
    </row>
    <row r="9" spans="1:8" x14ac:dyDescent="0.3">
      <c r="A9" s="15" t="s">
        <v>57</v>
      </c>
      <c r="B9" s="15">
        <v>3.7464723499350567</v>
      </c>
      <c r="C9" s="15">
        <v>2021</v>
      </c>
      <c r="D9" s="15" t="s">
        <v>465</v>
      </c>
      <c r="E9" s="15" t="s">
        <v>18</v>
      </c>
      <c r="F9" s="15" t="s">
        <v>325</v>
      </c>
      <c r="G9" s="15" t="s">
        <v>269</v>
      </c>
      <c r="H9" s="15" t="s">
        <v>3</v>
      </c>
    </row>
    <row r="10" spans="1:8" x14ac:dyDescent="0.3">
      <c r="A10" s="15" t="s">
        <v>58</v>
      </c>
      <c r="B10" s="15">
        <v>13.147868650644995</v>
      </c>
      <c r="C10" s="15">
        <v>2021</v>
      </c>
      <c r="D10" s="15" t="s">
        <v>465</v>
      </c>
      <c r="E10" s="15" t="s">
        <v>18</v>
      </c>
      <c r="F10" s="15" t="s">
        <v>294</v>
      </c>
      <c r="G10" s="15" t="s">
        <v>18</v>
      </c>
      <c r="H10" s="15" t="s">
        <v>369</v>
      </c>
    </row>
    <row r="11" spans="1:8" x14ac:dyDescent="0.3">
      <c r="A11" s="15" t="s">
        <v>74</v>
      </c>
      <c r="B11" s="15">
        <v>13.147868650644995</v>
      </c>
      <c r="C11" s="15" t="s">
        <v>19</v>
      </c>
      <c r="D11" s="15" t="s">
        <v>465</v>
      </c>
      <c r="E11" s="15" t="s">
        <v>18</v>
      </c>
      <c r="F11" s="15" t="s">
        <v>331</v>
      </c>
      <c r="G11" s="15" t="s">
        <v>269</v>
      </c>
      <c r="H11" s="15" t="s">
        <v>3</v>
      </c>
    </row>
    <row r="12" spans="1:8" x14ac:dyDescent="0.3">
      <c r="A12" s="15" t="s">
        <v>357</v>
      </c>
      <c r="B12" s="15">
        <v>36.300599794482473</v>
      </c>
      <c r="C12" s="15">
        <v>2021</v>
      </c>
      <c r="D12" s="15" t="s">
        <v>465</v>
      </c>
      <c r="E12" s="15" t="s">
        <v>18</v>
      </c>
      <c r="F12" s="15" t="s">
        <v>296</v>
      </c>
      <c r="G12" s="15" t="s">
        <v>18</v>
      </c>
      <c r="H12" s="15" t="s">
        <v>406</v>
      </c>
    </row>
    <row r="13" spans="1:8" x14ac:dyDescent="0.3">
      <c r="A13" s="15" t="s">
        <v>399</v>
      </c>
      <c r="B13" s="15">
        <v>5.0798577209243394</v>
      </c>
      <c r="C13" s="15">
        <v>2021</v>
      </c>
      <c r="D13" s="15" t="s">
        <v>465</v>
      </c>
      <c r="E13" s="15" t="s">
        <v>18</v>
      </c>
      <c r="F13" s="15" t="s">
        <v>297</v>
      </c>
      <c r="G13" s="15" t="s">
        <v>18</v>
      </c>
      <c r="H13" s="15" t="s">
        <v>405</v>
      </c>
    </row>
    <row r="14" spans="1:8" x14ac:dyDescent="0.3">
      <c r="A14" s="15" t="s">
        <v>398</v>
      </c>
      <c r="B14" s="15">
        <v>5.0798577209243394</v>
      </c>
      <c r="C14" s="15">
        <v>2021</v>
      </c>
      <c r="D14" s="15" t="s">
        <v>465</v>
      </c>
      <c r="E14" s="15" t="s">
        <v>18</v>
      </c>
      <c r="F14" s="15" t="s">
        <v>345</v>
      </c>
      <c r="G14" s="15" t="s">
        <v>269</v>
      </c>
      <c r="H14" s="15" t="s">
        <v>3</v>
      </c>
    </row>
    <row r="15" spans="1:8" x14ac:dyDescent="0.3">
      <c r="A15" s="15" t="s">
        <v>404</v>
      </c>
      <c r="B15" s="15">
        <v>31.220742073558132</v>
      </c>
      <c r="C15" s="15">
        <v>2021</v>
      </c>
      <c r="D15" s="15" t="s">
        <v>465</v>
      </c>
      <c r="E15" s="15" t="s">
        <v>18</v>
      </c>
      <c r="F15" s="15" t="s">
        <v>298</v>
      </c>
      <c r="G15" s="15" t="s">
        <v>18</v>
      </c>
      <c r="H15" s="15" t="s">
        <v>408</v>
      </c>
    </row>
    <row r="16" spans="1:8" x14ac:dyDescent="0.3">
      <c r="A16" s="15" t="s">
        <v>407</v>
      </c>
      <c r="B16" s="15">
        <v>3.612125391582127</v>
      </c>
      <c r="C16" s="15">
        <v>2021</v>
      </c>
      <c r="D16" s="15" t="s">
        <v>465</v>
      </c>
      <c r="E16" s="15" t="s">
        <v>18</v>
      </c>
      <c r="F16" s="15" t="s">
        <v>356</v>
      </c>
      <c r="G16" s="15" t="s">
        <v>269</v>
      </c>
      <c r="H16" s="15" t="s">
        <v>3</v>
      </c>
    </row>
    <row r="17" spans="1:8" x14ac:dyDescent="0.3">
      <c r="A17" s="15" t="s">
        <v>359</v>
      </c>
      <c r="B17" s="15">
        <v>17.874329491243259</v>
      </c>
      <c r="C17" s="15">
        <v>2021</v>
      </c>
      <c r="D17" s="15" t="s">
        <v>465</v>
      </c>
      <c r="E17" s="15" t="s">
        <v>18</v>
      </c>
      <c r="F17" s="15" t="s">
        <v>360</v>
      </c>
      <c r="G17" s="15" t="s">
        <v>269</v>
      </c>
      <c r="H17" s="15" t="s">
        <v>3</v>
      </c>
    </row>
    <row r="18" spans="1:8" x14ac:dyDescent="0.3">
      <c r="A18" s="15" t="s">
        <v>380</v>
      </c>
      <c r="B18" s="15">
        <v>9.7342871907327471</v>
      </c>
      <c r="C18" s="15">
        <v>2021</v>
      </c>
      <c r="D18" s="15" t="s">
        <v>465</v>
      </c>
      <c r="E18" s="15" t="s">
        <v>18</v>
      </c>
      <c r="F18" s="15" t="s">
        <v>361</v>
      </c>
      <c r="G18" s="15" t="s">
        <v>269</v>
      </c>
      <c r="H18" s="15" t="s">
        <v>3</v>
      </c>
    </row>
  </sheetData>
  <autoFilter ref="A1:P18" xr:uid="{B3D449B5-7B2A-49B9-BB30-1BDC8440F82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B43A-2260-43D5-BB77-1CD93A118B86}">
  <sheetPr codeName="Sheet11"/>
  <dimension ref="A1:K406"/>
  <sheetViews>
    <sheetView zoomScale="70" zoomScaleNormal="70" workbookViewId="0"/>
  </sheetViews>
  <sheetFormatPr defaultColWidth="8.88671875" defaultRowHeight="14.4" x14ac:dyDescent="0.3"/>
  <cols>
    <col min="1" max="16384" width="8.88671875" style="15"/>
  </cols>
  <sheetData>
    <row r="1" spans="1:11" x14ac:dyDescent="0.3">
      <c r="A1" s="15" t="s">
        <v>10</v>
      </c>
      <c r="B1" s="15" t="s">
        <v>11</v>
      </c>
      <c r="C1" s="15" t="s">
        <v>0</v>
      </c>
      <c r="D1" s="15" t="s">
        <v>1</v>
      </c>
      <c r="E1" s="15" t="s">
        <v>2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</row>
    <row r="2" spans="1:11" x14ac:dyDescent="0.3">
      <c r="A2" s="15" t="s">
        <v>542</v>
      </c>
      <c r="B2" s="15" t="s">
        <v>265</v>
      </c>
      <c r="C2" s="15">
        <v>3.1467154762500003</v>
      </c>
      <c r="D2" s="15">
        <v>2021</v>
      </c>
      <c r="E2" s="15" t="s">
        <v>465</v>
      </c>
      <c r="F2" s="15" t="s">
        <v>269</v>
      </c>
      <c r="G2" s="15" t="s">
        <v>278</v>
      </c>
      <c r="H2" s="15" t="s">
        <v>269</v>
      </c>
      <c r="I2" s="15" t="s">
        <v>269</v>
      </c>
      <c r="J2" s="15" t="s">
        <v>3</v>
      </c>
      <c r="K2" s="15" t="s">
        <v>3</v>
      </c>
    </row>
    <row r="3" spans="1:11" x14ac:dyDescent="0.3">
      <c r="A3" s="15" t="s">
        <v>542</v>
      </c>
      <c r="B3" s="15" t="s">
        <v>267</v>
      </c>
      <c r="C3" s="15" t="s">
        <v>3</v>
      </c>
      <c r="D3" s="15">
        <v>2021</v>
      </c>
      <c r="E3" s="15" t="s">
        <v>465</v>
      </c>
      <c r="F3" s="15" t="s">
        <v>269</v>
      </c>
      <c r="G3" s="15" t="s">
        <v>280</v>
      </c>
      <c r="H3" s="15" t="s">
        <v>269</v>
      </c>
      <c r="I3" s="15" t="s">
        <v>269</v>
      </c>
      <c r="J3" s="15" t="s">
        <v>3</v>
      </c>
      <c r="K3" s="15" t="s">
        <v>3</v>
      </c>
    </row>
    <row r="4" spans="1:11" x14ac:dyDescent="0.3">
      <c r="A4" s="15" t="s">
        <v>542</v>
      </c>
      <c r="B4" s="15" t="s">
        <v>270</v>
      </c>
      <c r="C4" s="15" t="s">
        <v>3</v>
      </c>
      <c r="D4" s="15">
        <v>2021</v>
      </c>
      <c r="E4" s="15" t="s">
        <v>465</v>
      </c>
      <c r="F4" s="15" t="s">
        <v>269</v>
      </c>
      <c r="G4" s="15" t="s">
        <v>284</v>
      </c>
      <c r="H4" s="15" t="s">
        <v>269</v>
      </c>
      <c r="I4" s="15" t="s">
        <v>269</v>
      </c>
      <c r="J4" s="15" t="s">
        <v>3</v>
      </c>
      <c r="K4" s="15" t="s">
        <v>3</v>
      </c>
    </row>
    <row r="5" spans="1:11" x14ac:dyDescent="0.3">
      <c r="A5" s="15" t="s">
        <v>542</v>
      </c>
      <c r="B5" s="15" t="s">
        <v>272</v>
      </c>
      <c r="C5" s="15" t="s">
        <v>3</v>
      </c>
      <c r="D5" s="15">
        <v>2021</v>
      </c>
      <c r="E5" s="15" t="s">
        <v>465</v>
      </c>
      <c r="F5" s="15" t="s">
        <v>269</v>
      </c>
      <c r="G5" s="15" t="s">
        <v>286</v>
      </c>
      <c r="H5" s="15" t="s">
        <v>269</v>
      </c>
      <c r="I5" s="15" t="s">
        <v>269</v>
      </c>
      <c r="J5" s="15" t="s">
        <v>3</v>
      </c>
      <c r="K5" s="15" t="s">
        <v>3</v>
      </c>
    </row>
    <row r="6" spans="1:11" x14ac:dyDescent="0.3">
      <c r="A6" s="15" t="s">
        <v>543</v>
      </c>
      <c r="B6" s="15" t="s">
        <v>266</v>
      </c>
      <c r="C6" s="15">
        <v>179.50805760000003</v>
      </c>
      <c r="D6" s="15">
        <v>2021</v>
      </c>
      <c r="E6" s="15" t="s">
        <v>465</v>
      </c>
      <c r="F6" s="15" t="s">
        <v>18</v>
      </c>
      <c r="G6" s="15" t="s">
        <v>279</v>
      </c>
      <c r="H6" s="15" t="s">
        <v>269</v>
      </c>
      <c r="I6" s="15" t="s">
        <v>269</v>
      </c>
      <c r="J6" s="15" t="s">
        <v>3</v>
      </c>
      <c r="K6" s="15" t="s">
        <v>3</v>
      </c>
    </row>
    <row r="7" spans="1:11" x14ac:dyDescent="0.3">
      <c r="A7" s="15" t="s">
        <v>543</v>
      </c>
      <c r="B7" s="15" t="s">
        <v>268</v>
      </c>
      <c r="C7" s="15" t="s">
        <v>3</v>
      </c>
      <c r="D7" s="15">
        <v>2021</v>
      </c>
      <c r="E7" s="15" t="s">
        <v>465</v>
      </c>
      <c r="F7" s="15" t="s">
        <v>18</v>
      </c>
      <c r="G7" s="15" t="s">
        <v>283</v>
      </c>
      <c r="H7" s="15" t="s">
        <v>269</v>
      </c>
      <c r="I7" s="15" t="s">
        <v>269</v>
      </c>
      <c r="J7" s="15" t="s">
        <v>3</v>
      </c>
      <c r="K7" s="15" t="s">
        <v>3</v>
      </c>
    </row>
    <row r="8" spans="1:11" x14ac:dyDescent="0.3">
      <c r="A8" s="15" t="s">
        <v>543</v>
      </c>
      <c r="B8" s="15" t="s">
        <v>271</v>
      </c>
      <c r="C8" s="15" t="s">
        <v>3</v>
      </c>
      <c r="D8" s="15">
        <v>2021</v>
      </c>
      <c r="E8" s="15" t="s">
        <v>465</v>
      </c>
      <c r="F8" s="15" t="s">
        <v>18</v>
      </c>
      <c r="G8" s="15" t="s">
        <v>285</v>
      </c>
      <c r="H8" s="15" t="s">
        <v>269</v>
      </c>
      <c r="I8" s="15" t="s">
        <v>269</v>
      </c>
      <c r="J8" s="15" t="s">
        <v>3</v>
      </c>
      <c r="K8" s="15" t="s">
        <v>3</v>
      </c>
    </row>
    <row r="9" spans="1:11" x14ac:dyDescent="0.3">
      <c r="A9" s="15" t="s">
        <v>543</v>
      </c>
      <c r="B9" s="15" t="s">
        <v>273</v>
      </c>
      <c r="C9" s="15" t="s">
        <v>3</v>
      </c>
      <c r="D9" s="15">
        <v>2021</v>
      </c>
      <c r="E9" s="15" t="s">
        <v>465</v>
      </c>
      <c r="F9" s="15" t="s">
        <v>18</v>
      </c>
      <c r="G9" s="15" t="s">
        <v>287</v>
      </c>
      <c r="H9" s="15" t="s">
        <v>269</v>
      </c>
      <c r="I9" s="15" t="s">
        <v>269</v>
      </c>
      <c r="J9" s="15" t="s">
        <v>3</v>
      </c>
      <c r="K9" s="15" t="s">
        <v>3</v>
      </c>
    </row>
    <row r="10" spans="1:11" x14ac:dyDescent="0.3">
      <c r="A10" s="15" t="s">
        <v>544</v>
      </c>
      <c r="B10" s="15" t="s">
        <v>61</v>
      </c>
      <c r="C10" s="15">
        <v>22.831846634531253</v>
      </c>
      <c r="D10" s="15">
        <v>2021</v>
      </c>
      <c r="E10" s="15" t="s">
        <v>465</v>
      </c>
      <c r="F10" s="15" t="s">
        <v>276</v>
      </c>
      <c r="G10" s="15" t="s">
        <v>276</v>
      </c>
      <c r="H10" s="15" t="s">
        <v>269</v>
      </c>
      <c r="I10" s="15" t="s">
        <v>18</v>
      </c>
      <c r="J10" s="15" t="s">
        <v>3</v>
      </c>
      <c r="K10" s="15" t="s">
        <v>334</v>
      </c>
    </row>
    <row r="11" spans="1:11" x14ac:dyDescent="0.3">
      <c r="A11" s="15" t="s">
        <v>544</v>
      </c>
      <c r="B11" s="15" t="s">
        <v>265</v>
      </c>
      <c r="C11" s="15" t="s">
        <v>3</v>
      </c>
      <c r="D11" s="15">
        <v>2021</v>
      </c>
      <c r="E11" s="15" t="s">
        <v>465</v>
      </c>
      <c r="F11" s="15" t="s">
        <v>276</v>
      </c>
      <c r="G11" s="15" t="s">
        <v>278</v>
      </c>
      <c r="H11" s="15" t="s">
        <v>269</v>
      </c>
      <c r="I11" s="15" t="s">
        <v>269</v>
      </c>
      <c r="J11" s="15" t="s">
        <v>3</v>
      </c>
      <c r="K11" s="15" t="s">
        <v>3</v>
      </c>
    </row>
    <row r="12" spans="1:11" x14ac:dyDescent="0.3">
      <c r="A12" s="15" t="s">
        <v>544</v>
      </c>
      <c r="B12" s="15" t="s">
        <v>266</v>
      </c>
      <c r="C12" s="15" t="s">
        <v>3</v>
      </c>
      <c r="D12" s="15">
        <v>2021</v>
      </c>
      <c r="E12" s="15" t="s">
        <v>465</v>
      </c>
      <c r="F12" s="15" t="s">
        <v>276</v>
      </c>
      <c r="G12" s="15" t="s">
        <v>279</v>
      </c>
      <c r="H12" s="15" t="s">
        <v>269</v>
      </c>
      <c r="I12" s="15" t="s">
        <v>269</v>
      </c>
      <c r="J12" s="15" t="s">
        <v>3</v>
      </c>
      <c r="K12" s="15" t="s">
        <v>3</v>
      </c>
    </row>
    <row r="13" spans="1:11" x14ac:dyDescent="0.3">
      <c r="A13" s="15" t="s">
        <v>544</v>
      </c>
      <c r="B13" s="15" t="s">
        <v>62</v>
      </c>
      <c r="C13" s="15">
        <v>6.5837537656249987</v>
      </c>
      <c r="D13" s="15">
        <v>2021</v>
      </c>
      <c r="E13" s="15" t="s">
        <v>465</v>
      </c>
      <c r="F13" s="15" t="s">
        <v>276</v>
      </c>
      <c r="G13" s="15" t="s">
        <v>279</v>
      </c>
      <c r="H13" s="15" t="s">
        <v>269</v>
      </c>
      <c r="I13" s="15" t="s">
        <v>18</v>
      </c>
      <c r="J13" s="15" t="s">
        <v>3</v>
      </c>
      <c r="K13" s="15" t="s">
        <v>335</v>
      </c>
    </row>
    <row r="14" spans="1:11" x14ac:dyDescent="0.3">
      <c r="A14" s="15" t="s">
        <v>544</v>
      </c>
      <c r="B14" s="15" t="s">
        <v>267</v>
      </c>
      <c r="C14" s="15" t="s">
        <v>3</v>
      </c>
      <c r="D14" s="15">
        <v>2021</v>
      </c>
      <c r="E14" s="15" t="s">
        <v>465</v>
      </c>
      <c r="F14" s="15" t="s">
        <v>276</v>
      </c>
      <c r="G14" s="15" t="s">
        <v>280</v>
      </c>
      <c r="H14" s="15" t="s">
        <v>269</v>
      </c>
      <c r="I14" s="15" t="s">
        <v>269</v>
      </c>
      <c r="J14" s="15" t="s">
        <v>3</v>
      </c>
      <c r="K14" s="15" t="s">
        <v>3</v>
      </c>
    </row>
    <row r="15" spans="1:11" x14ac:dyDescent="0.3">
      <c r="A15" s="15" t="s">
        <v>544</v>
      </c>
      <c r="B15" s="15" t="s">
        <v>268</v>
      </c>
      <c r="C15" s="15" t="s">
        <v>3</v>
      </c>
      <c r="D15" s="15">
        <v>2021</v>
      </c>
      <c r="E15" s="15" t="s">
        <v>465</v>
      </c>
      <c r="F15" s="15" t="s">
        <v>276</v>
      </c>
      <c r="G15" s="15" t="s">
        <v>283</v>
      </c>
      <c r="H15" s="15" t="s">
        <v>269</v>
      </c>
      <c r="I15" s="15" t="s">
        <v>269</v>
      </c>
      <c r="J15" s="15" t="s">
        <v>3</v>
      </c>
      <c r="K15" s="15" t="s">
        <v>3</v>
      </c>
    </row>
    <row r="16" spans="1:11" x14ac:dyDescent="0.3">
      <c r="A16" s="15" t="s">
        <v>544</v>
      </c>
      <c r="B16" s="15" t="s">
        <v>63</v>
      </c>
      <c r="C16" s="15">
        <v>4.7729858491249999</v>
      </c>
      <c r="D16" s="15">
        <v>2021</v>
      </c>
      <c r="E16" s="15" t="s">
        <v>465</v>
      </c>
      <c r="F16" s="15" t="s">
        <v>276</v>
      </c>
      <c r="G16" s="15" t="s">
        <v>280</v>
      </c>
      <c r="H16" s="15" t="s">
        <v>269</v>
      </c>
      <c r="I16" s="15" t="s">
        <v>18</v>
      </c>
      <c r="J16" s="15" t="s">
        <v>3</v>
      </c>
      <c r="K16" s="15" t="s">
        <v>336</v>
      </c>
    </row>
    <row r="17" spans="1:11" x14ac:dyDescent="0.3">
      <c r="A17" s="15" t="s">
        <v>544</v>
      </c>
      <c r="B17" s="15" t="s">
        <v>270</v>
      </c>
      <c r="C17" s="15" t="s">
        <v>3</v>
      </c>
      <c r="D17" s="15">
        <v>2021</v>
      </c>
      <c r="E17" s="15" t="s">
        <v>465</v>
      </c>
      <c r="F17" s="15" t="s">
        <v>276</v>
      </c>
      <c r="G17" s="15" t="s">
        <v>284</v>
      </c>
      <c r="H17" s="15" t="s">
        <v>269</v>
      </c>
      <c r="I17" s="15" t="s">
        <v>269</v>
      </c>
      <c r="J17" s="15" t="s">
        <v>3</v>
      </c>
      <c r="K17" s="15" t="s">
        <v>3</v>
      </c>
    </row>
    <row r="18" spans="1:11" x14ac:dyDescent="0.3">
      <c r="A18" s="15" t="s">
        <v>544</v>
      </c>
      <c r="B18" s="15" t="s">
        <v>271</v>
      </c>
      <c r="C18" s="15" t="s">
        <v>3</v>
      </c>
      <c r="D18" s="15">
        <v>2021</v>
      </c>
      <c r="E18" s="15" t="s">
        <v>465</v>
      </c>
      <c r="F18" s="15" t="s">
        <v>276</v>
      </c>
      <c r="G18" s="15" t="s">
        <v>285</v>
      </c>
      <c r="H18" s="15" t="s">
        <v>269</v>
      </c>
      <c r="I18" s="15" t="s">
        <v>269</v>
      </c>
      <c r="J18" s="15" t="s">
        <v>3</v>
      </c>
      <c r="K18" s="15" t="s">
        <v>3</v>
      </c>
    </row>
    <row r="19" spans="1:11" x14ac:dyDescent="0.3">
      <c r="A19" s="15" t="s">
        <v>544</v>
      </c>
      <c r="B19" s="15" t="s">
        <v>64</v>
      </c>
      <c r="C19" s="15">
        <v>1.5037514075000002</v>
      </c>
      <c r="D19" s="15">
        <v>2021</v>
      </c>
      <c r="E19" s="15" t="s">
        <v>465</v>
      </c>
      <c r="F19" s="15" t="s">
        <v>276</v>
      </c>
      <c r="G19" s="15" t="s">
        <v>283</v>
      </c>
      <c r="H19" s="15" t="s">
        <v>269</v>
      </c>
      <c r="I19" s="15" t="s">
        <v>18</v>
      </c>
      <c r="J19" s="15" t="s">
        <v>3</v>
      </c>
      <c r="K19" s="15" t="s">
        <v>337</v>
      </c>
    </row>
    <row r="20" spans="1:11" x14ac:dyDescent="0.3">
      <c r="A20" s="15" t="s">
        <v>544</v>
      </c>
      <c r="B20" s="15" t="s">
        <v>272</v>
      </c>
      <c r="C20" s="15" t="s">
        <v>3</v>
      </c>
      <c r="D20" s="15">
        <v>2021</v>
      </c>
      <c r="E20" s="15" t="s">
        <v>465</v>
      </c>
      <c r="F20" s="15" t="s">
        <v>276</v>
      </c>
      <c r="G20" s="15" t="s">
        <v>286</v>
      </c>
      <c r="H20" s="15" t="s">
        <v>269</v>
      </c>
      <c r="I20" s="15" t="s">
        <v>269</v>
      </c>
      <c r="J20" s="15" t="s">
        <v>3</v>
      </c>
      <c r="K20" s="15" t="s">
        <v>3</v>
      </c>
    </row>
    <row r="21" spans="1:11" x14ac:dyDescent="0.3">
      <c r="A21" s="15" t="s">
        <v>544</v>
      </c>
      <c r="B21" s="15" t="s">
        <v>273</v>
      </c>
      <c r="C21" s="15" t="s">
        <v>3</v>
      </c>
      <c r="D21" s="15">
        <v>2021</v>
      </c>
      <c r="E21" s="15" t="s">
        <v>465</v>
      </c>
      <c r="F21" s="15" t="s">
        <v>276</v>
      </c>
      <c r="G21" s="15" t="s">
        <v>287</v>
      </c>
      <c r="H21" s="15" t="s">
        <v>269</v>
      </c>
      <c r="I21" s="15" t="s">
        <v>269</v>
      </c>
      <c r="J21" s="15" t="s">
        <v>3</v>
      </c>
      <c r="K21" s="15" t="s">
        <v>3</v>
      </c>
    </row>
    <row r="22" spans="1:11" x14ac:dyDescent="0.3">
      <c r="A22" s="15" t="s">
        <v>545</v>
      </c>
      <c r="B22" s="15" t="s">
        <v>212</v>
      </c>
      <c r="C22" s="15">
        <v>0</v>
      </c>
      <c r="D22" s="15">
        <v>2021</v>
      </c>
      <c r="E22" s="15" t="s">
        <v>465</v>
      </c>
      <c r="F22" s="15" t="s">
        <v>277</v>
      </c>
      <c r="G22" s="15" t="s">
        <v>288</v>
      </c>
      <c r="H22" s="15" t="s">
        <v>269</v>
      </c>
      <c r="I22" s="15" t="s">
        <v>269</v>
      </c>
      <c r="J22" s="15" t="s">
        <v>3</v>
      </c>
      <c r="K22" s="15" t="s">
        <v>3</v>
      </c>
    </row>
    <row r="23" spans="1:11" x14ac:dyDescent="0.3">
      <c r="A23" s="15" t="s">
        <v>61</v>
      </c>
      <c r="B23" s="15" t="s">
        <v>55</v>
      </c>
      <c r="C23" s="15">
        <v>15.873180479778847</v>
      </c>
      <c r="D23" s="15">
        <v>2021</v>
      </c>
      <c r="E23" s="15" t="s">
        <v>465</v>
      </c>
      <c r="F23" s="15" t="s">
        <v>276</v>
      </c>
      <c r="G23" s="15" t="s">
        <v>289</v>
      </c>
      <c r="H23" s="15" t="s">
        <v>18</v>
      </c>
      <c r="I23" s="15" t="s">
        <v>269</v>
      </c>
      <c r="J23" s="15" t="s">
        <v>334</v>
      </c>
      <c r="K23" s="15" t="s">
        <v>3</v>
      </c>
    </row>
    <row r="24" spans="1:11" x14ac:dyDescent="0.3">
      <c r="A24" s="15" t="s">
        <v>265</v>
      </c>
      <c r="B24" s="15" t="s">
        <v>55</v>
      </c>
      <c r="C24" s="15" t="s">
        <v>3</v>
      </c>
      <c r="D24" s="15">
        <v>2021</v>
      </c>
      <c r="E24" s="15" t="s">
        <v>465</v>
      </c>
      <c r="F24" s="15" t="s">
        <v>278</v>
      </c>
      <c r="G24" s="15" t="s">
        <v>289</v>
      </c>
      <c r="H24" s="15" t="s">
        <v>269</v>
      </c>
      <c r="I24" s="15" t="s">
        <v>269</v>
      </c>
      <c r="J24" s="15" t="s">
        <v>3</v>
      </c>
      <c r="K24" s="15" t="s">
        <v>3</v>
      </c>
    </row>
    <row r="25" spans="1:11" x14ac:dyDescent="0.3">
      <c r="A25" s="15" t="s">
        <v>266</v>
      </c>
      <c r="B25" s="15" t="s">
        <v>55</v>
      </c>
      <c r="C25" s="15" t="s">
        <v>3</v>
      </c>
      <c r="D25" s="15">
        <v>2021</v>
      </c>
      <c r="E25" s="15" t="s">
        <v>465</v>
      </c>
      <c r="F25" s="15" t="s">
        <v>279</v>
      </c>
      <c r="G25" s="15" t="s">
        <v>289</v>
      </c>
      <c r="H25" s="15" t="s">
        <v>269</v>
      </c>
      <c r="I25" s="15" t="s">
        <v>269</v>
      </c>
      <c r="J25" s="15" t="s">
        <v>3</v>
      </c>
      <c r="K25" s="15" t="s">
        <v>3</v>
      </c>
    </row>
    <row r="26" spans="1:11" x14ac:dyDescent="0.3">
      <c r="A26" s="15" t="s">
        <v>61</v>
      </c>
      <c r="B26" s="15" t="s">
        <v>409</v>
      </c>
      <c r="C26" s="15">
        <v>189.6077289759499</v>
      </c>
      <c r="D26" s="15">
        <v>2021</v>
      </c>
      <c r="E26" s="15" t="s">
        <v>465</v>
      </c>
      <c r="F26" s="15" t="s">
        <v>276</v>
      </c>
      <c r="G26" s="15" t="s">
        <v>319</v>
      </c>
      <c r="H26" s="15" t="s">
        <v>18</v>
      </c>
      <c r="I26" s="15" t="s">
        <v>269</v>
      </c>
      <c r="J26" s="15" t="s">
        <v>334</v>
      </c>
      <c r="K26" s="15" t="s">
        <v>3</v>
      </c>
    </row>
    <row r="27" spans="1:11" x14ac:dyDescent="0.3">
      <c r="A27" s="15" t="s">
        <v>265</v>
      </c>
      <c r="B27" s="15" t="s">
        <v>409</v>
      </c>
      <c r="C27" s="15" t="s">
        <v>3</v>
      </c>
      <c r="D27" s="15">
        <v>2021</v>
      </c>
      <c r="E27" s="15" t="s">
        <v>465</v>
      </c>
      <c r="F27" s="15" t="s">
        <v>278</v>
      </c>
      <c r="G27" s="15" t="s">
        <v>319</v>
      </c>
      <c r="H27" s="15" t="s">
        <v>269</v>
      </c>
      <c r="I27" s="15" t="s">
        <v>269</v>
      </c>
      <c r="J27" s="15" t="s">
        <v>3</v>
      </c>
      <c r="K27" s="15" t="s">
        <v>3</v>
      </c>
    </row>
    <row r="28" spans="1:11" x14ac:dyDescent="0.3">
      <c r="A28" s="15" t="s">
        <v>266</v>
      </c>
      <c r="B28" s="15" t="s">
        <v>409</v>
      </c>
      <c r="C28" s="15" t="s">
        <v>3</v>
      </c>
      <c r="D28" s="15">
        <v>2021</v>
      </c>
      <c r="E28" s="15" t="s">
        <v>465</v>
      </c>
      <c r="F28" s="15" t="s">
        <v>279</v>
      </c>
      <c r="G28" s="15" t="s">
        <v>319</v>
      </c>
      <c r="H28" s="15" t="s">
        <v>269</v>
      </c>
      <c r="I28" s="15" t="s">
        <v>269</v>
      </c>
      <c r="J28" s="15" t="s">
        <v>3</v>
      </c>
      <c r="K28" s="15" t="s">
        <v>3</v>
      </c>
    </row>
    <row r="29" spans="1:11" x14ac:dyDescent="0.3">
      <c r="A29" s="15" t="s">
        <v>267</v>
      </c>
      <c r="B29" s="15" t="s">
        <v>274</v>
      </c>
      <c r="C29" s="15">
        <v>3.0616265336300001</v>
      </c>
      <c r="D29" s="15">
        <v>2021</v>
      </c>
      <c r="E29" s="15" t="s">
        <v>465</v>
      </c>
      <c r="F29" s="15" t="s">
        <v>280</v>
      </c>
      <c r="G29" s="15" t="s">
        <v>294</v>
      </c>
      <c r="H29" s="15" t="s">
        <v>269</v>
      </c>
      <c r="I29" s="15" t="s">
        <v>269</v>
      </c>
      <c r="J29" s="15" t="s">
        <v>3</v>
      </c>
      <c r="K29" s="15" t="s">
        <v>3</v>
      </c>
    </row>
    <row r="30" spans="1:11" x14ac:dyDescent="0.3">
      <c r="A30" s="15" t="s">
        <v>268</v>
      </c>
      <c r="B30" s="15" t="s">
        <v>275</v>
      </c>
      <c r="C30" s="15">
        <v>24.12086813967672</v>
      </c>
      <c r="D30" s="15">
        <v>2021</v>
      </c>
      <c r="E30" s="15" t="s">
        <v>465</v>
      </c>
      <c r="F30" s="15" t="s">
        <v>283</v>
      </c>
      <c r="G30" s="15" t="s">
        <v>295</v>
      </c>
      <c r="H30" s="15" t="s">
        <v>269</v>
      </c>
      <c r="I30" s="15" t="s">
        <v>269</v>
      </c>
      <c r="J30" s="15" t="s">
        <v>3</v>
      </c>
      <c r="K30" s="15" t="s">
        <v>3</v>
      </c>
    </row>
    <row r="31" spans="1:11" x14ac:dyDescent="0.3">
      <c r="A31" s="15" t="s">
        <v>62</v>
      </c>
      <c r="B31" s="15" t="s">
        <v>49</v>
      </c>
      <c r="C31" s="15">
        <v>6.6437762007413799</v>
      </c>
      <c r="D31" s="15">
        <v>2021</v>
      </c>
      <c r="E31" s="15" t="s">
        <v>465</v>
      </c>
      <c r="F31" s="15" t="s">
        <v>279</v>
      </c>
      <c r="G31" s="15" t="s">
        <v>296</v>
      </c>
      <c r="H31" s="15" t="s">
        <v>18</v>
      </c>
      <c r="I31" s="15" t="s">
        <v>269</v>
      </c>
      <c r="J31" s="15" t="s">
        <v>335</v>
      </c>
      <c r="K31" s="15" t="s">
        <v>3</v>
      </c>
    </row>
    <row r="32" spans="1:11" x14ac:dyDescent="0.3">
      <c r="A32" s="15" t="s">
        <v>267</v>
      </c>
      <c r="B32" s="15" t="s">
        <v>49</v>
      </c>
      <c r="C32" s="15" t="s">
        <v>3</v>
      </c>
      <c r="D32" s="15">
        <v>2021</v>
      </c>
      <c r="E32" s="15" t="s">
        <v>465</v>
      </c>
      <c r="F32" s="15" t="s">
        <v>280</v>
      </c>
      <c r="G32" s="15" t="s">
        <v>296</v>
      </c>
      <c r="H32" s="15" t="s">
        <v>269</v>
      </c>
      <c r="I32" s="15" t="s">
        <v>269</v>
      </c>
      <c r="J32" s="15" t="s">
        <v>3</v>
      </c>
      <c r="K32" s="15" t="s">
        <v>3</v>
      </c>
    </row>
    <row r="33" spans="1:11" x14ac:dyDescent="0.3">
      <c r="A33" s="15" t="s">
        <v>268</v>
      </c>
      <c r="B33" s="15" t="s">
        <v>49</v>
      </c>
      <c r="C33" s="15" t="s">
        <v>3</v>
      </c>
      <c r="D33" s="15">
        <v>2021</v>
      </c>
      <c r="E33" s="15" t="s">
        <v>465</v>
      </c>
      <c r="F33" s="15" t="s">
        <v>283</v>
      </c>
      <c r="G33" s="15" t="s">
        <v>296</v>
      </c>
      <c r="H33" s="15" t="s">
        <v>269</v>
      </c>
      <c r="I33" s="15" t="s">
        <v>269</v>
      </c>
      <c r="J33" s="15" t="s">
        <v>3</v>
      </c>
      <c r="K33" s="15" t="s">
        <v>3</v>
      </c>
    </row>
    <row r="34" spans="1:11" x14ac:dyDescent="0.3">
      <c r="A34" s="15" t="s">
        <v>62</v>
      </c>
      <c r="B34" s="15" t="s">
        <v>44</v>
      </c>
      <c r="C34" s="15">
        <v>10.844837691439658</v>
      </c>
      <c r="D34" s="15">
        <v>2021</v>
      </c>
      <c r="E34" s="15" t="s">
        <v>465</v>
      </c>
      <c r="F34" s="15" t="s">
        <v>279</v>
      </c>
      <c r="G34" s="15" t="s">
        <v>297</v>
      </c>
      <c r="H34" s="15" t="s">
        <v>18</v>
      </c>
      <c r="I34" s="15" t="s">
        <v>269</v>
      </c>
      <c r="J34" s="15" t="s">
        <v>335</v>
      </c>
      <c r="K34" s="15" t="s">
        <v>3</v>
      </c>
    </row>
    <row r="35" spans="1:11" x14ac:dyDescent="0.3">
      <c r="A35" s="15" t="s">
        <v>267</v>
      </c>
      <c r="B35" s="15" t="s">
        <v>44</v>
      </c>
      <c r="C35" s="15" t="s">
        <v>3</v>
      </c>
      <c r="D35" s="15">
        <v>2021</v>
      </c>
      <c r="E35" s="15" t="s">
        <v>465</v>
      </c>
      <c r="F35" s="15" t="s">
        <v>280</v>
      </c>
      <c r="G35" s="15" t="s">
        <v>297</v>
      </c>
      <c r="H35" s="15" t="s">
        <v>269</v>
      </c>
      <c r="I35" s="15" t="s">
        <v>269</v>
      </c>
      <c r="J35" s="15" t="s">
        <v>3</v>
      </c>
      <c r="K35" s="15" t="s">
        <v>3</v>
      </c>
    </row>
    <row r="36" spans="1:11" x14ac:dyDescent="0.3">
      <c r="A36" s="15" t="s">
        <v>268</v>
      </c>
      <c r="B36" s="15" t="s">
        <v>44</v>
      </c>
      <c r="C36" s="15" t="s">
        <v>3</v>
      </c>
      <c r="D36" s="15">
        <v>2021</v>
      </c>
      <c r="E36" s="15" t="s">
        <v>465</v>
      </c>
      <c r="F36" s="15" t="s">
        <v>283</v>
      </c>
      <c r="G36" s="15" t="s">
        <v>297</v>
      </c>
      <c r="H36" s="15" t="s">
        <v>269</v>
      </c>
      <c r="I36" s="15" t="s">
        <v>269</v>
      </c>
      <c r="J36" s="15" t="s">
        <v>3</v>
      </c>
      <c r="K36" s="15" t="s">
        <v>3</v>
      </c>
    </row>
    <row r="37" spans="1:11" x14ac:dyDescent="0.3">
      <c r="A37" s="15" t="s">
        <v>63</v>
      </c>
      <c r="B37" s="15" t="s">
        <v>65</v>
      </c>
      <c r="C37" s="15" t="s">
        <v>3</v>
      </c>
      <c r="D37" s="15">
        <v>2021</v>
      </c>
      <c r="E37" s="15" t="s">
        <v>465</v>
      </c>
      <c r="F37" s="15" t="s">
        <v>280</v>
      </c>
      <c r="G37" s="15" t="s">
        <v>285</v>
      </c>
      <c r="H37" s="15" t="s">
        <v>18</v>
      </c>
      <c r="I37" s="15" t="s">
        <v>18</v>
      </c>
      <c r="J37" s="15" t="s">
        <v>336</v>
      </c>
      <c r="K37" s="15" t="s">
        <v>341</v>
      </c>
    </row>
    <row r="38" spans="1:11" x14ac:dyDescent="0.3">
      <c r="A38" s="15" t="s">
        <v>270</v>
      </c>
      <c r="B38" s="15" t="s">
        <v>53</v>
      </c>
      <c r="C38" s="15" t="s">
        <v>3</v>
      </c>
      <c r="D38" s="15">
        <v>2021</v>
      </c>
      <c r="E38" s="15" t="s">
        <v>465</v>
      </c>
      <c r="F38" s="15" t="s">
        <v>284</v>
      </c>
      <c r="G38" s="15" t="s">
        <v>291</v>
      </c>
      <c r="H38" s="15" t="s">
        <v>269</v>
      </c>
      <c r="I38" s="15" t="s">
        <v>269</v>
      </c>
      <c r="J38" s="15" t="s">
        <v>3</v>
      </c>
      <c r="K38" s="15" t="s">
        <v>3</v>
      </c>
    </row>
    <row r="39" spans="1:11" x14ac:dyDescent="0.3">
      <c r="A39" s="15" t="s">
        <v>270</v>
      </c>
      <c r="B39" s="15" t="s">
        <v>54</v>
      </c>
      <c r="C39" s="15" t="s">
        <v>3</v>
      </c>
      <c r="D39" s="15">
        <v>2021</v>
      </c>
      <c r="E39" s="15" t="s">
        <v>465</v>
      </c>
      <c r="F39" s="15" t="s">
        <v>284</v>
      </c>
      <c r="G39" s="15" t="s">
        <v>292</v>
      </c>
      <c r="H39" s="15" t="s">
        <v>269</v>
      </c>
      <c r="I39" s="15" t="s">
        <v>269</v>
      </c>
      <c r="J39" s="15" t="s">
        <v>3</v>
      </c>
      <c r="K39" s="15" t="s">
        <v>3</v>
      </c>
    </row>
    <row r="40" spans="1:11" x14ac:dyDescent="0.3">
      <c r="A40" s="15" t="s">
        <v>271</v>
      </c>
      <c r="B40" s="15" t="s">
        <v>53</v>
      </c>
      <c r="C40" s="15" t="s">
        <v>3</v>
      </c>
      <c r="D40" s="15">
        <v>2021</v>
      </c>
      <c r="E40" s="15" t="s">
        <v>465</v>
      </c>
      <c r="F40" s="15" t="s">
        <v>285</v>
      </c>
      <c r="G40" s="15" t="s">
        <v>291</v>
      </c>
      <c r="H40" s="15" t="s">
        <v>269</v>
      </c>
      <c r="I40" s="15" t="s">
        <v>269</v>
      </c>
      <c r="J40" s="15" t="s">
        <v>3</v>
      </c>
      <c r="K40" s="15" t="s">
        <v>3</v>
      </c>
    </row>
    <row r="41" spans="1:11" x14ac:dyDescent="0.3">
      <c r="A41" s="15" t="s">
        <v>271</v>
      </c>
      <c r="B41" s="15" t="s">
        <v>54</v>
      </c>
      <c r="C41" s="15" t="s">
        <v>3</v>
      </c>
      <c r="D41" s="15">
        <v>2021</v>
      </c>
      <c r="E41" s="15" t="s">
        <v>465</v>
      </c>
      <c r="F41" s="15" t="s">
        <v>285</v>
      </c>
      <c r="G41" s="15" t="s">
        <v>292</v>
      </c>
      <c r="H41" s="15" t="s">
        <v>269</v>
      </c>
      <c r="I41" s="15" t="s">
        <v>269</v>
      </c>
      <c r="J41" s="15" t="s">
        <v>3</v>
      </c>
      <c r="K41" s="15" t="s">
        <v>3</v>
      </c>
    </row>
    <row r="42" spans="1:11" x14ac:dyDescent="0.3">
      <c r="A42" s="15" t="s">
        <v>64</v>
      </c>
      <c r="B42" s="15" t="s">
        <v>179</v>
      </c>
      <c r="C42" s="15">
        <v>13.533762667500003</v>
      </c>
      <c r="D42" s="15">
        <v>2021</v>
      </c>
      <c r="E42" s="15" t="s">
        <v>465</v>
      </c>
      <c r="F42" s="15" t="s">
        <v>283</v>
      </c>
      <c r="G42" s="15" t="s">
        <v>290</v>
      </c>
      <c r="H42" s="15" t="s">
        <v>18</v>
      </c>
      <c r="I42" s="15" t="s">
        <v>269</v>
      </c>
      <c r="J42" s="15" t="s">
        <v>337</v>
      </c>
      <c r="K42" s="15" t="s">
        <v>3</v>
      </c>
    </row>
    <row r="43" spans="1:11" x14ac:dyDescent="0.3">
      <c r="A43" s="15" t="s">
        <v>272</v>
      </c>
      <c r="B43" s="15" t="s">
        <v>179</v>
      </c>
      <c r="C43" s="15" t="s">
        <v>3</v>
      </c>
      <c r="D43" s="15">
        <v>2021</v>
      </c>
      <c r="E43" s="15" t="s">
        <v>465</v>
      </c>
      <c r="F43" s="15" t="s">
        <v>286</v>
      </c>
      <c r="G43" s="15" t="s">
        <v>290</v>
      </c>
      <c r="H43" s="15" t="s">
        <v>269</v>
      </c>
      <c r="I43" s="15" t="s">
        <v>269</v>
      </c>
      <c r="J43" s="15" t="s">
        <v>3</v>
      </c>
      <c r="K43" s="15" t="s">
        <v>3</v>
      </c>
    </row>
    <row r="44" spans="1:11" x14ac:dyDescent="0.3">
      <c r="A44" s="15" t="s">
        <v>273</v>
      </c>
      <c r="B44" s="15" t="s">
        <v>179</v>
      </c>
      <c r="C44" s="15" t="s">
        <v>3</v>
      </c>
      <c r="D44" s="15">
        <v>2021</v>
      </c>
      <c r="E44" s="15" t="s">
        <v>465</v>
      </c>
      <c r="F44" s="15" t="s">
        <v>287</v>
      </c>
      <c r="G44" s="15" t="s">
        <v>290</v>
      </c>
      <c r="H44" s="15" t="s">
        <v>269</v>
      </c>
      <c r="I44" s="15" t="s">
        <v>269</v>
      </c>
      <c r="J44" s="15" t="s">
        <v>3</v>
      </c>
      <c r="K44" s="15" t="s">
        <v>3</v>
      </c>
    </row>
    <row r="45" spans="1:11" x14ac:dyDescent="0.3">
      <c r="A45" s="15" t="s">
        <v>212</v>
      </c>
      <c r="B45" s="15" t="s">
        <v>51</v>
      </c>
      <c r="C45" s="15">
        <v>0</v>
      </c>
      <c r="D45" s="15">
        <v>2021</v>
      </c>
      <c r="E45" s="15" t="s">
        <v>465</v>
      </c>
      <c r="F45" s="15" t="s">
        <v>288</v>
      </c>
      <c r="G45" s="15" t="s">
        <v>291</v>
      </c>
      <c r="H45" s="15" t="s">
        <v>269</v>
      </c>
      <c r="I45" s="15" t="s">
        <v>18</v>
      </c>
      <c r="J45" s="15" t="s">
        <v>3</v>
      </c>
      <c r="K45" s="15" t="s">
        <v>367</v>
      </c>
    </row>
    <row r="46" spans="1:11" x14ac:dyDescent="0.3">
      <c r="A46" s="15" t="s">
        <v>212</v>
      </c>
      <c r="B46" s="15" t="s">
        <v>36</v>
      </c>
      <c r="C46" s="15">
        <v>0</v>
      </c>
      <c r="D46" s="15">
        <v>2021</v>
      </c>
      <c r="E46" s="15" t="s">
        <v>465</v>
      </c>
      <c r="F46" s="15" t="s">
        <v>288</v>
      </c>
      <c r="G46" s="15" t="s">
        <v>313</v>
      </c>
      <c r="H46" s="15" t="s">
        <v>269</v>
      </c>
      <c r="I46" s="15" t="s">
        <v>269</v>
      </c>
      <c r="J46" s="15" t="s">
        <v>3</v>
      </c>
      <c r="K46" s="15" t="s">
        <v>3</v>
      </c>
    </row>
    <row r="47" spans="1:11" x14ac:dyDescent="0.3">
      <c r="A47" s="15" t="s">
        <v>212</v>
      </c>
      <c r="B47" s="15" t="s">
        <v>37</v>
      </c>
      <c r="C47" s="15">
        <v>0</v>
      </c>
      <c r="D47" s="15">
        <v>2021</v>
      </c>
      <c r="E47" s="15" t="s">
        <v>465</v>
      </c>
      <c r="F47" s="15" t="s">
        <v>288</v>
      </c>
      <c r="G47" s="15" t="s">
        <v>314</v>
      </c>
      <c r="H47" s="15" t="s">
        <v>269</v>
      </c>
      <c r="I47" s="15" t="s">
        <v>269</v>
      </c>
      <c r="J47" s="15" t="s">
        <v>3</v>
      </c>
      <c r="K47" s="15" t="s">
        <v>3</v>
      </c>
    </row>
    <row r="48" spans="1:11" x14ac:dyDescent="0.3">
      <c r="A48" s="15" t="s">
        <v>212</v>
      </c>
      <c r="B48" s="15" t="s">
        <v>39</v>
      </c>
      <c r="C48" s="15">
        <v>0</v>
      </c>
      <c r="D48" s="15">
        <v>2021</v>
      </c>
      <c r="E48" s="15" t="s">
        <v>465</v>
      </c>
      <c r="F48" s="15" t="s">
        <v>288</v>
      </c>
      <c r="G48" s="15" t="s">
        <v>315</v>
      </c>
      <c r="H48" s="15" t="s">
        <v>269</v>
      </c>
      <c r="I48" s="15" t="s">
        <v>269</v>
      </c>
      <c r="J48" s="15" t="s">
        <v>3</v>
      </c>
      <c r="K48" s="15" t="s">
        <v>3</v>
      </c>
    </row>
    <row r="49" spans="1:11" x14ac:dyDescent="0.3">
      <c r="A49" s="15" t="s">
        <v>212</v>
      </c>
      <c r="B49" s="15" t="s">
        <v>40</v>
      </c>
      <c r="C49" s="15">
        <v>0</v>
      </c>
      <c r="D49" s="15">
        <v>2021</v>
      </c>
      <c r="E49" s="15" t="s">
        <v>465</v>
      </c>
      <c r="F49" s="15" t="s">
        <v>288</v>
      </c>
      <c r="G49" s="15" t="s">
        <v>316</v>
      </c>
      <c r="H49" s="15" t="s">
        <v>269</v>
      </c>
      <c r="I49" s="15" t="s">
        <v>269</v>
      </c>
      <c r="J49" s="15" t="s">
        <v>3</v>
      </c>
      <c r="K49" s="15" t="s">
        <v>3</v>
      </c>
    </row>
    <row r="50" spans="1:11" x14ac:dyDescent="0.3">
      <c r="A50" s="15" t="s">
        <v>212</v>
      </c>
      <c r="B50" s="15" t="s">
        <v>41</v>
      </c>
      <c r="C50" s="15">
        <v>0</v>
      </c>
      <c r="D50" s="15">
        <v>2021</v>
      </c>
      <c r="E50" s="15" t="s">
        <v>465</v>
      </c>
      <c r="F50" s="15" t="s">
        <v>288</v>
      </c>
      <c r="G50" s="15" t="s">
        <v>317</v>
      </c>
      <c r="H50" s="15" t="s">
        <v>269</v>
      </c>
      <c r="I50" s="15" t="s">
        <v>269</v>
      </c>
      <c r="J50" s="15" t="s">
        <v>3</v>
      </c>
      <c r="K50" s="15" t="s">
        <v>3</v>
      </c>
    </row>
    <row r="51" spans="1:11" x14ac:dyDescent="0.3">
      <c r="A51" s="15" t="s">
        <v>212</v>
      </c>
      <c r="B51" s="15" t="s">
        <v>38</v>
      </c>
      <c r="C51" s="15">
        <v>0</v>
      </c>
      <c r="D51" s="15">
        <v>2021</v>
      </c>
      <c r="E51" s="15" t="s">
        <v>465</v>
      </c>
      <c r="F51" s="15" t="s">
        <v>288</v>
      </c>
      <c r="G51" s="15" t="s">
        <v>318</v>
      </c>
      <c r="H51" s="15" t="s">
        <v>269</v>
      </c>
      <c r="I51" s="15" t="s">
        <v>269</v>
      </c>
      <c r="J51" s="15" t="s">
        <v>3</v>
      </c>
      <c r="K51" s="15" t="s">
        <v>3</v>
      </c>
    </row>
    <row r="52" spans="1:11" x14ac:dyDescent="0.3">
      <c r="A52" s="15" t="s">
        <v>212</v>
      </c>
      <c r="B52" s="15" t="s">
        <v>74</v>
      </c>
      <c r="C52" s="15">
        <v>0</v>
      </c>
      <c r="D52" s="15">
        <v>2021</v>
      </c>
      <c r="E52" s="15" t="s">
        <v>465</v>
      </c>
      <c r="F52" s="15" t="s">
        <v>288</v>
      </c>
      <c r="G52" s="15" t="s">
        <v>331</v>
      </c>
      <c r="H52" s="15" t="s">
        <v>269</v>
      </c>
      <c r="I52" s="15" t="s">
        <v>269</v>
      </c>
      <c r="J52" s="15" t="s">
        <v>3</v>
      </c>
      <c r="K52" s="15" t="s">
        <v>3</v>
      </c>
    </row>
    <row r="53" spans="1:11" x14ac:dyDescent="0.3">
      <c r="A53" s="15" t="s">
        <v>55</v>
      </c>
      <c r="B53" s="15" t="s">
        <v>74</v>
      </c>
      <c r="C53" s="15">
        <v>11.653297239778848</v>
      </c>
      <c r="D53" s="15">
        <v>2021</v>
      </c>
      <c r="E53" s="15" t="s">
        <v>465</v>
      </c>
      <c r="F53" s="15" t="s">
        <v>289</v>
      </c>
      <c r="G53" s="15" t="s">
        <v>331</v>
      </c>
      <c r="H53" s="15" t="s">
        <v>269</v>
      </c>
      <c r="I53" s="15" t="s">
        <v>269</v>
      </c>
      <c r="J53" s="15" t="s">
        <v>3</v>
      </c>
      <c r="K53" s="15" t="s">
        <v>3</v>
      </c>
    </row>
    <row r="54" spans="1:11" x14ac:dyDescent="0.3">
      <c r="A54" s="15" t="s">
        <v>55</v>
      </c>
      <c r="B54" s="15" t="s">
        <v>409</v>
      </c>
      <c r="C54" s="15">
        <v>3.9243679945249998</v>
      </c>
      <c r="D54" s="15">
        <v>2021</v>
      </c>
      <c r="E54" s="15" t="s">
        <v>465</v>
      </c>
      <c r="F54" s="15" t="s">
        <v>289</v>
      </c>
      <c r="G54" s="15" t="s">
        <v>319</v>
      </c>
      <c r="H54" s="15" t="s">
        <v>269</v>
      </c>
      <c r="I54" s="15" t="s">
        <v>269</v>
      </c>
      <c r="J54" s="15" t="s">
        <v>3</v>
      </c>
      <c r="K54" s="15" t="s">
        <v>3</v>
      </c>
    </row>
    <row r="55" spans="1:11" x14ac:dyDescent="0.3">
      <c r="A55" s="15" t="s">
        <v>179</v>
      </c>
      <c r="B55" s="15" t="s">
        <v>59</v>
      </c>
      <c r="C55" s="15">
        <v>9.8796467472750038</v>
      </c>
      <c r="D55" s="15">
        <v>2021</v>
      </c>
      <c r="E55" s="15" t="s">
        <v>465</v>
      </c>
      <c r="F55" s="15" t="s">
        <v>290</v>
      </c>
      <c r="G55" s="15" t="s">
        <v>293</v>
      </c>
      <c r="H55" s="15" t="s">
        <v>269</v>
      </c>
      <c r="I55" s="15" t="s">
        <v>18</v>
      </c>
      <c r="J55" s="15" t="s">
        <v>3</v>
      </c>
      <c r="K55" s="15" t="s">
        <v>368</v>
      </c>
    </row>
    <row r="56" spans="1:11" x14ac:dyDescent="0.3">
      <c r="A56" s="15" t="s">
        <v>179</v>
      </c>
      <c r="B56" s="15" t="s">
        <v>409</v>
      </c>
      <c r="C56" s="15" t="s">
        <v>3</v>
      </c>
      <c r="D56" s="15">
        <v>2021</v>
      </c>
      <c r="E56" s="15" t="s">
        <v>465</v>
      </c>
      <c r="F56" s="15" t="s">
        <v>290</v>
      </c>
      <c r="G56" s="15" t="s">
        <v>319</v>
      </c>
      <c r="H56" s="15" t="s">
        <v>269</v>
      </c>
      <c r="I56" s="15" t="s">
        <v>269</v>
      </c>
      <c r="J56" s="15" t="s">
        <v>3</v>
      </c>
      <c r="K56" s="15" t="s">
        <v>3</v>
      </c>
    </row>
    <row r="57" spans="1:11" x14ac:dyDescent="0.3">
      <c r="A57" s="15" t="s">
        <v>179</v>
      </c>
      <c r="B57" s="15" t="s">
        <v>31</v>
      </c>
      <c r="C57" s="15">
        <v>0</v>
      </c>
      <c r="D57" s="15">
        <v>2021</v>
      </c>
      <c r="E57" s="15" t="s">
        <v>465</v>
      </c>
      <c r="F57" s="15" t="s">
        <v>290</v>
      </c>
      <c r="G57" s="15" t="s">
        <v>320</v>
      </c>
      <c r="H57" s="15" t="s">
        <v>269</v>
      </c>
      <c r="I57" s="15" t="s">
        <v>269</v>
      </c>
      <c r="J57" s="15" t="s">
        <v>3</v>
      </c>
      <c r="K57" s="15" t="s">
        <v>3</v>
      </c>
    </row>
    <row r="58" spans="1:11" x14ac:dyDescent="0.3">
      <c r="A58" s="15" t="s">
        <v>179</v>
      </c>
      <c r="B58" s="15" t="s">
        <v>32</v>
      </c>
      <c r="C58" s="15">
        <v>0</v>
      </c>
      <c r="D58" s="15">
        <v>2021</v>
      </c>
      <c r="E58" s="15" t="s">
        <v>465</v>
      </c>
      <c r="F58" s="15" t="s">
        <v>290</v>
      </c>
      <c r="G58" s="15" t="s">
        <v>321</v>
      </c>
      <c r="H58" s="15" t="s">
        <v>269</v>
      </c>
      <c r="I58" s="15" t="s">
        <v>269</v>
      </c>
      <c r="J58" s="15" t="s">
        <v>3</v>
      </c>
      <c r="K58" s="15" t="s">
        <v>3</v>
      </c>
    </row>
    <row r="59" spans="1:11" x14ac:dyDescent="0.3">
      <c r="A59" s="15" t="s">
        <v>179</v>
      </c>
      <c r="B59" s="15" t="s">
        <v>33</v>
      </c>
      <c r="C59" s="15" t="s">
        <v>3</v>
      </c>
      <c r="D59" s="15">
        <v>2021</v>
      </c>
      <c r="E59" s="15" t="s">
        <v>465</v>
      </c>
      <c r="F59" s="15" t="s">
        <v>290</v>
      </c>
      <c r="G59" s="15" t="s">
        <v>322</v>
      </c>
      <c r="H59" s="15" t="s">
        <v>269</v>
      </c>
      <c r="I59" s="15" t="s">
        <v>269</v>
      </c>
      <c r="J59" s="15" t="s">
        <v>3</v>
      </c>
      <c r="K59" s="15" t="s">
        <v>3</v>
      </c>
    </row>
    <row r="60" spans="1:11" x14ac:dyDescent="0.3">
      <c r="A60" s="15" t="s">
        <v>179</v>
      </c>
      <c r="B60" s="15" t="s">
        <v>34</v>
      </c>
      <c r="C60" s="15">
        <v>0</v>
      </c>
      <c r="D60" s="15">
        <v>2021</v>
      </c>
      <c r="E60" s="15" t="s">
        <v>465</v>
      </c>
      <c r="F60" s="15" t="s">
        <v>290</v>
      </c>
      <c r="G60" s="15" t="s">
        <v>323</v>
      </c>
      <c r="H60" s="15" t="s">
        <v>269</v>
      </c>
      <c r="I60" s="15" t="s">
        <v>269</v>
      </c>
      <c r="J60" s="15" t="s">
        <v>3</v>
      </c>
      <c r="K60" s="15" t="s">
        <v>3</v>
      </c>
    </row>
    <row r="61" spans="1:11" x14ac:dyDescent="0.3">
      <c r="A61" s="15" t="s">
        <v>179</v>
      </c>
      <c r="B61" s="15" t="s">
        <v>35</v>
      </c>
      <c r="C61" s="15">
        <v>0</v>
      </c>
      <c r="D61" s="15">
        <v>2021</v>
      </c>
      <c r="E61" s="15" t="s">
        <v>465</v>
      </c>
      <c r="F61" s="15" t="s">
        <v>290</v>
      </c>
      <c r="G61" s="15" t="s">
        <v>324</v>
      </c>
      <c r="H61" s="15" t="s">
        <v>269</v>
      </c>
      <c r="I61" s="15" t="s">
        <v>269</v>
      </c>
      <c r="J61" s="15" t="s">
        <v>3</v>
      </c>
      <c r="K61" s="15" t="s">
        <v>3</v>
      </c>
    </row>
    <row r="62" spans="1:11" x14ac:dyDescent="0.3">
      <c r="A62" s="15" t="s">
        <v>179</v>
      </c>
      <c r="B62" s="15" t="s">
        <v>57</v>
      </c>
      <c r="C62" s="15" t="s">
        <v>3</v>
      </c>
      <c r="D62" s="15">
        <v>2021</v>
      </c>
      <c r="E62" s="15" t="s">
        <v>465</v>
      </c>
      <c r="F62" s="15" t="s">
        <v>290</v>
      </c>
      <c r="G62" s="15" t="s">
        <v>325</v>
      </c>
      <c r="H62" s="15" t="s">
        <v>269</v>
      </c>
      <c r="I62" s="15" t="s">
        <v>269</v>
      </c>
      <c r="J62" s="15" t="s">
        <v>3</v>
      </c>
      <c r="K62" s="15" t="s">
        <v>3</v>
      </c>
    </row>
    <row r="63" spans="1:11" x14ac:dyDescent="0.3">
      <c r="A63" s="15" t="s">
        <v>179</v>
      </c>
      <c r="B63" s="15" t="s">
        <v>58</v>
      </c>
      <c r="C63" s="15">
        <v>3.6541159202249998</v>
      </c>
      <c r="D63" s="15">
        <v>2021</v>
      </c>
      <c r="E63" s="15" t="s">
        <v>465</v>
      </c>
      <c r="F63" s="15" t="s">
        <v>290</v>
      </c>
      <c r="G63" s="15" t="s">
        <v>294</v>
      </c>
      <c r="H63" s="15" t="s">
        <v>269</v>
      </c>
      <c r="I63" s="15" t="s">
        <v>18</v>
      </c>
      <c r="J63" s="15" t="s">
        <v>3</v>
      </c>
      <c r="K63" s="15" t="s">
        <v>369</v>
      </c>
    </row>
    <row r="64" spans="1:11" x14ac:dyDescent="0.3">
      <c r="A64" s="15" t="s">
        <v>179</v>
      </c>
      <c r="B64" s="15" t="s">
        <v>29</v>
      </c>
      <c r="C64" s="15" t="s">
        <v>3</v>
      </c>
      <c r="D64" s="15">
        <v>2021</v>
      </c>
      <c r="E64" s="15" t="s">
        <v>465</v>
      </c>
      <c r="F64" s="15" t="s">
        <v>290</v>
      </c>
      <c r="G64" s="15" t="s">
        <v>326</v>
      </c>
      <c r="H64" s="15" t="s">
        <v>269</v>
      </c>
      <c r="I64" s="15" t="s">
        <v>269</v>
      </c>
      <c r="J64" s="15" t="s">
        <v>3</v>
      </c>
      <c r="K64" s="15" t="s">
        <v>3</v>
      </c>
    </row>
    <row r="65" spans="1:11" x14ac:dyDescent="0.3">
      <c r="A65" s="15" t="s">
        <v>179</v>
      </c>
      <c r="B65" s="15" t="s">
        <v>73</v>
      </c>
      <c r="C65" s="15" t="s">
        <v>3</v>
      </c>
      <c r="D65" s="15">
        <v>2021</v>
      </c>
      <c r="E65" s="15" t="s">
        <v>465</v>
      </c>
      <c r="F65" s="15" t="s">
        <v>290</v>
      </c>
      <c r="G65" s="15" t="s">
        <v>327</v>
      </c>
      <c r="H65" s="15" t="s">
        <v>269</v>
      </c>
      <c r="I65" s="15" t="s">
        <v>269</v>
      </c>
      <c r="J65" s="15" t="s">
        <v>3</v>
      </c>
      <c r="K65" s="15" t="s">
        <v>3</v>
      </c>
    </row>
    <row r="66" spans="1:11" x14ac:dyDescent="0.3">
      <c r="A66" s="15" t="s">
        <v>179</v>
      </c>
      <c r="B66" s="15" t="s">
        <v>30</v>
      </c>
      <c r="C66" s="15" t="s">
        <v>3</v>
      </c>
      <c r="D66" s="15">
        <v>2021</v>
      </c>
      <c r="E66" s="15" t="s">
        <v>465</v>
      </c>
      <c r="F66" s="15" t="s">
        <v>290</v>
      </c>
      <c r="G66" s="15" t="s">
        <v>328</v>
      </c>
      <c r="H66" s="15" t="s">
        <v>269</v>
      </c>
      <c r="I66" s="15" t="s">
        <v>269</v>
      </c>
      <c r="J66" s="15" t="s">
        <v>3</v>
      </c>
      <c r="K66" s="15" t="s">
        <v>3</v>
      </c>
    </row>
    <row r="67" spans="1:11" x14ac:dyDescent="0.3">
      <c r="A67" s="15" t="s">
        <v>179</v>
      </c>
      <c r="B67" s="15" t="s">
        <v>80</v>
      </c>
      <c r="C67" s="15">
        <v>0</v>
      </c>
      <c r="D67" s="15">
        <v>2021</v>
      </c>
      <c r="E67" s="15" t="s">
        <v>465</v>
      </c>
      <c r="F67" s="15" t="s">
        <v>290</v>
      </c>
      <c r="G67" s="15" t="s">
        <v>329</v>
      </c>
      <c r="H67" s="15" t="s">
        <v>269</v>
      </c>
      <c r="I67" s="15" t="s">
        <v>269</v>
      </c>
      <c r="J67" s="15" t="s">
        <v>3</v>
      </c>
      <c r="K67" s="15" t="s">
        <v>3</v>
      </c>
    </row>
    <row r="68" spans="1:11" x14ac:dyDescent="0.3">
      <c r="A68" s="15" t="s">
        <v>179</v>
      </c>
      <c r="B68" s="15" t="s">
        <v>242</v>
      </c>
      <c r="C68" s="15">
        <v>0</v>
      </c>
      <c r="D68" s="15">
        <v>2021</v>
      </c>
      <c r="E68" s="15" t="s">
        <v>465</v>
      </c>
      <c r="F68" s="15" t="s">
        <v>290</v>
      </c>
      <c r="G68" s="15" t="s">
        <v>330</v>
      </c>
      <c r="H68" s="15" t="s">
        <v>269</v>
      </c>
      <c r="I68" s="15" t="s">
        <v>269</v>
      </c>
      <c r="J68" s="15" t="s">
        <v>3</v>
      </c>
      <c r="K68" s="15" t="s">
        <v>3</v>
      </c>
    </row>
    <row r="69" spans="1:11" x14ac:dyDescent="0.3">
      <c r="A69" s="15" t="s">
        <v>179</v>
      </c>
      <c r="B69" s="15" t="s">
        <v>74</v>
      </c>
      <c r="C69" s="15" t="s">
        <v>3</v>
      </c>
      <c r="D69" s="15">
        <v>2021</v>
      </c>
      <c r="E69" s="15" t="s">
        <v>465</v>
      </c>
      <c r="F69" s="15" t="s">
        <v>290</v>
      </c>
      <c r="G69" s="15" t="s">
        <v>331</v>
      </c>
      <c r="H69" s="15" t="s">
        <v>269</v>
      </c>
      <c r="I69" s="15" t="s">
        <v>269</v>
      </c>
      <c r="J69" s="15" t="s">
        <v>3</v>
      </c>
      <c r="K69" s="15" t="s">
        <v>3</v>
      </c>
    </row>
    <row r="70" spans="1:11" x14ac:dyDescent="0.3">
      <c r="A70" s="15" t="s">
        <v>53</v>
      </c>
      <c r="B70" s="15" t="s">
        <v>76</v>
      </c>
      <c r="C70" s="15">
        <v>0</v>
      </c>
      <c r="D70" s="15">
        <v>2021</v>
      </c>
      <c r="E70" s="15" t="s">
        <v>465</v>
      </c>
      <c r="F70" s="15" t="s">
        <v>291</v>
      </c>
      <c r="G70" s="15" t="s">
        <v>299</v>
      </c>
      <c r="H70" s="15" t="s">
        <v>269</v>
      </c>
      <c r="I70" s="15" t="s">
        <v>269</v>
      </c>
      <c r="J70" s="15" t="s">
        <v>3</v>
      </c>
      <c r="K70" s="15" t="s">
        <v>3</v>
      </c>
    </row>
    <row r="71" spans="1:11" x14ac:dyDescent="0.3">
      <c r="A71" s="15" t="s">
        <v>54</v>
      </c>
      <c r="B71" s="15" t="s">
        <v>45</v>
      </c>
      <c r="C71" s="15">
        <v>2.8392783531428574</v>
      </c>
      <c r="D71" s="15">
        <v>2021</v>
      </c>
      <c r="E71" s="15" t="s">
        <v>465</v>
      </c>
      <c r="F71" s="15" t="s">
        <v>292</v>
      </c>
      <c r="G71" s="15" t="s">
        <v>298</v>
      </c>
      <c r="H71" s="15" t="s">
        <v>269</v>
      </c>
      <c r="I71" s="15" t="s">
        <v>269</v>
      </c>
      <c r="J71" s="15" t="s">
        <v>3</v>
      </c>
      <c r="K71" s="15" t="s">
        <v>3</v>
      </c>
    </row>
    <row r="72" spans="1:11" x14ac:dyDescent="0.3">
      <c r="A72" s="15" t="s">
        <v>54</v>
      </c>
      <c r="B72" s="15" t="s">
        <v>180</v>
      </c>
      <c r="C72" s="15">
        <v>0.325716228</v>
      </c>
      <c r="D72" s="15">
        <v>2021</v>
      </c>
      <c r="E72" s="15" t="s">
        <v>465</v>
      </c>
      <c r="F72" s="15" t="s">
        <v>292</v>
      </c>
      <c r="G72" s="15" t="s">
        <v>300</v>
      </c>
      <c r="H72" s="15" t="s">
        <v>269</v>
      </c>
      <c r="I72" s="15" t="s">
        <v>269</v>
      </c>
      <c r="J72" s="15" t="s">
        <v>3</v>
      </c>
      <c r="K72" s="15" t="s">
        <v>3</v>
      </c>
    </row>
    <row r="73" spans="1:11" x14ac:dyDescent="0.3">
      <c r="A73" s="15" t="s">
        <v>54</v>
      </c>
      <c r="B73" s="15" t="s">
        <v>209</v>
      </c>
      <c r="C73" s="15">
        <v>4.793824285714285</v>
      </c>
      <c r="D73" s="15">
        <v>2021</v>
      </c>
      <c r="E73" s="15" t="s">
        <v>465</v>
      </c>
      <c r="F73" s="15" t="s">
        <v>292</v>
      </c>
      <c r="G73" s="15" t="s">
        <v>301</v>
      </c>
      <c r="H73" s="15" t="s">
        <v>269</v>
      </c>
      <c r="I73" s="15" t="s">
        <v>269</v>
      </c>
      <c r="J73" s="15" t="s">
        <v>3</v>
      </c>
      <c r="K73" s="15" t="s">
        <v>3</v>
      </c>
    </row>
    <row r="74" spans="1:11" x14ac:dyDescent="0.3">
      <c r="A74" s="15" t="s">
        <v>54</v>
      </c>
      <c r="B74" s="15" t="s">
        <v>75</v>
      </c>
      <c r="C74" s="15">
        <v>0.12557859300000002</v>
      </c>
      <c r="D74" s="15">
        <v>2021</v>
      </c>
      <c r="E74" s="15" t="s">
        <v>465</v>
      </c>
      <c r="F74" s="15" t="s">
        <v>292</v>
      </c>
      <c r="G74" s="15" t="s">
        <v>302</v>
      </c>
      <c r="H74" s="15" t="s">
        <v>269</v>
      </c>
      <c r="I74" s="15" t="s">
        <v>269</v>
      </c>
      <c r="J74" s="15" t="s">
        <v>3</v>
      </c>
      <c r="K74" s="15" t="s">
        <v>3</v>
      </c>
    </row>
    <row r="75" spans="1:11" x14ac:dyDescent="0.3">
      <c r="A75" s="15" t="s">
        <v>65</v>
      </c>
      <c r="B75" s="15" t="s">
        <v>70</v>
      </c>
      <c r="C75" s="15">
        <v>2.5182989725806451</v>
      </c>
      <c r="D75" s="15">
        <v>2021</v>
      </c>
      <c r="E75" s="15" t="s">
        <v>465</v>
      </c>
      <c r="F75" s="15" t="s">
        <v>285</v>
      </c>
      <c r="G75" s="15" t="s">
        <v>303</v>
      </c>
      <c r="H75" s="15" t="s">
        <v>18</v>
      </c>
      <c r="I75" s="15" t="s">
        <v>269</v>
      </c>
      <c r="J75" s="15" t="s">
        <v>341</v>
      </c>
      <c r="K75" s="15" t="s">
        <v>3</v>
      </c>
    </row>
    <row r="76" spans="1:11" x14ac:dyDescent="0.3">
      <c r="A76" s="15" t="s">
        <v>53</v>
      </c>
      <c r="B76" s="15" t="s">
        <v>70</v>
      </c>
      <c r="C76" s="15" t="s">
        <v>3</v>
      </c>
      <c r="D76" s="15">
        <v>2021</v>
      </c>
      <c r="E76" s="15" t="s">
        <v>465</v>
      </c>
      <c r="F76" s="15" t="s">
        <v>291</v>
      </c>
      <c r="G76" s="15" t="s">
        <v>303</v>
      </c>
      <c r="H76" s="15" t="s">
        <v>269</v>
      </c>
      <c r="I76" s="15" t="s">
        <v>269</v>
      </c>
      <c r="J76" s="15" t="s">
        <v>3</v>
      </c>
      <c r="K76" s="15" t="s">
        <v>3</v>
      </c>
    </row>
    <row r="77" spans="1:11" x14ac:dyDescent="0.3">
      <c r="A77" s="15" t="s">
        <v>54</v>
      </c>
      <c r="B77" s="15" t="s">
        <v>70</v>
      </c>
      <c r="C77" s="15" t="s">
        <v>3</v>
      </c>
      <c r="D77" s="15">
        <v>2021</v>
      </c>
      <c r="E77" s="15" t="s">
        <v>465</v>
      </c>
      <c r="F77" s="15" t="s">
        <v>292</v>
      </c>
      <c r="G77" s="15" t="s">
        <v>303</v>
      </c>
      <c r="H77" s="15" t="s">
        <v>269</v>
      </c>
      <c r="I77" s="15" t="s">
        <v>269</v>
      </c>
      <c r="J77" s="15" t="s">
        <v>3</v>
      </c>
      <c r="K77" s="15" t="s">
        <v>3</v>
      </c>
    </row>
    <row r="78" spans="1:11" x14ac:dyDescent="0.3">
      <c r="A78" s="15" t="s">
        <v>65</v>
      </c>
      <c r="B78" s="15" t="s">
        <v>71</v>
      </c>
      <c r="C78" s="15">
        <v>26.239405455208335</v>
      </c>
      <c r="D78" s="15">
        <v>2021</v>
      </c>
      <c r="E78" s="15" t="s">
        <v>465</v>
      </c>
      <c r="F78" s="15" t="s">
        <v>285</v>
      </c>
      <c r="G78" s="15" t="s">
        <v>304</v>
      </c>
      <c r="H78" s="15" t="s">
        <v>18</v>
      </c>
      <c r="I78" s="15" t="s">
        <v>269</v>
      </c>
      <c r="J78" s="15" t="s">
        <v>341</v>
      </c>
      <c r="K78" s="15" t="s">
        <v>3</v>
      </c>
    </row>
    <row r="79" spans="1:11" x14ac:dyDescent="0.3">
      <c r="A79" s="15" t="s">
        <v>53</v>
      </c>
      <c r="B79" s="15" t="s">
        <v>71</v>
      </c>
      <c r="C79" s="15" t="s">
        <v>3</v>
      </c>
      <c r="D79" s="15">
        <v>2021</v>
      </c>
      <c r="E79" s="15" t="s">
        <v>465</v>
      </c>
      <c r="F79" s="15" t="s">
        <v>291</v>
      </c>
      <c r="G79" s="15" t="s">
        <v>304</v>
      </c>
      <c r="H79" s="15" t="s">
        <v>269</v>
      </c>
      <c r="I79" s="15" t="s">
        <v>269</v>
      </c>
      <c r="J79" s="15" t="s">
        <v>3</v>
      </c>
      <c r="K79" s="15" t="s">
        <v>3</v>
      </c>
    </row>
    <row r="80" spans="1:11" x14ac:dyDescent="0.3">
      <c r="A80" s="15" t="s">
        <v>54</v>
      </c>
      <c r="B80" s="15" t="s">
        <v>71</v>
      </c>
      <c r="C80" s="15" t="s">
        <v>3</v>
      </c>
      <c r="D80" s="15">
        <v>2021</v>
      </c>
      <c r="E80" s="15" t="s">
        <v>465</v>
      </c>
      <c r="F80" s="15" t="s">
        <v>292</v>
      </c>
      <c r="G80" s="15" t="s">
        <v>304</v>
      </c>
      <c r="H80" s="15" t="s">
        <v>269</v>
      </c>
      <c r="I80" s="15" t="s">
        <v>269</v>
      </c>
      <c r="J80" s="15" t="s">
        <v>3</v>
      </c>
      <c r="K80" s="15" t="s">
        <v>3</v>
      </c>
    </row>
    <row r="81" spans="1:11" x14ac:dyDescent="0.3">
      <c r="A81" s="15" t="s">
        <v>65</v>
      </c>
      <c r="B81" s="15" t="s">
        <v>72</v>
      </c>
      <c r="C81" s="15">
        <v>4.3097142857142856</v>
      </c>
      <c r="D81" s="15">
        <v>2021</v>
      </c>
      <c r="E81" s="15" t="s">
        <v>465</v>
      </c>
      <c r="F81" s="15" t="s">
        <v>285</v>
      </c>
      <c r="G81" s="15" t="s">
        <v>305</v>
      </c>
      <c r="H81" s="15" t="s">
        <v>18</v>
      </c>
      <c r="I81" s="15" t="s">
        <v>269</v>
      </c>
      <c r="J81" s="15" t="s">
        <v>341</v>
      </c>
      <c r="K81" s="15" t="s">
        <v>3</v>
      </c>
    </row>
    <row r="82" spans="1:11" x14ac:dyDescent="0.3">
      <c r="A82" s="15" t="s">
        <v>53</v>
      </c>
      <c r="B82" s="15" t="s">
        <v>72</v>
      </c>
      <c r="C82" s="15" t="s">
        <v>3</v>
      </c>
      <c r="D82" s="15">
        <v>2021</v>
      </c>
      <c r="E82" s="15" t="s">
        <v>465</v>
      </c>
      <c r="F82" s="15" t="s">
        <v>291</v>
      </c>
      <c r="G82" s="15" t="s">
        <v>305</v>
      </c>
      <c r="H82" s="15" t="s">
        <v>269</v>
      </c>
      <c r="I82" s="15" t="s">
        <v>269</v>
      </c>
      <c r="J82" s="15" t="s">
        <v>3</v>
      </c>
      <c r="K82" s="15" t="s">
        <v>3</v>
      </c>
    </row>
    <row r="83" spans="1:11" x14ac:dyDescent="0.3">
      <c r="A83" s="15" t="s">
        <v>54</v>
      </c>
      <c r="B83" s="15" t="s">
        <v>72</v>
      </c>
      <c r="C83" s="15" t="s">
        <v>3</v>
      </c>
      <c r="D83" s="15">
        <v>2021</v>
      </c>
      <c r="E83" s="15" t="s">
        <v>465</v>
      </c>
      <c r="F83" s="15" t="s">
        <v>292</v>
      </c>
      <c r="G83" s="15" t="s">
        <v>305</v>
      </c>
      <c r="H83" s="15" t="s">
        <v>269</v>
      </c>
      <c r="I83" s="15" t="s">
        <v>269</v>
      </c>
      <c r="J83" s="15" t="s">
        <v>3</v>
      </c>
      <c r="K83" s="15" t="s">
        <v>3</v>
      </c>
    </row>
    <row r="84" spans="1:11" x14ac:dyDescent="0.3">
      <c r="A84" s="15" t="s">
        <v>54</v>
      </c>
      <c r="B84" s="15" t="s">
        <v>47</v>
      </c>
      <c r="C84" s="15">
        <v>5.371414681500001</v>
      </c>
      <c r="D84" s="15">
        <v>2021</v>
      </c>
      <c r="E84" s="15" t="s">
        <v>465</v>
      </c>
      <c r="F84" s="15" t="s">
        <v>292</v>
      </c>
      <c r="G84" s="15" t="s">
        <v>293</v>
      </c>
      <c r="H84" s="15" t="s">
        <v>269</v>
      </c>
      <c r="I84" s="15" t="s">
        <v>269</v>
      </c>
      <c r="J84" s="15" t="s">
        <v>3</v>
      </c>
      <c r="K84" s="15" t="s">
        <v>3</v>
      </c>
    </row>
    <row r="85" spans="1:11" x14ac:dyDescent="0.3">
      <c r="A85" s="15" t="s">
        <v>47</v>
      </c>
      <c r="B85" s="15" t="s">
        <v>74</v>
      </c>
      <c r="C85" s="15">
        <v>0.48049938150000016</v>
      </c>
      <c r="D85" s="15">
        <v>2021</v>
      </c>
      <c r="E85" s="15" t="s">
        <v>465</v>
      </c>
      <c r="F85" s="15" t="s">
        <v>293</v>
      </c>
      <c r="G85" s="15" t="s">
        <v>331</v>
      </c>
      <c r="H85" s="15" t="s">
        <v>269</v>
      </c>
      <c r="I85" s="15" t="s">
        <v>269</v>
      </c>
      <c r="J85" s="15" t="s">
        <v>3</v>
      </c>
      <c r="K85" s="15" t="s">
        <v>3</v>
      </c>
    </row>
    <row r="86" spans="1:11" x14ac:dyDescent="0.3">
      <c r="A86" s="15" t="s">
        <v>47</v>
      </c>
      <c r="B86" s="15" t="s">
        <v>409</v>
      </c>
      <c r="C86" s="15">
        <v>4.414818849875001</v>
      </c>
      <c r="D86" s="15">
        <v>2021</v>
      </c>
      <c r="E86" s="15" t="s">
        <v>465</v>
      </c>
      <c r="F86" s="15" t="s">
        <v>293</v>
      </c>
      <c r="G86" s="15" t="s">
        <v>319</v>
      </c>
      <c r="H86" s="15" t="s">
        <v>269</v>
      </c>
      <c r="I86" s="15" t="s">
        <v>269</v>
      </c>
      <c r="J86" s="15" t="s">
        <v>3</v>
      </c>
      <c r="K86" s="15" t="s">
        <v>3</v>
      </c>
    </row>
    <row r="87" spans="1:11" x14ac:dyDescent="0.3">
      <c r="A87" s="15" t="s">
        <v>274</v>
      </c>
      <c r="B87" s="15" t="s">
        <v>51</v>
      </c>
      <c r="C87" s="15">
        <v>2.6455291065000002</v>
      </c>
      <c r="D87" s="15">
        <v>2021</v>
      </c>
      <c r="E87" s="15" t="s">
        <v>465</v>
      </c>
      <c r="F87" s="15" t="s">
        <v>294</v>
      </c>
      <c r="G87" s="15" t="s">
        <v>291</v>
      </c>
      <c r="H87" s="15" t="s">
        <v>269</v>
      </c>
      <c r="I87" s="15" t="s">
        <v>18</v>
      </c>
      <c r="J87" s="15" t="s">
        <v>3</v>
      </c>
      <c r="K87" s="15" t="s">
        <v>367</v>
      </c>
    </row>
    <row r="88" spans="1:11" x14ac:dyDescent="0.3">
      <c r="A88" s="15" t="s">
        <v>274</v>
      </c>
      <c r="B88" s="15" t="s">
        <v>36</v>
      </c>
      <c r="C88" s="15" t="s">
        <v>3</v>
      </c>
      <c r="D88" s="15">
        <v>2021</v>
      </c>
      <c r="E88" s="15" t="s">
        <v>465</v>
      </c>
      <c r="F88" s="15" t="s">
        <v>294</v>
      </c>
      <c r="G88" s="15" t="s">
        <v>313</v>
      </c>
      <c r="H88" s="15" t="s">
        <v>269</v>
      </c>
      <c r="I88" s="15" t="s">
        <v>269</v>
      </c>
      <c r="J88" s="15" t="s">
        <v>3</v>
      </c>
      <c r="K88" s="15" t="s">
        <v>3</v>
      </c>
    </row>
    <row r="89" spans="1:11" x14ac:dyDescent="0.3">
      <c r="A89" s="15" t="s">
        <v>274</v>
      </c>
      <c r="B89" s="15" t="s">
        <v>37</v>
      </c>
      <c r="C89" s="15" t="s">
        <v>3</v>
      </c>
      <c r="D89" s="15">
        <v>2021</v>
      </c>
      <c r="E89" s="15" t="s">
        <v>465</v>
      </c>
      <c r="F89" s="15" t="s">
        <v>294</v>
      </c>
      <c r="G89" s="15" t="s">
        <v>314</v>
      </c>
      <c r="H89" s="15" t="s">
        <v>269</v>
      </c>
      <c r="I89" s="15" t="s">
        <v>269</v>
      </c>
      <c r="J89" s="15" t="s">
        <v>3</v>
      </c>
      <c r="K89" s="15" t="s">
        <v>3</v>
      </c>
    </row>
    <row r="90" spans="1:11" x14ac:dyDescent="0.3">
      <c r="A90" s="15" t="s">
        <v>274</v>
      </c>
      <c r="B90" s="15" t="s">
        <v>39</v>
      </c>
      <c r="C90" s="15" t="s">
        <v>3</v>
      </c>
      <c r="D90" s="15">
        <v>2021</v>
      </c>
      <c r="E90" s="15" t="s">
        <v>465</v>
      </c>
      <c r="F90" s="15" t="s">
        <v>294</v>
      </c>
      <c r="G90" s="15" t="s">
        <v>315</v>
      </c>
      <c r="H90" s="15" t="s">
        <v>269</v>
      </c>
      <c r="I90" s="15" t="s">
        <v>269</v>
      </c>
      <c r="J90" s="15" t="s">
        <v>3</v>
      </c>
      <c r="K90" s="15" t="s">
        <v>3</v>
      </c>
    </row>
    <row r="91" spans="1:11" x14ac:dyDescent="0.3">
      <c r="A91" s="15" t="s">
        <v>274</v>
      </c>
      <c r="B91" s="15" t="s">
        <v>40</v>
      </c>
      <c r="C91" s="15" t="s">
        <v>3</v>
      </c>
      <c r="D91" s="15">
        <v>2021</v>
      </c>
      <c r="E91" s="15" t="s">
        <v>465</v>
      </c>
      <c r="F91" s="15" t="s">
        <v>294</v>
      </c>
      <c r="G91" s="15" t="s">
        <v>316</v>
      </c>
      <c r="H91" s="15" t="s">
        <v>269</v>
      </c>
      <c r="I91" s="15" t="s">
        <v>269</v>
      </c>
      <c r="J91" s="15" t="s">
        <v>3</v>
      </c>
      <c r="K91" s="15" t="s">
        <v>3</v>
      </c>
    </row>
    <row r="92" spans="1:11" x14ac:dyDescent="0.3">
      <c r="A92" s="15" t="s">
        <v>274</v>
      </c>
      <c r="B92" s="15" t="s">
        <v>41</v>
      </c>
      <c r="C92" s="15" t="s">
        <v>3</v>
      </c>
      <c r="D92" s="15">
        <v>2021</v>
      </c>
      <c r="E92" s="15" t="s">
        <v>465</v>
      </c>
      <c r="F92" s="15" t="s">
        <v>294</v>
      </c>
      <c r="G92" s="15" t="s">
        <v>317</v>
      </c>
      <c r="H92" s="15" t="s">
        <v>269</v>
      </c>
      <c r="I92" s="15" t="s">
        <v>269</v>
      </c>
      <c r="J92" s="15" t="s">
        <v>3</v>
      </c>
      <c r="K92" s="15" t="s">
        <v>3</v>
      </c>
    </row>
    <row r="93" spans="1:11" x14ac:dyDescent="0.3">
      <c r="A93" s="15" t="s">
        <v>274</v>
      </c>
      <c r="B93" s="15" t="s">
        <v>38</v>
      </c>
      <c r="C93" s="15" t="s">
        <v>3</v>
      </c>
      <c r="D93" s="15">
        <v>2021</v>
      </c>
      <c r="E93" s="15" t="s">
        <v>465</v>
      </c>
      <c r="F93" s="15" t="s">
        <v>294</v>
      </c>
      <c r="G93" s="15" t="s">
        <v>318</v>
      </c>
      <c r="H93" s="15" t="s">
        <v>269</v>
      </c>
      <c r="I93" s="15" t="s">
        <v>269</v>
      </c>
      <c r="J93" s="15" t="s">
        <v>3</v>
      </c>
      <c r="K93" s="15" t="s">
        <v>3</v>
      </c>
    </row>
    <row r="94" spans="1:11" x14ac:dyDescent="0.3">
      <c r="A94" s="15" t="s">
        <v>275</v>
      </c>
      <c r="B94" s="15" t="s">
        <v>51</v>
      </c>
      <c r="C94" s="15">
        <v>11.570441736874997</v>
      </c>
      <c r="D94" s="15">
        <v>2021</v>
      </c>
      <c r="E94" s="15" t="s">
        <v>465</v>
      </c>
      <c r="F94" s="15" t="s">
        <v>295</v>
      </c>
      <c r="G94" s="15" t="s">
        <v>291</v>
      </c>
      <c r="H94" s="15" t="s">
        <v>269</v>
      </c>
      <c r="I94" s="15" t="s">
        <v>18</v>
      </c>
      <c r="J94" s="15" t="s">
        <v>3</v>
      </c>
      <c r="K94" s="15" t="s">
        <v>367</v>
      </c>
    </row>
    <row r="95" spans="1:11" x14ac:dyDescent="0.3">
      <c r="A95" s="15" t="s">
        <v>275</v>
      </c>
      <c r="B95" s="15" t="s">
        <v>36</v>
      </c>
      <c r="C95" s="15" t="s">
        <v>3</v>
      </c>
      <c r="D95" s="15">
        <v>2021</v>
      </c>
      <c r="E95" s="15" t="s">
        <v>465</v>
      </c>
      <c r="F95" s="15" t="s">
        <v>295</v>
      </c>
      <c r="G95" s="15" t="s">
        <v>313</v>
      </c>
      <c r="H95" s="15" t="s">
        <v>269</v>
      </c>
      <c r="I95" s="15" t="s">
        <v>269</v>
      </c>
      <c r="J95" s="15" t="s">
        <v>3</v>
      </c>
      <c r="K95" s="15" t="s">
        <v>3</v>
      </c>
    </row>
    <row r="96" spans="1:11" x14ac:dyDescent="0.3">
      <c r="A96" s="15" t="s">
        <v>275</v>
      </c>
      <c r="B96" s="15" t="s">
        <v>37</v>
      </c>
      <c r="C96" s="15" t="s">
        <v>3</v>
      </c>
      <c r="D96" s="15">
        <v>2021</v>
      </c>
      <c r="E96" s="15" t="s">
        <v>465</v>
      </c>
      <c r="F96" s="15" t="s">
        <v>295</v>
      </c>
      <c r="G96" s="15" t="s">
        <v>314</v>
      </c>
      <c r="H96" s="15" t="s">
        <v>269</v>
      </c>
      <c r="I96" s="15" t="s">
        <v>269</v>
      </c>
      <c r="J96" s="15" t="s">
        <v>3</v>
      </c>
      <c r="K96" s="15" t="s">
        <v>3</v>
      </c>
    </row>
    <row r="97" spans="1:11" x14ac:dyDescent="0.3">
      <c r="A97" s="15" t="s">
        <v>275</v>
      </c>
      <c r="B97" s="15" t="s">
        <v>39</v>
      </c>
      <c r="C97" s="15" t="s">
        <v>3</v>
      </c>
      <c r="D97" s="15">
        <v>2021</v>
      </c>
      <c r="E97" s="15" t="s">
        <v>465</v>
      </c>
      <c r="F97" s="15" t="s">
        <v>295</v>
      </c>
      <c r="G97" s="15" t="s">
        <v>315</v>
      </c>
      <c r="H97" s="15" t="s">
        <v>269</v>
      </c>
      <c r="I97" s="15" t="s">
        <v>269</v>
      </c>
      <c r="J97" s="15" t="s">
        <v>3</v>
      </c>
      <c r="K97" s="15" t="s">
        <v>3</v>
      </c>
    </row>
    <row r="98" spans="1:11" x14ac:dyDescent="0.3">
      <c r="A98" s="15" t="s">
        <v>275</v>
      </c>
      <c r="B98" s="15" t="s">
        <v>40</v>
      </c>
      <c r="C98" s="15" t="s">
        <v>3</v>
      </c>
      <c r="D98" s="15">
        <v>2021</v>
      </c>
      <c r="E98" s="15" t="s">
        <v>465</v>
      </c>
      <c r="F98" s="15" t="s">
        <v>295</v>
      </c>
      <c r="G98" s="15" t="s">
        <v>316</v>
      </c>
      <c r="H98" s="15" t="s">
        <v>269</v>
      </c>
      <c r="I98" s="15" t="s">
        <v>269</v>
      </c>
      <c r="J98" s="15" t="s">
        <v>3</v>
      </c>
      <c r="K98" s="15" t="s">
        <v>3</v>
      </c>
    </row>
    <row r="99" spans="1:11" x14ac:dyDescent="0.3">
      <c r="A99" s="15" t="s">
        <v>275</v>
      </c>
      <c r="B99" s="15" t="s">
        <v>41</v>
      </c>
      <c r="C99" s="15" t="s">
        <v>3</v>
      </c>
      <c r="D99" s="15">
        <v>2021</v>
      </c>
      <c r="E99" s="15" t="s">
        <v>465</v>
      </c>
      <c r="F99" s="15" t="s">
        <v>295</v>
      </c>
      <c r="G99" s="15" t="s">
        <v>317</v>
      </c>
      <c r="H99" s="15" t="s">
        <v>269</v>
      </c>
      <c r="I99" s="15" t="s">
        <v>269</v>
      </c>
      <c r="J99" s="15" t="s">
        <v>3</v>
      </c>
      <c r="K99" s="15" t="s">
        <v>3</v>
      </c>
    </row>
    <row r="100" spans="1:11" x14ac:dyDescent="0.3">
      <c r="A100" s="15" t="s">
        <v>275</v>
      </c>
      <c r="B100" s="15" t="s">
        <v>38</v>
      </c>
      <c r="C100" s="15" t="s">
        <v>3</v>
      </c>
      <c r="D100" s="15">
        <v>2021</v>
      </c>
      <c r="E100" s="15" t="s">
        <v>465</v>
      </c>
      <c r="F100" s="15" t="s">
        <v>295</v>
      </c>
      <c r="G100" s="15" t="s">
        <v>318</v>
      </c>
      <c r="H100" s="15" t="s">
        <v>269</v>
      </c>
      <c r="I100" s="15" t="s">
        <v>269</v>
      </c>
      <c r="J100" s="15" t="s">
        <v>3</v>
      </c>
      <c r="K100" s="15" t="s">
        <v>3</v>
      </c>
    </row>
    <row r="101" spans="1:11" x14ac:dyDescent="0.3">
      <c r="A101" s="15" t="s">
        <v>274</v>
      </c>
      <c r="B101" s="15" t="s">
        <v>58</v>
      </c>
      <c r="C101" s="15">
        <v>1.6309599291299999</v>
      </c>
      <c r="D101" s="15">
        <v>2021</v>
      </c>
      <c r="E101" s="15" t="s">
        <v>465</v>
      </c>
      <c r="F101" s="15" t="s">
        <v>294</v>
      </c>
      <c r="G101" s="15" t="s">
        <v>294</v>
      </c>
      <c r="H101" s="15" t="s">
        <v>269</v>
      </c>
      <c r="I101" s="15" t="s">
        <v>18</v>
      </c>
      <c r="J101" s="15" t="s">
        <v>3</v>
      </c>
      <c r="K101" s="15" t="s">
        <v>369</v>
      </c>
    </row>
    <row r="102" spans="1:11" x14ac:dyDescent="0.3">
      <c r="A102" s="15" t="s">
        <v>274</v>
      </c>
      <c r="B102" s="15" t="s">
        <v>29</v>
      </c>
      <c r="C102" s="15" t="s">
        <v>3</v>
      </c>
      <c r="D102" s="15">
        <v>2021</v>
      </c>
      <c r="E102" s="15" t="s">
        <v>465</v>
      </c>
      <c r="F102" s="15" t="s">
        <v>294</v>
      </c>
      <c r="G102" s="15" t="s">
        <v>326</v>
      </c>
      <c r="H102" s="15" t="s">
        <v>269</v>
      </c>
      <c r="I102" s="15" t="s">
        <v>269</v>
      </c>
      <c r="J102" s="15" t="s">
        <v>3</v>
      </c>
      <c r="K102" s="15" t="s">
        <v>3</v>
      </c>
    </row>
    <row r="103" spans="1:11" x14ac:dyDescent="0.3">
      <c r="A103" s="15" t="s">
        <v>274</v>
      </c>
      <c r="B103" s="15" t="s">
        <v>73</v>
      </c>
      <c r="C103" s="15" t="s">
        <v>3</v>
      </c>
      <c r="D103" s="15">
        <v>2021</v>
      </c>
      <c r="E103" s="15" t="s">
        <v>465</v>
      </c>
      <c r="F103" s="15" t="s">
        <v>294</v>
      </c>
      <c r="G103" s="15" t="s">
        <v>327</v>
      </c>
      <c r="H103" s="15" t="s">
        <v>269</v>
      </c>
      <c r="I103" s="15" t="s">
        <v>269</v>
      </c>
      <c r="J103" s="15" t="s">
        <v>3</v>
      </c>
      <c r="K103" s="15" t="s">
        <v>3</v>
      </c>
    </row>
    <row r="104" spans="1:11" x14ac:dyDescent="0.3">
      <c r="A104" s="15" t="s">
        <v>274</v>
      </c>
      <c r="B104" s="15" t="s">
        <v>30</v>
      </c>
      <c r="C104" s="15" t="s">
        <v>3</v>
      </c>
      <c r="D104" s="15">
        <v>2021</v>
      </c>
      <c r="E104" s="15" t="s">
        <v>465</v>
      </c>
      <c r="F104" s="15" t="s">
        <v>294</v>
      </c>
      <c r="G104" s="15" t="s">
        <v>328</v>
      </c>
      <c r="H104" s="15" t="s">
        <v>269</v>
      </c>
      <c r="I104" s="15" t="s">
        <v>269</v>
      </c>
      <c r="J104" s="15" t="s">
        <v>3</v>
      </c>
      <c r="K104" s="15" t="s">
        <v>3</v>
      </c>
    </row>
    <row r="105" spans="1:11" x14ac:dyDescent="0.3">
      <c r="A105" s="15" t="s">
        <v>274</v>
      </c>
      <c r="B105" s="15" t="s">
        <v>80</v>
      </c>
      <c r="C105" s="15">
        <v>0</v>
      </c>
      <c r="D105" s="15">
        <v>2021</v>
      </c>
      <c r="E105" s="15" t="s">
        <v>465</v>
      </c>
      <c r="F105" s="15" t="s">
        <v>294</v>
      </c>
      <c r="G105" s="15" t="s">
        <v>329</v>
      </c>
      <c r="H105" s="15" t="s">
        <v>269</v>
      </c>
      <c r="I105" s="15" t="s">
        <v>269</v>
      </c>
      <c r="J105" s="15" t="s">
        <v>3</v>
      </c>
      <c r="K105" s="15" t="s">
        <v>3</v>
      </c>
    </row>
    <row r="106" spans="1:11" x14ac:dyDescent="0.3">
      <c r="A106" s="15" t="s">
        <v>274</v>
      </c>
      <c r="B106" s="15" t="s">
        <v>242</v>
      </c>
      <c r="C106" s="15">
        <v>0</v>
      </c>
      <c r="D106" s="15">
        <v>2021</v>
      </c>
      <c r="E106" s="15" t="s">
        <v>465</v>
      </c>
      <c r="F106" s="15" t="s">
        <v>294</v>
      </c>
      <c r="G106" s="15" t="s">
        <v>330</v>
      </c>
      <c r="H106" s="15" t="s">
        <v>269</v>
      </c>
      <c r="I106" s="15" t="s">
        <v>269</v>
      </c>
      <c r="J106" s="15" t="s">
        <v>3</v>
      </c>
      <c r="K106" s="15" t="s">
        <v>3</v>
      </c>
    </row>
    <row r="107" spans="1:11" x14ac:dyDescent="0.3">
      <c r="A107" s="15" t="s">
        <v>274</v>
      </c>
      <c r="B107" s="15" t="s">
        <v>74</v>
      </c>
      <c r="C107" s="15" t="s">
        <v>3</v>
      </c>
      <c r="D107" s="15">
        <v>2021</v>
      </c>
      <c r="E107" s="15" t="s">
        <v>465</v>
      </c>
      <c r="F107" s="15" t="s">
        <v>294</v>
      </c>
      <c r="G107" s="15" t="s">
        <v>331</v>
      </c>
      <c r="H107" s="15" t="s">
        <v>269</v>
      </c>
      <c r="I107" s="15" t="s">
        <v>269</v>
      </c>
      <c r="J107" s="15" t="s">
        <v>3</v>
      </c>
      <c r="K107" s="15" t="s">
        <v>3</v>
      </c>
    </row>
    <row r="108" spans="1:11" x14ac:dyDescent="0.3">
      <c r="A108" s="15" t="s">
        <v>275</v>
      </c>
      <c r="B108" s="15" t="s">
        <v>58</v>
      </c>
      <c r="C108" s="15">
        <v>11.046005035926722</v>
      </c>
      <c r="D108" s="15">
        <v>2021</v>
      </c>
      <c r="E108" s="15" t="s">
        <v>465</v>
      </c>
      <c r="F108" s="15" t="s">
        <v>295</v>
      </c>
      <c r="G108" s="15" t="s">
        <v>294</v>
      </c>
      <c r="H108" s="15" t="s">
        <v>269</v>
      </c>
      <c r="I108" s="15" t="s">
        <v>18</v>
      </c>
      <c r="J108" s="15" t="s">
        <v>3</v>
      </c>
      <c r="K108" s="15" t="s">
        <v>369</v>
      </c>
    </row>
    <row r="109" spans="1:11" x14ac:dyDescent="0.3">
      <c r="A109" s="15" t="s">
        <v>275</v>
      </c>
      <c r="B109" s="15" t="s">
        <v>29</v>
      </c>
      <c r="C109" s="15" t="s">
        <v>3</v>
      </c>
      <c r="D109" s="15">
        <v>2021</v>
      </c>
      <c r="E109" s="15" t="s">
        <v>465</v>
      </c>
      <c r="F109" s="15" t="s">
        <v>295</v>
      </c>
      <c r="G109" s="15" t="s">
        <v>326</v>
      </c>
      <c r="H109" s="15" t="s">
        <v>269</v>
      </c>
      <c r="I109" s="15" t="s">
        <v>269</v>
      </c>
      <c r="J109" s="15" t="s">
        <v>3</v>
      </c>
      <c r="K109" s="15" t="s">
        <v>3</v>
      </c>
    </row>
    <row r="110" spans="1:11" x14ac:dyDescent="0.3">
      <c r="A110" s="15" t="s">
        <v>275</v>
      </c>
      <c r="B110" s="15" t="s">
        <v>73</v>
      </c>
      <c r="C110" s="15" t="s">
        <v>3</v>
      </c>
      <c r="D110" s="15">
        <v>2021</v>
      </c>
      <c r="E110" s="15" t="s">
        <v>465</v>
      </c>
      <c r="F110" s="15" t="s">
        <v>295</v>
      </c>
      <c r="G110" s="15" t="s">
        <v>327</v>
      </c>
      <c r="H110" s="15" t="s">
        <v>269</v>
      </c>
      <c r="I110" s="15" t="s">
        <v>269</v>
      </c>
      <c r="J110" s="15" t="s">
        <v>3</v>
      </c>
      <c r="K110" s="15" t="s">
        <v>3</v>
      </c>
    </row>
    <row r="111" spans="1:11" x14ac:dyDescent="0.3">
      <c r="A111" s="15" t="s">
        <v>275</v>
      </c>
      <c r="B111" s="15" t="s">
        <v>30</v>
      </c>
      <c r="C111" s="15" t="s">
        <v>3</v>
      </c>
      <c r="D111" s="15">
        <v>2021</v>
      </c>
      <c r="E111" s="15" t="s">
        <v>465</v>
      </c>
      <c r="F111" s="15" t="s">
        <v>295</v>
      </c>
      <c r="G111" s="15" t="s">
        <v>328</v>
      </c>
      <c r="H111" s="15" t="s">
        <v>269</v>
      </c>
      <c r="I111" s="15" t="s">
        <v>269</v>
      </c>
      <c r="J111" s="15" t="s">
        <v>3</v>
      </c>
      <c r="K111" s="15" t="s">
        <v>3</v>
      </c>
    </row>
    <row r="112" spans="1:11" x14ac:dyDescent="0.3">
      <c r="A112" s="15" t="s">
        <v>275</v>
      </c>
      <c r="B112" s="15" t="s">
        <v>80</v>
      </c>
      <c r="C112" s="15">
        <v>0</v>
      </c>
      <c r="D112" s="15">
        <v>2021</v>
      </c>
      <c r="E112" s="15" t="s">
        <v>465</v>
      </c>
      <c r="F112" s="15" t="s">
        <v>295</v>
      </c>
      <c r="G112" s="15" t="s">
        <v>329</v>
      </c>
      <c r="H112" s="15" t="s">
        <v>269</v>
      </c>
      <c r="I112" s="15" t="s">
        <v>269</v>
      </c>
      <c r="J112" s="15" t="s">
        <v>3</v>
      </c>
      <c r="K112" s="15" t="s">
        <v>3</v>
      </c>
    </row>
    <row r="113" spans="1:11" x14ac:dyDescent="0.3">
      <c r="A113" s="15" t="s">
        <v>275</v>
      </c>
      <c r="B113" s="15" t="s">
        <v>242</v>
      </c>
      <c r="C113" s="15">
        <v>0</v>
      </c>
      <c r="D113" s="15">
        <v>2021</v>
      </c>
      <c r="E113" s="15" t="s">
        <v>465</v>
      </c>
      <c r="F113" s="15" t="s">
        <v>295</v>
      </c>
      <c r="G113" s="15" t="s">
        <v>330</v>
      </c>
      <c r="H113" s="15" t="s">
        <v>269</v>
      </c>
      <c r="I113" s="15" t="s">
        <v>269</v>
      </c>
      <c r="J113" s="15" t="s">
        <v>3</v>
      </c>
      <c r="K113" s="15" t="s">
        <v>3</v>
      </c>
    </row>
    <row r="114" spans="1:11" x14ac:dyDescent="0.3">
      <c r="A114" s="15" t="s">
        <v>275</v>
      </c>
      <c r="B114" s="15" t="s">
        <v>74</v>
      </c>
      <c r="C114" s="15" t="s">
        <v>3</v>
      </c>
      <c r="D114" s="15">
        <v>2021</v>
      </c>
      <c r="E114" s="15" t="s">
        <v>465</v>
      </c>
      <c r="F114" s="15" t="s">
        <v>295</v>
      </c>
      <c r="G114" s="15" t="s">
        <v>331</v>
      </c>
      <c r="H114" s="15" t="s">
        <v>269</v>
      </c>
      <c r="I114" s="15" t="s">
        <v>269</v>
      </c>
      <c r="J114" s="15" t="s">
        <v>3</v>
      </c>
      <c r="K114" s="15" t="s">
        <v>3</v>
      </c>
    </row>
    <row r="115" spans="1:11" x14ac:dyDescent="0.3">
      <c r="A115" s="15" t="s">
        <v>49</v>
      </c>
      <c r="B115" s="15" t="s">
        <v>44</v>
      </c>
      <c r="C115" s="15" t="s">
        <v>3</v>
      </c>
      <c r="D115" s="15">
        <v>2021</v>
      </c>
      <c r="E115" s="15" t="s">
        <v>465</v>
      </c>
      <c r="F115" s="15" t="s">
        <v>296</v>
      </c>
      <c r="G115" s="15" t="s">
        <v>297</v>
      </c>
      <c r="H115" s="15" t="s">
        <v>269</v>
      </c>
      <c r="I115" s="15" t="s">
        <v>269</v>
      </c>
      <c r="J115" s="15" t="s">
        <v>3</v>
      </c>
      <c r="K115" s="15" t="s">
        <v>3</v>
      </c>
    </row>
    <row r="116" spans="1:11" x14ac:dyDescent="0.3">
      <c r="A116" s="15" t="s">
        <v>49</v>
      </c>
      <c r="B116" s="15" t="s">
        <v>51</v>
      </c>
      <c r="C116" s="15">
        <v>2.9019901319999994</v>
      </c>
      <c r="D116" s="15">
        <v>2021</v>
      </c>
      <c r="E116" s="15" t="s">
        <v>465</v>
      </c>
      <c r="F116" s="15" t="s">
        <v>296</v>
      </c>
      <c r="G116" s="15" t="s">
        <v>291</v>
      </c>
      <c r="H116" s="15" t="s">
        <v>269</v>
      </c>
      <c r="I116" s="15" t="s">
        <v>18</v>
      </c>
      <c r="J116" s="15" t="s">
        <v>3</v>
      </c>
      <c r="K116" s="15" t="s">
        <v>367</v>
      </c>
    </row>
    <row r="117" spans="1:11" x14ac:dyDescent="0.3">
      <c r="A117" s="15" t="s">
        <v>49</v>
      </c>
      <c r="B117" s="15" t="s">
        <v>36</v>
      </c>
      <c r="C117" s="15">
        <v>0</v>
      </c>
      <c r="D117" s="15">
        <v>2021</v>
      </c>
      <c r="E117" s="15" t="s">
        <v>465</v>
      </c>
      <c r="F117" s="15" t="s">
        <v>296</v>
      </c>
      <c r="G117" s="15" t="s">
        <v>313</v>
      </c>
      <c r="H117" s="15" t="s">
        <v>269</v>
      </c>
      <c r="I117" s="15" t="s">
        <v>269</v>
      </c>
      <c r="J117" s="15" t="s">
        <v>3</v>
      </c>
      <c r="K117" s="15" t="s">
        <v>3</v>
      </c>
    </row>
    <row r="118" spans="1:11" x14ac:dyDescent="0.3">
      <c r="A118" s="15" t="s">
        <v>49</v>
      </c>
      <c r="B118" s="15" t="s">
        <v>37</v>
      </c>
      <c r="C118" s="15" t="s">
        <v>3</v>
      </c>
      <c r="D118" s="15">
        <v>2021</v>
      </c>
      <c r="E118" s="15" t="s">
        <v>465</v>
      </c>
      <c r="F118" s="15" t="s">
        <v>296</v>
      </c>
      <c r="G118" s="15" t="s">
        <v>314</v>
      </c>
      <c r="H118" s="15" t="s">
        <v>269</v>
      </c>
      <c r="I118" s="15" t="s">
        <v>269</v>
      </c>
      <c r="J118" s="15" t="s">
        <v>3</v>
      </c>
      <c r="K118" s="15" t="s">
        <v>3</v>
      </c>
    </row>
    <row r="119" spans="1:11" x14ac:dyDescent="0.3">
      <c r="A119" s="15" t="s">
        <v>49</v>
      </c>
      <c r="B119" s="15" t="s">
        <v>39</v>
      </c>
      <c r="C119" s="15" t="s">
        <v>3</v>
      </c>
      <c r="D119" s="15">
        <v>2021</v>
      </c>
      <c r="E119" s="15" t="s">
        <v>465</v>
      </c>
      <c r="F119" s="15" t="s">
        <v>296</v>
      </c>
      <c r="G119" s="15" t="s">
        <v>315</v>
      </c>
      <c r="H119" s="15" t="s">
        <v>269</v>
      </c>
      <c r="I119" s="15" t="s">
        <v>269</v>
      </c>
      <c r="J119" s="15" t="s">
        <v>3</v>
      </c>
      <c r="K119" s="15" t="s">
        <v>3</v>
      </c>
    </row>
    <row r="120" spans="1:11" x14ac:dyDescent="0.3">
      <c r="A120" s="15" t="s">
        <v>49</v>
      </c>
      <c r="B120" s="15" t="s">
        <v>40</v>
      </c>
      <c r="C120" s="15" t="s">
        <v>3</v>
      </c>
      <c r="D120" s="15">
        <v>2021</v>
      </c>
      <c r="E120" s="15" t="s">
        <v>465</v>
      </c>
      <c r="F120" s="15" t="s">
        <v>296</v>
      </c>
      <c r="G120" s="15" t="s">
        <v>316</v>
      </c>
      <c r="H120" s="15" t="s">
        <v>269</v>
      </c>
      <c r="I120" s="15" t="s">
        <v>269</v>
      </c>
      <c r="J120" s="15" t="s">
        <v>3</v>
      </c>
      <c r="K120" s="15" t="s">
        <v>3</v>
      </c>
    </row>
    <row r="121" spans="1:11" x14ac:dyDescent="0.3">
      <c r="A121" s="15" t="s">
        <v>49</v>
      </c>
      <c r="B121" s="15" t="s">
        <v>41</v>
      </c>
      <c r="C121" s="15" t="s">
        <v>3</v>
      </c>
      <c r="D121" s="15">
        <v>2021</v>
      </c>
      <c r="E121" s="15" t="s">
        <v>465</v>
      </c>
      <c r="F121" s="15" t="s">
        <v>296</v>
      </c>
      <c r="G121" s="15" t="s">
        <v>317</v>
      </c>
      <c r="H121" s="15" t="s">
        <v>269</v>
      </c>
      <c r="I121" s="15" t="s">
        <v>269</v>
      </c>
      <c r="J121" s="15" t="s">
        <v>3</v>
      </c>
      <c r="K121" s="15" t="s">
        <v>3</v>
      </c>
    </row>
    <row r="122" spans="1:11" x14ac:dyDescent="0.3">
      <c r="A122" s="15" t="s">
        <v>49</v>
      </c>
      <c r="B122" s="15" t="s">
        <v>38</v>
      </c>
      <c r="C122" s="15" t="s">
        <v>3</v>
      </c>
      <c r="D122" s="15">
        <v>2021</v>
      </c>
      <c r="E122" s="15" t="s">
        <v>465</v>
      </c>
      <c r="F122" s="15" t="s">
        <v>296</v>
      </c>
      <c r="G122" s="15" t="s">
        <v>318</v>
      </c>
      <c r="H122" s="15" t="s">
        <v>269</v>
      </c>
      <c r="I122" s="15" t="s">
        <v>269</v>
      </c>
      <c r="J122" s="15" t="s">
        <v>3</v>
      </c>
      <c r="K122" s="15" t="s">
        <v>3</v>
      </c>
    </row>
    <row r="123" spans="1:11" x14ac:dyDescent="0.3">
      <c r="A123" s="15" t="s">
        <v>49</v>
      </c>
      <c r="B123" s="15" t="s">
        <v>29</v>
      </c>
      <c r="C123" s="15">
        <v>3.0424769517413797</v>
      </c>
      <c r="D123" s="15">
        <v>2021</v>
      </c>
      <c r="E123" s="15" t="s">
        <v>465</v>
      </c>
      <c r="F123" s="15" t="s">
        <v>296</v>
      </c>
      <c r="G123" s="15" t="s">
        <v>326</v>
      </c>
      <c r="H123" s="15" t="s">
        <v>269</v>
      </c>
      <c r="I123" s="15" t="s">
        <v>269</v>
      </c>
      <c r="J123" s="15" t="s">
        <v>3</v>
      </c>
      <c r="K123" s="15" t="s">
        <v>3</v>
      </c>
    </row>
    <row r="124" spans="1:11" x14ac:dyDescent="0.3">
      <c r="A124" s="15" t="s">
        <v>44</v>
      </c>
      <c r="B124" s="15" t="s">
        <v>51</v>
      </c>
      <c r="C124" s="15">
        <v>5.3328859560000001</v>
      </c>
      <c r="D124" s="15">
        <v>2021</v>
      </c>
      <c r="E124" s="15" t="s">
        <v>465</v>
      </c>
      <c r="F124" s="15" t="s">
        <v>297</v>
      </c>
      <c r="G124" s="15" t="s">
        <v>291</v>
      </c>
      <c r="H124" s="15" t="s">
        <v>269</v>
      </c>
      <c r="I124" s="15" t="s">
        <v>18</v>
      </c>
      <c r="J124" s="15" t="s">
        <v>3</v>
      </c>
      <c r="K124" s="15" t="s">
        <v>367</v>
      </c>
    </row>
    <row r="125" spans="1:11" x14ac:dyDescent="0.3">
      <c r="A125" s="15" t="s">
        <v>44</v>
      </c>
      <c r="B125" s="15" t="s">
        <v>36</v>
      </c>
      <c r="C125" s="15">
        <v>0</v>
      </c>
      <c r="D125" s="15">
        <v>2021</v>
      </c>
      <c r="E125" s="15" t="s">
        <v>465</v>
      </c>
      <c r="F125" s="15" t="s">
        <v>297</v>
      </c>
      <c r="G125" s="15" t="s">
        <v>313</v>
      </c>
      <c r="H125" s="15" t="s">
        <v>269</v>
      </c>
      <c r="I125" s="15" t="s">
        <v>269</v>
      </c>
      <c r="J125" s="15" t="s">
        <v>3</v>
      </c>
      <c r="K125" s="15" t="s">
        <v>3</v>
      </c>
    </row>
    <row r="126" spans="1:11" x14ac:dyDescent="0.3">
      <c r="A126" s="15" t="s">
        <v>44</v>
      </c>
      <c r="B126" s="15" t="s">
        <v>37</v>
      </c>
      <c r="C126" s="15" t="s">
        <v>3</v>
      </c>
      <c r="D126" s="15">
        <v>2021</v>
      </c>
      <c r="E126" s="15" t="s">
        <v>465</v>
      </c>
      <c r="F126" s="15" t="s">
        <v>297</v>
      </c>
      <c r="G126" s="15" t="s">
        <v>314</v>
      </c>
      <c r="H126" s="15" t="s">
        <v>269</v>
      </c>
      <c r="I126" s="15" t="s">
        <v>269</v>
      </c>
      <c r="J126" s="15" t="s">
        <v>3</v>
      </c>
      <c r="K126" s="15" t="s">
        <v>3</v>
      </c>
    </row>
    <row r="127" spans="1:11" x14ac:dyDescent="0.3">
      <c r="A127" s="15" t="s">
        <v>44</v>
      </c>
      <c r="B127" s="15" t="s">
        <v>39</v>
      </c>
      <c r="C127" s="15" t="s">
        <v>3</v>
      </c>
      <c r="D127" s="15">
        <v>2021</v>
      </c>
      <c r="E127" s="15" t="s">
        <v>465</v>
      </c>
      <c r="F127" s="15" t="s">
        <v>297</v>
      </c>
      <c r="G127" s="15" t="s">
        <v>315</v>
      </c>
      <c r="H127" s="15" t="s">
        <v>269</v>
      </c>
      <c r="I127" s="15" t="s">
        <v>269</v>
      </c>
      <c r="J127" s="15" t="s">
        <v>3</v>
      </c>
      <c r="K127" s="15" t="s">
        <v>3</v>
      </c>
    </row>
    <row r="128" spans="1:11" x14ac:dyDescent="0.3">
      <c r="A128" s="15" t="s">
        <v>44</v>
      </c>
      <c r="B128" s="15" t="s">
        <v>40</v>
      </c>
      <c r="C128" s="15" t="s">
        <v>3</v>
      </c>
      <c r="D128" s="15">
        <v>2021</v>
      </c>
      <c r="E128" s="15" t="s">
        <v>465</v>
      </c>
      <c r="F128" s="15" t="s">
        <v>297</v>
      </c>
      <c r="G128" s="15" t="s">
        <v>316</v>
      </c>
      <c r="H128" s="15" t="s">
        <v>269</v>
      </c>
      <c r="I128" s="15" t="s">
        <v>269</v>
      </c>
      <c r="J128" s="15" t="s">
        <v>3</v>
      </c>
      <c r="K128" s="15" t="s">
        <v>3</v>
      </c>
    </row>
    <row r="129" spans="1:11" x14ac:dyDescent="0.3">
      <c r="A129" s="15" t="s">
        <v>44</v>
      </c>
      <c r="B129" s="15" t="s">
        <v>41</v>
      </c>
      <c r="C129" s="15" t="s">
        <v>3</v>
      </c>
      <c r="D129" s="15">
        <v>2021</v>
      </c>
      <c r="E129" s="15" t="s">
        <v>465</v>
      </c>
      <c r="F129" s="15" t="s">
        <v>297</v>
      </c>
      <c r="G129" s="15" t="s">
        <v>317</v>
      </c>
      <c r="H129" s="15" t="s">
        <v>269</v>
      </c>
      <c r="I129" s="15" t="s">
        <v>269</v>
      </c>
      <c r="J129" s="15" t="s">
        <v>3</v>
      </c>
      <c r="K129" s="15" t="s">
        <v>3</v>
      </c>
    </row>
    <row r="130" spans="1:11" x14ac:dyDescent="0.3">
      <c r="A130" s="15" t="s">
        <v>44</v>
      </c>
      <c r="B130" s="15" t="s">
        <v>38</v>
      </c>
      <c r="C130" s="15" t="s">
        <v>3</v>
      </c>
      <c r="D130" s="15">
        <v>2021</v>
      </c>
      <c r="E130" s="15" t="s">
        <v>465</v>
      </c>
      <c r="F130" s="15" t="s">
        <v>297</v>
      </c>
      <c r="G130" s="15" t="s">
        <v>318</v>
      </c>
      <c r="H130" s="15" t="s">
        <v>269</v>
      </c>
      <c r="I130" s="15" t="s">
        <v>269</v>
      </c>
      <c r="J130" s="15" t="s">
        <v>3</v>
      </c>
      <c r="K130" s="15" t="s">
        <v>3</v>
      </c>
    </row>
    <row r="131" spans="1:11" x14ac:dyDescent="0.3">
      <c r="A131" s="15" t="s">
        <v>44</v>
      </c>
      <c r="B131" s="15" t="s">
        <v>58</v>
      </c>
      <c r="C131" s="15">
        <v>4.9663275409396563</v>
      </c>
      <c r="D131" s="15">
        <v>2021</v>
      </c>
      <c r="E131" s="15" t="s">
        <v>465</v>
      </c>
      <c r="F131" s="15" t="s">
        <v>297</v>
      </c>
      <c r="G131" s="15" t="s">
        <v>294</v>
      </c>
      <c r="H131" s="15" t="s">
        <v>269</v>
      </c>
      <c r="I131" s="15" t="s">
        <v>18</v>
      </c>
      <c r="J131" s="15" t="s">
        <v>3</v>
      </c>
      <c r="K131" s="15" t="s">
        <v>369</v>
      </c>
    </row>
    <row r="132" spans="1:11" x14ac:dyDescent="0.3">
      <c r="A132" s="15" t="s">
        <v>44</v>
      </c>
      <c r="B132" s="15" t="s">
        <v>29</v>
      </c>
      <c r="C132" s="15">
        <v>3.7523363642655179</v>
      </c>
      <c r="D132" s="15">
        <v>2021</v>
      </c>
      <c r="E132" s="15" t="s">
        <v>465</v>
      </c>
      <c r="F132" s="15" t="s">
        <v>297</v>
      </c>
      <c r="G132" s="15" t="s">
        <v>326</v>
      </c>
      <c r="H132" s="15" t="s">
        <v>269</v>
      </c>
      <c r="I132" s="15" t="s">
        <v>269</v>
      </c>
      <c r="J132" s="15" t="s">
        <v>3</v>
      </c>
      <c r="K132" s="15" t="s">
        <v>3</v>
      </c>
    </row>
    <row r="133" spans="1:11" x14ac:dyDescent="0.3">
      <c r="A133" s="15" t="s">
        <v>44</v>
      </c>
      <c r="B133" s="15" t="s">
        <v>73</v>
      </c>
      <c r="C133" s="15">
        <v>0.11036283424310479</v>
      </c>
      <c r="D133" s="15">
        <v>2021</v>
      </c>
      <c r="E133" s="15" t="s">
        <v>465</v>
      </c>
      <c r="F133" s="15" t="s">
        <v>297</v>
      </c>
      <c r="G133" s="15" t="s">
        <v>327</v>
      </c>
      <c r="H133" s="15" t="s">
        <v>269</v>
      </c>
      <c r="I133" s="15" t="s">
        <v>269</v>
      </c>
      <c r="J133" s="15" t="s">
        <v>3</v>
      </c>
      <c r="K133" s="15" t="s">
        <v>3</v>
      </c>
    </row>
    <row r="134" spans="1:11" x14ac:dyDescent="0.3">
      <c r="A134" s="15" t="s">
        <v>44</v>
      </c>
      <c r="B134" s="15" t="s">
        <v>30</v>
      </c>
      <c r="C134" s="15">
        <v>0.77253983970172435</v>
      </c>
      <c r="D134" s="15">
        <v>2021</v>
      </c>
      <c r="E134" s="15" t="s">
        <v>465</v>
      </c>
      <c r="F134" s="15" t="s">
        <v>297</v>
      </c>
      <c r="G134" s="15" t="s">
        <v>328</v>
      </c>
      <c r="H134" s="15" t="s">
        <v>269</v>
      </c>
      <c r="I134" s="15" t="s">
        <v>269</v>
      </c>
      <c r="J134" s="15" t="s">
        <v>3</v>
      </c>
      <c r="K134" s="15" t="s">
        <v>3</v>
      </c>
    </row>
    <row r="135" spans="1:11" x14ac:dyDescent="0.3">
      <c r="A135" s="15" t="s">
        <v>44</v>
      </c>
      <c r="B135" s="15" t="s">
        <v>80</v>
      </c>
      <c r="C135" s="15">
        <v>0</v>
      </c>
      <c r="D135" s="15">
        <v>2021</v>
      </c>
      <c r="E135" s="15" t="s">
        <v>465</v>
      </c>
      <c r="F135" s="15" t="s">
        <v>297</v>
      </c>
      <c r="G135" s="15" t="s">
        <v>329</v>
      </c>
      <c r="H135" s="15" t="s">
        <v>269</v>
      </c>
      <c r="I135" s="15" t="s">
        <v>269</v>
      </c>
      <c r="J135" s="15" t="s">
        <v>3</v>
      </c>
      <c r="K135" s="15" t="s">
        <v>3</v>
      </c>
    </row>
    <row r="136" spans="1:11" x14ac:dyDescent="0.3">
      <c r="A136" s="15" t="s">
        <v>44</v>
      </c>
      <c r="B136" s="15" t="s">
        <v>242</v>
      </c>
      <c r="C136" s="15">
        <v>0</v>
      </c>
      <c r="D136" s="15">
        <v>2021</v>
      </c>
      <c r="E136" s="15" t="s">
        <v>465</v>
      </c>
      <c r="F136" s="15" t="s">
        <v>297</v>
      </c>
      <c r="G136" s="15" t="s">
        <v>330</v>
      </c>
      <c r="H136" s="15" t="s">
        <v>269</v>
      </c>
      <c r="I136" s="15" t="s">
        <v>269</v>
      </c>
      <c r="J136" s="15" t="s">
        <v>3</v>
      </c>
      <c r="K136" s="15" t="s">
        <v>3</v>
      </c>
    </row>
    <row r="137" spans="1:11" x14ac:dyDescent="0.3">
      <c r="A137" s="15" t="s">
        <v>44</v>
      </c>
      <c r="B137" s="15" t="s">
        <v>74</v>
      </c>
      <c r="C137" s="15">
        <v>0.33108850272930945</v>
      </c>
      <c r="D137" s="15">
        <v>2021</v>
      </c>
      <c r="E137" s="15" t="s">
        <v>465</v>
      </c>
      <c r="F137" s="15" t="s">
        <v>297</v>
      </c>
      <c r="G137" s="15" t="s">
        <v>331</v>
      </c>
      <c r="H137" s="15" t="s">
        <v>269</v>
      </c>
      <c r="I137" s="15" t="s">
        <v>269</v>
      </c>
      <c r="J137" s="15" t="s">
        <v>3</v>
      </c>
      <c r="K137" s="15" t="s">
        <v>3</v>
      </c>
    </row>
    <row r="138" spans="1:11" x14ac:dyDescent="0.3">
      <c r="A138" s="15" t="s">
        <v>45</v>
      </c>
      <c r="B138" s="15" t="s">
        <v>51</v>
      </c>
      <c r="C138" s="15">
        <v>2.5812238672708716</v>
      </c>
      <c r="D138" s="15">
        <v>2021</v>
      </c>
      <c r="E138" s="15" t="s">
        <v>465</v>
      </c>
      <c r="F138" s="15" t="s">
        <v>298</v>
      </c>
      <c r="G138" s="15" t="s">
        <v>291</v>
      </c>
      <c r="H138" s="15" t="s">
        <v>269</v>
      </c>
      <c r="I138" s="15" t="s">
        <v>18</v>
      </c>
      <c r="J138" s="15" t="s">
        <v>3</v>
      </c>
      <c r="K138" s="15" t="s">
        <v>367</v>
      </c>
    </row>
    <row r="139" spans="1:11" x14ac:dyDescent="0.3">
      <c r="A139" s="15" t="s">
        <v>45</v>
      </c>
      <c r="B139" s="15" t="s">
        <v>36</v>
      </c>
      <c r="C139" s="15">
        <v>0</v>
      </c>
      <c r="D139" s="15">
        <v>2021</v>
      </c>
      <c r="E139" s="15" t="s">
        <v>465</v>
      </c>
      <c r="F139" s="15" t="s">
        <v>298</v>
      </c>
      <c r="G139" s="15" t="s">
        <v>313</v>
      </c>
      <c r="H139" s="15" t="s">
        <v>269</v>
      </c>
      <c r="I139" s="15" t="s">
        <v>269</v>
      </c>
      <c r="J139" s="15" t="s">
        <v>3</v>
      </c>
      <c r="K139" s="15" t="s">
        <v>3</v>
      </c>
    </row>
    <row r="140" spans="1:11" x14ac:dyDescent="0.3">
      <c r="A140" s="15" t="s">
        <v>45</v>
      </c>
      <c r="B140" s="15" t="s">
        <v>37</v>
      </c>
      <c r="C140" s="15" t="s">
        <v>3</v>
      </c>
      <c r="D140" s="15">
        <v>2021</v>
      </c>
      <c r="E140" s="15" t="s">
        <v>465</v>
      </c>
      <c r="F140" s="15" t="s">
        <v>298</v>
      </c>
      <c r="G140" s="15" t="s">
        <v>314</v>
      </c>
      <c r="H140" s="15" t="s">
        <v>269</v>
      </c>
      <c r="I140" s="15" t="s">
        <v>269</v>
      </c>
      <c r="J140" s="15" t="s">
        <v>3</v>
      </c>
      <c r="K140" s="15" t="s">
        <v>3</v>
      </c>
    </row>
    <row r="141" spans="1:11" x14ac:dyDescent="0.3">
      <c r="A141" s="15" t="s">
        <v>45</v>
      </c>
      <c r="B141" s="15" t="s">
        <v>39</v>
      </c>
      <c r="C141" s="15">
        <v>0</v>
      </c>
      <c r="D141" s="15">
        <v>2021</v>
      </c>
      <c r="E141" s="15" t="s">
        <v>465</v>
      </c>
      <c r="F141" s="15" t="s">
        <v>298</v>
      </c>
      <c r="G141" s="15" t="s">
        <v>315</v>
      </c>
      <c r="H141" s="15" t="s">
        <v>269</v>
      </c>
      <c r="I141" s="15" t="s">
        <v>269</v>
      </c>
      <c r="J141" s="15" t="s">
        <v>3</v>
      </c>
      <c r="K141" s="15" t="s">
        <v>3</v>
      </c>
    </row>
    <row r="142" spans="1:11" x14ac:dyDescent="0.3">
      <c r="A142" s="15" t="s">
        <v>45</v>
      </c>
      <c r="B142" s="15" t="s">
        <v>40</v>
      </c>
      <c r="C142" s="15" t="s">
        <v>3</v>
      </c>
      <c r="D142" s="15">
        <v>2021</v>
      </c>
      <c r="E142" s="15" t="s">
        <v>465</v>
      </c>
      <c r="F142" s="15" t="s">
        <v>298</v>
      </c>
      <c r="G142" s="15" t="s">
        <v>316</v>
      </c>
      <c r="H142" s="15" t="s">
        <v>269</v>
      </c>
      <c r="I142" s="15" t="s">
        <v>269</v>
      </c>
      <c r="J142" s="15" t="s">
        <v>3</v>
      </c>
      <c r="K142" s="15" t="s">
        <v>3</v>
      </c>
    </row>
    <row r="143" spans="1:11" x14ac:dyDescent="0.3">
      <c r="A143" s="15" t="s">
        <v>45</v>
      </c>
      <c r="B143" s="15" t="s">
        <v>41</v>
      </c>
      <c r="C143" s="15" t="s">
        <v>3</v>
      </c>
      <c r="D143" s="15">
        <v>2021</v>
      </c>
      <c r="E143" s="15" t="s">
        <v>465</v>
      </c>
      <c r="F143" s="15" t="s">
        <v>298</v>
      </c>
      <c r="G143" s="15" t="s">
        <v>317</v>
      </c>
      <c r="H143" s="15" t="s">
        <v>269</v>
      </c>
      <c r="I143" s="15" t="s">
        <v>269</v>
      </c>
      <c r="J143" s="15" t="s">
        <v>3</v>
      </c>
      <c r="K143" s="15" t="s">
        <v>3</v>
      </c>
    </row>
    <row r="144" spans="1:11" x14ac:dyDescent="0.3">
      <c r="A144" s="15" t="s">
        <v>45</v>
      </c>
      <c r="B144" s="15" t="s">
        <v>38</v>
      </c>
      <c r="C144" s="15" t="s">
        <v>3</v>
      </c>
      <c r="D144" s="15">
        <v>2021</v>
      </c>
      <c r="E144" s="15" t="s">
        <v>465</v>
      </c>
      <c r="F144" s="15" t="s">
        <v>298</v>
      </c>
      <c r="G144" s="15" t="s">
        <v>318</v>
      </c>
      <c r="H144" s="15" t="s">
        <v>269</v>
      </c>
      <c r="I144" s="15" t="s">
        <v>269</v>
      </c>
      <c r="J144" s="15" t="s">
        <v>3</v>
      </c>
      <c r="K144" s="15" t="s">
        <v>3</v>
      </c>
    </row>
    <row r="145" spans="1:11" x14ac:dyDescent="0.3">
      <c r="A145" s="15" t="s">
        <v>46</v>
      </c>
      <c r="B145" s="15" t="s">
        <v>51</v>
      </c>
      <c r="C145" s="15">
        <v>4.9560654479571441E-2</v>
      </c>
      <c r="D145" s="15">
        <v>2021</v>
      </c>
      <c r="E145" s="15" t="s">
        <v>465</v>
      </c>
      <c r="F145" s="15" t="s">
        <v>299</v>
      </c>
      <c r="G145" s="15" t="s">
        <v>291</v>
      </c>
      <c r="H145" s="15" t="s">
        <v>269</v>
      </c>
      <c r="I145" s="15" t="s">
        <v>18</v>
      </c>
      <c r="J145" s="15" t="s">
        <v>3</v>
      </c>
      <c r="K145" s="15" t="s">
        <v>367</v>
      </c>
    </row>
    <row r="146" spans="1:11" x14ac:dyDescent="0.3">
      <c r="A146" s="15" t="s">
        <v>46</v>
      </c>
      <c r="B146" s="15" t="s">
        <v>36</v>
      </c>
      <c r="C146" s="15">
        <v>0</v>
      </c>
      <c r="D146" s="15">
        <v>2021</v>
      </c>
      <c r="E146" s="15" t="s">
        <v>465</v>
      </c>
      <c r="F146" s="15" t="s">
        <v>299</v>
      </c>
      <c r="G146" s="15" t="s">
        <v>313</v>
      </c>
      <c r="H146" s="15" t="s">
        <v>269</v>
      </c>
      <c r="I146" s="15" t="s">
        <v>269</v>
      </c>
      <c r="J146" s="15" t="s">
        <v>3</v>
      </c>
      <c r="K146" s="15" t="s">
        <v>3</v>
      </c>
    </row>
    <row r="147" spans="1:11" x14ac:dyDescent="0.3">
      <c r="A147" s="15" t="s">
        <v>46</v>
      </c>
      <c r="B147" s="15" t="s">
        <v>37</v>
      </c>
      <c r="C147" s="15" t="s">
        <v>3</v>
      </c>
      <c r="D147" s="15">
        <v>2021</v>
      </c>
      <c r="E147" s="15" t="s">
        <v>465</v>
      </c>
      <c r="F147" s="15" t="s">
        <v>299</v>
      </c>
      <c r="G147" s="15" t="s">
        <v>314</v>
      </c>
      <c r="H147" s="15" t="s">
        <v>269</v>
      </c>
      <c r="I147" s="15" t="s">
        <v>269</v>
      </c>
      <c r="J147" s="15" t="s">
        <v>3</v>
      </c>
      <c r="K147" s="15" t="s">
        <v>3</v>
      </c>
    </row>
    <row r="148" spans="1:11" x14ac:dyDescent="0.3">
      <c r="A148" s="15" t="s">
        <v>46</v>
      </c>
      <c r="B148" s="15" t="s">
        <v>39</v>
      </c>
      <c r="C148" s="15">
        <v>4.9560654479571443E-5</v>
      </c>
      <c r="D148" s="15">
        <v>2021</v>
      </c>
      <c r="E148" s="15" t="s">
        <v>465</v>
      </c>
      <c r="F148" s="15" t="s">
        <v>299</v>
      </c>
      <c r="G148" s="15" t="s">
        <v>315</v>
      </c>
      <c r="H148" s="15" t="s">
        <v>269</v>
      </c>
      <c r="I148" s="15" t="s">
        <v>269</v>
      </c>
      <c r="J148" s="15" t="s">
        <v>3</v>
      </c>
      <c r="K148" s="15" t="s">
        <v>3</v>
      </c>
    </row>
    <row r="149" spans="1:11" x14ac:dyDescent="0.3">
      <c r="A149" s="15" t="s">
        <v>46</v>
      </c>
      <c r="B149" s="15" t="s">
        <v>40</v>
      </c>
      <c r="C149" s="15" t="s">
        <v>3</v>
      </c>
      <c r="D149" s="15">
        <v>2021</v>
      </c>
      <c r="E149" s="15" t="s">
        <v>465</v>
      </c>
      <c r="F149" s="15" t="s">
        <v>299</v>
      </c>
      <c r="G149" s="15" t="s">
        <v>316</v>
      </c>
      <c r="H149" s="15" t="s">
        <v>269</v>
      </c>
      <c r="I149" s="15" t="s">
        <v>269</v>
      </c>
      <c r="J149" s="15" t="s">
        <v>3</v>
      </c>
      <c r="K149" s="15" t="s">
        <v>3</v>
      </c>
    </row>
    <row r="150" spans="1:11" x14ac:dyDescent="0.3">
      <c r="A150" s="15" t="s">
        <v>46</v>
      </c>
      <c r="B150" s="15" t="s">
        <v>41</v>
      </c>
      <c r="C150" s="15" t="s">
        <v>3</v>
      </c>
      <c r="D150" s="15">
        <v>2021</v>
      </c>
      <c r="E150" s="15" t="s">
        <v>465</v>
      </c>
      <c r="F150" s="15" t="s">
        <v>299</v>
      </c>
      <c r="G150" s="15" t="s">
        <v>317</v>
      </c>
      <c r="H150" s="15" t="s">
        <v>269</v>
      </c>
      <c r="I150" s="15" t="s">
        <v>269</v>
      </c>
      <c r="J150" s="15" t="s">
        <v>3</v>
      </c>
      <c r="K150" s="15" t="s">
        <v>3</v>
      </c>
    </row>
    <row r="151" spans="1:11" x14ac:dyDescent="0.3">
      <c r="A151" s="15" t="s">
        <v>46</v>
      </c>
      <c r="B151" s="15" t="s">
        <v>38</v>
      </c>
      <c r="C151" s="15" t="s">
        <v>3</v>
      </c>
      <c r="D151" s="15">
        <v>2021</v>
      </c>
      <c r="E151" s="15" t="s">
        <v>465</v>
      </c>
      <c r="F151" s="15" t="s">
        <v>299</v>
      </c>
      <c r="G151" s="15" t="s">
        <v>318</v>
      </c>
      <c r="H151" s="15" t="s">
        <v>269</v>
      </c>
      <c r="I151" s="15" t="s">
        <v>269</v>
      </c>
      <c r="J151" s="15" t="s">
        <v>3</v>
      </c>
      <c r="K151" s="15" t="s">
        <v>3</v>
      </c>
    </row>
    <row r="152" spans="1:11" x14ac:dyDescent="0.3">
      <c r="A152" s="15" t="s">
        <v>46</v>
      </c>
      <c r="B152" s="15" t="s">
        <v>73</v>
      </c>
      <c r="C152" s="15">
        <v>0</v>
      </c>
      <c r="D152" s="15">
        <v>2021</v>
      </c>
      <c r="E152" s="15" t="s">
        <v>465</v>
      </c>
      <c r="F152" s="15" t="s">
        <v>299</v>
      </c>
      <c r="G152" s="15" t="s">
        <v>327</v>
      </c>
      <c r="H152" s="15" t="s">
        <v>269</v>
      </c>
      <c r="I152" s="15" t="s">
        <v>269</v>
      </c>
      <c r="J152" s="15" t="s">
        <v>3</v>
      </c>
      <c r="K152" s="15" t="s">
        <v>3</v>
      </c>
    </row>
    <row r="153" spans="1:11" x14ac:dyDescent="0.3">
      <c r="A153" s="15" t="s">
        <v>180</v>
      </c>
      <c r="B153" s="15" t="s">
        <v>51</v>
      </c>
      <c r="C153" s="15">
        <v>0.31973627304000002</v>
      </c>
      <c r="D153" s="15">
        <v>2021</v>
      </c>
      <c r="E153" s="15" t="s">
        <v>465</v>
      </c>
      <c r="F153" s="15" t="s">
        <v>300</v>
      </c>
      <c r="G153" s="15" t="s">
        <v>291</v>
      </c>
      <c r="H153" s="15" t="s">
        <v>269</v>
      </c>
      <c r="I153" s="15" t="s">
        <v>18</v>
      </c>
      <c r="J153" s="15" t="s">
        <v>3</v>
      </c>
      <c r="K153" s="15" t="s">
        <v>367</v>
      </c>
    </row>
    <row r="154" spans="1:11" x14ac:dyDescent="0.3">
      <c r="A154" s="15" t="s">
        <v>180</v>
      </c>
      <c r="B154" s="15" t="s">
        <v>36</v>
      </c>
      <c r="C154" s="15">
        <v>0</v>
      </c>
      <c r="D154" s="15">
        <v>2021</v>
      </c>
      <c r="E154" s="15" t="s">
        <v>465</v>
      </c>
      <c r="F154" s="15" t="s">
        <v>300</v>
      </c>
      <c r="G154" s="15" t="s">
        <v>313</v>
      </c>
      <c r="H154" s="15" t="s">
        <v>269</v>
      </c>
      <c r="I154" s="15" t="s">
        <v>269</v>
      </c>
      <c r="J154" s="15" t="s">
        <v>3</v>
      </c>
      <c r="K154" s="15" t="s">
        <v>3</v>
      </c>
    </row>
    <row r="155" spans="1:11" x14ac:dyDescent="0.3">
      <c r="A155" s="15" t="s">
        <v>180</v>
      </c>
      <c r="B155" s="15" t="s">
        <v>37</v>
      </c>
      <c r="C155" s="15" t="s">
        <v>3</v>
      </c>
      <c r="D155" s="15">
        <v>2021</v>
      </c>
      <c r="E155" s="15" t="s">
        <v>465</v>
      </c>
      <c r="F155" s="15" t="s">
        <v>300</v>
      </c>
      <c r="G155" s="15" t="s">
        <v>314</v>
      </c>
      <c r="H155" s="15" t="s">
        <v>269</v>
      </c>
      <c r="I155" s="15" t="s">
        <v>269</v>
      </c>
      <c r="J155" s="15" t="s">
        <v>3</v>
      </c>
      <c r="K155" s="15" t="s">
        <v>3</v>
      </c>
    </row>
    <row r="156" spans="1:11" x14ac:dyDescent="0.3">
      <c r="A156" s="15" t="s">
        <v>180</v>
      </c>
      <c r="B156" s="15" t="s">
        <v>39</v>
      </c>
      <c r="C156" s="15">
        <v>0</v>
      </c>
      <c r="D156" s="15">
        <v>2021</v>
      </c>
      <c r="E156" s="15" t="s">
        <v>465</v>
      </c>
      <c r="F156" s="15" t="s">
        <v>300</v>
      </c>
      <c r="G156" s="15" t="s">
        <v>315</v>
      </c>
      <c r="H156" s="15" t="s">
        <v>269</v>
      </c>
      <c r="I156" s="15" t="s">
        <v>269</v>
      </c>
      <c r="J156" s="15" t="s">
        <v>3</v>
      </c>
      <c r="K156" s="15" t="s">
        <v>3</v>
      </c>
    </row>
    <row r="157" spans="1:11" x14ac:dyDescent="0.3">
      <c r="A157" s="15" t="s">
        <v>180</v>
      </c>
      <c r="B157" s="15" t="s">
        <v>40</v>
      </c>
      <c r="C157" s="15" t="s">
        <v>3</v>
      </c>
      <c r="D157" s="15">
        <v>2021</v>
      </c>
      <c r="E157" s="15" t="s">
        <v>465</v>
      </c>
      <c r="F157" s="15" t="s">
        <v>300</v>
      </c>
      <c r="G157" s="15" t="s">
        <v>316</v>
      </c>
      <c r="H157" s="15" t="s">
        <v>269</v>
      </c>
      <c r="I157" s="15" t="s">
        <v>269</v>
      </c>
      <c r="J157" s="15" t="s">
        <v>3</v>
      </c>
      <c r="K157" s="15" t="s">
        <v>3</v>
      </c>
    </row>
    <row r="158" spans="1:11" x14ac:dyDescent="0.3">
      <c r="A158" s="15" t="s">
        <v>180</v>
      </c>
      <c r="B158" s="15" t="s">
        <v>41</v>
      </c>
      <c r="C158" s="15" t="s">
        <v>3</v>
      </c>
      <c r="D158" s="15">
        <v>2021</v>
      </c>
      <c r="E158" s="15" t="s">
        <v>465</v>
      </c>
      <c r="F158" s="15" t="s">
        <v>300</v>
      </c>
      <c r="G158" s="15" t="s">
        <v>317</v>
      </c>
      <c r="H158" s="15" t="s">
        <v>269</v>
      </c>
      <c r="I158" s="15" t="s">
        <v>269</v>
      </c>
      <c r="J158" s="15" t="s">
        <v>3</v>
      </c>
      <c r="K158" s="15" t="s">
        <v>3</v>
      </c>
    </row>
    <row r="159" spans="1:11" x14ac:dyDescent="0.3">
      <c r="A159" s="15" t="s">
        <v>180</v>
      </c>
      <c r="B159" s="15" t="s">
        <v>38</v>
      </c>
      <c r="C159" s="15" t="s">
        <v>3</v>
      </c>
      <c r="D159" s="15">
        <v>2021</v>
      </c>
      <c r="E159" s="15" t="s">
        <v>465</v>
      </c>
      <c r="F159" s="15" t="s">
        <v>300</v>
      </c>
      <c r="G159" s="15" t="s">
        <v>318</v>
      </c>
      <c r="H159" s="15" t="s">
        <v>269</v>
      </c>
      <c r="I159" s="15" t="s">
        <v>269</v>
      </c>
      <c r="J159" s="15" t="s">
        <v>3</v>
      </c>
      <c r="K159" s="15" t="s">
        <v>3</v>
      </c>
    </row>
    <row r="160" spans="1:11" x14ac:dyDescent="0.3">
      <c r="A160" s="15" t="s">
        <v>209</v>
      </c>
      <c r="B160" s="15" t="s">
        <v>51</v>
      </c>
      <c r="C160" s="15">
        <v>3.9085529446205345</v>
      </c>
      <c r="D160" s="15">
        <v>2021</v>
      </c>
      <c r="E160" s="15" t="s">
        <v>465</v>
      </c>
      <c r="F160" s="15" t="s">
        <v>301</v>
      </c>
      <c r="G160" s="15" t="s">
        <v>291</v>
      </c>
      <c r="H160" s="15" t="s">
        <v>269</v>
      </c>
      <c r="I160" s="15" t="s">
        <v>18</v>
      </c>
      <c r="J160" s="15" t="s">
        <v>3</v>
      </c>
      <c r="K160" s="15" t="s">
        <v>367</v>
      </c>
    </row>
    <row r="161" spans="1:11" x14ac:dyDescent="0.3">
      <c r="A161" s="15" t="s">
        <v>209</v>
      </c>
      <c r="B161" s="15" t="s">
        <v>36</v>
      </c>
      <c r="C161" s="15">
        <v>0</v>
      </c>
      <c r="D161" s="15">
        <v>2021</v>
      </c>
      <c r="E161" s="15" t="s">
        <v>465</v>
      </c>
      <c r="F161" s="15" t="s">
        <v>301</v>
      </c>
      <c r="G161" s="15" t="s">
        <v>313</v>
      </c>
      <c r="H161" s="15" t="s">
        <v>269</v>
      </c>
      <c r="I161" s="15" t="s">
        <v>269</v>
      </c>
      <c r="J161" s="15" t="s">
        <v>3</v>
      </c>
      <c r="K161" s="15" t="s">
        <v>3</v>
      </c>
    </row>
    <row r="162" spans="1:11" x14ac:dyDescent="0.3">
      <c r="A162" s="15" t="s">
        <v>209</v>
      </c>
      <c r="B162" s="15" t="s">
        <v>37</v>
      </c>
      <c r="C162" s="15" t="s">
        <v>3</v>
      </c>
      <c r="D162" s="15">
        <v>2021</v>
      </c>
      <c r="E162" s="15" t="s">
        <v>465</v>
      </c>
      <c r="F162" s="15" t="s">
        <v>301</v>
      </c>
      <c r="G162" s="15" t="s">
        <v>314</v>
      </c>
      <c r="H162" s="15" t="s">
        <v>269</v>
      </c>
      <c r="I162" s="15" t="s">
        <v>269</v>
      </c>
      <c r="J162" s="15" t="s">
        <v>3</v>
      </c>
      <c r="K162" s="15" t="s">
        <v>3</v>
      </c>
    </row>
    <row r="163" spans="1:11" x14ac:dyDescent="0.3">
      <c r="A163" s="15" t="s">
        <v>209</v>
      </c>
      <c r="B163" s="15" t="s">
        <v>39</v>
      </c>
      <c r="C163" s="15">
        <v>0</v>
      </c>
      <c r="D163" s="15">
        <v>2021</v>
      </c>
      <c r="E163" s="15" t="s">
        <v>465</v>
      </c>
      <c r="F163" s="15" t="s">
        <v>301</v>
      </c>
      <c r="G163" s="15" t="s">
        <v>315</v>
      </c>
      <c r="H163" s="15" t="s">
        <v>269</v>
      </c>
      <c r="I163" s="15" t="s">
        <v>269</v>
      </c>
      <c r="J163" s="15" t="s">
        <v>3</v>
      </c>
      <c r="K163" s="15" t="s">
        <v>3</v>
      </c>
    </row>
    <row r="164" spans="1:11" x14ac:dyDescent="0.3">
      <c r="A164" s="15" t="s">
        <v>209</v>
      </c>
      <c r="B164" s="15" t="s">
        <v>40</v>
      </c>
      <c r="C164" s="15" t="s">
        <v>3</v>
      </c>
      <c r="D164" s="15">
        <v>2021</v>
      </c>
      <c r="E164" s="15" t="s">
        <v>465</v>
      </c>
      <c r="F164" s="15" t="s">
        <v>301</v>
      </c>
      <c r="G164" s="15" t="s">
        <v>316</v>
      </c>
      <c r="H164" s="15" t="s">
        <v>269</v>
      </c>
      <c r="I164" s="15" t="s">
        <v>269</v>
      </c>
      <c r="J164" s="15" t="s">
        <v>3</v>
      </c>
      <c r="K164" s="15" t="s">
        <v>3</v>
      </c>
    </row>
    <row r="165" spans="1:11" x14ac:dyDescent="0.3">
      <c r="A165" s="15" t="s">
        <v>209</v>
      </c>
      <c r="B165" s="15" t="s">
        <v>41</v>
      </c>
      <c r="C165" s="15" t="s">
        <v>3</v>
      </c>
      <c r="D165" s="15">
        <v>2021</v>
      </c>
      <c r="E165" s="15" t="s">
        <v>465</v>
      </c>
      <c r="F165" s="15" t="s">
        <v>301</v>
      </c>
      <c r="G165" s="15" t="s">
        <v>317</v>
      </c>
      <c r="H165" s="15" t="s">
        <v>269</v>
      </c>
      <c r="I165" s="15" t="s">
        <v>269</v>
      </c>
      <c r="J165" s="15" t="s">
        <v>3</v>
      </c>
      <c r="K165" s="15" t="s">
        <v>3</v>
      </c>
    </row>
    <row r="166" spans="1:11" x14ac:dyDescent="0.3">
      <c r="A166" s="15" t="s">
        <v>209</v>
      </c>
      <c r="B166" s="15" t="s">
        <v>38</v>
      </c>
      <c r="C166" s="15" t="s">
        <v>3</v>
      </c>
      <c r="D166" s="15">
        <v>2021</v>
      </c>
      <c r="E166" s="15" t="s">
        <v>465</v>
      </c>
      <c r="F166" s="15" t="s">
        <v>301</v>
      </c>
      <c r="G166" s="15" t="s">
        <v>318</v>
      </c>
      <c r="H166" s="15" t="s">
        <v>269</v>
      </c>
      <c r="I166" s="15" t="s">
        <v>269</v>
      </c>
      <c r="J166" s="15" t="s">
        <v>3</v>
      </c>
      <c r="K166" s="15" t="s">
        <v>3</v>
      </c>
    </row>
    <row r="167" spans="1:11" x14ac:dyDescent="0.3">
      <c r="A167" s="15" t="s">
        <v>75</v>
      </c>
      <c r="B167" s="15" t="s">
        <v>40</v>
      </c>
      <c r="C167" s="15">
        <v>6.8584224916125008E-2</v>
      </c>
      <c r="D167" s="15">
        <v>2021</v>
      </c>
      <c r="E167" s="15" t="s">
        <v>465</v>
      </c>
      <c r="F167" s="15" t="s">
        <v>302</v>
      </c>
      <c r="G167" s="15" t="s">
        <v>316</v>
      </c>
      <c r="H167" s="15" t="s">
        <v>269</v>
      </c>
      <c r="I167" s="15" t="s">
        <v>269</v>
      </c>
      <c r="J167" s="15" t="s">
        <v>3</v>
      </c>
      <c r="K167" s="15" t="s">
        <v>3</v>
      </c>
    </row>
    <row r="168" spans="1:11" x14ac:dyDescent="0.3">
      <c r="A168" s="15" t="s">
        <v>70</v>
      </c>
      <c r="B168" s="15" t="s">
        <v>50</v>
      </c>
      <c r="C168" s="15">
        <v>2.58375282</v>
      </c>
      <c r="D168" s="15">
        <v>2021</v>
      </c>
      <c r="E168" s="15" t="s">
        <v>465</v>
      </c>
      <c r="F168" s="15" t="s">
        <v>303</v>
      </c>
      <c r="G168" s="15" t="s">
        <v>290</v>
      </c>
      <c r="H168" s="15" t="s">
        <v>269</v>
      </c>
      <c r="I168" s="15" t="s">
        <v>18</v>
      </c>
      <c r="J168" s="15" t="s">
        <v>3</v>
      </c>
      <c r="K168" s="15" t="s">
        <v>366</v>
      </c>
    </row>
    <row r="169" spans="1:11" x14ac:dyDescent="0.3">
      <c r="A169" s="15" t="s">
        <v>70</v>
      </c>
      <c r="B169" s="15" t="s">
        <v>78</v>
      </c>
      <c r="C169" s="15">
        <v>0.30370801999999997</v>
      </c>
      <c r="D169" s="15">
        <v>2021</v>
      </c>
      <c r="E169" s="15" t="s">
        <v>465</v>
      </c>
      <c r="F169" s="15" t="s">
        <v>303</v>
      </c>
      <c r="G169" s="15" t="s">
        <v>308</v>
      </c>
      <c r="H169" s="15" t="s">
        <v>269</v>
      </c>
      <c r="I169" s="15" t="s">
        <v>269</v>
      </c>
      <c r="J169" s="15" t="s">
        <v>3</v>
      </c>
      <c r="K169" s="15" t="s">
        <v>3</v>
      </c>
    </row>
    <row r="170" spans="1:11" x14ac:dyDescent="0.3">
      <c r="A170" s="15" t="s">
        <v>70</v>
      </c>
      <c r="B170" s="15" t="s">
        <v>79</v>
      </c>
      <c r="C170" s="15">
        <v>0</v>
      </c>
      <c r="D170" s="15">
        <v>2021</v>
      </c>
      <c r="E170" s="15" t="s">
        <v>465</v>
      </c>
      <c r="F170" s="15" t="s">
        <v>303</v>
      </c>
      <c r="G170" s="15" t="s">
        <v>309</v>
      </c>
      <c r="H170" s="15" t="s">
        <v>269</v>
      </c>
      <c r="I170" s="15" t="s">
        <v>269</v>
      </c>
      <c r="J170" s="15" t="s">
        <v>3</v>
      </c>
      <c r="K170" s="15" t="s">
        <v>3</v>
      </c>
    </row>
    <row r="171" spans="1:11" x14ac:dyDescent="0.3">
      <c r="A171" s="15" t="s">
        <v>70</v>
      </c>
      <c r="B171" s="15" t="s">
        <v>67</v>
      </c>
      <c r="C171" s="15">
        <v>0</v>
      </c>
      <c r="D171" s="15">
        <v>2021</v>
      </c>
      <c r="E171" s="15" t="s">
        <v>465</v>
      </c>
      <c r="F171" s="15" t="s">
        <v>303</v>
      </c>
      <c r="G171" s="15" t="s">
        <v>310</v>
      </c>
      <c r="H171" s="15" t="s">
        <v>269</v>
      </c>
      <c r="I171" s="15" t="s">
        <v>269</v>
      </c>
      <c r="J171" s="15" t="s">
        <v>3</v>
      </c>
      <c r="K171" s="15" t="s">
        <v>3</v>
      </c>
    </row>
    <row r="172" spans="1:11" x14ac:dyDescent="0.3">
      <c r="A172" s="15" t="s">
        <v>70</v>
      </c>
      <c r="B172" s="15" t="s">
        <v>68</v>
      </c>
      <c r="C172" s="15">
        <v>2.2800447999999998</v>
      </c>
      <c r="D172" s="15">
        <v>2021</v>
      </c>
      <c r="E172" s="15" t="s">
        <v>465</v>
      </c>
      <c r="F172" s="15" t="s">
        <v>303</v>
      </c>
      <c r="G172" s="15" t="s">
        <v>311</v>
      </c>
      <c r="H172" s="15" t="s">
        <v>269</v>
      </c>
      <c r="I172" s="15" t="s">
        <v>269</v>
      </c>
      <c r="J172" s="15" t="s">
        <v>3</v>
      </c>
      <c r="K172" s="15" t="s">
        <v>3</v>
      </c>
    </row>
    <row r="173" spans="1:11" x14ac:dyDescent="0.3">
      <c r="A173" s="15" t="s">
        <v>70</v>
      </c>
      <c r="B173" s="15" t="s">
        <v>69</v>
      </c>
      <c r="C173" s="15">
        <v>0</v>
      </c>
      <c r="D173" s="15">
        <v>2021</v>
      </c>
      <c r="E173" s="15" t="s">
        <v>465</v>
      </c>
      <c r="F173" s="15" t="s">
        <v>303</v>
      </c>
      <c r="G173" s="15" t="s">
        <v>312</v>
      </c>
      <c r="H173" s="15" t="s">
        <v>269</v>
      </c>
      <c r="I173" s="15" t="s">
        <v>269</v>
      </c>
      <c r="J173" s="15" t="s">
        <v>3</v>
      </c>
      <c r="K173" s="15" t="s">
        <v>3</v>
      </c>
    </row>
    <row r="174" spans="1:11" x14ac:dyDescent="0.3">
      <c r="A174" s="15" t="s">
        <v>71</v>
      </c>
      <c r="B174" s="15" t="s">
        <v>50</v>
      </c>
      <c r="C174" s="15">
        <v>12.099929319999999</v>
      </c>
      <c r="D174" s="15">
        <v>2021</v>
      </c>
      <c r="E174" s="15" t="s">
        <v>465</v>
      </c>
      <c r="F174" s="15" t="s">
        <v>304</v>
      </c>
      <c r="G174" s="15" t="s">
        <v>290</v>
      </c>
      <c r="H174" s="15" t="s">
        <v>269</v>
      </c>
      <c r="I174" s="15" t="s">
        <v>18</v>
      </c>
      <c r="J174" s="15" t="s">
        <v>3</v>
      </c>
      <c r="K174" s="15" t="s">
        <v>366</v>
      </c>
    </row>
    <row r="175" spans="1:11" x14ac:dyDescent="0.3">
      <c r="A175" s="15" t="s">
        <v>71</v>
      </c>
      <c r="B175" s="15" t="s">
        <v>78</v>
      </c>
      <c r="C175" s="15">
        <v>0</v>
      </c>
      <c r="D175" s="15">
        <v>2021</v>
      </c>
      <c r="E175" s="15" t="s">
        <v>465</v>
      </c>
      <c r="F175" s="15" t="s">
        <v>304</v>
      </c>
      <c r="G175" s="15" t="s">
        <v>308</v>
      </c>
      <c r="H175" s="15" t="s">
        <v>269</v>
      </c>
      <c r="I175" s="15" t="s">
        <v>269</v>
      </c>
      <c r="J175" s="15" t="s">
        <v>3</v>
      </c>
      <c r="K175" s="15" t="s">
        <v>3</v>
      </c>
    </row>
    <row r="176" spans="1:11" x14ac:dyDescent="0.3">
      <c r="A176" s="15" t="s">
        <v>71</v>
      </c>
      <c r="B176" s="15" t="s">
        <v>79</v>
      </c>
      <c r="C176" s="15">
        <v>5.3648600000000002</v>
      </c>
      <c r="D176" s="15">
        <v>2021</v>
      </c>
      <c r="E176" s="15" t="s">
        <v>465</v>
      </c>
      <c r="F176" s="15" t="s">
        <v>304</v>
      </c>
      <c r="G176" s="15" t="s">
        <v>309</v>
      </c>
      <c r="H176" s="15" t="s">
        <v>269</v>
      </c>
      <c r="I176" s="15" t="s">
        <v>269</v>
      </c>
      <c r="J176" s="15" t="s">
        <v>3</v>
      </c>
      <c r="K176" s="15" t="s">
        <v>3</v>
      </c>
    </row>
    <row r="177" spans="1:11" x14ac:dyDescent="0.3">
      <c r="A177" s="15" t="s">
        <v>71</v>
      </c>
      <c r="B177" s="15" t="s">
        <v>67</v>
      </c>
      <c r="C177" s="15">
        <v>1.3462099199999999</v>
      </c>
      <c r="D177" s="15">
        <v>2021</v>
      </c>
      <c r="E177" s="15" t="s">
        <v>465</v>
      </c>
      <c r="F177" s="15" t="s">
        <v>304</v>
      </c>
      <c r="G177" s="15" t="s">
        <v>310</v>
      </c>
      <c r="H177" s="15" t="s">
        <v>269</v>
      </c>
      <c r="I177" s="15" t="s">
        <v>269</v>
      </c>
      <c r="J177" s="15" t="s">
        <v>3</v>
      </c>
      <c r="K177" s="15" t="s">
        <v>3</v>
      </c>
    </row>
    <row r="178" spans="1:11" x14ac:dyDescent="0.3">
      <c r="A178" s="15" t="s">
        <v>71</v>
      </c>
      <c r="B178" s="15" t="s">
        <v>68</v>
      </c>
      <c r="C178" s="15">
        <v>4.7673664000000002</v>
      </c>
      <c r="D178" s="15">
        <v>2021</v>
      </c>
      <c r="E178" s="15" t="s">
        <v>465</v>
      </c>
      <c r="F178" s="15" t="s">
        <v>304</v>
      </c>
      <c r="G178" s="15" t="s">
        <v>311</v>
      </c>
      <c r="H178" s="15" t="s">
        <v>269</v>
      </c>
      <c r="I178" s="15" t="s">
        <v>269</v>
      </c>
      <c r="J178" s="15" t="s">
        <v>3</v>
      </c>
      <c r="K178" s="15" t="s">
        <v>3</v>
      </c>
    </row>
    <row r="179" spans="1:11" x14ac:dyDescent="0.3">
      <c r="A179" s="15" t="s">
        <v>71</v>
      </c>
      <c r="B179" s="15" t="s">
        <v>69</v>
      </c>
      <c r="C179" s="15">
        <v>0.62149299999999996</v>
      </c>
      <c r="D179" s="15">
        <v>2021</v>
      </c>
      <c r="E179" s="15" t="s">
        <v>465</v>
      </c>
      <c r="F179" s="15" t="s">
        <v>304</v>
      </c>
      <c r="G179" s="15" t="s">
        <v>312</v>
      </c>
      <c r="H179" s="15" t="s">
        <v>269</v>
      </c>
      <c r="I179" s="15" t="s">
        <v>269</v>
      </c>
      <c r="J179" s="15" t="s">
        <v>3</v>
      </c>
      <c r="K179" s="15" t="s">
        <v>3</v>
      </c>
    </row>
    <row r="180" spans="1:11" x14ac:dyDescent="0.3">
      <c r="A180" s="15" t="s">
        <v>77</v>
      </c>
      <c r="B180" s="15" t="s">
        <v>50</v>
      </c>
      <c r="C180" s="15">
        <v>14.267582980000002</v>
      </c>
      <c r="D180" s="15">
        <v>2021</v>
      </c>
      <c r="E180" s="15" t="s">
        <v>465</v>
      </c>
      <c r="F180" s="15" t="s">
        <v>306</v>
      </c>
      <c r="G180" s="15" t="s">
        <v>290</v>
      </c>
      <c r="H180" s="15" t="s">
        <v>269</v>
      </c>
      <c r="I180" s="15" t="s">
        <v>18</v>
      </c>
      <c r="J180" s="15" t="s">
        <v>3</v>
      </c>
      <c r="K180" s="15" t="s">
        <v>366</v>
      </c>
    </row>
    <row r="181" spans="1:11" x14ac:dyDescent="0.3">
      <c r="A181" s="15" t="s">
        <v>77</v>
      </c>
      <c r="B181" s="15" t="s">
        <v>78</v>
      </c>
      <c r="C181" s="15">
        <v>0.93873388000000002</v>
      </c>
      <c r="D181" s="15">
        <v>2021</v>
      </c>
      <c r="E181" s="15" t="s">
        <v>465</v>
      </c>
      <c r="F181" s="15" t="s">
        <v>306</v>
      </c>
      <c r="G181" s="15" t="s">
        <v>308</v>
      </c>
      <c r="H181" s="15" t="s">
        <v>269</v>
      </c>
      <c r="I181" s="15" t="s">
        <v>269</v>
      </c>
      <c r="J181" s="15" t="s">
        <v>3</v>
      </c>
      <c r="K181" s="15" t="s">
        <v>3</v>
      </c>
    </row>
    <row r="182" spans="1:11" x14ac:dyDescent="0.3">
      <c r="A182" s="15" t="s">
        <v>77</v>
      </c>
      <c r="B182" s="15" t="s">
        <v>79</v>
      </c>
      <c r="C182" s="15">
        <v>0.69224000000000008</v>
      </c>
      <c r="D182" s="15">
        <v>2021</v>
      </c>
      <c r="E182" s="15" t="s">
        <v>465</v>
      </c>
      <c r="F182" s="15" t="s">
        <v>306</v>
      </c>
      <c r="G182" s="15" t="s">
        <v>309</v>
      </c>
      <c r="H182" s="15" t="s">
        <v>269</v>
      </c>
      <c r="I182" s="15" t="s">
        <v>269</v>
      </c>
      <c r="J182" s="15" t="s">
        <v>3</v>
      </c>
      <c r="K182" s="15" t="s">
        <v>3</v>
      </c>
    </row>
    <row r="183" spans="1:11" x14ac:dyDescent="0.3">
      <c r="A183" s="15" t="s">
        <v>77</v>
      </c>
      <c r="B183" s="15" t="s">
        <v>67</v>
      </c>
      <c r="C183" s="15">
        <v>0.69350207999999991</v>
      </c>
      <c r="D183" s="15">
        <v>2021</v>
      </c>
      <c r="E183" s="15" t="s">
        <v>465</v>
      </c>
      <c r="F183" s="15" t="s">
        <v>306</v>
      </c>
      <c r="G183" s="15" t="s">
        <v>310</v>
      </c>
      <c r="H183" s="15" t="s">
        <v>269</v>
      </c>
      <c r="I183" s="15" t="s">
        <v>269</v>
      </c>
      <c r="J183" s="15" t="s">
        <v>3</v>
      </c>
      <c r="K183" s="15" t="s">
        <v>3</v>
      </c>
    </row>
    <row r="184" spans="1:11" x14ac:dyDescent="0.3">
      <c r="A184" s="15" t="s">
        <v>77</v>
      </c>
      <c r="B184" s="15" t="s">
        <v>68</v>
      </c>
      <c r="C184" s="15">
        <v>11.6075008</v>
      </c>
      <c r="D184" s="15">
        <v>2021</v>
      </c>
      <c r="E184" s="15" t="s">
        <v>465</v>
      </c>
      <c r="F184" s="15" t="s">
        <v>306</v>
      </c>
      <c r="G184" s="15" t="s">
        <v>311</v>
      </c>
      <c r="H184" s="15" t="s">
        <v>269</v>
      </c>
      <c r="I184" s="15" t="s">
        <v>269</v>
      </c>
      <c r="J184" s="15" t="s">
        <v>3</v>
      </c>
      <c r="K184" s="15" t="s">
        <v>3</v>
      </c>
    </row>
    <row r="185" spans="1:11" x14ac:dyDescent="0.3">
      <c r="A185" s="15" t="s">
        <v>77</v>
      </c>
      <c r="B185" s="15" t="s">
        <v>69</v>
      </c>
      <c r="C185" s="15">
        <v>0.33560622000000001</v>
      </c>
      <c r="D185" s="15">
        <v>2021</v>
      </c>
      <c r="E185" s="15" t="s">
        <v>465</v>
      </c>
      <c r="F185" s="15" t="s">
        <v>306</v>
      </c>
      <c r="G185" s="15" t="s">
        <v>312</v>
      </c>
      <c r="H185" s="15" t="s">
        <v>269</v>
      </c>
      <c r="I185" s="15" t="s">
        <v>269</v>
      </c>
      <c r="J185" s="15" t="s">
        <v>3</v>
      </c>
      <c r="K185" s="15" t="s">
        <v>3</v>
      </c>
    </row>
    <row r="186" spans="1:11" x14ac:dyDescent="0.3">
      <c r="A186" s="15" t="s">
        <v>43</v>
      </c>
      <c r="B186" s="15" t="s">
        <v>50</v>
      </c>
      <c r="C186" s="15">
        <v>5.0926038800000004</v>
      </c>
      <c r="D186" s="15">
        <v>2021</v>
      </c>
      <c r="E186" s="15" t="s">
        <v>465</v>
      </c>
      <c r="F186" s="15" t="s">
        <v>307</v>
      </c>
      <c r="G186" s="15" t="s">
        <v>290</v>
      </c>
      <c r="H186" s="15" t="s">
        <v>269</v>
      </c>
      <c r="I186" s="15" t="s">
        <v>18</v>
      </c>
      <c r="J186" s="15" t="s">
        <v>3</v>
      </c>
      <c r="K186" s="15" t="s">
        <v>366</v>
      </c>
    </row>
    <row r="187" spans="1:11" x14ac:dyDescent="0.3">
      <c r="A187" s="15" t="s">
        <v>43</v>
      </c>
      <c r="B187" s="15" t="s">
        <v>78</v>
      </c>
      <c r="C187" s="15">
        <v>0.13804910000000001</v>
      </c>
      <c r="D187" s="15">
        <v>2021</v>
      </c>
      <c r="E187" s="15" t="s">
        <v>465</v>
      </c>
      <c r="F187" s="15" t="s">
        <v>307</v>
      </c>
      <c r="G187" s="15" t="s">
        <v>308</v>
      </c>
      <c r="H187" s="15" t="s">
        <v>269</v>
      </c>
      <c r="I187" s="15" t="s">
        <v>269</v>
      </c>
      <c r="J187" s="15" t="s">
        <v>3</v>
      </c>
      <c r="K187" s="15" t="s">
        <v>3</v>
      </c>
    </row>
    <row r="188" spans="1:11" x14ac:dyDescent="0.3">
      <c r="A188" s="15" t="s">
        <v>43</v>
      </c>
      <c r="B188" s="15" t="s">
        <v>79</v>
      </c>
      <c r="C188" s="15">
        <v>2.5958999999999999</v>
      </c>
      <c r="D188" s="15">
        <v>2021</v>
      </c>
      <c r="E188" s="15" t="s">
        <v>465</v>
      </c>
      <c r="F188" s="15" t="s">
        <v>307</v>
      </c>
      <c r="G188" s="15" t="s">
        <v>309</v>
      </c>
      <c r="H188" s="15" t="s">
        <v>269</v>
      </c>
      <c r="I188" s="15" t="s">
        <v>269</v>
      </c>
      <c r="J188" s="15" t="s">
        <v>3</v>
      </c>
      <c r="K188" s="15" t="s">
        <v>3</v>
      </c>
    </row>
    <row r="189" spans="1:11" x14ac:dyDescent="0.3">
      <c r="A189" s="15" t="s">
        <v>43</v>
      </c>
      <c r="B189" s="15" t="s">
        <v>67</v>
      </c>
      <c r="C189" s="15">
        <v>0</v>
      </c>
      <c r="D189" s="15">
        <v>2021</v>
      </c>
      <c r="E189" s="15" t="s">
        <v>465</v>
      </c>
      <c r="F189" s="15" t="s">
        <v>307</v>
      </c>
      <c r="G189" s="15" t="s">
        <v>310</v>
      </c>
      <c r="H189" s="15" t="s">
        <v>269</v>
      </c>
      <c r="I189" s="15" t="s">
        <v>269</v>
      </c>
      <c r="J189" s="15" t="s">
        <v>3</v>
      </c>
      <c r="K189" s="15" t="s">
        <v>3</v>
      </c>
    </row>
    <row r="190" spans="1:11" x14ac:dyDescent="0.3">
      <c r="A190" s="15" t="s">
        <v>43</v>
      </c>
      <c r="B190" s="15" t="s">
        <v>68</v>
      </c>
      <c r="C190" s="15">
        <v>2.0727679999999999</v>
      </c>
      <c r="D190" s="15">
        <v>2021</v>
      </c>
      <c r="E190" s="15" t="s">
        <v>465</v>
      </c>
      <c r="F190" s="15" t="s">
        <v>307</v>
      </c>
      <c r="G190" s="15" t="s">
        <v>311</v>
      </c>
      <c r="H190" s="15" t="s">
        <v>269</v>
      </c>
      <c r="I190" s="15" t="s">
        <v>269</v>
      </c>
      <c r="J190" s="15" t="s">
        <v>3</v>
      </c>
      <c r="K190" s="15" t="s">
        <v>3</v>
      </c>
    </row>
    <row r="191" spans="1:11" x14ac:dyDescent="0.3">
      <c r="A191" s="15" t="s">
        <v>43</v>
      </c>
      <c r="B191" s="15" t="s">
        <v>69</v>
      </c>
      <c r="C191" s="15">
        <v>0.28588678000000001</v>
      </c>
      <c r="D191" s="15">
        <v>2021</v>
      </c>
      <c r="E191" s="15" t="s">
        <v>465</v>
      </c>
      <c r="F191" s="15" t="s">
        <v>307</v>
      </c>
      <c r="G191" s="15" t="s">
        <v>312</v>
      </c>
      <c r="H191" s="15" t="s">
        <v>269</v>
      </c>
      <c r="I191" s="15" t="s">
        <v>269</v>
      </c>
      <c r="J191" s="15" t="s">
        <v>3</v>
      </c>
      <c r="K191" s="15" t="s">
        <v>3</v>
      </c>
    </row>
    <row r="192" spans="1:11" x14ac:dyDescent="0.3">
      <c r="A192" s="15" t="s">
        <v>42</v>
      </c>
      <c r="B192" s="15" t="s">
        <v>80</v>
      </c>
      <c r="C192" s="15">
        <v>20.205880954478573</v>
      </c>
      <c r="D192" s="15">
        <v>2021</v>
      </c>
      <c r="E192" s="15" t="s">
        <v>465</v>
      </c>
      <c r="F192" s="15" t="s">
        <v>289</v>
      </c>
      <c r="G192" s="15" t="s">
        <v>329</v>
      </c>
      <c r="H192" s="15" t="s">
        <v>18</v>
      </c>
      <c r="I192" s="15" t="s">
        <v>269</v>
      </c>
      <c r="J192" s="15" t="s">
        <v>365</v>
      </c>
      <c r="K192" s="15" t="s">
        <v>3</v>
      </c>
    </row>
    <row r="193" spans="1:11" x14ac:dyDescent="0.3">
      <c r="A193" s="15" t="s">
        <v>70</v>
      </c>
      <c r="B193" s="15" t="s">
        <v>80</v>
      </c>
      <c r="C193" s="15">
        <v>0.17628092808064502</v>
      </c>
      <c r="D193" s="15">
        <v>2021</v>
      </c>
      <c r="E193" s="15" t="s">
        <v>465</v>
      </c>
      <c r="F193" s="15" t="s">
        <v>303</v>
      </c>
      <c r="G193" s="15" t="s">
        <v>329</v>
      </c>
      <c r="H193" s="15" t="s">
        <v>269</v>
      </c>
      <c r="I193" s="15" t="s">
        <v>269</v>
      </c>
      <c r="J193" s="15" t="s">
        <v>3</v>
      </c>
      <c r="K193" s="15" t="s">
        <v>3</v>
      </c>
    </row>
    <row r="194" spans="1:11" x14ac:dyDescent="0.3">
      <c r="A194" s="15" t="s">
        <v>71</v>
      </c>
      <c r="B194" s="15" t="s">
        <v>80</v>
      </c>
      <c r="C194" s="15">
        <v>13.644490836708334</v>
      </c>
      <c r="D194" s="15">
        <v>2021</v>
      </c>
      <c r="E194" s="15" t="s">
        <v>465</v>
      </c>
      <c r="F194" s="15" t="s">
        <v>304</v>
      </c>
      <c r="G194" s="15" t="s">
        <v>329</v>
      </c>
      <c r="H194" s="15" t="s">
        <v>269</v>
      </c>
      <c r="I194" s="15" t="s">
        <v>269</v>
      </c>
      <c r="J194" s="15" t="s">
        <v>3</v>
      </c>
      <c r="K194" s="15" t="s">
        <v>3</v>
      </c>
    </row>
    <row r="195" spans="1:11" x14ac:dyDescent="0.3">
      <c r="A195" s="15" t="s">
        <v>72</v>
      </c>
      <c r="B195" s="15" t="s">
        <v>80</v>
      </c>
      <c r="C195" s="15">
        <v>2.8013142857142856</v>
      </c>
      <c r="D195" s="15">
        <v>2021</v>
      </c>
      <c r="E195" s="15" t="s">
        <v>465</v>
      </c>
      <c r="F195" s="15" t="s">
        <v>305</v>
      </c>
      <c r="G195" s="15" t="s">
        <v>329</v>
      </c>
      <c r="H195" s="15" t="s">
        <v>269</v>
      </c>
      <c r="I195" s="15" t="s">
        <v>269</v>
      </c>
      <c r="J195" s="15" t="s">
        <v>3</v>
      </c>
      <c r="K195" s="15" t="s">
        <v>3</v>
      </c>
    </row>
    <row r="196" spans="1:11" x14ac:dyDescent="0.3">
      <c r="A196" s="15" t="s">
        <v>77</v>
      </c>
      <c r="B196" s="15" t="s">
        <v>80</v>
      </c>
      <c r="C196" s="15">
        <v>3.5837949039753081</v>
      </c>
      <c r="D196" s="15">
        <v>2021</v>
      </c>
      <c r="E196" s="15" t="s">
        <v>465</v>
      </c>
      <c r="F196" s="15" t="s">
        <v>306</v>
      </c>
      <c r="G196" s="15" t="s">
        <v>329</v>
      </c>
      <c r="H196" s="15" t="s">
        <v>269</v>
      </c>
      <c r="I196" s="15" t="s">
        <v>269</v>
      </c>
      <c r="J196" s="15" t="s">
        <v>3</v>
      </c>
      <c r="K196" s="15" t="s">
        <v>3</v>
      </c>
    </row>
    <row r="197" spans="1:11" x14ac:dyDescent="0.3">
      <c r="A197" s="15" t="s">
        <v>72</v>
      </c>
      <c r="B197" s="15" t="s">
        <v>35</v>
      </c>
      <c r="C197" s="15">
        <v>1.1619885825000003</v>
      </c>
      <c r="D197" s="15">
        <v>2021</v>
      </c>
      <c r="E197" s="15" t="s">
        <v>465</v>
      </c>
      <c r="F197" s="15" t="s">
        <v>305</v>
      </c>
      <c r="G197" s="15" t="s">
        <v>324</v>
      </c>
      <c r="H197" s="15" t="s">
        <v>269</v>
      </c>
      <c r="I197" s="15" t="s">
        <v>269</v>
      </c>
      <c r="J197" s="15" t="s">
        <v>3</v>
      </c>
      <c r="K197" s="15" t="s">
        <v>3</v>
      </c>
    </row>
    <row r="198" spans="1:11" x14ac:dyDescent="0.3">
      <c r="A198" s="15" t="s">
        <v>50</v>
      </c>
      <c r="B198" s="15" t="s">
        <v>31</v>
      </c>
      <c r="C198" s="15">
        <v>11.7733402245</v>
      </c>
      <c r="D198" s="15">
        <v>2021</v>
      </c>
      <c r="E198" s="15" t="s">
        <v>465</v>
      </c>
      <c r="F198" s="15" t="s">
        <v>290</v>
      </c>
      <c r="G198" s="15" t="s">
        <v>320</v>
      </c>
      <c r="H198" s="15" t="s">
        <v>18</v>
      </c>
      <c r="I198" s="15" t="s">
        <v>269</v>
      </c>
      <c r="J198" s="15" t="s">
        <v>366</v>
      </c>
      <c r="K198" s="15" t="s">
        <v>3</v>
      </c>
    </row>
    <row r="199" spans="1:11" x14ac:dyDescent="0.3">
      <c r="A199" s="15" t="s">
        <v>78</v>
      </c>
      <c r="B199" s="15" t="s">
        <v>31</v>
      </c>
      <c r="C199" s="15">
        <v>1.3639666705</v>
      </c>
      <c r="D199" s="15">
        <v>2021</v>
      </c>
      <c r="E199" s="15" t="s">
        <v>465</v>
      </c>
      <c r="F199" s="15" t="s">
        <v>308</v>
      </c>
      <c r="G199" s="15" t="s">
        <v>320</v>
      </c>
      <c r="H199" s="15" t="s">
        <v>269</v>
      </c>
      <c r="I199" s="15" t="s">
        <v>269</v>
      </c>
      <c r="J199" s="15" t="s">
        <v>3</v>
      </c>
      <c r="K199" s="15" t="s">
        <v>3</v>
      </c>
    </row>
    <row r="200" spans="1:11" x14ac:dyDescent="0.3">
      <c r="A200" s="15" t="s">
        <v>79</v>
      </c>
      <c r="B200" s="15" t="s">
        <v>31</v>
      </c>
      <c r="C200" s="15">
        <v>7.3891624387500006</v>
      </c>
      <c r="D200" s="15">
        <v>2021</v>
      </c>
      <c r="E200" s="15" t="s">
        <v>465</v>
      </c>
      <c r="F200" s="15" t="s">
        <v>309</v>
      </c>
      <c r="G200" s="15" t="s">
        <v>320</v>
      </c>
      <c r="H200" s="15" t="s">
        <v>269</v>
      </c>
      <c r="I200" s="15" t="s">
        <v>269</v>
      </c>
      <c r="J200" s="15" t="s">
        <v>3</v>
      </c>
      <c r="K200" s="15" t="s">
        <v>3</v>
      </c>
    </row>
    <row r="201" spans="1:11" x14ac:dyDescent="0.3">
      <c r="A201" s="15" t="s">
        <v>67</v>
      </c>
      <c r="B201" s="15" t="s">
        <v>31</v>
      </c>
      <c r="C201" s="15">
        <v>1.7884370539999999</v>
      </c>
      <c r="D201" s="15">
        <v>2021</v>
      </c>
      <c r="E201" s="15" t="s">
        <v>465</v>
      </c>
      <c r="F201" s="15" t="s">
        <v>310</v>
      </c>
      <c r="G201" s="15" t="s">
        <v>320</v>
      </c>
      <c r="H201" s="15" t="s">
        <v>269</v>
      </c>
      <c r="I201" s="15" t="s">
        <v>269</v>
      </c>
      <c r="J201" s="15" t="s">
        <v>3</v>
      </c>
      <c r="K201" s="15" t="s">
        <v>3</v>
      </c>
    </row>
    <row r="202" spans="1:11" x14ac:dyDescent="0.3">
      <c r="A202" s="15" t="s">
        <v>68</v>
      </c>
      <c r="B202" s="15" t="s">
        <v>31</v>
      </c>
      <c r="C202" s="15">
        <v>0</v>
      </c>
      <c r="D202" s="15">
        <v>2021</v>
      </c>
      <c r="E202" s="15" t="s">
        <v>465</v>
      </c>
      <c r="F202" s="15" t="s">
        <v>311</v>
      </c>
      <c r="G202" s="15" t="s">
        <v>320</v>
      </c>
      <c r="H202" s="15" t="s">
        <v>269</v>
      </c>
      <c r="I202" s="15" t="s">
        <v>269</v>
      </c>
      <c r="J202" s="15" t="s">
        <v>3</v>
      </c>
      <c r="K202" s="15" t="s">
        <v>3</v>
      </c>
    </row>
    <row r="203" spans="1:11" x14ac:dyDescent="0.3">
      <c r="A203" s="15" t="s">
        <v>69</v>
      </c>
      <c r="B203" s="15" t="s">
        <v>31</v>
      </c>
      <c r="C203" s="15">
        <v>1.2317740612499999</v>
      </c>
      <c r="D203" s="15">
        <v>2021</v>
      </c>
      <c r="E203" s="15" t="s">
        <v>465</v>
      </c>
      <c r="F203" s="15" t="s">
        <v>312</v>
      </c>
      <c r="G203" s="15" t="s">
        <v>320</v>
      </c>
      <c r="H203" s="15" t="s">
        <v>269</v>
      </c>
      <c r="I203" s="15" t="s">
        <v>269</v>
      </c>
      <c r="J203" s="15" t="s">
        <v>3</v>
      </c>
      <c r="K203" s="15" t="s">
        <v>3</v>
      </c>
    </row>
    <row r="204" spans="1:11" x14ac:dyDescent="0.3">
      <c r="A204" s="15" t="s">
        <v>68</v>
      </c>
      <c r="B204" s="15" t="s">
        <v>32</v>
      </c>
      <c r="C204" s="15">
        <v>20.323681811250001</v>
      </c>
      <c r="D204" s="15">
        <v>2021</v>
      </c>
      <c r="E204" s="15" t="s">
        <v>465</v>
      </c>
      <c r="F204" s="15" t="s">
        <v>311</v>
      </c>
      <c r="G204" s="15" t="s">
        <v>321</v>
      </c>
      <c r="H204" s="15" t="s">
        <v>269</v>
      </c>
      <c r="I204" s="15" t="s">
        <v>269</v>
      </c>
      <c r="J204" s="15" t="s">
        <v>3</v>
      </c>
      <c r="K204" s="15" t="s">
        <v>3</v>
      </c>
    </row>
    <row r="205" spans="1:11" x14ac:dyDescent="0.3">
      <c r="A205" s="15" t="s">
        <v>50</v>
      </c>
      <c r="B205" s="15" t="s">
        <v>242</v>
      </c>
      <c r="C205" s="15">
        <v>1.7021934500000013</v>
      </c>
      <c r="D205" s="15">
        <v>2021</v>
      </c>
      <c r="E205" s="15" t="s">
        <v>465</v>
      </c>
      <c r="F205" s="15" t="s">
        <v>290</v>
      </c>
      <c r="G205" s="15" t="s">
        <v>330</v>
      </c>
      <c r="H205" s="15" t="s">
        <v>18</v>
      </c>
      <c r="I205" s="15" t="s">
        <v>269</v>
      </c>
      <c r="J205" s="15" t="s">
        <v>366</v>
      </c>
      <c r="K205" s="15" t="s">
        <v>3</v>
      </c>
    </row>
    <row r="206" spans="1:11" x14ac:dyDescent="0.3">
      <c r="A206" s="15" t="s">
        <v>78</v>
      </c>
      <c r="B206" s="15" t="s">
        <v>242</v>
      </c>
      <c r="C206" s="15">
        <v>6.9024550000000059E-2</v>
      </c>
      <c r="D206" s="15">
        <v>2021</v>
      </c>
      <c r="E206" s="15" t="s">
        <v>465</v>
      </c>
      <c r="F206" s="15" t="s">
        <v>308</v>
      </c>
      <c r="G206" s="15" t="s">
        <v>330</v>
      </c>
      <c r="H206" s="15" t="s">
        <v>269</v>
      </c>
      <c r="I206" s="15" t="s">
        <v>269</v>
      </c>
      <c r="J206" s="15" t="s">
        <v>3</v>
      </c>
      <c r="K206" s="15" t="s">
        <v>3</v>
      </c>
    </row>
    <row r="207" spans="1:11" x14ac:dyDescent="0.3">
      <c r="A207" s="15" t="s">
        <v>79</v>
      </c>
      <c r="B207" s="15" t="s">
        <v>242</v>
      </c>
      <c r="C207" s="15">
        <v>0.43265000000000042</v>
      </c>
      <c r="D207" s="15">
        <v>2021</v>
      </c>
      <c r="E207" s="15" t="s">
        <v>465</v>
      </c>
      <c r="F207" s="15" t="s">
        <v>309</v>
      </c>
      <c r="G207" s="15" t="s">
        <v>330</v>
      </c>
      <c r="H207" s="15" t="s">
        <v>269</v>
      </c>
      <c r="I207" s="15" t="s">
        <v>269</v>
      </c>
      <c r="J207" s="15" t="s">
        <v>3</v>
      </c>
      <c r="K207" s="15" t="s">
        <v>3</v>
      </c>
    </row>
    <row r="208" spans="1:11" x14ac:dyDescent="0.3">
      <c r="A208" s="15" t="s">
        <v>67</v>
      </c>
      <c r="B208" s="15" t="s">
        <v>242</v>
      </c>
      <c r="C208" s="15">
        <v>0.10198560000000008</v>
      </c>
      <c r="D208" s="15">
        <v>2021</v>
      </c>
      <c r="E208" s="15" t="s">
        <v>465</v>
      </c>
      <c r="F208" s="15" t="s">
        <v>310</v>
      </c>
      <c r="G208" s="15" t="s">
        <v>330</v>
      </c>
      <c r="H208" s="15" t="s">
        <v>269</v>
      </c>
      <c r="I208" s="15" t="s">
        <v>269</v>
      </c>
      <c r="J208" s="15" t="s">
        <v>3</v>
      </c>
      <c r="K208" s="15" t="s">
        <v>3</v>
      </c>
    </row>
    <row r="209" spans="1:11" x14ac:dyDescent="0.3">
      <c r="A209" s="15" t="s">
        <v>68</v>
      </c>
      <c r="B209" s="15" t="s">
        <v>242</v>
      </c>
      <c r="C209" s="15">
        <v>1.0363840000000009</v>
      </c>
      <c r="D209" s="15">
        <v>2021</v>
      </c>
      <c r="E209" s="15" t="s">
        <v>465</v>
      </c>
      <c r="F209" s="15" t="s">
        <v>311</v>
      </c>
      <c r="G209" s="15" t="s">
        <v>330</v>
      </c>
      <c r="H209" s="15" t="s">
        <v>269</v>
      </c>
      <c r="I209" s="15" t="s">
        <v>269</v>
      </c>
      <c r="J209" s="15" t="s">
        <v>3</v>
      </c>
      <c r="K209" s="15" t="s">
        <v>3</v>
      </c>
    </row>
    <row r="210" spans="1:11" x14ac:dyDescent="0.3">
      <c r="A210" s="15" t="s">
        <v>69</v>
      </c>
      <c r="B210" s="15" t="s">
        <v>242</v>
      </c>
      <c r="C210" s="15">
        <v>6.2149300000000053E-2</v>
      </c>
      <c r="D210" s="15">
        <v>2021</v>
      </c>
      <c r="E210" s="15" t="s">
        <v>465</v>
      </c>
      <c r="F210" s="15" t="s">
        <v>312</v>
      </c>
      <c r="G210" s="15" t="s">
        <v>330</v>
      </c>
      <c r="H210" s="15" t="s">
        <v>269</v>
      </c>
      <c r="I210" s="15" t="s">
        <v>269</v>
      </c>
      <c r="J210" s="15" t="s">
        <v>3</v>
      </c>
      <c r="K210" s="15" t="s">
        <v>3</v>
      </c>
    </row>
    <row r="211" spans="1:11" x14ac:dyDescent="0.3">
      <c r="A211" s="15" t="s">
        <v>36</v>
      </c>
      <c r="B211" s="15" t="s">
        <v>59</v>
      </c>
      <c r="C211" s="15">
        <v>2.7802248189388901</v>
      </c>
      <c r="D211" s="15">
        <v>2021</v>
      </c>
      <c r="E211" s="15" t="s">
        <v>465</v>
      </c>
      <c r="F211" s="15" t="s">
        <v>313</v>
      </c>
      <c r="G211" s="15" t="s">
        <v>293</v>
      </c>
      <c r="H211" s="15" t="s">
        <v>269</v>
      </c>
      <c r="I211" s="15" t="s">
        <v>18</v>
      </c>
      <c r="J211" s="15" t="s">
        <v>3</v>
      </c>
      <c r="K211" s="15" t="s">
        <v>368</v>
      </c>
    </row>
    <row r="212" spans="1:11" x14ac:dyDescent="0.3">
      <c r="A212" s="15" t="s">
        <v>36</v>
      </c>
      <c r="B212" s="15" t="s">
        <v>409</v>
      </c>
      <c r="C212" s="15">
        <v>0</v>
      </c>
      <c r="D212" s="15">
        <v>2021</v>
      </c>
      <c r="E212" s="15" t="s">
        <v>465</v>
      </c>
      <c r="F212" s="15" t="s">
        <v>313</v>
      </c>
      <c r="G212" s="15" t="s">
        <v>319</v>
      </c>
      <c r="H212" s="15" t="s">
        <v>269</v>
      </c>
      <c r="I212" s="15" t="s">
        <v>269</v>
      </c>
      <c r="J212" s="15" t="s">
        <v>3</v>
      </c>
      <c r="K212" s="15" t="s">
        <v>3</v>
      </c>
    </row>
    <row r="213" spans="1:11" x14ac:dyDescent="0.3">
      <c r="A213" s="15" t="s">
        <v>36</v>
      </c>
      <c r="B213" s="15" t="s">
        <v>31</v>
      </c>
      <c r="C213" s="15">
        <v>0</v>
      </c>
      <c r="D213" s="15">
        <v>2021</v>
      </c>
      <c r="E213" s="15" t="s">
        <v>465</v>
      </c>
      <c r="F213" s="15" t="s">
        <v>313</v>
      </c>
      <c r="G213" s="15" t="s">
        <v>320</v>
      </c>
      <c r="H213" s="15" t="s">
        <v>269</v>
      </c>
      <c r="I213" s="15" t="s">
        <v>269</v>
      </c>
      <c r="J213" s="15" t="s">
        <v>3</v>
      </c>
      <c r="K213" s="15" t="s">
        <v>3</v>
      </c>
    </row>
    <row r="214" spans="1:11" x14ac:dyDescent="0.3">
      <c r="A214" s="15" t="s">
        <v>36</v>
      </c>
      <c r="B214" s="15" t="s">
        <v>32</v>
      </c>
      <c r="C214" s="15" t="s">
        <v>3</v>
      </c>
      <c r="D214" s="15">
        <v>2021</v>
      </c>
      <c r="E214" s="15" t="s">
        <v>465</v>
      </c>
      <c r="F214" s="15" t="s">
        <v>313</v>
      </c>
      <c r="G214" s="15" t="s">
        <v>321</v>
      </c>
      <c r="H214" s="15" t="s">
        <v>269</v>
      </c>
      <c r="I214" s="15" t="s">
        <v>269</v>
      </c>
      <c r="J214" s="15" t="s">
        <v>3</v>
      </c>
      <c r="K214" s="15" t="s">
        <v>3</v>
      </c>
    </row>
    <row r="215" spans="1:11" x14ac:dyDescent="0.3">
      <c r="A215" s="15" t="s">
        <v>36</v>
      </c>
      <c r="B215" s="15" t="s">
        <v>33</v>
      </c>
      <c r="C215" s="15" t="s">
        <v>3</v>
      </c>
      <c r="D215" s="15">
        <v>2021</v>
      </c>
      <c r="E215" s="15" t="s">
        <v>465</v>
      </c>
      <c r="F215" s="15" t="s">
        <v>313</v>
      </c>
      <c r="G215" s="15" t="s">
        <v>322</v>
      </c>
      <c r="H215" s="15" t="s">
        <v>269</v>
      </c>
      <c r="I215" s="15" t="s">
        <v>269</v>
      </c>
      <c r="J215" s="15" t="s">
        <v>3</v>
      </c>
      <c r="K215" s="15" t="s">
        <v>3</v>
      </c>
    </row>
    <row r="216" spans="1:11" x14ac:dyDescent="0.3">
      <c r="A216" s="15" t="s">
        <v>36</v>
      </c>
      <c r="B216" s="15" t="s">
        <v>34</v>
      </c>
      <c r="C216" s="15" t="s">
        <v>3</v>
      </c>
      <c r="D216" s="15">
        <v>2021</v>
      </c>
      <c r="E216" s="15" t="s">
        <v>465</v>
      </c>
      <c r="F216" s="15" t="s">
        <v>313</v>
      </c>
      <c r="G216" s="15" t="s">
        <v>323</v>
      </c>
      <c r="H216" s="15" t="s">
        <v>269</v>
      </c>
      <c r="I216" s="15" t="s">
        <v>269</v>
      </c>
      <c r="J216" s="15" t="s">
        <v>3</v>
      </c>
      <c r="K216" s="15" t="s">
        <v>3</v>
      </c>
    </row>
    <row r="217" spans="1:11" x14ac:dyDescent="0.3">
      <c r="A217" s="15" t="s">
        <v>36</v>
      </c>
      <c r="B217" s="15" t="s">
        <v>35</v>
      </c>
      <c r="C217" s="15">
        <v>0</v>
      </c>
      <c r="D217" s="15">
        <v>2021</v>
      </c>
      <c r="E217" s="15" t="s">
        <v>465</v>
      </c>
      <c r="F217" s="15" t="s">
        <v>313</v>
      </c>
      <c r="G217" s="15" t="s">
        <v>324</v>
      </c>
      <c r="H217" s="15" t="s">
        <v>269</v>
      </c>
      <c r="I217" s="15" t="s">
        <v>269</v>
      </c>
      <c r="J217" s="15" t="s">
        <v>3</v>
      </c>
      <c r="K217" s="15" t="s">
        <v>3</v>
      </c>
    </row>
    <row r="218" spans="1:11" x14ac:dyDescent="0.3">
      <c r="A218" s="15" t="s">
        <v>36</v>
      </c>
      <c r="B218" s="15" t="s">
        <v>57</v>
      </c>
      <c r="C218" s="15" t="s">
        <v>3</v>
      </c>
      <c r="D218" s="15">
        <v>2021</v>
      </c>
      <c r="E218" s="15" t="s">
        <v>465</v>
      </c>
      <c r="F218" s="15" t="s">
        <v>313</v>
      </c>
      <c r="G218" s="15" t="s">
        <v>325</v>
      </c>
      <c r="H218" s="15" t="s">
        <v>269</v>
      </c>
      <c r="I218" s="15" t="s">
        <v>269</v>
      </c>
      <c r="J218" s="15" t="s">
        <v>3</v>
      </c>
      <c r="K218" s="15" t="s">
        <v>3</v>
      </c>
    </row>
    <row r="219" spans="1:11" x14ac:dyDescent="0.3">
      <c r="A219" s="15" t="s">
        <v>36</v>
      </c>
      <c r="B219" s="15" t="s">
        <v>73</v>
      </c>
      <c r="C219" s="15">
        <v>0.27620891238673434</v>
      </c>
      <c r="D219" s="15">
        <v>2021</v>
      </c>
      <c r="E219" s="15" t="s">
        <v>465</v>
      </c>
      <c r="F219" s="15" t="s">
        <v>313</v>
      </c>
      <c r="G219" s="15" t="s">
        <v>327</v>
      </c>
      <c r="H219" s="15" t="s">
        <v>269</v>
      </c>
      <c r="I219" s="15" t="s">
        <v>269</v>
      </c>
      <c r="J219" s="15" t="s">
        <v>3</v>
      </c>
      <c r="K219" s="15" t="s">
        <v>3</v>
      </c>
    </row>
    <row r="220" spans="1:11" x14ac:dyDescent="0.3">
      <c r="A220" s="15" t="s">
        <v>37</v>
      </c>
      <c r="B220" s="15" t="s">
        <v>32</v>
      </c>
      <c r="C220" s="15">
        <v>3.5766748365392553</v>
      </c>
      <c r="D220" s="15">
        <v>2021</v>
      </c>
      <c r="E220" s="15" t="s">
        <v>465</v>
      </c>
      <c r="F220" s="15" t="s">
        <v>314</v>
      </c>
      <c r="G220" s="15" t="s">
        <v>321</v>
      </c>
      <c r="H220" s="15" t="s">
        <v>269</v>
      </c>
      <c r="I220" s="15" t="s">
        <v>269</v>
      </c>
      <c r="J220" s="15" t="s">
        <v>3</v>
      </c>
      <c r="K220" s="15" t="s">
        <v>3</v>
      </c>
    </row>
    <row r="221" spans="1:11" x14ac:dyDescent="0.3">
      <c r="A221" s="15" t="s">
        <v>37</v>
      </c>
      <c r="B221" s="15" t="s">
        <v>73</v>
      </c>
      <c r="C221" s="15">
        <v>0.35533438153341768</v>
      </c>
      <c r="D221" s="15">
        <v>2021</v>
      </c>
      <c r="E221" s="15" t="s">
        <v>465</v>
      </c>
      <c r="F221" s="15" t="s">
        <v>314</v>
      </c>
      <c r="G221" s="15" t="s">
        <v>327</v>
      </c>
      <c r="H221" s="15" t="s">
        <v>269</v>
      </c>
      <c r="I221" s="15" t="s">
        <v>269</v>
      </c>
      <c r="J221" s="15" t="s">
        <v>3</v>
      </c>
      <c r="K221" s="15" t="s">
        <v>3</v>
      </c>
    </row>
    <row r="222" spans="1:11" x14ac:dyDescent="0.3">
      <c r="A222" s="15" t="s">
        <v>39</v>
      </c>
      <c r="B222" s="15" t="s">
        <v>33</v>
      </c>
      <c r="C222" s="15">
        <v>0.38356435247710452</v>
      </c>
      <c r="D222" s="15">
        <v>2021</v>
      </c>
      <c r="E222" s="15" t="s">
        <v>465</v>
      </c>
      <c r="F222" s="15" t="s">
        <v>315</v>
      </c>
      <c r="G222" s="15" t="s">
        <v>322</v>
      </c>
      <c r="H222" s="15" t="s">
        <v>269</v>
      </c>
      <c r="I222" s="15" t="s">
        <v>269</v>
      </c>
      <c r="J222" s="15" t="s">
        <v>3</v>
      </c>
      <c r="K222" s="15" t="s">
        <v>3</v>
      </c>
    </row>
    <row r="223" spans="1:11" x14ac:dyDescent="0.3">
      <c r="A223" s="15" t="s">
        <v>39</v>
      </c>
      <c r="B223" s="15" t="s">
        <v>73</v>
      </c>
      <c r="C223" s="15">
        <v>3.4662584548192869E-2</v>
      </c>
      <c r="D223" s="15">
        <v>2021</v>
      </c>
      <c r="E223" s="15" t="s">
        <v>465</v>
      </c>
      <c r="F223" s="15" t="s">
        <v>315</v>
      </c>
      <c r="G223" s="15" t="s">
        <v>327</v>
      </c>
      <c r="H223" s="15" t="s">
        <v>269</v>
      </c>
      <c r="I223" s="15" t="s">
        <v>269</v>
      </c>
      <c r="J223" s="15" t="s">
        <v>3</v>
      </c>
      <c r="K223" s="15" t="s">
        <v>3</v>
      </c>
    </row>
    <row r="224" spans="1:11" x14ac:dyDescent="0.3">
      <c r="A224" s="15" t="s">
        <v>40</v>
      </c>
      <c r="B224" s="15" t="s">
        <v>33</v>
      </c>
      <c r="C224" s="15">
        <v>10.891074834098777</v>
      </c>
      <c r="D224" s="15">
        <v>2021</v>
      </c>
      <c r="E224" s="15" t="s">
        <v>465</v>
      </c>
      <c r="F224" s="15" t="s">
        <v>316</v>
      </c>
      <c r="G224" s="15" t="s">
        <v>322</v>
      </c>
      <c r="H224" s="15" t="s">
        <v>269</v>
      </c>
      <c r="I224" s="15" t="s">
        <v>269</v>
      </c>
      <c r="J224" s="15" t="s">
        <v>3</v>
      </c>
      <c r="K224" s="15" t="s">
        <v>3</v>
      </c>
    </row>
    <row r="225" spans="1:11" x14ac:dyDescent="0.3">
      <c r="A225" s="15" t="s">
        <v>40</v>
      </c>
      <c r="B225" s="15" t="s">
        <v>73</v>
      </c>
      <c r="C225" s="15">
        <v>1.0758051883714848</v>
      </c>
      <c r="D225" s="15">
        <v>2021</v>
      </c>
      <c r="E225" s="15" t="s">
        <v>465</v>
      </c>
      <c r="F225" s="15" t="s">
        <v>316</v>
      </c>
      <c r="G225" s="15" t="s">
        <v>327</v>
      </c>
      <c r="H225" s="15" t="s">
        <v>269</v>
      </c>
      <c r="I225" s="15" t="s">
        <v>269</v>
      </c>
      <c r="J225" s="15" t="s">
        <v>3</v>
      </c>
      <c r="K225" s="15" t="s">
        <v>3</v>
      </c>
    </row>
    <row r="226" spans="1:11" x14ac:dyDescent="0.3">
      <c r="A226" s="15" t="s">
        <v>41</v>
      </c>
      <c r="B226" s="15" t="s">
        <v>34</v>
      </c>
      <c r="C226" s="15">
        <v>5.8371167192320925</v>
      </c>
      <c r="D226" s="15">
        <v>2021</v>
      </c>
      <c r="E226" s="15" t="s">
        <v>465</v>
      </c>
      <c r="F226" s="15" t="s">
        <v>317</v>
      </c>
      <c r="G226" s="15" t="s">
        <v>323</v>
      </c>
      <c r="H226" s="15" t="s">
        <v>269</v>
      </c>
      <c r="I226" s="15" t="s">
        <v>269</v>
      </c>
      <c r="J226" s="15" t="s">
        <v>3</v>
      </c>
      <c r="K226" s="15" t="s">
        <v>3</v>
      </c>
    </row>
    <row r="227" spans="1:11" x14ac:dyDescent="0.3">
      <c r="A227" s="15" t="s">
        <v>41</v>
      </c>
      <c r="B227" s="15" t="s">
        <v>73</v>
      </c>
      <c r="C227" s="15">
        <v>0.57990406010002504</v>
      </c>
      <c r="D227" s="15">
        <v>2021</v>
      </c>
      <c r="E227" s="15" t="s">
        <v>465</v>
      </c>
      <c r="F227" s="15" t="s">
        <v>317</v>
      </c>
      <c r="G227" s="15" t="s">
        <v>327</v>
      </c>
      <c r="H227" s="15" t="s">
        <v>269</v>
      </c>
      <c r="I227" s="15" t="s">
        <v>269</v>
      </c>
      <c r="J227" s="15" t="s">
        <v>3</v>
      </c>
      <c r="K227" s="15" t="s">
        <v>3</v>
      </c>
    </row>
    <row r="228" spans="1:11" x14ac:dyDescent="0.3">
      <c r="A228" s="15" t="s">
        <v>38</v>
      </c>
      <c r="B228" s="15" t="s">
        <v>57</v>
      </c>
      <c r="C228" s="15">
        <v>3.2895860811738702</v>
      </c>
      <c r="D228" s="15">
        <v>2021</v>
      </c>
      <c r="E228" s="15" t="s">
        <v>465</v>
      </c>
      <c r="F228" s="15" t="s">
        <v>318</v>
      </c>
      <c r="G228" s="15" t="s">
        <v>325</v>
      </c>
      <c r="H228" s="15" t="s">
        <v>269</v>
      </c>
      <c r="I228" s="15" t="s">
        <v>269</v>
      </c>
      <c r="J228" s="15" t="s">
        <v>3</v>
      </c>
      <c r="K228" s="15" t="s">
        <v>3</v>
      </c>
    </row>
    <row r="229" spans="1:11" x14ac:dyDescent="0.3">
      <c r="A229" s="15" t="s">
        <v>38</v>
      </c>
      <c r="B229" s="15" t="s">
        <v>73</v>
      </c>
      <c r="C229" s="15">
        <v>0.32681277697188482</v>
      </c>
      <c r="D229" s="15">
        <v>2021</v>
      </c>
      <c r="E229" s="15" t="s">
        <v>465</v>
      </c>
      <c r="F229" s="15" t="s">
        <v>318</v>
      </c>
      <c r="G229" s="15" t="s">
        <v>327</v>
      </c>
      <c r="H229" s="15" t="s">
        <v>269</v>
      </c>
      <c r="I229" s="15" t="s">
        <v>269</v>
      </c>
      <c r="J229" s="15" t="s">
        <v>3</v>
      </c>
      <c r="K229" s="15" t="s">
        <v>3</v>
      </c>
    </row>
    <row r="230" spans="1:11" x14ac:dyDescent="0.3">
      <c r="A230" s="15" t="s">
        <v>59</v>
      </c>
      <c r="B230" s="15" t="s">
        <v>378</v>
      </c>
      <c r="C230" s="15">
        <v>19.76587945007439</v>
      </c>
      <c r="D230" s="15">
        <v>2021</v>
      </c>
      <c r="E230" s="15" t="s">
        <v>465</v>
      </c>
      <c r="F230" s="15" t="s">
        <v>293</v>
      </c>
      <c r="G230" s="15" t="s">
        <v>332</v>
      </c>
      <c r="H230" s="15" t="s">
        <v>18</v>
      </c>
      <c r="I230" s="15" t="s">
        <v>269</v>
      </c>
      <c r="J230" s="15" t="s">
        <v>368</v>
      </c>
      <c r="K230" s="15" t="s">
        <v>3</v>
      </c>
    </row>
    <row r="231" spans="1:11" x14ac:dyDescent="0.3">
      <c r="A231" s="15" t="s">
        <v>409</v>
      </c>
      <c r="B231" s="15" t="s">
        <v>378</v>
      </c>
      <c r="C231" s="15">
        <v>0</v>
      </c>
      <c r="D231" s="15">
        <v>2021</v>
      </c>
      <c r="E231" s="15" t="s">
        <v>465</v>
      </c>
      <c r="F231" s="15" t="s">
        <v>319</v>
      </c>
      <c r="G231" s="15" t="s">
        <v>332</v>
      </c>
      <c r="H231" s="15" t="s">
        <v>269</v>
      </c>
      <c r="I231" s="15" t="s">
        <v>269</v>
      </c>
      <c r="J231" s="15" t="s">
        <v>3</v>
      </c>
      <c r="K231" s="15" t="s">
        <v>3</v>
      </c>
    </row>
    <row r="232" spans="1:11" x14ac:dyDescent="0.3">
      <c r="A232" s="15" t="s">
        <v>31</v>
      </c>
      <c r="B232" s="15" t="s">
        <v>378</v>
      </c>
      <c r="C232" s="15">
        <v>0</v>
      </c>
      <c r="D232" s="15">
        <v>2021</v>
      </c>
      <c r="E232" s="15" t="s">
        <v>465</v>
      </c>
      <c r="F232" s="15" t="s">
        <v>320</v>
      </c>
      <c r="G232" s="15" t="s">
        <v>332</v>
      </c>
      <c r="H232" s="15" t="s">
        <v>269</v>
      </c>
      <c r="I232" s="15" t="s">
        <v>269</v>
      </c>
      <c r="J232" s="15" t="s">
        <v>3</v>
      </c>
      <c r="K232" s="15" t="s">
        <v>3</v>
      </c>
    </row>
    <row r="233" spans="1:11" x14ac:dyDescent="0.3">
      <c r="A233" s="15" t="s">
        <v>32</v>
      </c>
      <c r="B233" s="15" t="s">
        <v>378</v>
      </c>
      <c r="C233" s="15" t="s">
        <v>3</v>
      </c>
      <c r="D233" s="15">
        <v>2021</v>
      </c>
      <c r="E233" s="15" t="s">
        <v>465</v>
      </c>
      <c r="F233" s="15" t="s">
        <v>321</v>
      </c>
      <c r="G233" s="15" t="s">
        <v>332</v>
      </c>
      <c r="H233" s="15" t="s">
        <v>269</v>
      </c>
      <c r="I233" s="15" t="s">
        <v>269</v>
      </c>
      <c r="J233" s="15" t="s">
        <v>3</v>
      </c>
      <c r="K233" s="15" t="s">
        <v>3</v>
      </c>
    </row>
    <row r="234" spans="1:11" x14ac:dyDescent="0.3">
      <c r="A234" s="15" t="s">
        <v>33</v>
      </c>
      <c r="B234" s="15" t="s">
        <v>378</v>
      </c>
      <c r="C234" s="15" t="s">
        <v>3</v>
      </c>
      <c r="D234" s="15">
        <v>2021</v>
      </c>
      <c r="E234" s="15" t="s">
        <v>465</v>
      </c>
      <c r="F234" s="15" t="s">
        <v>322</v>
      </c>
      <c r="G234" s="15" t="s">
        <v>332</v>
      </c>
      <c r="H234" s="15" t="s">
        <v>269</v>
      </c>
      <c r="I234" s="15" t="s">
        <v>269</v>
      </c>
      <c r="J234" s="15" t="s">
        <v>3</v>
      </c>
      <c r="K234" s="15" t="s">
        <v>3</v>
      </c>
    </row>
    <row r="235" spans="1:11" x14ac:dyDescent="0.3">
      <c r="A235" s="15" t="s">
        <v>34</v>
      </c>
      <c r="B235" s="15" t="s">
        <v>378</v>
      </c>
      <c r="C235" s="15" t="s">
        <v>3</v>
      </c>
      <c r="D235" s="15">
        <v>2021</v>
      </c>
      <c r="E235" s="15" t="s">
        <v>465</v>
      </c>
      <c r="F235" s="15" t="s">
        <v>323</v>
      </c>
      <c r="G235" s="15" t="s">
        <v>332</v>
      </c>
      <c r="H235" s="15" t="s">
        <v>269</v>
      </c>
      <c r="I235" s="15" t="s">
        <v>269</v>
      </c>
      <c r="J235" s="15" t="s">
        <v>3</v>
      </c>
      <c r="K235" s="15" t="s">
        <v>3</v>
      </c>
    </row>
    <row r="236" spans="1:11" x14ac:dyDescent="0.3">
      <c r="A236" s="15" t="s">
        <v>35</v>
      </c>
      <c r="B236" s="15" t="s">
        <v>378</v>
      </c>
      <c r="C236" s="15">
        <v>0</v>
      </c>
      <c r="D236" s="15">
        <v>2021</v>
      </c>
      <c r="E236" s="15" t="s">
        <v>465</v>
      </c>
      <c r="F236" s="15" t="s">
        <v>324</v>
      </c>
      <c r="G236" s="15" t="s">
        <v>332</v>
      </c>
      <c r="H236" s="15" t="s">
        <v>269</v>
      </c>
      <c r="I236" s="15" t="s">
        <v>269</v>
      </c>
      <c r="J236" s="15" t="s">
        <v>3</v>
      </c>
      <c r="K236" s="15" t="s">
        <v>3</v>
      </c>
    </row>
    <row r="237" spans="1:11" x14ac:dyDescent="0.3">
      <c r="A237" s="15" t="s">
        <v>57</v>
      </c>
      <c r="B237" s="15" t="s">
        <v>378</v>
      </c>
      <c r="C237" s="15" t="s">
        <v>3</v>
      </c>
      <c r="D237" s="15">
        <v>2021</v>
      </c>
      <c r="E237" s="15" t="s">
        <v>465</v>
      </c>
      <c r="F237" s="15" t="s">
        <v>325</v>
      </c>
      <c r="G237" s="15" t="s">
        <v>332</v>
      </c>
      <c r="H237" s="15" t="s">
        <v>269</v>
      </c>
      <c r="I237" s="15" t="s">
        <v>269</v>
      </c>
      <c r="J237" s="15" t="s">
        <v>3</v>
      </c>
      <c r="K237" s="15" t="s">
        <v>3</v>
      </c>
    </row>
    <row r="238" spans="1:11" x14ac:dyDescent="0.3">
      <c r="A238" s="15" t="s">
        <v>31</v>
      </c>
      <c r="B238" s="15" t="s">
        <v>379</v>
      </c>
      <c r="C238" s="15">
        <v>10.713739604295</v>
      </c>
      <c r="D238" s="15">
        <v>2021</v>
      </c>
      <c r="E238" s="15" t="s">
        <v>465</v>
      </c>
      <c r="F238" s="15" t="s">
        <v>320</v>
      </c>
      <c r="G238" s="15" t="s">
        <v>333</v>
      </c>
      <c r="H238" s="15" t="s">
        <v>269</v>
      </c>
      <c r="I238" s="15" t="s">
        <v>269</v>
      </c>
      <c r="J238" s="15" t="s">
        <v>3</v>
      </c>
      <c r="K238" s="15" t="s">
        <v>3</v>
      </c>
    </row>
    <row r="239" spans="1:11" x14ac:dyDescent="0.3">
      <c r="A239" s="15" t="s">
        <v>32</v>
      </c>
      <c r="B239" s="15" t="s">
        <v>379</v>
      </c>
      <c r="C239" s="15">
        <v>18.494550448237501</v>
      </c>
      <c r="D239" s="15">
        <v>2021</v>
      </c>
      <c r="E239" s="15" t="s">
        <v>465</v>
      </c>
      <c r="F239" s="15" t="s">
        <v>321</v>
      </c>
      <c r="G239" s="15" t="s">
        <v>333</v>
      </c>
      <c r="H239" s="15" t="s">
        <v>269</v>
      </c>
      <c r="I239" s="15" t="s">
        <v>269</v>
      </c>
      <c r="J239" s="15" t="s">
        <v>3</v>
      </c>
      <c r="K239" s="15" t="s">
        <v>3</v>
      </c>
    </row>
    <row r="240" spans="1:11" x14ac:dyDescent="0.3">
      <c r="A240" s="15" t="s">
        <v>378</v>
      </c>
      <c r="B240" s="15" t="s">
        <v>357</v>
      </c>
      <c r="C240" s="15">
        <v>19.76587945007439</v>
      </c>
      <c r="D240" s="15">
        <v>2021</v>
      </c>
      <c r="E240" s="15" t="s">
        <v>465</v>
      </c>
      <c r="F240" s="15" t="s">
        <v>332</v>
      </c>
      <c r="G240" s="15" t="s">
        <v>296</v>
      </c>
      <c r="H240" s="15" t="s">
        <v>269</v>
      </c>
      <c r="I240" s="15" t="s">
        <v>18</v>
      </c>
      <c r="J240" s="15" t="s">
        <v>3</v>
      </c>
      <c r="K240" s="15" t="s">
        <v>406</v>
      </c>
    </row>
    <row r="241" spans="1:11" x14ac:dyDescent="0.3">
      <c r="A241" s="15" t="s">
        <v>378</v>
      </c>
      <c r="B241" s="15" t="s">
        <v>399</v>
      </c>
      <c r="C241" s="15" t="s">
        <v>3</v>
      </c>
      <c r="D241" s="15">
        <v>2021</v>
      </c>
      <c r="E241" s="15" t="s">
        <v>465</v>
      </c>
      <c r="F241" s="15" t="s">
        <v>332</v>
      </c>
      <c r="G241" s="15" t="s">
        <v>297</v>
      </c>
      <c r="H241" s="15" t="s">
        <v>269</v>
      </c>
      <c r="I241" s="15" t="s">
        <v>18</v>
      </c>
      <c r="J241" s="15" t="s">
        <v>3</v>
      </c>
      <c r="K241" s="15" t="s">
        <v>405</v>
      </c>
    </row>
    <row r="242" spans="1:11" x14ac:dyDescent="0.3">
      <c r="A242" s="15" t="s">
        <v>378</v>
      </c>
      <c r="B242" s="15" t="s">
        <v>358</v>
      </c>
      <c r="C242" s="15" t="s">
        <v>3</v>
      </c>
      <c r="D242" s="15">
        <v>2021</v>
      </c>
      <c r="E242" s="15" t="s">
        <v>465</v>
      </c>
      <c r="F242" s="15" t="s">
        <v>332</v>
      </c>
      <c r="G242" s="15" t="s">
        <v>339</v>
      </c>
      <c r="H242" s="15" t="s">
        <v>269</v>
      </c>
      <c r="I242" s="15" t="s">
        <v>269</v>
      </c>
      <c r="J242" s="15" t="s">
        <v>3</v>
      </c>
      <c r="K242" s="15" t="s">
        <v>3</v>
      </c>
    </row>
    <row r="243" spans="1:11" x14ac:dyDescent="0.3">
      <c r="A243" s="15" t="s">
        <v>378</v>
      </c>
      <c r="B243" s="15" t="s">
        <v>539</v>
      </c>
      <c r="C243" s="15" t="s">
        <v>3</v>
      </c>
      <c r="D243" s="15">
        <v>2021</v>
      </c>
      <c r="E243" s="15" t="s">
        <v>465</v>
      </c>
      <c r="F243" s="15" t="s">
        <v>332</v>
      </c>
      <c r="G243" s="15" t="s">
        <v>340</v>
      </c>
      <c r="H243" s="15" t="s">
        <v>269</v>
      </c>
      <c r="I243" s="15" t="s">
        <v>269</v>
      </c>
      <c r="J243" s="15" t="s">
        <v>3</v>
      </c>
      <c r="K243" s="15" t="s">
        <v>3</v>
      </c>
    </row>
    <row r="244" spans="1:11" x14ac:dyDescent="0.3">
      <c r="A244" s="15" t="s">
        <v>378</v>
      </c>
      <c r="B244" s="15" t="s">
        <v>540</v>
      </c>
      <c r="C244" s="15">
        <v>0</v>
      </c>
      <c r="D244" s="15">
        <v>2021</v>
      </c>
      <c r="E244" s="15" t="s">
        <v>465</v>
      </c>
      <c r="F244" s="15" t="s">
        <v>332</v>
      </c>
      <c r="G244" s="15" t="s">
        <v>344</v>
      </c>
      <c r="H244" s="15" t="s">
        <v>269</v>
      </c>
      <c r="I244" s="15" t="s">
        <v>269</v>
      </c>
      <c r="J244" s="15" t="s">
        <v>3</v>
      </c>
      <c r="K244" s="15" t="s">
        <v>3</v>
      </c>
    </row>
    <row r="245" spans="1:11" x14ac:dyDescent="0.3">
      <c r="A245" s="15" t="s">
        <v>378</v>
      </c>
      <c r="B245" s="15" t="s">
        <v>398</v>
      </c>
      <c r="C245" s="15" t="s">
        <v>3</v>
      </c>
      <c r="D245" s="15">
        <v>2021</v>
      </c>
      <c r="E245" s="15" t="s">
        <v>465</v>
      </c>
      <c r="F245" s="15" t="s">
        <v>332</v>
      </c>
      <c r="G245" s="15" t="s">
        <v>345</v>
      </c>
      <c r="H245" s="15" t="s">
        <v>269</v>
      </c>
      <c r="I245" s="15" t="s">
        <v>269</v>
      </c>
      <c r="J245" s="15" t="s">
        <v>3</v>
      </c>
      <c r="K245" s="15" t="s">
        <v>3</v>
      </c>
    </row>
    <row r="246" spans="1:11" x14ac:dyDescent="0.3">
      <c r="A246" s="15" t="s">
        <v>378</v>
      </c>
      <c r="B246" s="15" t="s">
        <v>404</v>
      </c>
      <c r="C246" s="15" t="s">
        <v>3</v>
      </c>
      <c r="D246" s="15">
        <v>2021</v>
      </c>
      <c r="E246" s="15" t="s">
        <v>465</v>
      </c>
      <c r="F246" s="15" t="s">
        <v>332</v>
      </c>
      <c r="G246" s="15" t="s">
        <v>298</v>
      </c>
      <c r="H246" s="15" t="s">
        <v>269</v>
      </c>
      <c r="I246" s="15" t="s">
        <v>18</v>
      </c>
      <c r="J246" s="15" t="s">
        <v>3</v>
      </c>
      <c r="K246" s="15" t="s">
        <v>408</v>
      </c>
    </row>
    <row r="247" spans="1:11" x14ac:dyDescent="0.3">
      <c r="A247" s="15" t="s">
        <v>378</v>
      </c>
      <c r="B247" s="15" t="s">
        <v>407</v>
      </c>
      <c r="C247" s="15" t="s">
        <v>3</v>
      </c>
      <c r="D247" s="15">
        <v>2021</v>
      </c>
      <c r="E247" s="15" t="s">
        <v>465</v>
      </c>
      <c r="F247" s="15" t="s">
        <v>332</v>
      </c>
      <c r="G247" s="15" t="s">
        <v>356</v>
      </c>
      <c r="H247" s="15" t="s">
        <v>269</v>
      </c>
      <c r="I247" s="15" t="s">
        <v>269</v>
      </c>
      <c r="J247" s="15" t="s">
        <v>3</v>
      </c>
      <c r="K247" s="15" t="s">
        <v>3</v>
      </c>
    </row>
    <row r="248" spans="1:11" x14ac:dyDescent="0.3">
      <c r="A248" s="15" t="s">
        <v>378</v>
      </c>
      <c r="B248" s="15" t="s">
        <v>359</v>
      </c>
      <c r="C248" s="15" t="s">
        <v>3</v>
      </c>
      <c r="D248" s="15">
        <v>2021</v>
      </c>
      <c r="E248" s="15" t="s">
        <v>465</v>
      </c>
      <c r="F248" s="15" t="s">
        <v>332</v>
      </c>
      <c r="G248" s="15" t="s">
        <v>360</v>
      </c>
      <c r="H248" s="15" t="s">
        <v>269</v>
      </c>
      <c r="I248" s="15" t="s">
        <v>269</v>
      </c>
      <c r="J248" s="15" t="s">
        <v>3</v>
      </c>
      <c r="K248" s="15" t="s">
        <v>3</v>
      </c>
    </row>
    <row r="249" spans="1:11" x14ac:dyDescent="0.3">
      <c r="A249" s="15" t="s">
        <v>378</v>
      </c>
      <c r="B249" s="15" t="s">
        <v>380</v>
      </c>
      <c r="C249" s="15" t="s">
        <v>3</v>
      </c>
      <c r="D249" s="15">
        <v>2021</v>
      </c>
      <c r="E249" s="15" t="s">
        <v>465</v>
      </c>
      <c r="F249" s="15" t="s">
        <v>332</v>
      </c>
      <c r="G249" s="15" t="s">
        <v>361</v>
      </c>
      <c r="H249" s="15" t="s">
        <v>269</v>
      </c>
      <c r="I249" s="15" t="s">
        <v>269</v>
      </c>
      <c r="J249" s="15" t="s">
        <v>3</v>
      </c>
      <c r="K249" s="15" t="s">
        <v>3</v>
      </c>
    </row>
    <row r="250" spans="1:11" x14ac:dyDescent="0.3">
      <c r="A250" s="15" t="s">
        <v>379</v>
      </c>
      <c r="B250" s="15" t="s">
        <v>357</v>
      </c>
      <c r="C250" s="15">
        <v>29.208290052532501</v>
      </c>
      <c r="D250" s="15">
        <v>2021</v>
      </c>
      <c r="E250" s="15" t="s">
        <v>465</v>
      </c>
      <c r="F250" s="15" t="s">
        <v>333</v>
      </c>
      <c r="G250" s="15" t="s">
        <v>296</v>
      </c>
      <c r="H250" s="15" t="s">
        <v>269</v>
      </c>
      <c r="I250" s="15" t="s">
        <v>18</v>
      </c>
      <c r="J250" s="15" t="s">
        <v>3</v>
      </c>
      <c r="K250" s="15" t="s">
        <v>406</v>
      </c>
    </row>
    <row r="251" spans="1:11" x14ac:dyDescent="0.3">
      <c r="A251" s="15" t="s">
        <v>379</v>
      </c>
      <c r="B251" s="15" t="s">
        <v>399</v>
      </c>
      <c r="C251" s="15" t="s">
        <v>3</v>
      </c>
      <c r="D251" s="15">
        <v>2021</v>
      </c>
      <c r="E251" s="15" t="s">
        <v>465</v>
      </c>
      <c r="F251" s="15" t="s">
        <v>333</v>
      </c>
      <c r="G251" s="15" t="s">
        <v>297</v>
      </c>
      <c r="H251" s="15" t="s">
        <v>269</v>
      </c>
      <c r="I251" s="15" t="s">
        <v>18</v>
      </c>
      <c r="J251" s="15" t="s">
        <v>3</v>
      </c>
      <c r="K251" s="15" t="s">
        <v>405</v>
      </c>
    </row>
    <row r="252" spans="1:11" x14ac:dyDescent="0.3">
      <c r="A252" s="15" t="s">
        <v>379</v>
      </c>
      <c r="B252" s="15" t="s">
        <v>358</v>
      </c>
      <c r="C252" s="15" t="s">
        <v>3</v>
      </c>
      <c r="D252" s="15">
        <v>2021</v>
      </c>
      <c r="E252" s="15" t="s">
        <v>465</v>
      </c>
      <c r="F252" s="15" t="s">
        <v>333</v>
      </c>
      <c r="G252" s="15" t="s">
        <v>339</v>
      </c>
      <c r="H252" s="15" t="s">
        <v>269</v>
      </c>
      <c r="I252" s="15" t="s">
        <v>269</v>
      </c>
      <c r="J252" s="15" t="s">
        <v>3</v>
      </c>
      <c r="K252" s="15" t="s">
        <v>3</v>
      </c>
    </row>
    <row r="253" spans="1:11" x14ac:dyDescent="0.3">
      <c r="A253" s="15" t="s">
        <v>379</v>
      </c>
      <c r="B253" s="15" t="s">
        <v>539</v>
      </c>
      <c r="C253" s="15">
        <v>0</v>
      </c>
      <c r="D253" s="15">
        <v>2021</v>
      </c>
      <c r="E253" s="15" t="s">
        <v>465</v>
      </c>
      <c r="F253" s="15" t="s">
        <v>333</v>
      </c>
      <c r="G253" s="15" t="s">
        <v>340</v>
      </c>
      <c r="H253" s="15" t="s">
        <v>269</v>
      </c>
      <c r="I253" s="15" t="s">
        <v>269</v>
      </c>
      <c r="J253" s="15" t="s">
        <v>3</v>
      </c>
      <c r="K253" s="15" t="s">
        <v>3</v>
      </c>
    </row>
    <row r="254" spans="1:11" x14ac:dyDescent="0.3">
      <c r="A254" s="15" t="s">
        <v>379</v>
      </c>
      <c r="B254" s="15" t="s">
        <v>540</v>
      </c>
      <c r="C254" s="15">
        <v>15.013887049999999</v>
      </c>
      <c r="D254" s="15">
        <v>2021</v>
      </c>
      <c r="E254" s="15" t="s">
        <v>465</v>
      </c>
      <c r="F254" s="15" t="s">
        <v>333</v>
      </c>
      <c r="G254" s="15" t="s">
        <v>344</v>
      </c>
      <c r="H254" s="15" t="s">
        <v>269</v>
      </c>
      <c r="I254" s="15" t="s">
        <v>269</v>
      </c>
      <c r="J254" s="15" t="s">
        <v>3</v>
      </c>
      <c r="K254" s="15" t="s">
        <v>3</v>
      </c>
    </row>
    <row r="255" spans="1:11" x14ac:dyDescent="0.3">
      <c r="A255" s="15" t="s">
        <v>379</v>
      </c>
      <c r="B255" s="15" t="s">
        <v>398</v>
      </c>
      <c r="C255" s="15" t="s">
        <v>3</v>
      </c>
      <c r="D255" s="15">
        <v>2021</v>
      </c>
      <c r="E255" s="15" t="s">
        <v>465</v>
      </c>
      <c r="F255" s="15" t="s">
        <v>333</v>
      </c>
      <c r="G255" s="15" t="s">
        <v>345</v>
      </c>
      <c r="H255" s="15" t="s">
        <v>269</v>
      </c>
      <c r="I255" s="15" t="s">
        <v>269</v>
      </c>
      <c r="J255" s="15" t="s">
        <v>3</v>
      </c>
      <c r="K255" s="15" t="s">
        <v>3</v>
      </c>
    </row>
    <row r="256" spans="1:11" x14ac:dyDescent="0.3">
      <c r="A256" s="15" t="s">
        <v>379</v>
      </c>
      <c r="B256" s="15" t="s">
        <v>404</v>
      </c>
      <c r="C256" s="15" t="s">
        <v>3</v>
      </c>
      <c r="D256" s="15">
        <v>2021</v>
      </c>
      <c r="E256" s="15" t="s">
        <v>465</v>
      </c>
      <c r="F256" s="15" t="s">
        <v>333</v>
      </c>
      <c r="G256" s="15" t="s">
        <v>298</v>
      </c>
      <c r="H256" s="15" t="s">
        <v>269</v>
      </c>
      <c r="I256" s="15" t="s">
        <v>18</v>
      </c>
      <c r="J256" s="15" t="s">
        <v>3</v>
      </c>
      <c r="K256" s="15" t="s">
        <v>408</v>
      </c>
    </row>
    <row r="257" spans="1:11" x14ac:dyDescent="0.3">
      <c r="A257" s="15" t="s">
        <v>379</v>
      </c>
      <c r="B257" s="15" t="s">
        <v>407</v>
      </c>
      <c r="C257" s="15" t="s">
        <v>3</v>
      </c>
      <c r="D257" s="15">
        <v>2021</v>
      </c>
      <c r="E257" s="15" t="s">
        <v>465</v>
      </c>
      <c r="F257" s="15" t="s">
        <v>333</v>
      </c>
      <c r="G257" s="15" t="s">
        <v>356</v>
      </c>
      <c r="H257" s="15" t="s">
        <v>269</v>
      </c>
      <c r="I257" s="15" t="s">
        <v>269</v>
      </c>
      <c r="J257" s="15" t="s">
        <v>3</v>
      </c>
      <c r="K257" s="15" t="s">
        <v>3</v>
      </c>
    </row>
    <row r="258" spans="1:11" x14ac:dyDescent="0.3">
      <c r="A258" s="15" t="s">
        <v>379</v>
      </c>
      <c r="B258" s="15" t="s">
        <v>359</v>
      </c>
      <c r="C258" s="15" t="s">
        <v>3</v>
      </c>
      <c r="D258" s="15">
        <v>2021</v>
      </c>
      <c r="E258" s="15" t="s">
        <v>465</v>
      </c>
      <c r="F258" s="15" t="s">
        <v>333</v>
      </c>
      <c r="G258" s="15" t="s">
        <v>360</v>
      </c>
      <c r="H258" s="15" t="s">
        <v>269</v>
      </c>
      <c r="I258" s="15" t="s">
        <v>269</v>
      </c>
      <c r="J258" s="15" t="s">
        <v>3</v>
      </c>
      <c r="K258" s="15" t="s">
        <v>3</v>
      </c>
    </row>
    <row r="259" spans="1:11" x14ac:dyDescent="0.3">
      <c r="A259" s="15" t="s">
        <v>379</v>
      </c>
      <c r="B259" s="15" t="s">
        <v>380</v>
      </c>
      <c r="C259" s="15" t="s">
        <v>3</v>
      </c>
      <c r="D259" s="15">
        <v>2021</v>
      </c>
      <c r="E259" s="15" t="s">
        <v>465</v>
      </c>
      <c r="F259" s="15" t="s">
        <v>333</v>
      </c>
      <c r="G259" s="15" t="s">
        <v>361</v>
      </c>
      <c r="H259" s="15" t="s">
        <v>269</v>
      </c>
      <c r="I259" s="15" t="s">
        <v>269</v>
      </c>
      <c r="J259" s="15" t="s">
        <v>3</v>
      </c>
      <c r="K259" s="15" t="s">
        <v>3</v>
      </c>
    </row>
    <row r="260" spans="1:11" x14ac:dyDescent="0.3">
      <c r="A260" s="15" t="s">
        <v>29</v>
      </c>
      <c r="B260" s="15" t="s">
        <v>53</v>
      </c>
      <c r="C260" s="15">
        <v>4.4336566628643226</v>
      </c>
      <c r="D260" s="15" t="s">
        <v>19</v>
      </c>
      <c r="E260" s="15" t="s">
        <v>465</v>
      </c>
      <c r="F260" s="15" t="s">
        <v>326</v>
      </c>
      <c r="G260" s="15" t="s">
        <v>291</v>
      </c>
      <c r="H260" s="15" t="s">
        <v>269</v>
      </c>
      <c r="I260" s="15" t="s">
        <v>269</v>
      </c>
      <c r="J260" s="15" t="s">
        <v>3</v>
      </c>
      <c r="K260" s="15" t="s">
        <v>3</v>
      </c>
    </row>
    <row r="261" spans="1:11" x14ac:dyDescent="0.3">
      <c r="A261" s="15" t="s">
        <v>29</v>
      </c>
      <c r="B261" s="15" t="s">
        <v>357</v>
      </c>
      <c r="C261" s="15">
        <v>10.345198880016753</v>
      </c>
      <c r="D261" s="15" t="s">
        <v>19</v>
      </c>
      <c r="E261" s="15" t="s">
        <v>465</v>
      </c>
      <c r="F261" s="15" t="s">
        <v>326</v>
      </c>
      <c r="G261" s="15" t="s">
        <v>296</v>
      </c>
      <c r="H261" s="15" t="s">
        <v>269</v>
      </c>
      <c r="I261" s="15" t="s">
        <v>18</v>
      </c>
      <c r="J261" s="15" t="s">
        <v>3</v>
      </c>
      <c r="K261" s="15" t="s">
        <v>406</v>
      </c>
    </row>
    <row r="262" spans="1:11" x14ac:dyDescent="0.3">
      <c r="A262" s="15" t="s">
        <v>29</v>
      </c>
      <c r="B262" s="15" t="s">
        <v>399</v>
      </c>
      <c r="C262" s="15" t="s">
        <v>3</v>
      </c>
      <c r="D262" s="15" t="s">
        <v>19</v>
      </c>
      <c r="E262" s="15" t="s">
        <v>465</v>
      </c>
      <c r="F262" s="15" t="s">
        <v>326</v>
      </c>
      <c r="G262" s="15" t="s">
        <v>297</v>
      </c>
      <c r="H262" s="15" t="s">
        <v>269</v>
      </c>
      <c r="I262" s="15" t="s">
        <v>18</v>
      </c>
      <c r="J262" s="15" t="s">
        <v>3</v>
      </c>
      <c r="K262" s="15" t="s">
        <v>405</v>
      </c>
    </row>
    <row r="263" spans="1:11" x14ac:dyDescent="0.3">
      <c r="A263" s="15" t="s">
        <v>29</v>
      </c>
      <c r="B263" s="15" t="s">
        <v>358</v>
      </c>
      <c r="C263" s="15" t="s">
        <v>3</v>
      </c>
      <c r="D263" s="15" t="s">
        <v>19</v>
      </c>
      <c r="E263" s="15" t="s">
        <v>465</v>
      </c>
      <c r="F263" s="15" t="s">
        <v>326</v>
      </c>
      <c r="G263" s="15" t="s">
        <v>339</v>
      </c>
      <c r="H263" s="15" t="s">
        <v>269</v>
      </c>
      <c r="I263" s="15" t="s">
        <v>269</v>
      </c>
      <c r="J263" s="15" t="s">
        <v>3</v>
      </c>
      <c r="K263" s="15" t="s">
        <v>3</v>
      </c>
    </row>
    <row r="264" spans="1:11" x14ac:dyDescent="0.3">
      <c r="A264" s="15" t="s">
        <v>29</v>
      </c>
      <c r="B264" s="15" t="s">
        <v>539</v>
      </c>
      <c r="C264" s="15">
        <v>0</v>
      </c>
      <c r="D264" s="15" t="s">
        <v>19</v>
      </c>
      <c r="E264" s="15" t="s">
        <v>465</v>
      </c>
      <c r="F264" s="15" t="s">
        <v>326</v>
      </c>
      <c r="G264" s="15" t="s">
        <v>340</v>
      </c>
      <c r="H264" s="15" t="s">
        <v>269</v>
      </c>
      <c r="I264" s="15" t="s">
        <v>269</v>
      </c>
      <c r="J264" s="15" t="s">
        <v>3</v>
      </c>
      <c r="K264" s="15" t="s">
        <v>3</v>
      </c>
    </row>
    <row r="265" spans="1:11" x14ac:dyDescent="0.3">
      <c r="A265" s="15" t="s">
        <v>29</v>
      </c>
      <c r="B265" s="15" t="s">
        <v>540</v>
      </c>
      <c r="C265" s="15">
        <v>0</v>
      </c>
      <c r="D265" s="15" t="s">
        <v>19</v>
      </c>
      <c r="E265" s="15" t="s">
        <v>465</v>
      </c>
      <c r="F265" s="15" t="s">
        <v>326</v>
      </c>
      <c r="G265" s="15" t="s">
        <v>344</v>
      </c>
      <c r="H265" s="15" t="s">
        <v>269</v>
      </c>
      <c r="I265" s="15" t="s">
        <v>269</v>
      </c>
      <c r="J265" s="15" t="s">
        <v>3</v>
      </c>
      <c r="K265" s="15" t="s">
        <v>3</v>
      </c>
    </row>
    <row r="266" spans="1:11" x14ac:dyDescent="0.3">
      <c r="A266" s="15" t="s">
        <v>29</v>
      </c>
      <c r="B266" s="15" t="s">
        <v>398</v>
      </c>
      <c r="C266" s="15" t="s">
        <v>3</v>
      </c>
      <c r="D266" s="15" t="s">
        <v>19</v>
      </c>
      <c r="E266" s="15" t="s">
        <v>465</v>
      </c>
      <c r="F266" s="15" t="s">
        <v>326</v>
      </c>
      <c r="G266" s="15" t="s">
        <v>345</v>
      </c>
      <c r="H266" s="15" t="s">
        <v>269</v>
      </c>
      <c r="I266" s="15" t="s">
        <v>269</v>
      </c>
      <c r="J266" s="15" t="s">
        <v>3</v>
      </c>
      <c r="K266" s="15" t="s">
        <v>3</v>
      </c>
    </row>
    <row r="267" spans="1:11" x14ac:dyDescent="0.3">
      <c r="A267" s="15" t="s">
        <v>29</v>
      </c>
      <c r="B267" s="15" t="s">
        <v>404</v>
      </c>
      <c r="C267" s="15" t="s">
        <v>3</v>
      </c>
      <c r="D267" s="15" t="s">
        <v>19</v>
      </c>
      <c r="E267" s="15" t="s">
        <v>465</v>
      </c>
      <c r="F267" s="15" t="s">
        <v>326</v>
      </c>
      <c r="G267" s="15" t="s">
        <v>298</v>
      </c>
      <c r="H267" s="15" t="s">
        <v>269</v>
      </c>
      <c r="I267" s="15" t="s">
        <v>18</v>
      </c>
      <c r="J267" s="15" t="s">
        <v>3</v>
      </c>
      <c r="K267" s="15" t="s">
        <v>408</v>
      </c>
    </row>
    <row r="268" spans="1:11" x14ac:dyDescent="0.3">
      <c r="A268" s="15" t="s">
        <v>29</v>
      </c>
      <c r="B268" s="15" t="s">
        <v>407</v>
      </c>
      <c r="C268" s="15" t="s">
        <v>3</v>
      </c>
      <c r="D268" s="15" t="s">
        <v>19</v>
      </c>
      <c r="E268" s="15" t="s">
        <v>465</v>
      </c>
      <c r="F268" s="15" t="s">
        <v>326</v>
      </c>
      <c r="G268" s="15" t="s">
        <v>356</v>
      </c>
      <c r="H268" s="15" t="s">
        <v>269</v>
      </c>
      <c r="I268" s="15" t="s">
        <v>269</v>
      </c>
      <c r="J268" s="15" t="s">
        <v>3</v>
      </c>
      <c r="K268" s="15" t="s">
        <v>3</v>
      </c>
    </row>
    <row r="269" spans="1:11" x14ac:dyDescent="0.3">
      <c r="A269" s="15" t="s">
        <v>29</v>
      </c>
      <c r="B269" s="15" t="s">
        <v>359</v>
      </c>
      <c r="C269" s="15" t="s">
        <v>3</v>
      </c>
      <c r="D269" s="15" t="s">
        <v>19</v>
      </c>
      <c r="E269" s="15" t="s">
        <v>465</v>
      </c>
      <c r="F269" s="15" t="s">
        <v>326</v>
      </c>
      <c r="G269" s="15" t="s">
        <v>360</v>
      </c>
      <c r="H269" s="15" t="s">
        <v>269</v>
      </c>
      <c r="I269" s="15" t="s">
        <v>269</v>
      </c>
      <c r="J269" s="15" t="s">
        <v>3</v>
      </c>
      <c r="K269" s="15" t="s">
        <v>3</v>
      </c>
    </row>
    <row r="270" spans="1:11" x14ac:dyDescent="0.3">
      <c r="A270" s="15" t="s">
        <v>29</v>
      </c>
      <c r="B270" s="15" t="s">
        <v>380</v>
      </c>
      <c r="C270" s="15" t="s">
        <v>3</v>
      </c>
      <c r="D270" s="15" t="s">
        <v>19</v>
      </c>
      <c r="E270" s="15" t="s">
        <v>465</v>
      </c>
      <c r="F270" s="15" t="s">
        <v>326</v>
      </c>
      <c r="G270" s="15" t="s">
        <v>361</v>
      </c>
      <c r="H270" s="15" t="s">
        <v>269</v>
      </c>
      <c r="I270" s="15" t="s">
        <v>269</v>
      </c>
      <c r="J270" s="15" t="s">
        <v>3</v>
      </c>
      <c r="K270" s="15" t="s">
        <v>3</v>
      </c>
    </row>
    <row r="271" spans="1:11" x14ac:dyDescent="0.3">
      <c r="A271" s="15" t="s">
        <v>73</v>
      </c>
      <c r="B271" s="15" t="s">
        <v>54</v>
      </c>
      <c r="C271" s="15">
        <v>1.3172977422918091</v>
      </c>
      <c r="D271" s="15" t="s">
        <v>19</v>
      </c>
      <c r="E271" s="15" t="s">
        <v>465</v>
      </c>
      <c r="F271" s="15" t="s">
        <v>327</v>
      </c>
      <c r="G271" s="15" t="s">
        <v>292</v>
      </c>
      <c r="H271" s="15" t="s">
        <v>269</v>
      </c>
      <c r="I271" s="15" t="s">
        <v>269</v>
      </c>
      <c r="J271" s="15" t="s">
        <v>3</v>
      </c>
      <c r="K271" s="15" t="s">
        <v>3</v>
      </c>
    </row>
    <row r="272" spans="1:11" x14ac:dyDescent="0.3">
      <c r="A272" s="15" t="s">
        <v>73</v>
      </c>
      <c r="B272" s="15" t="s">
        <v>357</v>
      </c>
      <c r="C272" s="15">
        <v>5.2691909691672363</v>
      </c>
      <c r="D272" s="15" t="s">
        <v>19</v>
      </c>
      <c r="E272" s="15" t="s">
        <v>465</v>
      </c>
      <c r="F272" s="15" t="s">
        <v>327</v>
      </c>
      <c r="G272" s="15" t="s">
        <v>296</v>
      </c>
      <c r="H272" s="15" t="s">
        <v>269</v>
      </c>
      <c r="I272" s="15" t="s">
        <v>18</v>
      </c>
      <c r="J272" s="15" t="s">
        <v>3</v>
      </c>
      <c r="K272" s="15" t="s">
        <v>406</v>
      </c>
    </row>
    <row r="273" spans="1:11" x14ac:dyDescent="0.3">
      <c r="A273" s="15" t="s">
        <v>73</v>
      </c>
      <c r="B273" s="15" t="s">
        <v>399</v>
      </c>
      <c r="C273" s="15" t="s">
        <v>3</v>
      </c>
      <c r="D273" s="15" t="s">
        <v>19</v>
      </c>
      <c r="E273" s="15" t="s">
        <v>465</v>
      </c>
      <c r="F273" s="15" t="s">
        <v>327</v>
      </c>
      <c r="G273" s="15" t="s">
        <v>297</v>
      </c>
      <c r="H273" s="15" t="s">
        <v>269</v>
      </c>
      <c r="I273" s="15" t="s">
        <v>18</v>
      </c>
      <c r="J273" s="15" t="s">
        <v>3</v>
      </c>
      <c r="K273" s="15" t="s">
        <v>405</v>
      </c>
    </row>
    <row r="274" spans="1:11" x14ac:dyDescent="0.3">
      <c r="A274" s="15" t="s">
        <v>73</v>
      </c>
      <c r="B274" s="15" t="s">
        <v>358</v>
      </c>
      <c r="C274" s="15" t="s">
        <v>3</v>
      </c>
      <c r="D274" s="15" t="s">
        <v>19</v>
      </c>
      <c r="E274" s="15" t="s">
        <v>465</v>
      </c>
      <c r="F274" s="15" t="s">
        <v>327</v>
      </c>
      <c r="G274" s="15" t="s">
        <v>339</v>
      </c>
      <c r="H274" s="15" t="s">
        <v>269</v>
      </c>
      <c r="I274" s="15" t="s">
        <v>269</v>
      </c>
      <c r="J274" s="15" t="s">
        <v>3</v>
      </c>
      <c r="K274" s="15" t="s">
        <v>3</v>
      </c>
    </row>
    <row r="275" spans="1:11" x14ac:dyDescent="0.3">
      <c r="A275" s="15" t="s">
        <v>73</v>
      </c>
      <c r="B275" s="15" t="s">
        <v>539</v>
      </c>
      <c r="C275" s="15">
        <v>0</v>
      </c>
      <c r="D275" s="15" t="s">
        <v>19</v>
      </c>
      <c r="E275" s="15" t="s">
        <v>465</v>
      </c>
      <c r="F275" s="15" t="s">
        <v>327</v>
      </c>
      <c r="G275" s="15" t="s">
        <v>340</v>
      </c>
      <c r="H275" s="15" t="s">
        <v>269</v>
      </c>
      <c r="I275" s="15" t="s">
        <v>269</v>
      </c>
      <c r="J275" s="15" t="s">
        <v>3</v>
      </c>
      <c r="K275" s="15" t="s">
        <v>3</v>
      </c>
    </row>
    <row r="276" spans="1:11" x14ac:dyDescent="0.3">
      <c r="A276" s="15" t="s">
        <v>73</v>
      </c>
      <c r="B276" s="15" t="s">
        <v>540</v>
      </c>
      <c r="C276" s="15">
        <v>0</v>
      </c>
      <c r="D276" s="15" t="s">
        <v>19</v>
      </c>
      <c r="E276" s="15" t="s">
        <v>465</v>
      </c>
      <c r="F276" s="15" t="s">
        <v>327</v>
      </c>
      <c r="G276" s="15" t="s">
        <v>344</v>
      </c>
      <c r="H276" s="15" t="s">
        <v>269</v>
      </c>
      <c r="I276" s="15" t="s">
        <v>269</v>
      </c>
      <c r="J276" s="15" t="s">
        <v>3</v>
      </c>
      <c r="K276" s="15" t="s">
        <v>3</v>
      </c>
    </row>
    <row r="277" spans="1:11" x14ac:dyDescent="0.3">
      <c r="A277" s="15" t="s">
        <v>73</v>
      </c>
      <c r="B277" s="15" t="s">
        <v>398</v>
      </c>
      <c r="C277" s="15" t="s">
        <v>3</v>
      </c>
      <c r="D277" s="15" t="s">
        <v>19</v>
      </c>
      <c r="E277" s="15" t="s">
        <v>465</v>
      </c>
      <c r="F277" s="15" t="s">
        <v>327</v>
      </c>
      <c r="G277" s="15" t="s">
        <v>345</v>
      </c>
      <c r="H277" s="15" t="s">
        <v>269</v>
      </c>
      <c r="I277" s="15" t="s">
        <v>269</v>
      </c>
      <c r="J277" s="15" t="s">
        <v>3</v>
      </c>
      <c r="K277" s="15" t="s">
        <v>3</v>
      </c>
    </row>
    <row r="278" spans="1:11" x14ac:dyDescent="0.3">
      <c r="A278" s="15" t="s">
        <v>73</v>
      </c>
      <c r="B278" s="15" t="s">
        <v>404</v>
      </c>
      <c r="C278" s="15" t="s">
        <v>3</v>
      </c>
      <c r="D278" s="15" t="s">
        <v>19</v>
      </c>
      <c r="E278" s="15" t="s">
        <v>465</v>
      </c>
      <c r="F278" s="15" t="s">
        <v>327</v>
      </c>
      <c r="G278" s="15" t="s">
        <v>298</v>
      </c>
      <c r="H278" s="15" t="s">
        <v>269</v>
      </c>
      <c r="I278" s="15" t="s">
        <v>18</v>
      </c>
      <c r="J278" s="15" t="s">
        <v>3</v>
      </c>
      <c r="K278" s="15" t="s">
        <v>408</v>
      </c>
    </row>
    <row r="279" spans="1:11" x14ac:dyDescent="0.3">
      <c r="A279" s="15" t="s">
        <v>73</v>
      </c>
      <c r="B279" s="15" t="s">
        <v>407</v>
      </c>
      <c r="C279" s="15" t="s">
        <v>3</v>
      </c>
      <c r="D279" s="15" t="s">
        <v>19</v>
      </c>
      <c r="E279" s="15" t="s">
        <v>465</v>
      </c>
      <c r="F279" s="15" t="s">
        <v>327</v>
      </c>
      <c r="G279" s="15" t="s">
        <v>356</v>
      </c>
      <c r="H279" s="15" t="s">
        <v>269</v>
      </c>
      <c r="I279" s="15" t="s">
        <v>269</v>
      </c>
      <c r="J279" s="15" t="s">
        <v>3</v>
      </c>
      <c r="K279" s="15" t="s">
        <v>3</v>
      </c>
    </row>
    <row r="280" spans="1:11" x14ac:dyDescent="0.3">
      <c r="A280" s="15" t="s">
        <v>73</v>
      </c>
      <c r="B280" s="15" t="s">
        <v>359</v>
      </c>
      <c r="C280" s="15" t="s">
        <v>3</v>
      </c>
      <c r="D280" s="15" t="s">
        <v>19</v>
      </c>
      <c r="E280" s="15" t="s">
        <v>465</v>
      </c>
      <c r="F280" s="15" t="s">
        <v>327</v>
      </c>
      <c r="G280" s="15" t="s">
        <v>360</v>
      </c>
      <c r="H280" s="15" t="s">
        <v>269</v>
      </c>
      <c r="I280" s="15" t="s">
        <v>269</v>
      </c>
      <c r="J280" s="15" t="s">
        <v>3</v>
      </c>
      <c r="K280" s="15" t="s">
        <v>3</v>
      </c>
    </row>
    <row r="281" spans="1:11" x14ac:dyDescent="0.3">
      <c r="A281" s="15" t="s">
        <v>73</v>
      </c>
      <c r="B281" s="15" t="s">
        <v>380</v>
      </c>
      <c r="C281" s="15" t="s">
        <v>3</v>
      </c>
      <c r="D281" s="15" t="s">
        <v>19</v>
      </c>
      <c r="E281" s="15" t="s">
        <v>465</v>
      </c>
      <c r="F281" s="15" t="s">
        <v>327</v>
      </c>
      <c r="G281" s="15" t="s">
        <v>361</v>
      </c>
      <c r="H281" s="15" t="s">
        <v>269</v>
      </c>
      <c r="I281" s="15" t="s">
        <v>269</v>
      </c>
      <c r="J281" s="15" t="s">
        <v>3</v>
      </c>
      <c r="K281" s="15" t="s">
        <v>3</v>
      </c>
    </row>
    <row r="282" spans="1:11" x14ac:dyDescent="0.3">
      <c r="A282" s="15" t="s">
        <v>30</v>
      </c>
      <c r="B282" s="15" t="s">
        <v>54</v>
      </c>
      <c r="C282" s="15">
        <v>0.18243374105655633</v>
      </c>
      <c r="D282" s="15" t="s">
        <v>19</v>
      </c>
      <c r="E282" s="15" t="s">
        <v>465</v>
      </c>
      <c r="F282" s="15" t="s">
        <v>328</v>
      </c>
      <c r="G282" s="15" t="s">
        <v>292</v>
      </c>
      <c r="H282" s="15" t="s">
        <v>269</v>
      </c>
      <c r="I282" s="15" t="s">
        <v>269</v>
      </c>
      <c r="J282" s="15" t="s">
        <v>3</v>
      </c>
      <c r="K282" s="15" t="s">
        <v>3</v>
      </c>
    </row>
    <row r="283" spans="1:11" x14ac:dyDescent="0.3">
      <c r="A283" s="15" t="s">
        <v>30</v>
      </c>
      <c r="B283" s="15" t="s">
        <v>357</v>
      </c>
      <c r="C283" s="15">
        <v>3.4662410800745698</v>
      </c>
      <c r="D283" s="15" t="s">
        <v>19</v>
      </c>
      <c r="E283" s="15" t="s">
        <v>465</v>
      </c>
      <c r="F283" s="15" t="s">
        <v>328</v>
      </c>
      <c r="G283" s="15" t="s">
        <v>296</v>
      </c>
      <c r="H283" s="15" t="s">
        <v>269</v>
      </c>
      <c r="I283" s="15" t="s">
        <v>18</v>
      </c>
      <c r="J283" s="15" t="s">
        <v>3</v>
      </c>
      <c r="K283" s="15" t="s">
        <v>406</v>
      </c>
    </row>
    <row r="284" spans="1:11" x14ac:dyDescent="0.3">
      <c r="A284" s="15" t="s">
        <v>30</v>
      </c>
      <c r="B284" s="15" t="s">
        <v>399</v>
      </c>
      <c r="C284" s="15" t="s">
        <v>3</v>
      </c>
      <c r="D284" s="15" t="s">
        <v>19</v>
      </c>
      <c r="E284" s="15" t="s">
        <v>465</v>
      </c>
      <c r="F284" s="15" t="s">
        <v>328</v>
      </c>
      <c r="G284" s="15" t="s">
        <v>297</v>
      </c>
      <c r="H284" s="15" t="s">
        <v>269</v>
      </c>
      <c r="I284" s="15" t="s">
        <v>18</v>
      </c>
      <c r="J284" s="15" t="s">
        <v>3</v>
      </c>
      <c r="K284" s="15" t="s">
        <v>405</v>
      </c>
    </row>
    <row r="285" spans="1:11" x14ac:dyDescent="0.3">
      <c r="A285" s="15" t="s">
        <v>30</v>
      </c>
      <c r="B285" s="15" t="s">
        <v>358</v>
      </c>
      <c r="C285" s="15" t="s">
        <v>3</v>
      </c>
      <c r="D285" s="15" t="s">
        <v>19</v>
      </c>
      <c r="E285" s="15" t="s">
        <v>465</v>
      </c>
      <c r="F285" s="15" t="s">
        <v>328</v>
      </c>
      <c r="G285" s="15" t="s">
        <v>339</v>
      </c>
      <c r="H285" s="15" t="s">
        <v>269</v>
      </c>
      <c r="I285" s="15" t="s">
        <v>269</v>
      </c>
      <c r="J285" s="15" t="s">
        <v>3</v>
      </c>
      <c r="K285" s="15" t="s">
        <v>3</v>
      </c>
    </row>
    <row r="286" spans="1:11" x14ac:dyDescent="0.3">
      <c r="A286" s="15" t="s">
        <v>30</v>
      </c>
      <c r="B286" s="15" t="s">
        <v>539</v>
      </c>
      <c r="C286" s="15">
        <v>0</v>
      </c>
      <c r="D286" s="15" t="s">
        <v>19</v>
      </c>
      <c r="E286" s="15" t="s">
        <v>465</v>
      </c>
      <c r="F286" s="15" t="s">
        <v>328</v>
      </c>
      <c r="G286" s="15" t="s">
        <v>340</v>
      </c>
      <c r="H286" s="15" t="s">
        <v>269</v>
      </c>
      <c r="I286" s="15" t="s">
        <v>269</v>
      </c>
      <c r="J286" s="15" t="s">
        <v>3</v>
      </c>
      <c r="K286" s="15" t="s">
        <v>3</v>
      </c>
    </row>
    <row r="287" spans="1:11" x14ac:dyDescent="0.3">
      <c r="A287" s="15" t="s">
        <v>30</v>
      </c>
      <c r="B287" s="15" t="s">
        <v>540</v>
      </c>
      <c r="C287" s="15">
        <v>0</v>
      </c>
      <c r="D287" s="15" t="s">
        <v>19</v>
      </c>
      <c r="E287" s="15" t="s">
        <v>465</v>
      </c>
      <c r="F287" s="15" t="s">
        <v>328</v>
      </c>
      <c r="G287" s="15" t="s">
        <v>344</v>
      </c>
      <c r="H287" s="15" t="s">
        <v>269</v>
      </c>
      <c r="I287" s="15" t="s">
        <v>269</v>
      </c>
      <c r="J287" s="15" t="s">
        <v>3</v>
      </c>
      <c r="K287" s="15" t="s">
        <v>3</v>
      </c>
    </row>
    <row r="288" spans="1:11" x14ac:dyDescent="0.3">
      <c r="A288" s="15" t="s">
        <v>30</v>
      </c>
      <c r="B288" s="15" t="s">
        <v>398</v>
      </c>
      <c r="C288" s="15" t="s">
        <v>3</v>
      </c>
      <c r="D288" s="15" t="s">
        <v>19</v>
      </c>
      <c r="E288" s="15" t="s">
        <v>465</v>
      </c>
      <c r="F288" s="15" t="s">
        <v>328</v>
      </c>
      <c r="G288" s="15" t="s">
        <v>345</v>
      </c>
      <c r="H288" s="15" t="s">
        <v>269</v>
      </c>
      <c r="I288" s="15" t="s">
        <v>269</v>
      </c>
      <c r="J288" s="15" t="s">
        <v>3</v>
      </c>
      <c r="K288" s="15" t="s">
        <v>3</v>
      </c>
    </row>
    <row r="289" spans="1:11" x14ac:dyDescent="0.3">
      <c r="A289" s="15" t="s">
        <v>30</v>
      </c>
      <c r="B289" s="15" t="s">
        <v>404</v>
      </c>
      <c r="C289" s="15" t="s">
        <v>3</v>
      </c>
      <c r="D289" s="15" t="s">
        <v>19</v>
      </c>
      <c r="E289" s="15" t="s">
        <v>465</v>
      </c>
      <c r="F289" s="15" t="s">
        <v>328</v>
      </c>
      <c r="G289" s="15" t="s">
        <v>298</v>
      </c>
      <c r="H289" s="15" t="s">
        <v>269</v>
      </c>
      <c r="I289" s="15" t="s">
        <v>18</v>
      </c>
      <c r="J289" s="15" t="s">
        <v>3</v>
      </c>
      <c r="K289" s="15" t="s">
        <v>408</v>
      </c>
    </row>
    <row r="290" spans="1:11" x14ac:dyDescent="0.3">
      <c r="A290" s="15" t="s">
        <v>30</v>
      </c>
      <c r="B290" s="15" t="s">
        <v>407</v>
      </c>
      <c r="C290" s="15" t="s">
        <v>3</v>
      </c>
      <c r="D290" s="15" t="s">
        <v>19</v>
      </c>
      <c r="E290" s="15" t="s">
        <v>465</v>
      </c>
      <c r="F290" s="15" t="s">
        <v>328</v>
      </c>
      <c r="G290" s="15" t="s">
        <v>356</v>
      </c>
      <c r="H290" s="15" t="s">
        <v>269</v>
      </c>
      <c r="I290" s="15" t="s">
        <v>269</v>
      </c>
      <c r="J290" s="15" t="s">
        <v>3</v>
      </c>
      <c r="K290" s="15" t="s">
        <v>3</v>
      </c>
    </row>
    <row r="291" spans="1:11" x14ac:dyDescent="0.3">
      <c r="A291" s="15" t="s">
        <v>30</v>
      </c>
      <c r="B291" s="15" t="s">
        <v>359</v>
      </c>
      <c r="C291" s="15" t="s">
        <v>3</v>
      </c>
      <c r="D291" s="15" t="s">
        <v>19</v>
      </c>
      <c r="E291" s="15" t="s">
        <v>465</v>
      </c>
      <c r="F291" s="15" t="s">
        <v>328</v>
      </c>
      <c r="G291" s="15" t="s">
        <v>360</v>
      </c>
      <c r="H291" s="15" t="s">
        <v>269</v>
      </c>
      <c r="I291" s="15" t="s">
        <v>269</v>
      </c>
      <c r="J291" s="15" t="s">
        <v>3</v>
      </c>
      <c r="K291" s="15" t="s">
        <v>3</v>
      </c>
    </row>
    <row r="292" spans="1:11" x14ac:dyDescent="0.3">
      <c r="A292" s="15" t="s">
        <v>30</v>
      </c>
      <c r="B292" s="15" t="s">
        <v>380</v>
      </c>
      <c r="C292" s="15" t="s">
        <v>3</v>
      </c>
      <c r="D292" s="15" t="s">
        <v>19</v>
      </c>
      <c r="E292" s="15" t="s">
        <v>465</v>
      </c>
      <c r="F292" s="15" t="s">
        <v>328</v>
      </c>
      <c r="G292" s="15" t="s">
        <v>361</v>
      </c>
      <c r="H292" s="15" t="s">
        <v>269</v>
      </c>
      <c r="I292" s="15" t="s">
        <v>269</v>
      </c>
      <c r="J292" s="15" t="s">
        <v>3</v>
      </c>
      <c r="K292" s="15" t="s">
        <v>3</v>
      </c>
    </row>
    <row r="293" spans="1:11" x14ac:dyDescent="0.3">
      <c r="A293" s="15" t="s">
        <v>80</v>
      </c>
      <c r="B293" s="15" t="s">
        <v>357</v>
      </c>
      <c r="C293" s="15">
        <v>20.205880954478573</v>
      </c>
      <c r="D293" s="15" t="s">
        <v>19</v>
      </c>
      <c r="E293" s="15" t="s">
        <v>465</v>
      </c>
      <c r="F293" s="15" t="s">
        <v>329</v>
      </c>
      <c r="G293" s="15" t="s">
        <v>296</v>
      </c>
      <c r="H293" s="15" t="s">
        <v>269</v>
      </c>
      <c r="I293" s="15" t="s">
        <v>18</v>
      </c>
      <c r="J293" s="15" t="s">
        <v>3</v>
      </c>
      <c r="K293" s="15" t="s">
        <v>406</v>
      </c>
    </row>
    <row r="294" spans="1:11" x14ac:dyDescent="0.3">
      <c r="A294" s="15" t="s">
        <v>80</v>
      </c>
      <c r="B294" s="15" t="s">
        <v>399</v>
      </c>
      <c r="C294" s="15" t="s">
        <v>3</v>
      </c>
      <c r="D294" s="15" t="s">
        <v>19</v>
      </c>
      <c r="E294" s="15" t="s">
        <v>465</v>
      </c>
      <c r="F294" s="15" t="s">
        <v>329</v>
      </c>
      <c r="G294" s="15" t="s">
        <v>297</v>
      </c>
      <c r="H294" s="15" t="s">
        <v>269</v>
      </c>
      <c r="I294" s="15" t="s">
        <v>18</v>
      </c>
      <c r="J294" s="15" t="s">
        <v>3</v>
      </c>
      <c r="K294" s="15" t="s">
        <v>405</v>
      </c>
    </row>
    <row r="295" spans="1:11" x14ac:dyDescent="0.3">
      <c r="A295" s="15" t="s">
        <v>80</v>
      </c>
      <c r="B295" s="15" t="s">
        <v>358</v>
      </c>
      <c r="C295" s="15" t="s">
        <v>3</v>
      </c>
      <c r="D295" s="15" t="s">
        <v>19</v>
      </c>
      <c r="E295" s="15" t="s">
        <v>465</v>
      </c>
      <c r="F295" s="15" t="s">
        <v>329</v>
      </c>
      <c r="G295" s="15" t="s">
        <v>339</v>
      </c>
      <c r="H295" s="15" t="s">
        <v>269</v>
      </c>
      <c r="I295" s="15" t="s">
        <v>269</v>
      </c>
      <c r="J295" s="15" t="s">
        <v>3</v>
      </c>
      <c r="K295" s="15" t="s">
        <v>3</v>
      </c>
    </row>
    <row r="296" spans="1:11" x14ac:dyDescent="0.3">
      <c r="A296" s="15" t="s">
        <v>80</v>
      </c>
      <c r="B296" s="15" t="s">
        <v>539</v>
      </c>
      <c r="C296" s="15">
        <v>0</v>
      </c>
      <c r="D296" s="15" t="s">
        <v>19</v>
      </c>
      <c r="E296" s="15" t="s">
        <v>465</v>
      </c>
      <c r="F296" s="15" t="s">
        <v>329</v>
      </c>
      <c r="G296" s="15" t="s">
        <v>340</v>
      </c>
      <c r="H296" s="15" t="s">
        <v>269</v>
      </c>
      <c r="I296" s="15" t="s">
        <v>269</v>
      </c>
      <c r="J296" s="15" t="s">
        <v>3</v>
      </c>
      <c r="K296" s="15" t="s">
        <v>3</v>
      </c>
    </row>
    <row r="297" spans="1:11" x14ac:dyDescent="0.3">
      <c r="A297" s="15" t="s">
        <v>80</v>
      </c>
      <c r="B297" s="15" t="s">
        <v>540</v>
      </c>
      <c r="C297" s="15">
        <v>0</v>
      </c>
      <c r="D297" s="15" t="s">
        <v>19</v>
      </c>
      <c r="E297" s="15" t="s">
        <v>465</v>
      </c>
      <c r="F297" s="15" t="s">
        <v>329</v>
      </c>
      <c r="G297" s="15" t="s">
        <v>344</v>
      </c>
      <c r="H297" s="15" t="s">
        <v>269</v>
      </c>
      <c r="I297" s="15" t="s">
        <v>269</v>
      </c>
      <c r="J297" s="15" t="s">
        <v>3</v>
      </c>
      <c r="K297" s="15" t="s">
        <v>3</v>
      </c>
    </row>
    <row r="298" spans="1:11" x14ac:dyDescent="0.3">
      <c r="A298" s="15" t="s">
        <v>80</v>
      </c>
      <c r="B298" s="15" t="s">
        <v>398</v>
      </c>
      <c r="C298" s="15" t="s">
        <v>3</v>
      </c>
      <c r="D298" s="15" t="s">
        <v>19</v>
      </c>
      <c r="E298" s="15" t="s">
        <v>465</v>
      </c>
      <c r="F298" s="15" t="s">
        <v>329</v>
      </c>
      <c r="G298" s="15" t="s">
        <v>345</v>
      </c>
      <c r="H298" s="15" t="s">
        <v>269</v>
      </c>
      <c r="I298" s="15" t="s">
        <v>269</v>
      </c>
      <c r="J298" s="15" t="s">
        <v>3</v>
      </c>
      <c r="K298" s="15" t="s">
        <v>3</v>
      </c>
    </row>
    <row r="299" spans="1:11" x14ac:dyDescent="0.3">
      <c r="A299" s="15" t="s">
        <v>80</v>
      </c>
      <c r="B299" s="15" t="s">
        <v>404</v>
      </c>
      <c r="C299" s="15" t="s">
        <v>3</v>
      </c>
      <c r="D299" s="15" t="s">
        <v>19</v>
      </c>
      <c r="E299" s="15" t="s">
        <v>465</v>
      </c>
      <c r="F299" s="15" t="s">
        <v>329</v>
      </c>
      <c r="G299" s="15" t="s">
        <v>298</v>
      </c>
      <c r="H299" s="15" t="s">
        <v>269</v>
      </c>
      <c r="I299" s="15" t="s">
        <v>18</v>
      </c>
      <c r="J299" s="15" t="s">
        <v>3</v>
      </c>
      <c r="K299" s="15" t="s">
        <v>408</v>
      </c>
    </row>
    <row r="300" spans="1:11" x14ac:dyDescent="0.3">
      <c r="A300" s="15" t="s">
        <v>80</v>
      </c>
      <c r="B300" s="15" t="s">
        <v>407</v>
      </c>
      <c r="C300" s="15" t="s">
        <v>3</v>
      </c>
      <c r="D300" s="15" t="s">
        <v>19</v>
      </c>
      <c r="E300" s="15" t="s">
        <v>465</v>
      </c>
      <c r="F300" s="15" t="s">
        <v>329</v>
      </c>
      <c r="G300" s="15" t="s">
        <v>356</v>
      </c>
      <c r="H300" s="15" t="s">
        <v>269</v>
      </c>
      <c r="I300" s="15" t="s">
        <v>269</v>
      </c>
      <c r="J300" s="15" t="s">
        <v>3</v>
      </c>
      <c r="K300" s="15" t="s">
        <v>3</v>
      </c>
    </row>
    <row r="301" spans="1:11" x14ac:dyDescent="0.3">
      <c r="A301" s="15" t="s">
        <v>80</v>
      </c>
      <c r="B301" s="15" t="s">
        <v>359</v>
      </c>
      <c r="C301" s="15" t="s">
        <v>3</v>
      </c>
      <c r="D301" s="15" t="s">
        <v>19</v>
      </c>
      <c r="E301" s="15" t="s">
        <v>465</v>
      </c>
      <c r="F301" s="15" t="s">
        <v>329</v>
      </c>
      <c r="G301" s="15" t="s">
        <v>360</v>
      </c>
      <c r="H301" s="15" t="s">
        <v>269</v>
      </c>
      <c r="I301" s="15" t="s">
        <v>269</v>
      </c>
      <c r="J301" s="15" t="s">
        <v>3</v>
      </c>
      <c r="K301" s="15" t="s">
        <v>3</v>
      </c>
    </row>
    <row r="302" spans="1:11" x14ac:dyDescent="0.3">
      <c r="A302" s="15" t="s">
        <v>80</v>
      </c>
      <c r="B302" s="15" t="s">
        <v>380</v>
      </c>
      <c r="C302" s="15" t="s">
        <v>3</v>
      </c>
      <c r="D302" s="15" t="s">
        <v>19</v>
      </c>
      <c r="E302" s="15" t="s">
        <v>465</v>
      </c>
      <c r="F302" s="15" t="s">
        <v>329</v>
      </c>
      <c r="G302" s="15" t="s">
        <v>361</v>
      </c>
      <c r="H302" s="15" t="s">
        <v>269</v>
      </c>
      <c r="I302" s="15" t="s">
        <v>269</v>
      </c>
      <c r="J302" s="15" t="s">
        <v>3</v>
      </c>
      <c r="K302" s="15" t="s">
        <v>3</v>
      </c>
    </row>
    <row r="303" spans="1:11" x14ac:dyDescent="0.3">
      <c r="A303" s="15" t="s">
        <v>242</v>
      </c>
      <c r="B303" s="15" t="s">
        <v>77</v>
      </c>
      <c r="C303" s="15">
        <v>1.7021934500000013</v>
      </c>
      <c r="D303" s="15">
        <v>2021</v>
      </c>
      <c r="E303" s="15" t="s">
        <v>465</v>
      </c>
      <c r="F303" s="15" t="s">
        <v>330</v>
      </c>
      <c r="G303" s="15" t="s">
        <v>306</v>
      </c>
      <c r="H303" s="15" t="s">
        <v>269</v>
      </c>
      <c r="I303" s="15" t="s">
        <v>269</v>
      </c>
      <c r="J303" s="15" t="s">
        <v>3</v>
      </c>
      <c r="K303" s="15" t="s">
        <v>3</v>
      </c>
    </row>
    <row r="304" spans="1:11" x14ac:dyDescent="0.3">
      <c r="A304" s="15" t="s">
        <v>358</v>
      </c>
      <c r="B304" s="15" t="s">
        <v>409</v>
      </c>
      <c r="C304" s="15" t="s">
        <v>3</v>
      </c>
      <c r="D304" s="15">
        <v>2021</v>
      </c>
      <c r="E304" s="15" t="s">
        <v>465</v>
      </c>
      <c r="F304" s="15" t="s">
        <v>339</v>
      </c>
      <c r="G304" s="15" t="s">
        <v>319</v>
      </c>
      <c r="H304" s="15" t="s">
        <v>269</v>
      </c>
      <c r="I304" s="15" t="s">
        <v>269</v>
      </c>
      <c r="J304" s="15" t="s">
        <v>3</v>
      </c>
      <c r="K304" s="15" t="s">
        <v>3</v>
      </c>
    </row>
    <row r="305" spans="1:11" x14ac:dyDescent="0.3">
      <c r="A305" s="15" t="s">
        <v>539</v>
      </c>
      <c r="B305" s="15" t="s">
        <v>65</v>
      </c>
      <c r="C305" s="15">
        <v>1.5500096460083437</v>
      </c>
      <c r="D305" s="15">
        <v>2021</v>
      </c>
      <c r="E305" s="15" t="s">
        <v>465</v>
      </c>
      <c r="F305" s="15" t="s">
        <v>340</v>
      </c>
      <c r="G305" s="15" t="s">
        <v>285</v>
      </c>
      <c r="H305" s="15" t="s">
        <v>269</v>
      </c>
      <c r="I305" s="15" t="s">
        <v>18</v>
      </c>
      <c r="J305" s="15" t="s">
        <v>3</v>
      </c>
      <c r="K305" s="15" t="s">
        <v>341</v>
      </c>
    </row>
    <row r="306" spans="1:11" x14ac:dyDescent="0.3">
      <c r="A306" s="15" t="s">
        <v>539</v>
      </c>
      <c r="B306" s="15" t="s">
        <v>53</v>
      </c>
      <c r="C306" s="15" t="s">
        <v>3</v>
      </c>
      <c r="D306" s="15">
        <v>2021</v>
      </c>
      <c r="E306" s="15" t="s">
        <v>465</v>
      </c>
      <c r="F306" s="15" t="s">
        <v>340</v>
      </c>
      <c r="G306" s="15" t="s">
        <v>291</v>
      </c>
      <c r="H306" s="15" t="s">
        <v>269</v>
      </c>
      <c r="I306" s="15" t="s">
        <v>269</v>
      </c>
      <c r="J306" s="15" t="s">
        <v>3</v>
      </c>
      <c r="K306" s="15" t="s">
        <v>3</v>
      </c>
    </row>
    <row r="307" spans="1:11" x14ac:dyDescent="0.3">
      <c r="A307" s="15" t="s">
        <v>539</v>
      </c>
      <c r="B307" s="15" t="s">
        <v>54</v>
      </c>
      <c r="C307" s="15" t="s">
        <v>3</v>
      </c>
      <c r="D307" s="15">
        <v>2021</v>
      </c>
      <c r="E307" s="15" t="s">
        <v>465</v>
      </c>
      <c r="F307" s="15" t="s">
        <v>340</v>
      </c>
      <c r="G307" s="15" t="s">
        <v>292</v>
      </c>
      <c r="H307" s="15" t="s">
        <v>269</v>
      </c>
      <c r="I307" s="15" t="s">
        <v>269</v>
      </c>
      <c r="J307" s="15" t="s">
        <v>3</v>
      </c>
      <c r="K307" s="15" t="s">
        <v>3</v>
      </c>
    </row>
    <row r="308" spans="1:11" x14ac:dyDescent="0.3">
      <c r="A308" s="15" t="s">
        <v>540</v>
      </c>
      <c r="B308" s="15" t="s">
        <v>77</v>
      </c>
      <c r="C308" s="15">
        <v>20.590299657500001</v>
      </c>
      <c r="D308" s="15">
        <v>2021</v>
      </c>
      <c r="E308" s="15" t="s">
        <v>465</v>
      </c>
      <c r="F308" s="15" t="s">
        <v>344</v>
      </c>
      <c r="G308" s="15" t="s">
        <v>306</v>
      </c>
      <c r="H308" s="15" t="s">
        <v>269</v>
      </c>
      <c r="I308" s="15" t="s">
        <v>269</v>
      </c>
      <c r="J308" s="15" t="s">
        <v>3</v>
      </c>
      <c r="K308" s="15" t="s">
        <v>3</v>
      </c>
    </row>
    <row r="309" spans="1:11" x14ac:dyDescent="0.3">
      <c r="A309" s="15" t="s">
        <v>342</v>
      </c>
      <c r="B309" s="15" t="s">
        <v>265</v>
      </c>
      <c r="C309" s="15">
        <v>1.3765567749999999E-4</v>
      </c>
      <c r="D309" s="15">
        <v>2021</v>
      </c>
      <c r="E309" s="15" t="s">
        <v>465</v>
      </c>
      <c r="F309" s="15" t="s">
        <v>371</v>
      </c>
      <c r="G309" s="15" t="s">
        <v>278</v>
      </c>
      <c r="H309" s="15" t="s">
        <v>269</v>
      </c>
      <c r="I309" s="15" t="s">
        <v>269</v>
      </c>
      <c r="J309" s="15" t="s">
        <v>3</v>
      </c>
      <c r="K309" s="15" t="s">
        <v>3</v>
      </c>
    </row>
    <row r="310" spans="1:11" x14ac:dyDescent="0.3">
      <c r="A310" s="15" t="s">
        <v>342</v>
      </c>
      <c r="B310" s="15" t="s">
        <v>266</v>
      </c>
      <c r="C310" s="15">
        <v>9.5933600000000009E-4</v>
      </c>
      <c r="D310" s="15">
        <v>2021</v>
      </c>
      <c r="E310" s="15" t="s">
        <v>465</v>
      </c>
      <c r="F310" s="15" t="s">
        <v>371</v>
      </c>
      <c r="G310" s="15" t="s">
        <v>279</v>
      </c>
      <c r="H310" s="15" t="s">
        <v>269</v>
      </c>
      <c r="I310" s="15" t="s">
        <v>269</v>
      </c>
      <c r="J310" s="15" t="s">
        <v>3</v>
      </c>
      <c r="K310" s="15" t="s">
        <v>3</v>
      </c>
    </row>
    <row r="311" spans="1:11" x14ac:dyDescent="0.3">
      <c r="A311" s="15" t="s">
        <v>342</v>
      </c>
      <c r="B311" s="15" t="s">
        <v>350</v>
      </c>
      <c r="C311" s="15">
        <v>0.74501090499999989</v>
      </c>
      <c r="D311" s="15">
        <v>2021</v>
      </c>
      <c r="E311" s="15" t="s">
        <v>465</v>
      </c>
      <c r="F311" s="15" t="s">
        <v>371</v>
      </c>
      <c r="G311" s="15" t="s">
        <v>277</v>
      </c>
      <c r="H311" s="15" t="s">
        <v>269</v>
      </c>
      <c r="I311" s="15" t="s">
        <v>18</v>
      </c>
      <c r="J311" s="15" t="s">
        <v>3</v>
      </c>
      <c r="K311" s="15" t="s">
        <v>352</v>
      </c>
    </row>
    <row r="312" spans="1:11" x14ac:dyDescent="0.3">
      <c r="A312" s="15" t="s">
        <v>342</v>
      </c>
      <c r="B312" s="15" t="s">
        <v>267</v>
      </c>
      <c r="C312" s="15" t="s">
        <v>3</v>
      </c>
      <c r="D312" s="15">
        <v>2021</v>
      </c>
      <c r="E312" s="15" t="s">
        <v>465</v>
      </c>
      <c r="F312" s="15" t="s">
        <v>371</v>
      </c>
      <c r="G312" s="15" t="s">
        <v>280</v>
      </c>
      <c r="H312" s="15" t="s">
        <v>269</v>
      </c>
      <c r="I312" s="15" t="s">
        <v>269</v>
      </c>
      <c r="J312" s="15" t="s">
        <v>3</v>
      </c>
      <c r="K312" s="15" t="s">
        <v>3</v>
      </c>
    </row>
    <row r="313" spans="1:11" x14ac:dyDescent="0.3">
      <c r="A313" s="15" t="s">
        <v>342</v>
      </c>
      <c r="B313" s="15" t="s">
        <v>270</v>
      </c>
      <c r="C313" s="15" t="s">
        <v>3</v>
      </c>
      <c r="D313" s="15">
        <v>2021</v>
      </c>
      <c r="E313" s="15" t="s">
        <v>465</v>
      </c>
      <c r="F313" s="15" t="s">
        <v>371</v>
      </c>
      <c r="G313" s="15" t="s">
        <v>284</v>
      </c>
      <c r="H313" s="15" t="s">
        <v>269</v>
      </c>
      <c r="I313" s="15" t="s">
        <v>269</v>
      </c>
      <c r="J313" s="15" t="s">
        <v>3</v>
      </c>
      <c r="K313" s="15" t="s">
        <v>3</v>
      </c>
    </row>
    <row r="314" spans="1:11" x14ac:dyDescent="0.3">
      <c r="A314" s="15" t="s">
        <v>342</v>
      </c>
      <c r="B314" s="15" t="s">
        <v>272</v>
      </c>
      <c r="C314" s="15" t="s">
        <v>3</v>
      </c>
      <c r="D314" s="15">
        <v>2021</v>
      </c>
      <c r="E314" s="15" t="s">
        <v>465</v>
      </c>
      <c r="F314" s="15" t="s">
        <v>371</v>
      </c>
      <c r="G314" s="15" t="s">
        <v>286</v>
      </c>
      <c r="H314" s="15" t="s">
        <v>269</v>
      </c>
      <c r="I314" s="15" t="s">
        <v>269</v>
      </c>
      <c r="J314" s="15" t="s">
        <v>3</v>
      </c>
      <c r="K314" s="15" t="s">
        <v>3</v>
      </c>
    </row>
    <row r="315" spans="1:11" x14ac:dyDescent="0.3">
      <c r="A315" s="15" t="s">
        <v>342</v>
      </c>
      <c r="B315" s="15" t="s">
        <v>351</v>
      </c>
      <c r="C315" s="15">
        <v>0.81153717749999998</v>
      </c>
      <c r="D315" s="15">
        <v>2021</v>
      </c>
      <c r="E315" s="15" t="s">
        <v>465</v>
      </c>
      <c r="F315" s="15" t="s">
        <v>371</v>
      </c>
      <c r="G315" s="15" t="s">
        <v>278</v>
      </c>
      <c r="H315" s="15" t="s">
        <v>269</v>
      </c>
      <c r="I315" s="15" t="s">
        <v>18</v>
      </c>
      <c r="J315" s="15" t="s">
        <v>3</v>
      </c>
      <c r="K315" s="15" t="s">
        <v>353</v>
      </c>
    </row>
    <row r="316" spans="1:11" x14ac:dyDescent="0.3">
      <c r="A316" s="15" t="s">
        <v>342</v>
      </c>
      <c r="B316" s="15" t="s">
        <v>268</v>
      </c>
      <c r="C316" s="15" t="s">
        <v>3</v>
      </c>
      <c r="D316" s="15">
        <v>2021</v>
      </c>
      <c r="E316" s="15" t="s">
        <v>465</v>
      </c>
      <c r="F316" s="15" t="s">
        <v>371</v>
      </c>
      <c r="G316" s="15" t="s">
        <v>283</v>
      </c>
      <c r="H316" s="15" t="s">
        <v>269</v>
      </c>
      <c r="I316" s="15" t="s">
        <v>269</v>
      </c>
      <c r="J316" s="15" t="s">
        <v>3</v>
      </c>
      <c r="K316" s="15" t="s">
        <v>3</v>
      </c>
    </row>
    <row r="317" spans="1:11" x14ac:dyDescent="0.3">
      <c r="A317" s="15" t="s">
        <v>342</v>
      </c>
      <c r="B317" s="15" t="s">
        <v>271</v>
      </c>
      <c r="C317" s="15" t="s">
        <v>3</v>
      </c>
      <c r="D317" s="15">
        <v>2021</v>
      </c>
      <c r="E317" s="15" t="s">
        <v>465</v>
      </c>
      <c r="F317" s="15" t="s">
        <v>371</v>
      </c>
      <c r="G317" s="15" t="s">
        <v>285</v>
      </c>
      <c r="H317" s="15" t="s">
        <v>269</v>
      </c>
      <c r="I317" s="15" t="s">
        <v>269</v>
      </c>
      <c r="J317" s="15" t="s">
        <v>3</v>
      </c>
      <c r="K317" s="15" t="s">
        <v>3</v>
      </c>
    </row>
    <row r="318" spans="1:11" x14ac:dyDescent="0.3">
      <c r="A318" s="15" t="s">
        <v>342</v>
      </c>
      <c r="B318" s="15" t="s">
        <v>273</v>
      </c>
      <c r="C318" s="15" t="s">
        <v>3</v>
      </c>
      <c r="D318" s="15">
        <v>2021</v>
      </c>
      <c r="E318" s="15" t="s">
        <v>465</v>
      </c>
      <c r="F318" s="15" t="s">
        <v>371</v>
      </c>
      <c r="G318" s="15" t="s">
        <v>287</v>
      </c>
      <c r="H318" s="15" t="s">
        <v>269</v>
      </c>
      <c r="I318" s="15" t="s">
        <v>269</v>
      </c>
      <c r="J318" s="15" t="s">
        <v>3</v>
      </c>
      <c r="K318" s="15" t="s">
        <v>3</v>
      </c>
    </row>
    <row r="319" spans="1:11" x14ac:dyDescent="0.3">
      <c r="A319" s="15" t="s">
        <v>342</v>
      </c>
      <c r="B319" s="15" t="s">
        <v>212</v>
      </c>
      <c r="C319" s="15">
        <v>0</v>
      </c>
      <c r="D319" s="15">
        <v>2021</v>
      </c>
      <c r="E319" s="15" t="s">
        <v>465</v>
      </c>
      <c r="F319" s="15" t="s">
        <v>371</v>
      </c>
      <c r="G319" s="15" t="s">
        <v>288</v>
      </c>
      <c r="H319" s="15" t="s">
        <v>269</v>
      </c>
      <c r="I319" s="15" t="s">
        <v>269</v>
      </c>
      <c r="J319" s="15" t="s">
        <v>3</v>
      </c>
      <c r="K319" s="15" t="s">
        <v>3</v>
      </c>
    </row>
    <row r="320" spans="1:11" x14ac:dyDescent="0.3">
      <c r="A320" s="15" t="s">
        <v>342</v>
      </c>
      <c r="B320" s="15" t="s">
        <v>55</v>
      </c>
      <c r="C320" s="15">
        <v>0.17994860659999998</v>
      </c>
      <c r="D320" s="15">
        <v>2021</v>
      </c>
      <c r="E320" s="15" t="s">
        <v>465</v>
      </c>
      <c r="F320" s="15" t="s">
        <v>371</v>
      </c>
      <c r="G320" s="15" t="s">
        <v>289</v>
      </c>
      <c r="H320" s="15" t="s">
        <v>269</v>
      </c>
      <c r="I320" s="15" t="s">
        <v>269</v>
      </c>
      <c r="J320" s="15" t="s">
        <v>3</v>
      </c>
      <c r="K320" s="15" t="s">
        <v>3</v>
      </c>
    </row>
    <row r="321" spans="1:11" x14ac:dyDescent="0.3">
      <c r="A321" s="15" t="s">
        <v>342</v>
      </c>
      <c r="B321" s="15" t="s">
        <v>179</v>
      </c>
      <c r="C321" s="15">
        <v>0</v>
      </c>
      <c r="D321" s="15">
        <v>2021</v>
      </c>
      <c r="E321" s="15" t="s">
        <v>465</v>
      </c>
      <c r="F321" s="15" t="s">
        <v>371</v>
      </c>
      <c r="G321" s="15" t="s">
        <v>290</v>
      </c>
      <c r="H321" s="15" t="s">
        <v>269</v>
      </c>
      <c r="I321" s="15" t="s">
        <v>269</v>
      </c>
      <c r="J321" s="15" t="s">
        <v>3</v>
      </c>
      <c r="K321" s="15" t="s">
        <v>3</v>
      </c>
    </row>
    <row r="322" spans="1:11" x14ac:dyDescent="0.3">
      <c r="A322" s="15" t="s">
        <v>342</v>
      </c>
      <c r="B322" s="15" t="s">
        <v>65</v>
      </c>
      <c r="C322" s="15">
        <v>0.26694560561005909</v>
      </c>
      <c r="D322" s="15">
        <v>2021</v>
      </c>
      <c r="E322" s="15" t="s">
        <v>465</v>
      </c>
      <c r="F322" s="15" t="s">
        <v>371</v>
      </c>
      <c r="G322" s="15" t="s">
        <v>285</v>
      </c>
      <c r="H322" s="15" t="s">
        <v>269</v>
      </c>
      <c r="I322" s="15" t="s">
        <v>18</v>
      </c>
      <c r="J322" s="15" t="s">
        <v>3</v>
      </c>
      <c r="K322" s="15" t="s">
        <v>341</v>
      </c>
    </row>
    <row r="323" spans="1:11" x14ac:dyDescent="0.3">
      <c r="A323" s="15" t="s">
        <v>342</v>
      </c>
      <c r="B323" s="15" t="s">
        <v>53</v>
      </c>
      <c r="C323" s="15">
        <v>0.25108993209876546</v>
      </c>
      <c r="D323" s="15">
        <v>2021</v>
      </c>
      <c r="E323" s="15" t="s">
        <v>465</v>
      </c>
      <c r="F323" s="15" t="s">
        <v>371</v>
      </c>
      <c r="G323" s="15" t="s">
        <v>291</v>
      </c>
      <c r="H323" s="15" t="s">
        <v>269</v>
      </c>
      <c r="I323" s="15" t="s">
        <v>269</v>
      </c>
      <c r="J323" s="15" t="s">
        <v>3</v>
      </c>
      <c r="K323" s="15" t="s">
        <v>3</v>
      </c>
    </row>
    <row r="324" spans="1:11" x14ac:dyDescent="0.3">
      <c r="A324" s="15" t="s">
        <v>342</v>
      </c>
      <c r="B324" s="15" t="s">
        <v>54</v>
      </c>
      <c r="C324" s="15">
        <v>1.5855673511293633E-2</v>
      </c>
      <c r="D324" s="15">
        <v>2021</v>
      </c>
      <c r="E324" s="15" t="s">
        <v>465</v>
      </c>
      <c r="F324" s="15" t="s">
        <v>371</v>
      </c>
      <c r="G324" s="15" t="s">
        <v>292</v>
      </c>
      <c r="H324" s="15" t="s">
        <v>269</v>
      </c>
      <c r="I324" s="15" t="s">
        <v>269</v>
      </c>
      <c r="J324" s="15" t="s">
        <v>3</v>
      </c>
      <c r="K324" s="15" t="s">
        <v>3</v>
      </c>
    </row>
    <row r="325" spans="1:11" x14ac:dyDescent="0.3">
      <c r="A325" s="15" t="s">
        <v>342</v>
      </c>
      <c r="B325" s="15" t="s">
        <v>47</v>
      </c>
      <c r="C325" s="15">
        <v>1.69636958975</v>
      </c>
      <c r="D325" s="15">
        <v>2021</v>
      </c>
      <c r="E325" s="15" t="s">
        <v>465</v>
      </c>
      <c r="F325" s="15" t="s">
        <v>371</v>
      </c>
      <c r="G325" s="15" t="s">
        <v>293</v>
      </c>
      <c r="H325" s="15" t="s">
        <v>269</v>
      </c>
      <c r="I325" s="15" t="s">
        <v>269</v>
      </c>
      <c r="J325" s="15" t="s">
        <v>3</v>
      </c>
      <c r="K325" s="15" t="s">
        <v>3</v>
      </c>
    </row>
    <row r="326" spans="1:11" x14ac:dyDescent="0.3">
      <c r="A326" s="15" t="s">
        <v>342</v>
      </c>
      <c r="B326" s="15" t="s">
        <v>48</v>
      </c>
      <c r="C326" s="15">
        <v>1.9632233127500001</v>
      </c>
      <c r="D326" s="15">
        <v>2021</v>
      </c>
      <c r="E326" s="15" t="s">
        <v>465</v>
      </c>
      <c r="F326" s="15" t="s">
        <v>371</v>
      </c>
      <c r="G326" s="15" t="s">
        <v>286</v>
      </c>
      <c r="H326" s="15" t="s">
        <v>269</v>
      </c>
      <c r="I326" s="15" t="s">
        <v>18</v>
      </c>
      <c r="J326" s="15" t="s">
        <v>3</v>
      </c>
      <c r="K326" s="15" t="s">
        <v>362</v>
      </c>
    </row>
    <row r="327" spans="1:11" x14ac:dyDescent="0.3">
      <c r="A327" s="15" t="s">
        <v>342</v>
      </c>
      <c r="B327" s="15" t="s">
        <v>274</v>
      </c>
      <c r="C327" s="15">
        <v>1.2325226952500001</v>
      </c>
      <c r="D327" s="15">
        <v>2021</v>
      </c>
      <c r="E327" s="15" t="s">
        <v>465</v>
      </c>
      <c r="F327" s="15" t="s">
        <v>371</v>
      </c>
      <c r="G327" s="15" t="s">
        <v>294</v>
      </c>
      <c r="H327" s="15" t="s">
        <v>269</v>
      </c>
      <c r="I327" s="15" t="s">
        <v>269</v>
      </c>
      <c r="J327" s="15" t="s">
        <v>3</v>
      </c>
      <c r="K327" s="15" t="s">
        <v>3</v>
      </c>
    </row>
    <row r="328" spans="1:11" x14ac:dyDescent="0.3">
      <c r="A328" s="15" t="s">
        <v>342</v>
      </c>
      <c r="B328" s="15" t="s">
        <v>275</v>
      </c>
      <c r="C328" s="15">
        <v>0.73070061749999993</v>
      </c>
      <c r="D328" s="15">
        <v>2021</v>
      </c>
      <c r="E328" s="15" t="s">
        <v>465</v>
      </c>
      <c r="F328" s="15" t="s">
        <v>371</v>
      </c>
      <c r="G328" s="15" t="s">
        <v>295</v>
      </c>
      <c r="H328" s="15" t="s">
        <v>269</v>
      </c>
      <c r="I328" s="15" t="s">
        <v>269</v>
      </c>
      <c r="J328" s="15" t="s">
        <v>3</v>
      </c>
      <c r="K328" s="15" t="s">
        <v>3</v>
      </c>
    </row>
    <row r="329" spans="1:11" x14ac:dyDescent="0.3">
      <c r="A329" s="15" t="s">
        <v>342</v>
      </c>
      <c r="B329" s="15" t="s">
        <v>49</v>
      </c>
      <c r="C329" s="15">
        <v>0.22755615525</v>
      </c>
      <c r="D329" s="15">
        <v>2021</v>
      </c>
      <c r="E329" s="15" t="s">
        <v>465</v>
      </c>
      <c r="F329" s="15" t="s">
        <v>371</v>
      </c>
      <c r="G329" s="15" t="s">
        <v>296</v>
      </c>
      <c r="H329" s="15" t="s">
        <v>269</v>
      </c>
      <c r="I329" s="15" t="s">
        <v>269</v>
      </c>
      <c r="J329" s="15" t="s">
        <v>3</v>
      </c>
      <c r="K329" s="15" t="s">
        <v>3</v>
      </c>
    </row>
    <row r="330" spans="1:11" x14ac:dyDescent="0.3">
      <c r="A330" s="15" t="s">
        <v>342</v>
      </c>
      <c r="B330" s="15" t="s">
        <v>52</v>
      </c>
      <c r="C330" s="15">
        <v>2.7047091000451551</v>
      </c>
      <c r="D330" s="15">
        <v>2021</v>
      </c>
      <c r="E330" s="15" t="s">
        <v>465</v>
      </c>
      <c r="F330" s="15" t="s">
        <v>371</v>
      </c>
      <c r="G330" s="15" t="s">
        <v>287</v>
      </c>
      <c r="H330" s="15" t="s">
        <v>269</v>
      </c>
      <c r="I330" s="15" t="s">
        <v>18</v>
      </c>
      <c r="J330" s="15" t="s">
        <v>3</v>
      </c>
      <c r="K330" s="15" t="s">
        <v>363</v>
      </c>
    </row>
    <row r="331" spans="1:11" x14ac:dyDescent="0.3">
      <c r="A331" s="15" t="s">
        <v>342</v>
      </c>
      <c r="B331" s="15" t="s">
        <v>44</v>
      </c>
      <c r="C331" s="15">
        <v>1.46690334</v>
      </c>
      <c r="D331" s="15">
        <v>2021</v>
      </c>
      <c r="E331" s="15" t="s">
        <v>465</v>
      </c>
      <c r="F331" s="15" t="s">
        <v>371</v>
      </c>
      <c r="G331" s="15" t="s">
        <v>297</v>
      </c>
      <c r="H331" s="15" t="s">
        <v>269</v>
      </c>
      <c r="I331" s="15" t="s">
        <v>269</v>
      </c>
      <c r="J331" s="15" t="s">
        <v>3</v>
      </c>
      <c r="K331" s="15" t="s">
        <v>3</v>
      </c>
    </row>
    <row r="332" spans="1:11" x14ac:dyDescent="0.3">
      <c r="A332" s="15" t="s">
        <v>342</v>
      </c>
      <c r="B332" s="15" t="s">
        <v>45</v>
      </c>
      <c r="C332" s="15">
        <v>0.71258816547655734</v>
      </c>
      <c r="D332" s="15">
        <v>2021</v>
      </c>
      <c r="E332" s="15" t="s">
        <v>465</v>
      </c>
      <c r="F332" s="15" t="s">
        <v>371</v>
      </c>
      <c r="G332" s="15" t="s">
        <v>298</v>
      </c>
      <c r="H332" s="15" t="s">
        <v>269</v>
      </c>
      <c r="I332" s="15" t="s">
        <v>269</v>
      </c>
      <c r="J332" s="15" t="s">
        <v>3</v>
      </c>
      <c r="K332" s="15" t="s">
        <v>3</v>
      </c>
    </row>
    <row r="333" spans="1:11" x14ac:dyDescent="0.3">
      <c r="A333" s="15" t="s">
        <v>342</v>
      </c>
      <c r="B333" s="15" t="s">
        <v>76</v>
      </c>
      <c r="C333" s="15">
        <v>8.9745956203714297E-2</v>
      </c>
      <c r="D333" s="15">
        <v>2021</v>
      </c>
      <c r="E333" s="15" t="s">
        <v>465</v>
      </c>
      <c r="F333" s="15" t="s">
        <v>371</v>
      </c>
      <c r="G333" s="15" t="s">
        <v>299</v>
      </c>
      <c r="H333" s="15" t="s">
        <v>269</v>
      </c>
      <c r="I333" s="15" t="s">
        <v>269</v>
      </c>
      <c r="J333" s="15" t="s">
        <v>3</v>
      </c>
      <c r="K333" s="15" t="s">
        <v>3</v>
      </c>
    </row>
    <row r="334" spans="1:11" x14ac:dyDescent="0.3">
      <c r="A334" s="15" t="s">
        <v>342</v>
      </c>
      <c r="B334" s="15" t="s">
        <v>180</v>
      </c>
      <c r="C334" s="15">
        <v>5.3303495310000004E-2</v>
      </c>
      <c r="D334" s="15">
        <v>2021</v>
      </c>
      <c r="E334" s="15" t="s">
        <v>465</v>
      </c>
      <c r="F334" s="15" t="s">
        <v>371</v>
      </c>
      <c r="G334" s="15" t="s">
        <v>300</v>
      </c>
      <c r="H334" s="15" t="s">
        <v>269</v>
      </c>
      <c r="I334" s="15" t="s">
        <v>269</v>
      </c>
      <c r="J334" s="15" t="s">
        <v>3</v>
      </c>
      <c r="K334" s="15" t="s">
        <v>3</v>
      </c>
    </row>
    <row r="335" spans="1:11" x14ac:dyDescent="0.3">
      <c r="A335" s="15" t="s">
        <v>342</v>
      </c>
      <c r="B335" s="15" t="s">
        <v>209</v>
      </c>
      <c r="C335" s="15">
        <v>0.35492024200982131</v>
      </c>
      <c r="D335" s="15">
        <v>2021</v>
      </c>
      <c r="E335" s="15" t="s">
        <v>465</v>
      </c>
      <c r="F335" s="15" t="s">
        <v>371</v>
      </c>
      <c r="G335" s="15" t="s">
        <v>301</v>
      </c>
      <c r="H335" s="15" t="s">
        <v>269</v>
      </c>
      <c r="I335" s="15" t="s">
        <v>269</v>
      </c>
      <c r="J335" s="15" t="s">
        <v>3</v>
      </c>
      <c r="K335" s="15" t="s">
        <v>3</v>
      </c>
    </row>
    <row r="336" spans="1:11" x14ac:dyDescent="0.3">
      <c r="A336" s="15" t="s">
        <v>342</v>
      </c>
      <c r="B336" s="15" t="s">
        <v>75</v>
      </c>
      <c r="C336" s="15">
        <v>2.7247901045062504E-2</v>
      </c>
      <c r="D336" s="15">
        <v>2021</v>
      </c>
      <c r="E336" s="15" t="s">
        <v>465</v>
      </c>
      <c r="F336" s="15" t="s">
        <v>371</v>
      </c>
      <c r="G336" s="15" t="s">
        <v>302</v>
      </c>
      <c r="H336" s="15" t="s">
        <v>269</v>
      </c>
      <c r="I336" s="15" t="s">
        <v>269</v>
      </c>
      <c r="J336" s="15" t="s">
        <v>3</v>
      </c>
      <c r="K336" s="15" t="s">
        <v>3</v>
      </c>
    </row>
    <row r="337" spans="1:11" x14ac:dyDescent="0.3">
      <c r="A337" s="15" t="s">
        <v>342</v>
      </c>
      <c r="B337" s="15" t="s">
        <v>42</v>
      </c>
      <c r="C337" s="15">
        <v>2.7978113249999996</v>
      </c>
      <c r="D337" s="15">
        <v>2021</v>
      </c>
      <c r="E337" s="15" t="s">
        <v>465</v>
      </c>
      <c r="F337" s="15" t="s">
        <v>371</v>
      </c>
      <c r="G337" s="15" t="s">
        <v>289</v>
      </c>
      <c r="H337" s="15" t="s">
        <v>269</v>
      </c>
      <c r="I337" s="15" t="s">
        <v>18</v>
      </c>
      <c r="J337" s="15" t="s">
        <v>3</v>
      </c>
      <c r="K337" s="15" t="s">
        <v>365</v>
      </c>
    </row>
    <row r="338" spans="1:11" x14ac:dyDescent="0.3">
      <c r="A338" s="15" t="s">
        <v>342</v>
      </c>
      <c r="B338" s="15" t="s">
        <v>70</v>
      </c>
      <c r="C338" s="15">
        <v>0.25805615850000002</v>
      </c>
      <c r="D338" s="15">
        <v>2021</v>
      </c>
      <c r="E338" s="15" t="s">
        <v>465</v>
      </c>
      <c r="F338" s="15" t="s">
        <v>371</v>
      </c>
      <c r="G338" s="15" t="s">
        <v>303</v>
      </c>
      <c r="H338" s="15" t="s">
        <v>269</v>
      </c>
      <c r="I338" s="15" t="s">
        <v>269</v>
      </c>
      <c r="J338" s="15" t="s">
        <v>3</v>
      </c>
      <c r="K338" s="15" t="s">
        <v>3</v>
      </c>
    </row>
    <row r="339" spans="1:11" x14ac:dyDescent="0.3">
      <c r="A339" s="15" t="s">
        <v>342</v>
      </c>
      <c r="B339" s="15" t="s">
        <v>71</v>
      </c>
      <c r="C339" s="15">
        <v>1.9407757364999998</v>
      </c>
      <c r="D339" s="15">
        <v>2021</v>
      </c>
      <c r="E339" s="15" t="s">
        <v>465</v>
      </c>
      <c r="F339" s="15" t="s">
        <v>371</v>
      </c>
      <c r="G339" s="15" t="s">
        <v>304</v>
      </c>
      <c r="H339" s="15" t="s">
        <v>269</v>
      </c>
      <c r="I339" s="15" t="s">
        <v>269</v>
      </c>
      <c r="J339" s="15" t="s">
        <v>3</v>
      </c>
      <c r="K339" s="15" t="s">
        <v>3</v>
      </c>
    </row>
    <row r="340" spans="1:11" x14ac:dyDescent="0.3">
      <c r="A340" s="15" t="s">
        <v>342</v>
      </c>
      <c r="B340" s="15" t="s">
        <v>72</v>
      </c>
      <c r="C340" s="15">
        <v>0.55309476600000007</v>
      </c>
      <c r="D340" s="15">
        <v>2021</v>
      </c>
      <c r="E340" s="15" t="s">
        <v>465</v>
      </c>
      <c r="F340" s="15" t="s">
        <v>371</v>
      </c>
      <c r="G340" s="15" t="s">
        <v>305</v>
      </c>
      <c r="H340" s="15" t="s">
        <v>269</v>
      </c>
      <c r="I340" s="15" t="s">
        <v>269</v>
      </c>
      <c r="J340" s="15" t="s">
        <v>3</v>
      </c>
      <c r="K340" s="15" t="s">
        <v>3</v>
      </c>
    </row>
    <row r="341" spans="1:11" x14ac:dyDescent="0.3">
      <c r="A341" s="15" t="s">
        <v>342</v>
      </c>
      <c r="B341" s="15" t="s">
        <v>77</v>
      </c>
      <c r="C341" s="15">
        <v>4.5884663999999992E-2</v>
      </c>
      <c r="D341" s="15">
        <v>2021</v>
      </c>
      <c r="E341" s="15" t="s">
        <v>465</v>
      </c>
      <c r="F341" s="15" t="s">
        <v>371</v>
      </c>
      <c r="G341" s="15" t="s">
        <v>306</v>
      </c>
      <c r="H341" s="15" t="s">
        <v>269</v>
      </c>
      <c r="I341" s="15" t="s">
        <v>269</v>
      </c>
      <c r="J341" s="15" t="s">
        <v>3</v>
      </c>
      <c r="K341" s="15" t="s">
        <v>3</v>
      </c>
    </row>
    <row r="342" spans="1:11" x14ac:dyDescent="0.3">
      <c r="A342" s="15" t="s">
        <v>342</v>
      </c>
      <c r="B342" s="15" t="s">
        <v>43</v>
      </c>
      <c r="C342" s="15">
        <v>2.4470041500000001E-2</v>
      </c>
      <c r="D342" s="15">
        <v>2021</v>
      </c>
      <c r="E342" s="15" t="s">
        <v>465</v>
      </c>
      <c r="F342" s="15" t="s">
        <v>371</v>
      </c>
      <c r="G342" s="15" t="s">
        <v>307</v>
      </c>
      <c r="H342" s="15" t="s">
        <v>269</v>
      </c>
      <c r="I342" s="15" t="s">
        <v>269</v>
      </c>
      <c r="J342" s="15" t="s">
        <v>3</v>
      </c>
      <c r="K342" s="15" t="s">
        <v>3</v>
      </c>
    </row>
    <row r="343" spans="1:11" x14ac:dyDescent="0.3">
      <c r="A343" s="15" t="s">
        <v>342</v>
      </c>
      <c r="B343" s="15" t="s">
        <v>50</v>
      </c>
      <c r="C343" s="15">
        <v>5.4298837877499988</v>
      </c>
      <c r="D343" s="15">
        <v>2021</v>
      </c>
      <c r="E343" s="15" t="s">
        <v>465</v>
      </c>
      <c r="F343" s="15" t="s">
        <v>371</v>
      </c>
      <c r="G343" s="15" t="s">
        <v>290</v>
      </c>
      <c r="H343" s="15" t="s">
        <v>269</v>
      </c>
      <c r="I343" s="15" t="s">
        <v>18</v>
      </c>
      <c r="J343" s="15" t="s">
        <v>3</v>
      </c>
      <c r="K343" s="15" t="s">
        <v>366</v>
      </c>
    </row>
    <row r="344" spans="1:11" x14ac:dyDescent="0.3">
      <c r="A344" s="15" t="s">
        <v>342</v>
      </c>
      <c r="B344" s="15" t="s">
        <v>78</v>
      </c>
      <c r="C344" s="15">
        <v>0.11777444025</v>
      </c>
      <c r="D344" s="15">
        <v>2021</v>
      </c>
      <c r="E344" s="15" t="s">
        <v>465</v>
      </c>
      <c r="F344" s="15" t="s">
        <v>371</v>
      </c>
      <c r="G344" s="15" t="s">
        <v>308</v>
      </c>
      <c r="H344" s="15" t="s">
        <v>269</v>
      </c>
      <c r="I344" s="15" t="s">
        <v>269</v>
      </c>
      <c r="J344" s="15" t="s">
        <v>3</v>
      </c>
      <c r="K344" s="15" t="s">
        <v>3</v>
      </c>
    </row>
    <row r="345" spans="1:11" x14ac:dyDescent="0.3">
      <c r="A345" s="15" t="s">
        <v>342</v>
      </c>
      <c r="B345" s="15" t="s">
        <v>79</v>
      </c>
      <c r="C345" s="15">
        <v>1.8905716822500001</v>
      </c>
      <c r="D345" s="15">
        <v>2021</v>
      </c>
      <c r="E345" s="15" t="s">
        <v>465</v>
      </c>
      <c r="F345" s="15" t="s">
        <v>371</v>
      </c>
      <c r="G345" s="15" t="s">
        <v>309</v>
      </c>
      <c r="H345" s="15" t="s">
        <v>269</v>
      </c>
      <c r="I345" s="15" t="s">
        <v>269</v>
      </c>
      <c r="J345" s="15" t="s">
        <v>3</v>
      </c>
      <c r="K345" s="15" t="s">
        <v>3</v>
      </c>
    </row>
    <row r="346" spans="1:11" x14ac:dyDescent="0.3">
      <c r="A346" s="15" t="s">
        <v>342</v>
      </c>
      <c r="B346" s="15" t="s">
        <v>67</v>
      </c>
      <c r="C346" s="15">
        <v>0.16691714224999998</v>
      </c>
      <c r="D346" s="15">
        <v>2021</v>
      </c>
      <c r="E346" s="15" t="s">
        <v>465</v>
      </c>
      <c r="F346" s="15" t="s">
        <v>371</v>
      </c>
      <c r="G346" s="15" t="s">
        <v>310</v>
      </c>
      <c r="H346" s="15" t="s">
        <v>269</v>
      </c>
      <c r="I346" s="15" t="s">
        <v>269</v>
      </c>
      <c r="J346" s="15" t="s">
        <v>3</v>
      </c>
      <c r="K346" s="15" t="s">
        <v>3</v>
      </c>
    </row>
    <row r="347" spans="1:11" x14ac:dyDescent="0.3">
      <c r="A347" s="15" t="s">
        <v>342</v>
      </c>
      <c r="B347" s="15" t="s">
        <v>68</v>
      </c>
      <c r="C347" s="15">
        <v>3.1447326834999991</v>
      </c>
      <c r="D347" s="15">
        <v>2021</v>
      </c>
      <c r="E347" s="15" t="s">
        <v>465</v>
      </c>
      <c r="F347" s="15" t="s">
        <v>371</v>
      </c>
      <c r="G347" s="15" t="s">
        <v>311</v>
      </c>
      <c r="H347" s="15" t="s">
        <v>269</v>
      </c>
      <c r="I347" s="15" t="s">
        <v>269</v>
      </c>
      <c r="J347" s="15" t="s">
        <v>3</v>
      </c>
      <c r="K347" s="15" t="s">
        <v>3</v>
      </c>
    </row>
    <row r="348" spans="1:11" x14ac:dyDescent="0.3">
      <c r="A348" s="15" t="s">
        <v>342</v>
      </c>
      <c r="B348" s="15" t="s">
        <v>69</v>
      </c>
      <c r="C348" s="15">
        <v>0.1098878395</v>
      </c>
      <c r="D348" s="15">
        <v>2021</v>
      </c>
      <c r="E348" s="15" t="s">
        <v>465</v>
      </c>
      <c r="F348" s="15" t="s">
        <v>371</v>
      </c>
      <c r="G348" s="15" t="s">
        <v>312</v>
      </c>
      <c r="H348" s="15" t="s">
        <v>269</v>
      </c>
      <c r="I348" s="15" t="s">
        <v>269</v>
      </c>
      <c r="J348" s="15" t="s">
        <v>3</v>
      </c>
      <c r="K348" s="15" t="s">
        <v>3</v>
      </c>
    </row>
    <row r="349" spans="1:11" x14ac:dyDescent="0.3">
      <c r="A349" s="15" t="s">
        <v>342</v>
      </c>
      <c r="B349" s="15" t="s">
        <v>51</v>
      </c>
      <c r="C349" s="15" t="s">
        <v>3</v>
      </c>
      <c r="D349" s="15">
        <v>2021</v>
      </c>
      <c r="E349" s="15" t="s">
        <v>465</v>
      </c>
      <c r="F349" s="15" t="s">
        <v>371</v>
      </c>
      <c r="G349" s="15" t="s">
        <v>291</v>
      </c>
      <c r="H349" s="15" t="s">
        <v>269</v>
      </c>
      <c r="I349" s="15" t="s">
        <v>18</v>
      </c>
      <c r="J349" s="15" t="s">
        <v>3</v>
      </c>
      <c r="K349" s="15" t="s">
        <v>367</v>
      </c>
    </row>
    <row r="350" spans="1:11" x14ac:dyDescent="0.3">
      <c r="A350" s="15" t="s">
        <v>342</v>
      </c>
      <c r="B350" s="15" t="s">
        <v>36</v>
      </c>
      <c r="C350" s="15" t="s">
        <v>3</v>
      </c>
      <c r="D350" s="15">
        <v>2021</v>
      </c>
      <c r="E350" s="15" t="s">
        <v>465</v>
      </c>
      <c r="F350" s="15" t="s">
        <v>371</v>
      </c>
      <c r="G350" s="15" t="s">
        <v>313</v>
      </c>
      <c r="H350" s="15" t="s">
        <v>269</v>
      </c>
      <c r="I350" s="15" t="s">
        <v>269</v>
      </c>
      <c r="J350" s="15" t="s">
        <v>3</v>
      </c>
      <c r="K350" s="15" t="s">
        <v>3</v>
      </c>
    </row>
    <row r="351" spans="1:11" x14ac:dyDescent="0.3">
      <c r="A351" s="15" t="s">
        <v>342</v>
      </c>
      <c r="B351" s="15" t="s">
        <v>37</v>
      </c>
      <c r="C351" s="15" t="s">
        <v>3</v>
      </c>
      <c r="D351" s="15">
        <v>2021</v>
      </c>
      <c r="E351" s="15" t="s">
        <v>465</v>
      </c>
      <c r="F351" s="15" t="s">
        <v>371</v>
      </c>
      <c r="G351" s="15" t="s">
        <v>314</v>
      </c>
      <c r="H351" s="15" t="s">
        <v>269</v>
      </c>
      <c r="I351" s="15" t="s">
        <v>269</v>
      </c>
      <c r="J351" s="15" t="s">
        <v>3</v>
      </c>
      <c r="K351" s="15" t="s">
        <v>3</v>
      </c>
    </row>
    <row r="352" spans="1:11" x14ac:dyDescent="0.3">
      <c r="A352" s="15" t="s">
        <v>342</v>
      </c>
      <c r="B352" s="15" t="s">
        <v>39</v>
      </c>
      <c r="C352" s="15">
        <v>0</v>
      </c>
      <c r="D352" s="15">
        <v>2021</v>
      </c>
      <c r="E352" s="15" t="s">
        <v>465</v>
      </c>
      <c r="F352" s="15" t="s">
        <v>371</v>
      </c>
      <c r="G352" s="15" t="s">
        <v>315</v>
      </c>
      <c r="H352" s="15" t="s">
        <v>269</v>
      </c>
      <c r="I352" s="15" t="s">
        <v>269</v>
      </c>
      <c r="J352" s="15" t="s">
        <v>3</v>
      </c>
      <c r="K352" s="15" t="s">
        <v>3</v>
      </c>
    </row>
    <row r="353" spans="1:11" x14ac:dyDescent="0.3">
      <c r="A353" s="15" t="s">
        <v>342</v>
      </c>
      <c r="B353" s="15" t="s">
        <v>40</v>
      </c>
      <c r="C353" s="15" t="s">
        <v>3</v>
      </c>
      <c r="D353" s="15">
        <v>2021</v>
      </c>
      <c r="E353" s="15" t="s">
        <v>465</v>
      </c>
      <c r="F353" s="15" t="s">
        <v>371</v>
      </c>
      <c r="G353" s="15" t="s">
        <v>316</v>
      </c>
      <c r="H353" s="15" t="s">
        <v>269</v>
      </c>
      <c r="I353" s="15" t="s">
        <v>269</v>
      </c>
      <c r="J353" s="15" t="s">
        <v>3</v>
      </c>
      <c r="K353" s="15" t="s">
        <v>3</v>
      </c>
    </row>
    <row r="354" spans="1:11" x14ac:dyDescent="0.3">
      <c r="A354" s="15" t="s">
        <v>342</v>
      </c>
      <c r="B354" s="15" t="s">
        <v>41</v>
      </c>
      <c r="C354" s="15" t="s">
        <v>3</v>
      </c>
      <c r="D354" s="15">
        <v>2021</v>
      </c>
      <c r="E354" s="15" t="s">
        <v>465</v>
      </c>
      <c r="F354" s="15" t="s">
        <v>371</v>
      </c>
      <c r="G354" s="15" t="s">
        <v>317</v>
      </c>
      <c r="H354" s="15" t="s">
        <v>269</v>
      </c>
      <c r="I354" s="15" t="s">
        <v>269</v>
      </c>
      <c r="J354" s="15" t="s">
        <v>3</v>
      </c>
      <c r="K354" s="15" t="s">
        <v>3</v>
      </c>
    </row>
    <row r="355" spans="1:11" x14ac:dyDescent="0.3">
      <c r="A355" s="15" t="s">
        <v>342</v>
      </c>
      <c r="B355" s="15" t="s">
        <v>38</v>
      </c>
      <c r="C355" s="15" t="s">
        <v>3</v>
      </c>
      <c r="D355" s="15">
        <v>2021</v>
      </c>
      <c r="E355" s="15" t="s">
        <v>465</v>
      </c>
      <c r="F355" s="15" t="s">
        <v>371</v>
      </c>
      <c r="G355" s="15" t="s">
        <v>318</v>
      </c>
      <c r="H355" s="15" t="s">
        <v>269</v>
      </c>
      <c r="I355" s="15" t="s">
        <v>269</v>
      </c>
      <c r="J355" s="15" t="s">
        <v>3</v>
      </c>
      <c r="K355" s="15" t="s">
        <v>3</v>
      </c>
    </row>
    <row r="356" spans="1:11" x14ac:dyDescent="0.3">
      <c r="A356" s="15" t="s">
        <v>342</v>
      </c>
      <c r="B356" s="15" t="s">
        <v>539</v>
      </c>
      <c r="C356" s="15">
        <v>0</v>
      </c>
      <c r="D356" s="15">
        <v>2021</v>
      </c>
      <c r="E356" s="15" t="s">
        <v>465</v>
      </c>
      <c r="F356" s="15" t="s">
        <v>371</v>
      </c>
      <c r="G356" s="15" t="s">
        <v>340</v>
      </c>
      <c r="H356" s="15" t="s">
        <v>269</v>
      </c>
      <c r="I356" s="15" t="s">
        <v>269</v>
      </c>
      <c r="J356" s="15" t="s">
        <v>3</v>
      </c>
      <c r="K356" s="15" t="s">
        <v>3</v>
      </c>
    </row>
    <row r="357" spans="1:11" x14ac:dyDescent="0.3">
      <c r="A357" s="15" t="s">
        <v>342</v>
      </c>
      <c r="B357" s="15" t="s">
        <v>540</v>
      </c>
      <c r="C357" s="15">
        <v>6.1049542137499992</v>
      </c>
      <c r="D357" s="15">
        <v>2021</v>
      </c>
      <c r="E357" s="15" t="s">
        <v>465</v>
      </c>
      <c r="F357" s="15" t="s">
        <v>371</v>
      </c>
      <c r="G357" s="15" t="s">
        <v>344</v>
      </c>
      <c r="H357" s="15" t="s">
        <v>269</v>
      </c>
      <c r="I357" s="15" t="s">
        <v>269</v>
      </c>
      <c r="J357" s="15" t="s">
        <v>3</v>
      </c>
      <c r="K357" s="15" t="s">
        <v>3</v>
      </c>
    </row>
    <row r="358" spans="1:11" x14ac:dyDescent="0.3">
      <c r="A358" s="15" t="s">
        <v>265</v>
      </c>
      <c r="B358" s="15" t="s">
        <v>343</v>
      </c>
      <c r="C358" s="15">
        <v>6.3911472999999999E-4</v>
      </c>
      <c r="D358" s="15">
        <v>2021</v>
      </c>
      <c r="E358" s="15" t="s">
        <v>465</v>
      </c>
      <c r="F358" s="15" t="s">
        <v>278</v>
      </c>
      <c r="G358" s="15" t="s">
        <v>375</v>
      </c>
      <c r="H358" s="15" t="s">
        <v>269</v>
      </c>
      <c r="I358" s="15" t="s">
        <v>269</v>
      </c>
      <c r="J358" s="15" t="s">
        <v>3</v>
      </c>
      <c r="K358" s="15" t="s">
        <v>3</v>
      </c>
    </row>
    <row r="359" spans="1:11" x14ac:dyDescent="0.3">
      <c r="A359" s="15" t="s">
        <v>266</v>
      </c>
      <c r="B359" s="15" t="s">
        <v>343</v>
      </c>
      <c r="C359" s="15">
        <v>6.1681320000000006E-3</v>
      </c>
      <c r="D359" s="15">
        <v>2021</v>
      </c>
      <c r="E359" s="15" t="s">
        <v>465</v>
      </c>
      <c r="F359" s="15" t="s">
        <v>279</v>
      </c>
      <c r="G359" s="15" t="s">
        <v>375</v>
      </c>
      <c r="H359" s="15" t="s">
        <v>269</v>
      </c>
      <c r="I359" s="15" t="s">
        <v>269</v>
      </c>
      <c r="J359" s="15" t="s">
        <v>3</v>
      </c>
      <c r="K359" s="15" t="s">
        <v>3</v>
      </c>
    </row>
    <row r="360" spans="1:11" x14ac:dyDescent="0.3">
      <c r="A360" s="15" t="s">
        <v>350</v>
      </c>
      <c r="B360" s="15" t="s">
        <v>343</v>
      </c>
      <c r="C360" s="15">
        <v>1.6596887500000001E-2</v>
      </c>
      <c r="D360" s="15">
        <v>2021</v>
      </c>
      <c r="E360" s="15" t="s">
        <v>465</v>
      </c>
      <c r="F360" s="15" t="s">
        <v>277</v>
      </c>
      <c r="G360" s="15" t="s">
        <v>375</v>
      </c>
      <c r="H360" s="15" t="s">
        <v>18</v>
      </c>
      <c r="I360" s="15" t="s">
        <v>269</v>
      </c>
      <c r="J360" s="15" t="s">
        <v>352</v>
      </c>
      <c r="K360" s="15" t="s">
        <v>3</v>
      </c>
    </row>
    <row r="361" spans="1:11" x14ac:dyDescent="0.3">
      <c r="A361" s="15" t="s">
        <v>267</v>
      </c>
      <c r="B361" s="15" t="s">
        <v>343</v>
      </c>
      <c r="C361" s="15" t="s">
        <v>3</v>
      </c>
      <c r="D361" s="15">
        <v>2021</v>
      </c>
      <c r="E361" s="15" t="s">
        <v>465</v>
      </c>
      <c r="F361" s="15" t="s">
        <v>280</v>
      </c>
      <c r="G361" s="15" t="s">
        <v>375</v>
      </c>
      <c r="H361" s="15" t="s">
        <v>269</v>
      </c>
      <c r="I361" s="15" t="s">
        <v>269</v>
      </c>
      <c r="J361" s="15" t="s">
        <v>3</v>
      </c>
      <c r="K361" s="15" t="s">
        <v>3</v>
      </c>
    </row>
    <row r="362" spans="1:11" x14ac:dyDescent="0.3">
      <c r="A362" s="15" t="s">
        <v>270</v>
      </c>
      <c r="B362" s="15" t="s">
        <v>343</v>
      </c>
      <c r="C362" s="15" t="s">
        <v>3</v>
      </c>
      <c r="D362" s="15">
        <v>2021</v>
      </c>
      <c r="E362" s="15" t="s">
        <v>465</v>
      </c>
      <c r="F362" s="15" t="s">
        <v>284</v>
      </c>
      <c r="G362" s="15" t="s">
        <v>375</v>
      </c>
      <c r="H362" s="15" t="s">
        <v>269</v>
      </c>
      <c r="I362" s="15" t="s">
        <v>269</v>
      </c>
      <c r="J362" s="15" t="s">
        <v>3</v>
      </c>
      <c r="K362" s="15" t="s">
        <v>3</v>
      </c>
    </row>
    <row r="363" spans="1:11" x14ac:dyDescent="0.3">
      <c r="A363" s="15" t="s">
        <v>272</v>
      </c>
      <c r="B363" s="15" t="s">
        <v>343</v>
      </c>
      <c r="C363" s="15" t="s">
        <v>3</v>
      </c>
      <c r="D363" s="15">
        <v>2021</v>
      </c>
      <c r="E363" s="15" t="s">
        <v>465</v>
      </c>
      <c r="F363" s="15" t="s">
        <v>286</v>
      </c>
      <c r="G363" s="15" t="s">
        <v>375</v>
      </c>
      <c r="H363" s="15" t="s">
        <v>269</v>
      </c>
      <c r="I363" s="15" t="s">
        <v>269</v>
      </c>
      <c r="J363" s="15" t="s">
        <v>3</v>
      </c>
      <c r="K363" s="15" t="s">
        <v>3</v>
      </c>
    </row>
    <row r="364" spans="1:11" x14ac:dyDescent="0.3">
      <c r="A364" s="15" t="s">
        <v>351</v>
      </c>
      <c r="B364" s="15" t="s">
        <v>343</v>
      </c>
      <c r="C364" s="15">
        <v>1.5044541960000002</v>
      </c>
      <c r="D364" s="15">
        <v>2021</v>
      </c>
      <c r="E364" s="15" t="s">
        <v>465</v>
      </c>
      <c r="F364" s="15" t="s">
        <v>278</v>
      </c>
      <c r="G364" s="15" t="s">
        <v>375</v>
      </c>
      <c r="H364" s="15" t="s">
        <v>18</v>
      </c>
      <c r="I364" s="15" t="s">
        <v>269</v>
      </c>
      <c r="J364" s="15" t="s">
        <v>353</v>
      </c>
      <c r="K364" s="15" t="s">
        <v>3</v>
      </c>
    </row>
    <row r="365" spans="1:11" x14ac:dyDescent="0.3">
      <c r="A365" s="15" t="s">
        <v>268</v>
      </c>
      <c r="B365" s="15" t="s">
        <v>343</v>
      </c>
      <c r="C365" s="15" t="s">
        <v>3</v>
      </c>
      <c r="D365" s="15">
        <v>2021</v>
      </c>
      <c r="E365" s="15" t="s">
        <v>465</v>
      </c>
      <c r="F365" s="15" t="s">
        <v>283</v>
      </c>
      <c r="G365" s="15" t="s">
        <v>375</v>
      </c>
      <c r="H365" s="15" t="s">
        <v>269</v>
      </c>
      <c r="I365" s="15" t="s">
        <v>269</v>
      </c>
      <c r="J365" s="15" t="s">
        <v>3</v>
      </c>
      <c r="K365" s="15" t="s">
        <v>3</v>
      </c>
    </row>
    <row r="366" spans="1:11" x14ac:dyDescent="0.3">
      <c r="A366" s="15" t="s">
        <v>271</v>
      </c>
      <c r="B366" s="15" t="s">
        <v>343</v>
      </c>
      <c r="C366" s="15" t="s">
        <v>3</v>
      </c>
      <c r="D366" s="15">
        <v>2021</v>
      </c>
      <c r="E366" s="15" t="s">
        <v>465</v>
      </c>
      <c r="F366" s="15" t="s">
        <v>285</v>
      </c>
      <c r="G366" s="15" t="s">
        <v>375</v>
      </c>
      <c r="H366" s="15" t="s">
        <v>269</v>
      </c>
      <c r="I366" s="15" t="s">
        <v>269</v>
      </c>
      <c r="J366" s="15" t="s">
        <v>3</v>
      </c>
      <c r="K366" s="15" t="s">
        <v>3</v>
      </c>
    </row>
    <row r="367" spans="1:11" x14ac:dyDescent="0.3">
      <c r="A367" s="15" t="s">
        <v>273</v>
      </c>
      <c r="B367" s="15" t="s">
        <v>343</v>
      </c>
      <c r="C367" s="15" t="s">
        <v>3</v>
      </c>
      <c r="D367" s="15">
        <v>2021</v>
      </c>
      <c r="E367" s="15" t="s">
        <v>465</v>
      </c>
      <c r="F367" s="15" t="s">
        <v>287</v>
      </c>
      <c r="G367" s="15" t="s">
        <v>375</v>
      </c>
      <c r="H367" s="15" t="s">
        <v>269</v>
      </c>
      <c r="I367" s="15" t="s">
        <v>269</v>
      </c>
      <c r="J367" s="15" t="s">
        <v>3</v>
      </c>
      <c r="K367" s="15" t="s">
        <v>3</v>
      </c>
    </row>
    <row r="368" spans="1:11" x14ac:dyDescent="0.3">
      <c r="A368" s="15" t="s">
        <v>212</v>
      </c>
      <c r="B368" s="15" t="s">
        <v>343</v>
      </c>
      <c r="C368" s="15">
        <v>0</v>
      </c>
      <c r="D368" s="15">
        <v>2021</v>
      </c>
      <c r="E368" s="15" t="s">
        <v>465</v>
      </c>
      <c r="F368" s="15" t="s">
        <v>288</v>
      </c>
      <c r="G368" s="15" t="s">
        <v>375</v>
      </c>
      <c r="H368" s="15" t="s">
        <v>269</v>
      </c>
      <c r="I368" s="15" t="s">
        <v>269</v>
      </c>
      <c r="J368" s="15" t="s">
        <v>3</v>
      </c>
      <c r="K368" s="15" t="s">
        <v>3</v>
      </c>
    </row>
    <row r="369" spans="1:11" x14ac:dyDescent="0.3">
      <c r="A369" s="15" t="s">
        <v>55</v>
      </c>
      <c r="B369" s="15" t="s">
        <v>343</v>
      </c>
      <c r="C369" s="15">
        <v>0.47546385207499997</v>
      </c>
      <c r="D369" s="15">
        <v>2021</v>
      </c>
      <c r="E369" s="15" t="s">
        <v>465</v>
      </c>
      <c r="F369" s="15" t="s">
        <v>289</v>
      </c>
      <c r="G369" s="15" t="s">
        <v>375</v>
      </c>
      <c r="H369" s="15" t="s">
        <v>269</v>
      </c>
      <c r="I369" s="15" t="s">
        <v>269</v>
      </c>
      <c r="J369" s="15" t="s">
        <v>3</v>
      </c>
      <c r="K369" s="15" t="s">
        <v>3</v>
      </c>
    </row>
    <row r="370" spans="1:11" x14ac:dyDescent="0.3">
      <c r="A370" s="15" t="s">
        <v>179</v>
      </c>
      <c r="B370" s="15" t="s">
        <v>343</v>
      </c>
      <c r="C370" s="15">
        <v>0</v>
      </c>
      <c r="D370" s="15">
        <v>2021</v>
      </c>
      <c r="E370" s="15" t="s">
        <v>465</v>
      </c>
      <c r="F370" s="15" t="s">
        <v>290</v>
      </c>
      <c r="G370" s="15" t="s">
        <v>375</v>
      </c>
      <c r="H370" s="15" t="s">
        <v>269</v>
      </c>
      <c r="I370" s="15" t="s">
        <v>269</v>
      </c>
      <c r="J370" s="15" t="s">
        <v>3</v>
      </c>
      <c r="K370" s="15" t="s">
        <v>3</v>
      </c>
    </row>
    <row r="371" spans="1:11" x14ac:dyDescent="0.3">
      <c r="A371" s="15" t="s">
        <v>65</v>
      </c>
      <c r="B371" s="15" t="s">
        <v>343</v>
      </c>
      <c r="C371" s="15">
        <v>6.2691527426631497</v>
      </c>
      <c r="D371" s="15">
        <v>2021</v>
      </c>
      <c r="E371" s="15" t="s">
        <v>465</v>
      </c>
      <c r="F371" s="15" t="s">
        <v>285</v>
      </c>
      <c r="G371" s="15" t="s">
        <v>375</v>
      </c>
      <c r="H371" s="15" t="s">
        <v>18</v>
      </c>
      <c r="I371" s="15" t="s">
        <v>269</v>
      </c>
      <c r="J371" s="15" t="s">
        <v>341</v>
      </c>
      <c r="K371" s="15" t="s">
        <v>3</v>
      </c>
    </row>
    <row r="372" spans="1:11" x14ac:dyDescent="0.3">
      <c r="A372" s="15" t="s">
        <v>53</v>
      </c>
      <c r="B372" s="15" t="s">
        <v>343</v>
      </c>
      <c r="C372" s="15">
        <v>6.254763676954731</v>
      </c>
      <c r="D372" s="15">
        <v>2021</v>
      </c>
      <c r="E372" s="15" t="s">
        <v>465</v>
      </c>
      <c r="F372" s="15" t="s">
        <v>291</v>
      </c>
      <c r="G372" s="15" t="s">
        <v>375</v>
      </c>
      <c r="H372" s="15" t="s">
        <v>269</v>
      </c>
      <c r="I372" s="15" t="s">
        <v>269</v>
      </c>
      <c r="J372" s="15" t="s">
        <v>3</v>
      </c>
      <c r="K372" s="15" t="s">
        <v>3</v>
      </c>
    </row>
    <row r="373" spans="1:11" x14ac:dyDescent="0.3">
      <c r="A373" s="15" t="s">
        <v>54</v>
      </c>
      <c r="B373" s="15" t="s">
        <v>343</v>
      </c>
      <c r="C373" s="15">
        <v>1.4389065708418889E-2</v>
      </c>
      <c r="D373" s="15">
        <v>2021</v>
      </c>
      <c r="E373" s="15" t="s">
        <v>465</v>
      </c>
      <c r="F373" s="15" t="s">
        <v>292</v>
      </c>
      <c r="G373" s="15" t="s">
        <v>375</v>
      </c>
      <c r="H373" s="15" t="s">
        <v>269</v>
      </c>
      <c r="I373" s="15" t="s">
        <v>269</v>
      </c>
      <c r="J373" s="15" t="s">
        <v>3</v>
      </c>
      <c r="K373" s="15" t="s">
        <v>3</v>
      </c>
    </row>
    <row r="374" spans="1:11" x14ac:dyDescent="0.3">
      <c r="A374" s="15" t="s">
        <v>47</v>
      </c>
      <c r="B374" s="15" t="s">
        <v>343</v>
      </c>
      <c r="C374" s="15">
        <v>2.1724660398749998</v>
      </c>
      <c r="D374" s="15">
        <v>2021</v>
      </c>
      <c r="E374" s="15" t="s">
        <v>465</v>
      </c>
      <c r="F374" s="15" t="s">
        <v>293</v>
      </c>
      <c r="G374" s="15" t="s">
        <v>375</v>
      </c>
      <c r="H374" s="15" t="s">
        <v>269</v>
      </c>
      <c r="I374" s="15" t="s">
        <v>269</v>
      </c>
      <c r="J374" s="15" t="s">
        <v>3</v>
      </c>
      <c r="K374" s="15" t="s">
        <v>3</v>
      </c>
    </row>
    <row r="375" spans="1:11" x14ac:dyDescent="0.3">
      <c r="A375" s="15" t="s">
        <v>48</v>
      </c>
      <c r="B375" s="15" t="s">
        <v>343</v>
      </c>
      <c r="C375" s="15">
        <v>2.2527821776249994</v>
      </c>
      <c r="D375" s="15">
        <v>2021</v>
      </c>
      <c r="E375" s="15" t="s">
        <v>465</v>
      </c>
      <c r="F375" s="15" t="s">
        <v>286</v>
      </c>
      <c r="G375" s="15" t="s">
        <v>375</v>
      </c>
      <c r="H375" s="15" t="s">
        <v>18</v>
      </c>
      <c r="I375" s="15" t="s">
        <v>269</v>
      </c>
      <c r="J375" s="15" t="s">
        <v>362</v>
      </c>
      <c r="K375" s="15" t="s">
        <v>3</v>
      </c>
    </row>
    <row r="376" spans="1:11" x14ac:dyDescent="0.3">
      <c r="A376" s="15" t="s">
        <v>274</v>
      </c>
      <c r="B376" s="15" t="s">
        <v>343</v>
      </c>
      <c r="C376" s="15">
        <v>1.7660193250000001E-2</v>
      </c>
      <c r="D376" s="15">
        <v>2021</v>
      </c>
      <c r="E376" s="15" t="s">
        <v>465</v>
      </c>
      <c r="F376" s="15" t="s">
        <v>294</v>
      </c>
      <c r="G376" s="15" t="s">
        <v>375</v>
      </c>
      <c r="H376" s="15" t="s">
        <v>269</v>
      </c>
      <c r="I376" s="15" t="s">
        <v>269</v>
      </c>
      <c r="J376" s="15" t="s">
        <v>3</v>
      </c>
      <c r="K376" s="15" t="s">
        <v>3</v>
      </c>
    </row>
    <row r="377" spans="1:11" x14ac:dyDescent="0.3">
      <c r="A377" s="15" t="s">
        <v>275</v>
      </c>
      <c r="B377" s="15" t="s">
        <v>343</v>
      </c>
      <c r="C377" s="15">
        <v>2.2351219843749996</v>
      </c>
      <c r="D377" s="15">
        <v>2021</v>
      </c>
      <c r="E377" s="15" t="s">
        <v>465</v>
      </c>
      <c r="F377" s="15" t="s">
        <v>295</v>
      </c>
      <c r="G377" s="15" t="s">
        <v>375</v>
      </c>
      <c r="H377" s="15" t="s">
        <v>269</v>
      </c>
      <c r="I377" s="15" t="s">
        <v>269</v>
      </c>
      <c r="J377" s="15" t="s">
        <v>3</v>
      </c>
      <c r="K377" s="15" t="s">
        <v>3</v>
      </c>
    </row>
    <row r="378" spans="1:11" x14ac:dyDescent="0.3">
      <c r="A378" s="15" t="s">
        <v>49</v>
      </c>
      <c r="B378" s="15" t="s">
        <v>343</v>
      </c>
      <c r="C378" s="15">
        <v>0.92686527225000004</v>
      </c>
      <c r="D378" s="15">
        <v>2021</v>
      </c>
      <c r="E378" s="15" t="s">
        <v>465</v>
      </c>
      <c r="F378" s="15" t="s">
        <v>296</v>
      </c>
      <c r="G378" s="15" t="s">
        <v>375</v>
      </c>
      <c r="H378" s="15" t="s">
        <v>269</v>
      </c>
      <c r="I378" s="15" t="s">
        <v>269</v>
      </c>
      <c r="J378" s="15" t="s">
        <v>3</v>
      </c>
      <c r="K378" s="15" t="s">
        <v>3</v>
      </c>
    </row>
    <row r="379" spans="1:11" x14ac:dyDescent="0.3">
      <c r="A379" s="15" t="s">
        <v>52</v>
      </c>
      <c r="B379" s="15" t="s">
        <v>343</v>
      </c>
      <c r="C379" s="15">
        <v>4.407072790075194</v>
      </c>
      <c r="D379" s="15">
        <v>2021</v>
      </c>
      <c r="E379" s="15" t="s">
        <v>465</v>
      </c>
      <c r="F379" s="15" t="s">
        <v>287</v>
      </c>
      <c r="G379" s="15" t="s">
        <v>375</v>
      </c>
      <c r="H379" s="15" t="s">
        <v>18</v>
      </c>
      <c r="I379" s="15" t="s">
        <v>269</v>
      </c>
      <c r="J379" s="15" t="s">
        <v>363</v>
      </c>
      <c r="K379" s="15" t="s">
        <v>3</v>
      </c>
    </row>
    <row r="380" spans="1:11" x14ac:dyDescent="0.3">
      <c r="A380" s="15" t="s">
        <v>44</v>
      </c>
      <c r="B380" s="15" t="s">
        <v>343</v>
      </c>
      <c r="C380" s="15">
        <v>2.0125275344999998</v>
      </c>
      <c r="D380" s="15">
        <v>2021</v>
      </c>
      <c r="E380" s="15" t="s">
        <v>465</v>
      </c>
      <c r="F380" s="15" t="s">
        <v>297</v>
      </c>
      <c r="G380" s="15" t="s">
        <v>375</v>
      </c>
      <c r="H380" s="15" t="s">
        <v>269</v>
      </c>
      <c r="I380" s="15" t="s">
        <v>269</v>
      </c>
      <c r="J380" s="15" t="s">
        <v>3</v>
      </c>
      <c r="K380" s="15" t="s">
        <v>3</v>
      </c>
    </row>
    <row r="381" spans="1:11" x14ac:dyDescent="0.3">
      <c r="A381" s="15" t="s">
        <v>45</v>
      </c>
      <c r="B381" s="15" t="s">
        <v>343</v>
      </c>
      <c r="C381" s="15">
        <v>0.970642651348543</v>
      </c>
      <c r="D381" s="15">
        <v>2021</v>
      </c>
      <c r="E381" s="15" t="s">
        <v>465</v>
      </c>
      <c r="F381" s="15" t="s">
        <v>298</v>
      </c>
      <c r="G381" s="15" t="s">
        <v>375</v>
      </c>
      <c r="H381" s="15" t="s">
        <v>269</v>
      </c>
      <c r="I381" s="15" t="s">
        <v>269</v>
      </c>
      <c r="J381" s="15" t="s">
        <v>3</v>
      </c>
      <c r="K381" s="15" t="s">
        <v>3</v>
      </c>
    </row>
    <row r="382" spans="1:11" x14ac:dyDescent="0.3">
      <c r="A382" s="15" t="s">
        <v>76</v>
      </c>
      <c r="B382" s="15" t="s">
        <v>343</v>
      </c>
      <c r="C382" s="15">
        <v>4.0185301724142856E-2</v>
      </c>
      <c r="D382" s="15">
        <v>2021</v>
      </c>
      <c r="E382" s="15" t="s">
        <v>465</v>
      </c>
      <c r="F382" s="15" t="s">
        <v>299</v>
      </c>
      <c r="G382" s="15" t="s">
        <v>375</v>
      </c>
      <c r="H382" s="15" t="s">
        <v>269</v>
      </c>
      <c r="I382" s="15" t="s">
        <v>269</v>
      </c>
      <c r="J382" s="15" t="s">
        <v>3</v>
      </c>
      <c r="K382" s="15" t="s">
        <v>3</v>
      </c>
    </row>
    <row r="383" spans="1:11" x14ac:dyDescent="0.3">
      <c r="A383" s="15" t="s">
        <v>180</v>
      </c>
      <c r="B383" s="15" t="s">
        <v>343</v>
      </c>
      <c r="C383" s="15">
        <v>5.9283450269999996E-2</v>
      </c>
      <c r="D383" s="15">
        <v>2021</v>
      </c>
      <c r="E383" s="15" t="s">
        <v>465</v>
      </c>
      <c r="F383" s="15" t="s">
        <v>300</v>
      </c>
      <c r="G383" s="15" t="s">
        <v>375</v>
      </c>
      <c r="H383" s="15" t="s">
        <v>269</v>
      </c>
      <c r="I383" s="15" t="s">
        <v>269</v>
      </c>
      <c r="J383" s="15" t="s">
        <v>3</v>
      </c>
      <c r="K383" s="15" t="s">
        <v>3</v>
      </c>
    </row>
    <row r="384" spans="1:11" x14ac:dyDescent="0.3">
      <c r="A384" s="15" t="s">
        <v>209</v>
      </c>
      <c r="B384" s="15" t="s">
        <v>343</v>
      </c>
      <c r="C384" s="15">
        <v>1.2401915831035715</v>
      </c>
      <c r="D384" s="15">
        <v>2021</v>
      </c>
      <c r="E384" s="15" t="s">
        <v>465</v>
      </c>
      <c r="F384" s="15" t="s">
        <v>301</v>
      </c>
      <c r="G384" s="15" t="s">
        <v>375</v>
      </c>
      <c r="H384" s="15" t="s">
        <v>269</v>
      </c>
      <c r="I384" s="15" t="s">
        <v>269</v>
      </c>
      <c r="J384" s="15" t="s">
        <v>3</v>
      </c>
      <c r="K384" s="15" t="s">
        <v>3</v>
      </c>
    </row>
    <row r="385" spans="1:11" x14ac:dyDescent="0.3">
      <c r="A385" s="15" t="s">
        <v>75</v>
      </c>
      <c r="B385" s="15" t="s">
        <v>343</v>
      </c>
      <c r="C385" s="15">
        <v>8.4242269128937508E-2</v>
      </c>
      <c r="D385" s="15">
        <v>2021</v>
      </c>
      <c r="E385" s="15" t="s">
        <v>465</v>
      </c>
      <c r="F385" s="15" t="s">
        <v>302</v>
      </c>
      <c r="G385" s="15" t="s">
        <v>375</v>
      </c>
      <c r="H385" s="15" t="s">
        <v>269</v>
      </c>
      <c r="I385" s="15" t="s">
        <v>269</v>
      </c>
      <c r="J385" s="15" t="s">
        <v>3</v>
      </c>
      <c r="K385" s="15" t="s">
        <v>3</v>
      </c>
    </row>
    <row r="386" spans="1:11" x14ac:dyDescent="0.3">
      <c r="A386" s="15" t="s">
        <v>42</v>
      </c>
      <c r="B386" s="15" t="s">
        <v>343</v>
      </c>
      <c r="C386" s="15">
        <v>4.4081738235000003</v>
      </c>
      <c r="D386" s="15">
        <v>2021</v>
      </c>
      <c r="E386" s="15" t="s">
        <v>465</v>
      </c>
      <c r="F386" s="15" t="s">
        <v>289</v>
      </c>
      <c r="G386" s="15" t="s">
        <v>375</v>
      </c>
      <c r="H386" s="15" t="s">
        <v>18</v>
      </c>
      <c r="I386" s="15" t="s">
        <v>269</v>
      </c>
      <c r="J386" s="15" t="s">
        <v>365</v>
      </c>
      <c r="K386" s="15" t="s">
        <v>3</v>
      </c>
    </row>
    <row r="387" spans="1:11" x14ac:dyDescent="0.3">
      <c r="A387" s="15" t="s">
        <v>70</v>
      </c>
      <c r="B387" s="15" t="s">
        <v>343</v>
      </c>
      <c r="C387" s="15">
        <v>1.6321382999999998E-2</v>
      </c>
      <c r="D387" s="15">
        <v>2021</v>
      </c>
      <c r="E387" s="15" t="s">
        <v>465</v>
      </c>
      <c r="F387" s="15" t="s">
        <v>303</v>
      </c>
      <c r="G387" s="15" t="s">
        <v>375</v>
      </c>
      <c r="H387" s="15" t="s">
        <v>269</v>
      </c>
      <c r="I387" s="15" t="s">
        <v>269</v>
      </c>
      <c r="J387" s="15" t="s">
        <v>3</v>
      </c>
      <c r="K387" s="15" t="s">
        <v>3</v>
      </c>
    </row>
    <row r="388" spans="1:11" x14ac:dyDescent="0.3">
      <c r="A388" s="15" t="s">
        <v>71</v>
      </c>
      <c r="B388" s="15" t="s">
        <v>343</v>
      </c>
      <c r="C388" s="15">
        <v>2.4357610350000005</v>
      </c>
      <c r="D388" s="15">
        <v>2021</v>
      </c>
      <c r="E388" s="15" t="s">
        <v>465</v>
      </c>
      <c r="F388" s="15" t="s">
        <v>304</v>
      </c>
      <c r="G388" s="15" t="s">
        <v>375</v>
      </c>
      <c r="H388" s="15" t="s">
        <v>269</v>
      </c>
      <c r="I388" s="15" t="s">
        <v>269</v>
      </c>
      <c r="J388" s="15" t="s">
        <v>3</v>
      </c>
      <c r="K388" s="15" t="s">
        <v>3</v>
      </c>
    </row>
    <row r="389" spans="1:11" x14ac:dyDescent="0.3">
      <c r="A389" s="15" t="s">
        <v>72</v>
      </c>
      <c r="B389" s="15" t="s">
        <v>343</v>
      </c>
      <c r="C389" s="15">
        <v>0.89950618349999989</v>
      </c>
      <c r="D389" s="15">
        <v>2021</v>
      </c>
      <c r="E389" s="15" t="s">
        <v>465</v>
      </c>
      <c r="F389" s="15" t="s">
        <v>305</v>
      </c>
      <c r="G389" s="15" t="s">
        <v>375</v>
      </c>
      <c r="H389" s="15" t="s">
        <v>269</v>
      </c>
      <c r="I389" s="15" t="s">
        <v>269</v>
      </c>
      <c r="J389" s="15" t="s">
        <v>3</v>
      </c>
      <c r="K389" s="15" t="s">
        <v>3</v>
      </c>
    </row>
    <row r="390" spans="1:11" x14ac:dyDescent="0.3">
      <c r="A390" s="15" t="s">
        <v>77</v>
      </c>
      <c r="B390" s="15" t="s">
        <v>343</v>
      </c>
      <c r="C390" s="15">
        <v>1.056585222</v>
      </c>
      <c r="D390" s="15">
        <v>2021</v>
      </c>
      <c r="E390" s="15" t="s">
        <v>465</v>
      </c>
      <c r="F390" s="15" t="s">
        <v>306</v>
      </c>
      <c r="G390" s="15" t="s">
        <v>375</v>
      </c>
      <c r="H390" s="15" t="s">
        <v>269</v>
      </c>
      <c r="I390" s="15" t="s">
        <v>269</v>
      </c>
      <c r="J390" s="15" t="s">
        <v>3</v>
      </c>
      <c r="K390" s="15" t="s">
        <v>3</v>
      </c>
    </row>
    <row r="391" spans="1:11" x14ac:dyDescent="0.3">
      <c r="A391" s="15" t="s">
        <v>43</v>
      </c>
      <c r="B391" s="15" t="s">
        <v>343</v>
      </c>
      <c r="C391" s="15">
        <v>2.7175765499999997E-2</v>
      </c>
      <c r="D391" s="15">
        <v>2021</v>
      </c>
      <c r="E391" s="15" t="s">
        <v>465</v>
      </c>
      <c r="F391" s="15" t="s">
        <v>307</v>
      </c>
      <c r="G391" s="15" t="s">
        <v>375</v>
      </c>
      <c r="H391" s="15" t="s">
        <v>269</v>
      </c>
      <c r="I391" s="15" t="s">
        <v>269</v>
      </c>
      <c r="J391" s="15" t="s">
        <v>3</v>
      </c>
      <c r="K391" s="15" t="s">
        <v>3</v>
      </c>
    </row>
    <row r="392" spans="1:11" x14ac:dyDescent="0.3">
      <c r="A392" s="15" t="s">
        <v>50</v>
      </c>
      <c r="B392" s="15" t="s">
        <v>343</v>
      </c>
      <c r="C392" s="15">
        <v>5.6745373020000001</v>
      </c>
      <c r="D392" s="15">
        <v>2021</v>
      </c>
      <c r="E392" s="15" t="s">
        <v>465</v>
      </c>
      <c r="F392" s="15" t="s">
        <v>290</v>
      </c>
      <c r="G392" s="15" t="s">
        <v>375</v>
      </c>
      <c r="H392" s="15" t="s">
        <v>18</v>
      </c>
      <c r="I392" s="15" t="s">
        <v>269</v>
      </c>
      <c r="J392" s="15" t="s">
        <v>366</v>
      </c>
      <c r="K392" s="15" t="s">
        <v>3</v>
      </c>
    </row>
    <row r="393" spans="1:11" x14ac:dyDescent="0.3">
      <c r="A393" s="15" t="s">
        <v>78</v>
      </c>
      <c r="B393" s="15" t="s">
        <v>343</v>
      </c>
      <c r="C393" s="15">
        <v>6.5274219749999987E-2</v>
      </c>
      <c r="D393" s="15">
        <v>2021</v>
      </c>
      <c r="E393" s="15" t="s">
        <v>465</v>
      </c>
      <c r="F393" s="15" t="s">
        <v>308</v>
      </c>
      <c r="G393" s="15" t="s">
        <v>375</v>
      </c>
      <c r="H393" s="15" t="s">
        <v>269</v>
      </c>
      <c r="I393" s="15" t="s">
        <v>269</v>
      </c>
      <c r="J393" s="15" t="s">
        <v>3</v>
      </c>
      <c r="K393" s="15" t="s">
        <v>3</v>
      </c>
    </row>
    <row r="394" spans="1:11" x14ac:dyDescent="0.3">
      <c r="A394" s="15" t="s">
        <v>79</v>
      </c>
      <c r="B394" s="15" t="s">
        <v>343</v>
      </c>
      <c r="C394" s="15">
        <v>2.7217592434999998</v>
      </c>
      <c r="D394" s="15">
        <v>2021</v>
      </c>
      <c r="E394" s="15" t="s">
        <v>465</v>
      </c>
      <c r="F394" s="15" t="s">
        <v>309</v>
      </c>
      <c r="G394" s="15" t="s">
        <v>375</v>
      </c>
      <c r="H394" s="15" t="s">
        <v>269</v>
      </c>
      <c r="I394" s="15" t="s">
        <v>269</v>
      </c>
      <c r="J394" s="15" t="s">
        <v>3</v>
      </c>
      <c r="K394" s="15" t="s">
        <v>3</v>
      </c>
    </row>
    <row r="395" spans="1:11" x14ac:dyDescent="0.3">
      <c r="A395" s="15" t="s">
        <v>67</v>
      </c>
      <c r="B395" s="15" t="s">
        <v>343</v>
      </c>
      <c r="C395" s="15">
        <v>0.31620648824999997</v>
      </c>
      <c r="D395" s="15">
        <v>2021</v>
      </c>
      <c r="E395" s="15" t="s">
        <v>465</v>
      </c>
      <c r="F395" s="15" t="s">
        <v>310</v>
      </c>
      <c r="G395" s="15" t="s">
        <v>375</v>
      </c>
      <c r="H395" s="15" t="s">
        <v>269</v>
      </c>
      <c r="I395" s="15" t="s">
        <v>269</v>
      </c>
      <c r="J395" s="15" t="s">
        <v>3</v>
      </c>
      <c r="K395" s="15" t="s">
        <v>3</v>
      </c>
    </row>
    <row r="396" spans="1:11" x14ac:dyDescent="0.3">
      <c r="A396" s="15" t="s">
        <v>68</v>
      </c>
      <c r="B396" s="15" t="s">
        <v>343</v>
      </c>
      <c r="C396" s="15">
        <v>2.5123468722499998</v>
      </c>
      <c r="D396" s="15">
        <v>2021</v>
      </c>
      <c r="E396" s="15" t="s">
        <v>465</v>
      </c>
      <c r="F396" s="15" t="s">
        <v>311</v>
      </c>
      <c r="G396" s="15" t="s">
        <v>375</v>
      </c>
      <c r="H396" s="15" t="s">
        <v>269</v>
      </c>
      <c r="I396" s="15" t="s">
        <v>269</v>
      </c>
      <c r="J396" s="15" t="s">
        <v>3</v>
      </c>
      <c r="K396" s="15" t="s">
        <v>3</v>
      </c>
    </row>
    <row r="397" spans="1:11" x14ac:dyDescent="0.3">
      <c r="A397" s="15" t="s">
        <v>69</v>
      </c>
      <c r="B397" s="15" t="s">
        <v>343</v>
      </c>
      <c r="C397" s="15">
        <v>5.8950478249999994E-2</v>
      </c>
      <c r="D397" s="15">
        <v>2021</v>
      </c>
      <c r="E397" s="15" t="s">
        <v>465</v>
      </c>
      <c r="F397" s="15" t="s">
        <v>312</v>
      </c>
      <c r="G397" s="15" t="s">
        <v>375</v>
      </c>
      <c r="H397" s="15" t="s">
        <v>269</v>
      </c>
      <c r="I397" s="15" t="s">
        <v>269</v>
      </c>
      <c r="J397" s="15" t="s">
        <v>3</v>
      </c>
      <c r="K397" s="15" t="s">
        <v>3</v>
      </c>
    </row>
    <row r="398" spans="1:11" x14ac:dyDescent="0.3">
      <c r="A398" s="15" t="s">
        <v>51</v>
      </c>
      <c r="B398" s="15" t="s">
        <v>343</v>
      </c>
      <c r="C398" s="15" t="s">
        <v>3</v>
      </c>
      <c r="D398" s="15">
        <v>2021</v>
      </c>
      <c r="E398" s="15" t="s">
        <v>465</v>
      </c>
      <c r="F398" s="15" t="s">
        <v>291</v>
      </c>
      <c r="G398" s="15" t="s">
        <v>375</v>
      </c>
      <c r="H398" s="15" t="s">
        <v>18</v>
      </c>
      <c r="I398" s="15" t="s">
        <v>269</v>
      </c>
      <c r="J398" s="15" t="s">
        <v>367</v>
      </c>
      <c r="K398" s="15" t="s">
        <v>3</v>
      </c>
    </row>
    <row r="399" spans="1:11" x14ac:dyDescent="0.3">
      <c r="A399" s="15" t="s">
        <v>36</v>
      </c>
      <c r="B399" s="15" t="s">
        <v>343</v>
      </c>
      <c r="C399" s="15" t="s">
        <v>3</v>
      </c>
      <c r="D399" s="15">
        <v>2021</v>
      </c>
      <c r="E399" s="15" t="s">
        <v>465</v>
      </c>
      <c r="F399" s="15" t="s">
        <v>313</v>
      </c>
      <c r="G399" s="15" t="s">
        <v>375</v>
      </c>
      <c r="H399" s="15" t="s">
        <v>269</v>
      </c>
      <c r="I399" s="15" t="s">
        <v>269</v>
      </c>
      <c r="J399" s="15" t="s">
        <v>3</v>
      </c>
      <c r="K399" s="15" t="s">
        <v>3</v>
      </c>
    </row>
    <row r="400" spans="1:11" x14ac:dyDescent="0.3">
      <c r="A400" s="15" t="s">
        <v>37</v>
      </c>
      <c r="B400" s="15" t="s">
        <v>343</v>
      </c>
      <c r="C400" s="15" t="s">
        <v>3</v>
      </c>
      <c r="D400" s="15">
        <v>2021</v>
      </c>
      <c r="E400" s="15" t="s">
        <v>465</v>
      </c>
      <c r="F400" s="15" t="s">
        <v>314</v>
      </c>
      <c r="G400" s="15" t="s">
        <v>375</v>
      </c>
      <c r="H400" s="15" t="s">
        <v>269</v>
      </c>
      <c r="I400" s="15" t="s">
        <v>269</v>
      </c>
      <c r="J400" s="15" t="s">
        <v>3</v>
      </c>
      <c r="K400" s="15" t="s">
        <v>3</v>
      </c>
    </row>
    <row r="401" spans="1:11" x14ac:dyDescent="0.3">
      <c r="A401" s="15" t="s">
        <v>39</v>
      </c>
      <c r="B401" s="15" t="s">
        <v>343</v>
      </c>
      <c r="C401" s="15">
        <v>0</v>
      </c>
      <c r="D401" s="15">
        <v>2021</v>
      </c>
      <c r="E401" s="15" t="s">
        <v>465</v>
      </c>
      <c r="F401" s="15" t="s">
        <v>315</v>
      </c>
      <c r="G401" s="15" t="s">
        <v>375</v>
      </c>
      <c r="H401" s="15" t="s">
        <v>269</v>
      </c>
      <c r="I401" s="15" t="s">
        <v>269</v>
      </c>
      <c r="J401" s="15" t="s">
        <v>3</v>
      </c>
      <c r="K401" s="15" t="s">
        <v>3</v>
      </c>
    </row>
    <row r="402" spans="1:11" x14ac:dyDescent="0.3">
      <c r="A402" s="15" t="s">
        <v>40</v>
      </c>
      <c r="B402" s="15" t="s">
        <v>343</v>
      </c>
      <c r="C402" s="15" t="s">
        <v>3</v>
      </c>
      <c r="D402" s="15">
        <v>2021</v>
      </c>
      <c r="E402" s="15" t="s">
        <v>465</v>
      </c>
      <c r="F402" s="15" t="s">
        <v>316</v>
      </c>
      <c r="G402" s="15" t="s">
        <v>375</v>
      </c>
      <c r="H402" s="15" t="s">
        <v>269</v>
      </c>
      <c r="I402" s="15" t="s">
        <v>269</v>
      </c>
      <c r="J402" s="15" t="s">
        <v>3</v>
      </c>
      <c r="K402" s="15" t="s">
        <v>3</v>
      </c>
    </row>
    <row r="403" spans="1:11" x14ac:dyDescent="0.3">
      <c r="A403" s="15" t="s">
        <v>41</v>
      </c>
      <c r="B403" s="15" t="s">
        <v>343</v>
      </c>
      <c r="C403" s="15" t="s">
        <v>3</v>
      </c>
      <c r="D403" s="15">
        <v>2021</v>
      </c>
      <c r="E403" s="15" t="s">
        <v>465</v>
      </c>
      <c r="F403" s="15" t="s">
        <v>317</v>
      </c>
      <c r="G403" s="15" t="s">
        <v>375</v>
      </c>
      <c r="H403" s="15" t="s">
        <v>269</v>
      </c>
      <c r="I403" s="15" t="s">
        <v>269</v>
      </c>
      <c r="J403" s="15" t="s">
        <v>3</v>
      </c>
      <c r="K403" s="15" t="s">
        <v>3</v>
      </c>
    </row>
    <row r="404" spans="1:11" x14ac:dyDescent="0.3">
      <c r="A404" s="15" t="s">
        <v>38</v>
      </c>
      <c r="B404" s="15" t="s">
        <v>343</v>
      </c>
      <c r="C404" s="15" t="s">
        <v>3</v>
      </c>
      <c r="D404" s="15">
        <v>2021</v>
      </c>
      <c r="E404" s="15" t="s">
        <v>465</v>
      </c>
      <c r="F404" s="15" t="s">
        <v>318</v>
      </c>
      <c r="G404" s="15" t="s">
        <v>375</v>
      </c>
      <c r="H404" s="15" t="s">
        <v>269</v>
      </c>
      <c r="I404" s="15" t="s">
        <v>269</v>
      </c>
      <c r="J404" s="15" t="s">
        <v>3</v>
      </c>
      <c r="K404" s="15" t="s">
        <v>3</v>
      </c>
    </row>
    <row r="405" spans="1:11" x14ac:dyDescent="0.3">
      <c r="A405" s="15" t="s">
        <v>539</v>
      </c>
      <c r="B405" s="15" t="s">
        <v>343</v>
      </c>
      <c r="C405" s="15">
        <v>0</v>
      </c>
      <c r="D405" s="15">
        <v>2021</v>
      </c>
      <c r="E405" s="15" t="s">
        <v>465</v>
      </c>
      <c r="F405" s="15" t="s">
        <v>340</v>
      </c>
      <c r="G405" s="15" t="s">
        <v>375</v>
      </c>
      <c r="H405" s="15" t="s">
        <v>269</v>
      </c>
      <c r="I405" s="15" t="s">
        <v>269</v>
      </c>
      <c r="J405" s="15" t="s">
        <v>3</v>
      </c>
      <c r="K405" s="15" t="s">
        <v>3</v>
      </c>
    </row>
    <row r="406" spans="1:11" x14ac:dyDescent="0.3">
      <c r="A406" s="15" t="s">
        <v>540</v>
      </c>
      <c r="B406" s="15" t="s">
        <v>343</v>
      </c>
      <c r="C406" s="15">
        <v>0.52854160624999991</v>
      </c>
      <c r="D406" s="15">
        <v>2021</v>
      </c>
      <c r="E406" s="15" t="s">
        <v>465</v>
      </c>
      <c r="F406" s="15" t="s">
        <v>344</v>
      </c>
      <c r="G406" s="15" t="s">
        <v>375</v>
      </c>
      <c r="H406" s="15" t="s">
        <v>269</v>
      </c>
      <c r="I406" s="15" t="s">
        <v>269</v>
      </c>
      <c r="J406" s="15" t="s">
        <v>3</v>
      </c>
      <c r="K406" s="15" t="s">
        <v>3</v>
      </c>
    </row>
  </sheetData>
  <autoFilter ref="A1:A4" xr:uid="{00B0B43A-2260-43D5-BB77-1CD93A118B86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F7ED-69C7-4C40-9316-BA7D99120535}">
  <sheetPr codeName="Sheet12"/>
  <dimension ref="A1:K132"/>
  <sheetViews>
    <sheetView zoomScale="70" zoomScaleNormal="70" workbookViewId="0"/>
  </sheetViews>
  <sheetFormatPr defaultColWidth="8.88671875" defaultRowHeight="14.4" x14ac:dyDescent="0.3"/>
  <cols>
    <col min="1" max="16384" width="8.88671875" style="15"/>
  </cols>
  <sheetData>
    <row r="1" spans="1:11" x14ac:dyDescent="0.3">
      <c r="A1" s="15" t="s">
        <v>10</v>
      </c>
      <c r="B1" s="15" t="s">
        <v>11</v>
      </c>
      <c r="C1" s="15" t="s">
        <v>0</v>
      </c>
      <c r="D1" s="15" t="s">
        <v>1</v>
      </c>
      <c r="E1" s="15" t="s">
        <v>2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</row>
    <row r="2" spans="1:11" x14ac:dyDescent="0.3">
      <c r="A2" s="15" t="s">
        <v>542</v>
      </c>
      <c r="B2" s="15" t="s">
        <v>267</v>
      </c>
      <c r="C2" s="15">
        <v>2.3071607999999997</v>
      </c>
      <c r="D2" s="15">
        <v>2021</v>
      </c>
      <c r="E2" s="15" t="s">
        <v>465</v>
      </c>
      <c r="F2" s="15" t="s">
        <v>269</v>
      </c>
      <c r="G2" s="15" t="s">
        <v>280</v>
      </c>
      <c r="H2" s="15" t="s">
        <v>269</v>
      </c>
      <c r="I2" s="15" t="s">
        <v>269</v>
      </c>
      <c r="J2" s="15" t="s">
        <v>3</v>
      </c>
      <c r="K2" s="15" t="s">
        <v>3</v>
      </c>
    </row>
    <row r="3" spans="1:11" x14ac:dyDescent="0.3">
      <c r="A3" s="15" t="s">
        <v>542</v>
      </c>
      <c r="B3" s="15" t="s">
        <v>270</v>
      </c>
      <c r="C3" s="15">
        <v>0.68674999999999997</v>
      </c>
      <c r="D3" s="15">
        <v>2021</v>
      </c>
      <c r="E3" s="15" t="s">
        <v>465</v>
      </c>
      <c r="F3" s="15" t="s">
        <v>269</v>
      </c>
      <c r="G3" s="15" t="s">
        <v>284</v>
      </c>
      <c r="H3" s="15" t="s">
        <v>269</v>
      </c>
      <c r="I3" s="15" t="s">
        <v>269</v>
      </c>
      <c r="J3" s="15" t="s">
        <v>3</v>
      </c>
      <c r="K3" s="15" t="s">
        <v>3</v>
      </c>
    </row>
    <row r="4" spans="1:11" x14ac:dyDescent="0.3">
      <c r="A4" s="15" t="s">
        <v>542</v>
      </c>
      <c r="B4" s="15" t="s">
        <v>272</v>
      </c>
      <c r="C4" s="15">
        <v>0.61419999999999997</v>
      </c>
      <c r="D4" s="15">
        <v>2021</v>
      </c>
      <c r="E4" s="15" t="s">
        <v>465</v>
      </c>
      <c r="F4" s="15" t="s">
        <v>269</v>
      </c>
      <c r="G4" s="15" t="s">
        <v>286</v>
      </c>
      <c r="H4" s="15" t="s">
        <v>269</v>
      </c>
      <c r="I4" s="15" t="s">
        <v>269</v>
      </c>
      <c r="J4" s="15" t="s">
        <v>3</v>
      </c>
      <c r="K4" s="15" t="s">
        <v>3</v>
      </c>
    </row>
    <row r="5" spans="1:11" x14ac:dyDescent="0.3">
      <c r="A5" s="15" t="s">
        <v>543</v>
      </c>
      <c r="B5" s="15" t="s">
        <v>268</v>
      </c>
      <c r="C5" s="15">
        <v>50.362869324999991</v>
      </c>
      <c r="D5" s="15">
        <v>2021</v>
      </c>
      <c r="E5" s="15" t="s">
        <v>465</v>
      </c>
      <c r="F5" s="15" t="s">
        <v>18</v>
      </c>
      <c r="G5" s="15" t="s">
        <v>283</v>
      </c>
      <c r="H5" s="15" t="s">
        <v>269</v>
      </c>
      <c r="I5" s="15" t="s">
        <v>269</v>
      </c>
      <c r="J5" s="15" t="s">
        <v>3</v>
      </c>
      <c r="K5" s="15" t="s">
        <v>3</v>
      </c>
    </row>
    <row r="6" spans="1:11" x14ac:dyDescent="0.3">
      <c r="A6" s="15" t="s">
        <v>543</v>
      </c>
      <c r="B6" s="15" t="s">
        <v>271</v>
      </c>
      <c r="C6" s="15">
        <v>37.497136792999996</v>
      </c>
      <c r="D6" s="15">
        <v>2021</v>
      </c>
      <c r="E6" s="15" t="s">
        <v>465</v>
      </c>
      <c r="F6" s="15" t="s">
        <v>18</v>
      </c>
      <c r="G6" s="15" t="s">
        <v>285</v>
      </c>
      <c r="H6" s="15" t="s">
        <v>269</v>
      </c>
      <c r="I6" s="15" t="s">
        <v>269</v>
      </c>
      <c r="J6" s="15" t="s">
        <v>3</v>
      </c>
      <c r="K6" s="15" t="s">
        <v>3</v>
      </c>
    </row>
    <row r="7" spans="1:11" x14ac:dyDescent="0.3">
      <c r="A7" s="15" t="s">
        <v>543</v>
      </c>
      <c r="B7" s="15" t="s">
        <v>273</v>
      </c>
      <c r="C7" s="15">
        <v>11.415811260000002</v>
      </c>
      <c r="D7" s="15">
        <v>2021</v>
      </c>
      <c r="E7" s="15" t="s">
        <v>465</v>
      </c>
      <c r="F7" s="15" t="s">
        <v>18</v>
      </c>
      <c r="G7" s="15" t="s">
        <v>287</v>
      </c>
      <c r="H7" s="15" t="s">
        <v>269</v>
      </c>
      <c r="I7" s="15" t="s">
        <v>269</v>
      </c>
      <c r="J7" s="15" t="s">
        <v>3</v>
      </c>
      <c r="K7" s="15" t="s">
        <v>3</v>
      </c>
    </row>
    <row r="8" spans="1:11" x14ac:dyDescent="0.3">
      <c r="A8" s="15" t="s">
        <v>544</v>
      </c>
      <c r="B8" s="15" t="s">
        <v>265</v>
      </c>
      <c r="C8" s="15">
        <v>0.39333943453125003</v>
      </c>
      <c r="D8" s="15">
        <v>2021</v>
      </c>
      <c r="E8" s="15" t="s">
        <v>465</v>
      </c>
      <c r="F8" s="15" t="s">
        <v>276</v>
      </c>
      <c r="G8" s="15" t="s">
        <v>278</v>
      </c>
      <c r="H8" s="15" t="s">
        <v>269</v>
      </c>
      <c r="I8" s="15" t="s">
        <v>269</v>
      </c>
      <c r="J8" s="15" t="s">
        <v>3</v>
      </c>
      <c r="K8" s="15" t="s">
        <v>3</v>
      </c>
    </row>
    <row r="9" spans="1:11" x14ac:dyDescent="0.3">
      <c r="A9" s="15" t="s">
        <v>544</v>
      </c>
      <c r="B9" s="15" t="s">
        <v>266</v>
      </c>
      <c r="C9" s="15">
        <v>22.438507200000004</v>
      </c>
      <c r="D9" s="15">
        <v>2021</v>
      </c>
      <c r="E9" s="15" t="s">
        <v>465</v>
      </c>
      <c r="F9" s="15" t="s">
        <v>276</v>
      </c>
      <c r="G9" s="15" t="s">
        <v>279</v>
      </c>
      <c r="H9" s="15" t="s">
        <v>269</v>
      </c>
      <c r="I9" s="15" t="s">
        <v>269</v>
      </c>
      <c r="J9" s="15" t="s">
        <v>3</v>
      </c>
      <c r="K9" s="15" t="s">
        <v>3</v>
      </c>
    </row>
    <row r="10" spans="1:11" x14ac:dyDescent="0.3">
      <c r="A10" s="15" t="s">
        <v>544</v>
      </c>
      <c r="B10" s="15" t="s">
        <v>267</v>
      </c>
      <c r="C10" s="15">
        <v>0.28839509999999996</v>
      </c>
      <c r="D10" s="15">
        <v>2021</v>
      </c>
      <c r="E10" s="15" t="s">
        <v>465</v>
      </c>
      <c r="F10" s="15" t="s">
        <v>276</v>
      </c>
      <c r="G10" s="15" t="s">
        <v>280</v>
      </c>
      <c r="H10" s="15" t="s">
        <v>269</v>
      </c>
      <c r="I10" s="15" t="s">
        <v>269</v>
      </c>
      <c r="J10" s="15" t="s">
        <v>3</v>
      </c>
      <c r="K10" s="15" t="s">
        <v>3</v>
      </c>
    </row>
    <row r="11" spans="1:11" x14ac:dyDescent="0.3">
      <c r="A11" s="15" t="s">
        <v>544</v>
      </c>
      <c r="B11" s="15" t="s">
        <v>268</v>
      </c>
      <c r="C11" s="15">
        <v>6.2953586656249989</v>
      </c>
      <c r="D11" s="15">
        <v>2021</v>
      </c>
      <c r="E11" s="15" t="s">
        <v>465</v>
      </c>
      <c r="F11" s="15" t="s">
        <v>276</v>
      </c>
      <c r="G11" s="15" t="s">
        <v>283</v>
      </c>
      <c r="H11" s="15" t="s">
        <v>269</v>
      </c>
      <c r="I11" s="15" t="s">
        <v>269</v>
      </c>
      <c r="J11" s="15" t="s">
        <v>3</v>
      </c>
      <c r="K11" s="15" t="s">
        <v>3</v>
      </c>
    </row>
    <row r="12" spans="1:11" x14ac:dyDescent="0.3">
      <c r="A12" s="15" t="s">
        <v>544</v>
      </c>
      <c r="B12" s="15" t="s">
        <v>270</v>
      </c>
      <c r="C12" s="15">
        <v>8.5843749999999996E-2</v>
      </c>
      <c r="D12" s="15">
        <v>2021</v>
      </c>
      <c r="E12" s="15" t="s">
        <v>465</v>
      </c>
      <c r="F12" s="15" t="s">
        <v>276</v>
      </c>
      <c r="G12" s="15" t="s">
        <v>284</v>
      </c>
      <c r="H12" s="15" t="s">
        <v>269</v>
      </c>
      <c r="I12" s="15" t="s">
        <v>269</v>
      </c>
      <c r="J12" s="15" t="s">
        <v>3</v>
      </c>
      <c r="K12" s="15" t="s">
        <v>3</v>
      </c>
    </row>
    <row r="13" spans="1:11" x14ac:dyDescent="0.3">
      <c r="A13" s="15" t="s">
        <v>544</v>
      </c>
      <c r="B13" s="15" t="s">
        <v>271</v>
      </c>
      <c r="C13" s="15">
        <v>4.6871420991249995</v>
      </c>
      <c r="D13" s="15">
        <v>2021</v>
      </c>
      <c r="E13" s="15" t="s">
        <v>465</v>
      </c>
      <c r="F13" s="15" t="s">
        <v>276</v>
      </c>
      <c r="G13" s="15" t="s">
        <v>285</v>
      </c>
      <c r="H13" s="15" t="s">
        <v>269</v>
      </c>
      <c r="I13" s="15" t="s">
        <v>269</v>
      </c>
      <c r="J13" s="15" t="s">
        <v>3</v>
      </c>
      <c r="K13" s="15" t="s">
        <v>3</v>
      </c>
    </row>
    <row r="14" spans="1:11" x14ac:dyDescent="0.3">
      <c r="A14" s="15" t="s">
        <v>544</v>
      </c>
      <c r="B14" s="15" t="s">
        <v>272</v>
      </c>
      <c r="C14" s="15">
        <v>7.6774999999999996E-2</v>
      </c>
      <c r="D14" s="15">
        <v>2021</v>
      </c>
      <c r="E14" s="15" t="s">
        <v>465</v>
      </c>
      <c r="F14" s="15" t="s">
        <v>276</v>
      </c>
      <c r="G14" s="15" t="s">
        <v>286</v>
      </c>
      <c r="H14" s="15" t="s">
        <v>269</v>
      </c>
      <c r="I14" s="15" t="s">
        <v>269</v>
      </c>
      <c r="J14" s="15" t="s">
        <v>3</v>
      </c>
      <c r="K14" s="15" t="s">
        <v>3</v>
      </c>
    </row>
    <row r="15" spans="1:11" x14ac:dyDescent="0.3">
      <c r="A15" s="15" t="s">
        <v>544</v>
      </c>
      <c r="B15" s="15" t="s">
        <v>273</v>
      </c>
      <c r="C15" s="15">
        <v>1.4269764075000002</v>
      </c>
      <c r="D15" s="15">
        <v>2021</v>
      </c>
      <c r="E15" s="15" t="s">
        <v>465</v>
      </c>
      <c r="F15" s="15" t="s">
        <v>276</v>
      </c>
      <c r="G15" s="15" t="s">
        <v>287</v>
      </c>
      <c r="H15" s="15" t="s">
        <v>269</v>
      </c>
      <c r="I15" s="15" t="s">
        <v>269</v>
      </c>
      <c r="J15" s="15" t="s">
        <v>3</v>
      </c>
      <c r="K15" s="15" t="s">
        <v>3</v>
      </c>
    </row>
    <row r="16" spans="1:11" x14ac:dyDescent="0.3">
      <c r="A16" s="15" t="s">
        <v>265</v>
      </c>
      <c r="B16" s="15" t="s">
        <v>55</v>
      </c>
      <c r="C16" s="15">
        <v>9.9999999999999995E-7</v>
      </c>
      <c r="D16" s="15">
        <v>2021</v>
      </c>
      <c r="E16" s="15" t="s">
        <v>465</v>
      </c>
      <c r="F16" s="15" t="s">
        <v>278</v>
      </c>
      <c r="G16" s="15" t="s">
        <v>289</v>
      </c>
      <c r="H16" s="15" t="s">
        <v>269</v>
      </c>
      <c r="I16" s="15" t="s">
        <v>269</v>
      </c>
      <c r="J16" s="15" t="s">
        <v>3</v>
      </c>
      <c r="K16" s="15" t="s">
        <v>3</v>
      </c>
    </row>
    <row r="17" spans="1:11" x14ac:dyDescent="0.3">
      <c r="A17" s="15" t="s">
        <v>266</v>
      </c>
      <c r="B17" s="15" t="s">
        <v>55</v>
      </c>
      <c r="C17" s="15">
        <v>15.873180479778847</v>
      </c>
      <c r="D17" s="15">
        <v>2021</v>
      </c>
      <c r="E17" s="15" t="s">
        <v>465</v>
      </c>
      <c r="F17" s="15" t="s">
        <v>279</v>
      </c>
      <c r="G17" s="15" t="s">
        <v>289</v>
      </c>
      <c r="H17" s="15" t="s">
        <v>269</v>
      </c>
      <c r="I17" s="15" t="s">
        <v>269</v>
      </c>
      <c r="J17" s="15" t="s">
        <v>3</v>
      </c>
      <c r="K17" s="15" t="s">
        <v>3</v>
      </c>
    </row>
    <row r="18" spans="1:11" x14ac:dyDescent="0.3">
      <c r="A18" s="15" t="s">
        <v>265</v>
      </c>
      <c r="B18" s="15" t="s">
        <v>409</v>
      </c>
      <c r="C18" s="15">
        <v>3.5395524517287504</v>
      </c>
      <c r="D18" s="15">
        <v>2021</v>
      </c>
      <c r="E18" s="15" t="s">
        <v>465</v>
      </c>
      <c r="F18" s="15" t="s">
        <v>278</v>
      </c>
      <c r="G18" s="15" t="s">
        <v>319</v>
      </c>
      <c r="H18" s="15" t="s">
        <v>269</v>
      </c>
      <c r="I18" s="15" t="s">
        <v>269</v>
      </c>
      <c r="J18" s="15" t="s">
        <v>3</v>
      </c>
      <c r="K18" s="15" t="s">
        <v>3</v>
      </c>
    </row>
    <row r="19" spans="1:11" x14ac:dyDescent="0.3">
      <c r="A19" s="15" t="s">
        <v>266</v>
      </c>
      <c r="B19" s="15" t="s">
        <v>409</v>
      </c>
      <c r="C19" s="15">
        <v>186.06817552422118</v>
      </c>
      <c r="D19" s="15">
        <v>2021</v>
      </c>
      <c r="E19" s="15" t="s">
        <v>465</v>
      </c>
      <c r="F19" s="15" t="s">
        <v>279</v>
      </c>
      <c r="G19" s="15" t="s">
        <v>319</v>
      </c>
      <c r="H19" s="15" t="s">
        <v>269</v>
      </c>
      <c r="I19" s="15" t="s">
        <v>269</v>
      </c>
      <c r="J19" s="15" t="s">
        <v>3</v>
      </c>
      <c r="K19" s="15" t="s">
        <v>3</v>
      </c>
    </row>
    <row r="20" spans="1:11" x14ac:dyDescent="0.3">
      <c r="A20" s="15" t="s">
        <v>267</v>
      </c>
      <c r="B20" s="15" t="s">
        <v>49</v>
      </c>
      <c r="C20" s="15">
        <v>0.29102432593916128</v>
      </c>
      <c r="D20" s="15">
        <v>2021</v>
      </c>
      <c r="E20" s="15" t="s">
        <v>465</v>
      </c>
      <c r="F20" s="15" t="s">
        <v>280</v>
      </c>
      <c r="G20" s="15" t="s">
        <v>296</v>
      </c>
      <c r="H20" s="15" t="s">
        <v>269</v>
      </c>
      <c r="I20" s="15" t="s">
        <v>269</v>
      </c>
      <c r="J20" s="15" t="s">
        <v>3</v>
      </c>
      <c r="K20" s="15" t="s">
        <v>3</v>
      </c>
    </row>
    <row r="21" spans="1:11" x14ac:dyDescent="0.3">
      <c r="A21" s="15" t="s">
        <v>268</v>
      </c>
      <c r="B21" s="15" t="s">
        <v>49</v>
      </c>
      <c r="C21" s="15">
        <v>6.3527518748022187</v>
      </c>
      <c r="D21" s="15">
        <v>2021</v>
      </c>
      <c r="E21" s="15" t="s">
        <v>465</v>
      </c>
      <c r="F21" s="15" t="s">
        <v>283</v>
      </c>
      <c r="G21" s="15" t="s">
        <v>296</v>
      </c>
      <c r="H21" s="15" t="s">
        <v>269</v>
      </c>
      <c r="I21" s="15" t="s">
        <v>269</v>
      </c>
      <c r="J21" s="15" t="s">
        <v>3</v>
      </c>
      <c r="K21" s="15" t="s">
        <v>3</v>
      </c>
    </row>
    <row r="22" spans="1:11" x14ac:dyDescent="0.3">
      <c r="A22" s="15" t="s">
        <v>267</v>
      </c>
      <c r="B22" s="15" t="s">
        <v>44</v>
      </c>
      <c r="C22" s="15">
        <v>0.4750478468432825</v>
      </c>
      <c r="D22" s="15">
        <v>2021</v>
      </c>
      <c r="E22" s="15" t="s">
        <v>465</v>
      </c>
      <c r="F22" s="15" t="s">
        <v>280</v>
      </c>
      <c r="G22" s="15" t="s">
        <v>297</v>
      </c>
      <c r="H22" s="15" t="s">
        <v>269</v>
      </c>
      <c r="I22" s="15" t="s">
        <v>269</v>
      </c>
      <c r="J22" s="15" t="s">
        <v>3</v>
      </c>
      <c r="K22" s="15" t="s">
        <v>3</v>
      </c>
    </row>
    <row r="23" spans="1:11" x14ac:dyDescent="0.3">
      <c r="A23" s="15" t="s">
        <v>268</v>
      </c>
      <c r="B23" s="15" t="s">
        <v>44</v>
      </c>
      <c r="C23" s="15">
        <v>10.369789844596374</v>
      </c>
      <c r="D23" s="15">
        <v>2021</v>
      </c>
      <c r="E23" s="15" t="s">
        <v>465</v>
      </c>
      <c r="F23" s="15" t="s">
        <v>283</v>
      </c>
      <c r="G23" s="15" t="s">
        <v>297</v>
      </c>
      <c r="H23" s="15" t="s">
        <v>269</v>
      </c>
      <c r="I23" s="15" t="s">
        <v>269</v>
      </c>
      <c r="J23" s="15" t="s">
        <v>3</v>
      </c>
      <c r="K23" s="15" t="s">
        <v>3</v>
      </c>
    </row>
    <row r="24" spans="1:11" x14ac:dyDescent="0.3">
      <c r="A24" s="15" t="s">
        <v>63</v>
      </c>
      <c r="B24" s="15" t="s">
        <v>65</v>
      </c>
      <c r="C24" s="15">
        <v>45.224473940749021</v>
      </c>
      <c r="D24" s="15">
        <v>2021</v>
      </c>
      <c r="E24" s="15" t="s">
        <v>465</v>
      </c>
      <c r="F24" s="15" t="s">
        <v>280</v>
      </c>
      <c r="G24" s="15" t="s">
        <v>285</v>
      </c>
      <c r="H24" s="15" t="s">
        <v>18</v>
      </c>
      <c r="I24" s="15" t="s">
        <v>18</v>
      </c>
      <c r="J24" s="15" t="s">
        <v>336</v>
      </c>
      <c r="K24" s="15" t="s">
        <v>341</v>
      </c>
    </row>
    <row r="25" spans="1:11" x14ac:dyDescent="0.3">
      <c r="A25" s="15" t="s">
        <v>272</v>
      </c>
      <c r="B25" s="15" t="s">
        <v>179</v>
      </c>
      <c r="C25" s="15">
        <v>0.69097500000000001</v>
      </c>
      <c r="D25" s="15">
        <v>2021</v>
      </c>
      <c r="E25" s="15" t="s">
        <v>465</v>
      </c>
      <c r="F25" s="15" t="s">
        <v>286</v>
      </c>
      <c r="G25" s="15" t="s">
        <v>290</v>
      </c>
      <c r="H25" s="15" t="s">
        <v>269</v>
      </c>
      <c r="I25" s="15" t="s">
        <v>269</v>
      </c>
      <c r="J25" s="15" t="s">
        <v>3</v>
      </c>
      <c r="K25" s="15" t="s">
        <v>3</v>
      </c>
    </row>
    <row r="26" spans="1:11" x14ac:dyDescent="0.3">
      <c r="A26" s="15" t="s">
        <v>273</v>
      </c>
      <c r="B26" s="15" t="s">
        <v>179</v>
      </c>
      <c r="C26" s="15">
        <v>12.842787667500003</v>
      </c>
      <c r="D26" s="15">
        <v>2021</v>
      </c>
      <c r="E26" s="15" t="s">
        <v>465</v>
      </c>
      <c r="F26" s="15" t="s">
        <v>287</v>
      </c>
      <c r="G26" s="15" t="s">
        <v>290</v>
      </c>
      <c r="H26" s="15" t="s">
        <v>269</v>
      </c>
      <c r="I26" s="15" t="s">
        <v>269</v>
      </c>
      <c r="J26" s="15" t="s">
        <v>3</v>
      </c>
      <c r="K26" s="15" t="s">
        <v>3</v>
      </c>
    </row>
    <row r="27" spans="1:11" x14ac:dyDescent="0.3">
      <c r="A27" s="15" t="s">
        <v>179</v>
      </c>
      <c r="B27" s="15" t="s">
        <v>409</v>
      </c>
      <c r="C27" s="15">
        <v>0.98796467472750038</v>
      </c>
      <c r="D27" s="15">
        <v>2021</v>
      </c>
      <c r="E27" s="15" t="s">
        <v>465</v>
      </c>
      <c r="F27" s="15" t="s">
        <v>290</v>
      </c>
      <c r="G27" s="15" t="s">
        <v>319</v>
      </c>
      <c r="H27" s="15" t="s">
        <v>269</v>
      </c>
      <c r="I27" s="15" t="s">
        <v>269</v>
      </c>
      <c r="J27" s="15" t="s">
        <v>3</v>
      </c>
      <c r="K27" s="15" t="s">
        <v>3</v>
      </c>
    </row>
    <row r="28" spans="1:11" x14ac:dyDescent="0.3">
      <c r="A28" s="15" t="s">
        <v>179</v>
      </c>
      <c r="B28" s="15" t="s">
        <v>33</v>
      </c>
      <c r="C28" s="15">
        <v>7.903717397820003</v>
      </c>
      <c r="D28" s="15">
        <v>2021</v>
      </c>
      <c r="E28" s="15" t="s">
        <v>465</v>
      </c>
      <c r="F28" s="15" t="s">
        <v>290</v>
      </c>
      <c r="G28" s="15" t="s">
        <v>322</v>
      </c>
      <c r="H28" s="15" t="s">
        <v>269</v>
      </c>
      <c r="I28" s="15" t="s">
        <v>269</v>
      </c>
      <c r="J28" s="15" t="s">
        <v>3</v>
      </c>
      <c r="K28" s="15" t="s">
        <v>3</v>
      </c>
    </row>
    <row r="29" spans="1:11" x14ac:dyDescent="0.3">
      <c r="A29" s="15" t="s">
        <v>179</v>
      </c>
      <c r="B29" s="15" t="s">
        <v>57</v>
      </c>
      <c r="C29" s="15">
        <v>0.98796467472750038</v>
      </c>
      <c r="D29" s="15">
        <v>2021</v>
      </c>
      <c r="E29" s="15" t="s">
        <v>465</v>
      </c>
      <c r="F29" s="15" t="s">
        <v>290</v>
      </c>
      <c r="G29" s="15" t="s">
        <v>325</v>
      </c>
      <c r="H29" s="15" t="s">
        <v>269</v>
      </c>
      <c r="I29" s="15" t="s">
        <v>269</v>
      </c>
      <c r="J29" s="15" t="s">
        <v>3</v>
      </c>
      <c r="K29" s="15" t="s">
        <v>3</v>
      </c>
    </row>
    <row r="30" spans="1:11" x14ac:dyDescent="0.3">
      <c r="A30" s="15" t="s">
        <v>179</v>
      </c>
      <c r="B30" s="15" t="s">
        <v>29</v>
      </c>
      <c r="C30" s="15">
        <v>1.4054292000865387</v>
      </c>
      <c r="D30" s="15">
        <v>2021</v>
      </c>
      <c r="E30" s="15" t="s">
        <v>465</v>
      </c>
      <c r="F30" s="15" t="s">
        <v>290</v>
      </c>
      <c r="G30" s="15" t="s">
        <v>326</v>
      </c>
      <c r="H30" s="15" t="s">
        <v>269</v>
      </c>
      <c r="I30" s="15" t="s">
        <v>269</v>
      </c>
      <c r="J30" s="15" t="s">
        <v>3</v>
      </c>
      <c r="K30" s="15" t="s">
        <v>3</v>
      </c>
    </row>
    <row r="31" spans="1:11" x14ac:dyDescent="0.3">
      <c r="A31" s="15" t="s">
        <v>179</v>
      </c>
      <c r="B31" s="15" t="s">
        <v>73</v>
      </c>
      <c r="C31" s="15">
        <v>0.70271460004326936</v>
      </c>
      <c r="D31" s="15">
        <v>2021</v>
      </c>
      <c r="E31" s="15" t="s">
        <v>465</v>
      </c>
      <c r="F31" s="15" t="s">
        <v>290</v>
      </c>
      <c r="G31" s="15" t="s">
        <v>327</v>
      </c>
      <c r="H31" s="15" t="s">
        <v>269</v>
      </c>
      <c r="I31" s="15" t="s">
        <v>269</v>
      </c>
      <c r="J31" s="15" t="s">
        <v>3</v>
      </c>
      <c r="K31" s="15" t="s">
        <v>3</v>
      </c>
    </row>
    <row r="32" spans="1:11" x14ac:dyDescent="0.3">
      <c r="A32" s="15" t="s">
        <v>179</v>
      </c>
      <c r="B32" s="15" t="s">
        <v>30</v>
      </c>
      <c r="C32" s="15">
        <v>0.98380044006057721</v>
      </c>
      <c r="D32" s="15">
        <v>2021</v>
      </c>
      <c r="E32" s="15" t="s">
        <v>465</v>
      </c>
      <c r="F32" s="15" t="s">
        <v>290</v>
      </c>
      <c r="G32" s="15" t="s">
        <v>328</v>
      </c>
      <c r="H32" s="15" t="s">
        <v>269</v>
      </c>
      <c r="I32" s="15" t="s">
        <v>269</v>
      </c>
      <c r="J32" s="15" t="s">
        <v>3</v>
      </c>
      <c r="K32" s="15" t="s">
        <v>3</v>
      </c>
    </row>
    <row r="33" spans="1:11" x14ac:dyDescent="0.3">
      <c r="A33" s="15" t="s">
        <v>179</v>
      </c>
      <c r="B33" s="15" t="s">
        <v>74</v>
      </c>
      <c r="C33" s="15">
        <v>0.56217168003461437</v>
      </c>
      <c r="D33" s="15">
        <v>2021</v>
      </c>
      <c r="E33" s="15" t="s">
        <v>465</v>
      </c>
      <c r="F33" s="15" t="s">
        <v>290</v>
      </c>
      <c r="G33" s="15" t="s">
        <v>331</v>
      </c>
      <c r="H33" s="15" t="s">
        <v>269</v>
      </c>
      <c r="I33" s="15" t="s">
        <v>269</v>
      </c>
      <c r="J33" s="15" t="s">
        <v>3</v>
      </c>
      <c r="K33" s="15" t="s">
        <v>3</v>
      </c>
    </row>
    <row r="34" spans="1:11" x14ac:dyDescent="0.3">
      <c r="A34" s="15" t="s">
        <v>274</v>
      </c>
      <c r="B34" s="15" t="s">
        <v>36</v>
      </c>
      <c r="C34" s="15">
        <v>0.56878875789750005</v>
      </c>
      <c r="D34" s="15">
        <v>2021</v>
      </c>
      <c r="E34" s="15" t="s">
        <v>465</v>
      </c>
      <c r="F34" s="15" t="s">
        <v>294</v>
      </c>
      <c r="G34" s="15" t="s">
        <v>313</v>
      </c>
      <c r="H34" s="15" t="s">
        <v>269</v>
      </c>
      <c r="I34" s="15" t="s">
        <v>269</v>
      </c>
      <c r="J34" s="15" t="s">
        <v>3</v>
      </c>
      <c r="K34" s="15" t="s">
        <v>3</v>
      </c>
    </row>
    <row r="35" spans="1:11" x14ac:dyDescent="0.3">
      <c r="A35" s="15" t="s">
        <v>274</v>
      </c>
      <c r="B35" s="15" t="s">
        <v>37</v>
      </c>
      <c r="C35" s="15">
        <v>0.50265053023500006</v>
      </c>
      <c r="D35" s="15">
        <v>2021</v>
      </c>
      <c r="E35" s="15" t="s">
        <v>465</v>
      </c>
      <c r="F35" s="15" t="s">
        <v>294</v>
      </c>
      <c r="G35" s="15" t="s">
        <v>314</v>
      </c>
      <c r="H35" s="15" t="s">
        <v>269</v>
      </c>
      <c r="I35" s="15" t="s">
        <v>269</v>
      </c>
      <c r="J35" s="15" t="s">
        <v>3</v>
      </c>
      <c r="K35" s="15" t="s">
        <v>3</v>
      </c>
    </row>
    <row r="36" spans="1:11" x14ac:dyDescent="0.3">
      <c r="A36" s="15" t="s">
        <v>274</v>
      </c>
      <c r="B36" s="15" t="s">
        <v>39</v>
      </c>
      <c r="C36" s="15">
        <v>3.9682936597500003E-2</v>
      </c>
      <c r="D36" s="15">
        <v>2021</v>
      </c>
      <c r="E36" s="15" t="s">
        <v>465</v>
      </c>
      <c r="F36" s="15" t="s">
        <v>294</v>
      </c>
      <c r="G36" s="15" t="s">
        <v>315</v>
      </c>
      <c r="H36" s="15" t="s">
        <v>269</v>
      </c>
      <c r="I36" s="15" t="s">
        <v>269</v>
      </c>
      <c r="J36" s="15" t="s">
        <v>3</v>
      </c>
      <c r="K36" s="15" t="s">
        <v>3</v>
      </c>
    </row>
    <row r="37" spans="1:11" x14ac:dyDescent="0.3">
      <c r="A37" s="15" t="s">
        <v>274</v>
      </c>
      <c r="B37" s="15" t="s">
        <v>40</v>
      </c>
      <c r="C37" s="15">
        <v>1.2433986800550001</v>
      </c>
      <c r="D37" s="15">
        <v>2021</v>
      </c>
      <c r="E37" s="15" t="s">
        <v>465</v>
      </c>
      <c r="F37" s="15" t="s">
        <v>294</v>
      </c>
      <c r="G37" s="15" t="s">
        <v>316</v>
      </c>
      <c r="H37" s="15" t="s">
        <v>269</v>
      </c>
      <c r="I37" s="15" t="s">
        <v>269</v>
      </c>
      <c r="J37" s="15" t="s">
        <v>3</v>
      </c>
      <c r="K37" s="15" t="s">
        <v>3</v>
      </c>
    </row>
    <row r="38" spans="1:11" x14ac:dyDescent="0.3">
      <c r="A38" s="15" t="s">
        <v>274</v>
      </c>
      <c r="B38" s="15" t="s">
        <v>41</v>
      </c>
      <c r="C38" s="15">
        <v>7.9365873195000006E-2</v>
      </c>
      <c r="D38" s="15">
        <v>2021</v>
      </c>
      <c r="E38" s="15" t="s">
        <v>465</v>
      </c>
      <c r="F38" s="15" t="s">
        <v>294</v>
      </c>
      <c r="G38" s="15" t="s">
        <v>317</v>
      </c>
      <c r="H38" s="15" t="s">
        <v>269</v>
      </c>
      <c r="I38" s="15" t="s">
        <v>269</v>
      </c>
      <c r="J38" s="15" t="s">
        <v>3</v>
      </c>
      <c r="K38" s="15" t="s">
        <v>3</v>
      </c>
    </row>
    <row r="39" spans="1:11" x14ac:dyDescent="0.3">
      <c r="A39" s="15" t="s">
        <v>274</v>
      </c>
      <c r="B39" s="15" t="s">
        <v>38</v>
      </c>
      <c r="C39" s="15">
        <v>0.21164232852000001</v>
      </c>
      <c r="D39" s="15">
        <v>2021</v>
      </c>
      <c r="E39" s="15" t="s">
        <v>465</v>
      </c>
      <c r="F39" s="15" t="s">
        <v>294</v>
      </c>
      <c r="G39" s="15" t="s">
        <v>318</v>
      </c>
      <c r="H39" s="15" t="s">
        <v>269</v>
      </c>
      <c r="I39" s="15" t="s">
        <v>269</v>
      </c>
      <c r="J39" s="15" t="s">
        <v>3</v>
      </c>
      <c r="K39" s="15" t="s">
        <v>3</v>
      </c>
    </row>
    <row r="40" spans="1:11" x14ac:dyDescent="0.3">
      <c r="A40" s="15" t="s">
        <v>275</v>
      </c>
      <c r="B40" s="15" t="s">
        <v>36</v>
      </c>
      <c r="C40" s="15">
        <v>2.4876449734281243</v>
      </c>
      <c r="D40" s="15">
        <v>2021</v>
      </c>
      <c r="E40" s="15" t="s">
        <v>465</v>
      </c>
      <c r="F40" s="15" t="s">
        <v>295</v>
      </c>
      <c r="G40" s="15" t="s">
        <v>313</v>
      </c>
      <c r="H40" s="15" t="s">
        <v>269</v>
      </c>
      <c r="I40" s="15" t="s">
        <v>269</v>
      </c>
      <c r="J40" s="15" t="s">
        <v>3</v>
      </c>
      <c r="K40" s="15" t="s">
        <v>3</v>
      </c>
    </row>
    <row r="41" spans="1:11" x14ac:dyDescent="0.3">
      <c r="A41" s="15" t="s">
        <v>275</v>
      </c>
      <c r="B41" s="15" t="s">
        <v>37</v>
      </c>
      <c r="C41" s="15">
        <v>2.1983839300062495</v>
      </c>
      <c r="D41" s="15">
        <v>2021</v>
      </c>
      <c r="E41" s="15" t="s">
        <v>465</v>
      </c>
      <c r="F41" s="15" t="s">
        <v>295</v>
      </c>
      <c r="G41" s="15" t="s">
        <v>314</v>
      </c>
      <c r="H41" s="15" t="s">
        <v>269</v>
      </c>
      <c r="I41" s="15" t="s">
        <v>269</v>
      </c>
      <c r="J41" s="15" t="s">
        <v>3</v>
      </c>
      <c r="K41" s="15" t="s">
        <v>3</v>
      </c>
    </row>
    <row r="42" spans="1:11" x14ac:dyDescent="0.3">
      <c r="A42" s="15" t="s">
        <v>275</v>
      </c>
      <c r="B42" s="15" t="s">
        <v>39</v>
      </c>
      <c r="C42" s="15">
        <v>0.17355662605312494</v>
      </c>
      <c r="D42" s="15">
        <v>2021</v>
      </c>
      <c r="E42" s="15" t="s">
        <v>465</v>
      </c>
      <c r="F42" s="15" t="s">
        <v>295</v>
      </c>
      <c r="G42" s="15" t="s">
        <v>315</v>
      </c>
      <c r="H42" s="15" t="s">
        <v>269</v>
      </c>
      <c r="I42" s="15" t="s">
        <v>269</v>
      </c>
      <c r="J42" s="15" t="s">
        <v>3</v>
      </c>
      <c r="K42" s="15" t="s">
        <v>3</v>
      </c>
    </row>
    <row r="43" spans="1:11" x14ac:dyDescent="0.3">
      <c r="A43" s="15" t="s">
        <v>275</v>
      </c>
      <c r="B43" s="15" t="s">
        <v>40</v>
      </c>
      <c r="C43" s="15">
        <v>5.4381076163312487</v>
      </c>
      <c r="D43" s="15">
        <v>2021</v>
      </c>
      <c r="E43" s="15" t="s">
        <v>465</v>
      </c>
      <c r="F43" s="15" t="s">
        <v>295</v>
      </c>
      <c r="G43" s="15" t="s">
        <v>316</v>
      </c>
      <c r="H43" s="15" t="s">
        <v>269</v>
      </c>
      <c r="I43" s="15" t="s">
        <v>269</v>
      </c>
      <c r="J43" s="15" t="s">
        <v>3</v>
      </c>
      <c r="K43" s="15" t="s">
        <v>3</v>
      </c>
    </row>
    <row r="44" spans="1:11" x14ac:dyDescent="0.3">
      <c r="A44" s="15" t="s">
        <v>275</v>
      </c>
      <c r="B44" s="15" t="s">
        <v>41</v>
      </c>
      <c r="C44" s="15">
        <v>0.34711325210624988</v>
      </c>
      <c r="D44" s="15">
        <v>2021</v>
      </c>
      <c r="E44" s="15" t="s">
        <v>465</v>
      </c>
      <c r="F44" s="15" t="s">
        <v>295</v>
      </c>
      <c r="G44" s="15" t="s">
        <v>317</v>
      </c>
      <c r="H44" s="15" t="s">
        <v>269</v>
      </c>
      <c r="I44" s="15" t="s">
        <v>269</v>
      </c>
      <c r="J44" s="15" t="s">
        <v>3</v>
      </c>
      <c r="K44" s="15" t="s">
        <v>3</v>
      </c>
    </row>
    <row r="45" spans="1:11" x14ac:dyDescent="0.3">
      <c r="A45" s="15" t="s">
        <v>275</v>
      </c>
      <c r="B45" s="15" t="s">
        <v>38</v>
      </c>
      <c r="C45" s="15">
        <v>0.92563533894999983</v>
      </c>
      <c r="D45" s="15">
        <v>2021</v>
      </c>
      <c r="E45" s="15" t="s">
        <v>465</v>
      </c>
      <c r="F45" s="15" t="s">
        <v>295</v>
      </c>
      <c r="G45" s="15" t="s">
        <v>318</v>
      </c>
      <c r="H45" s="15" t="s">
        <v>269</v>
      </c>
      <c r="I45" s="15" t="s">
        <v>269</v>
      </c>
      <c r="J45" s="15" t="s">
        <v>3</v>
      </c>
      <c r="K45" s="15" t="s">
        <v>3</v>
      </c>
    </row>
    <row r="46" spans="1:11" x14ac:dyDescent="0.3">
      <c r="A46" s="15" t="s">
        <v>274</v>
      </c>
      <c r="B46" s="15" t="s">
        <v>29</v>
      </c>
      <c r="C46" s="15">
        <v>0.81547996456500016</v>
      </c>
      <c r="D46" s="15">
        <v>2021</v>
      </c>
      <c r="E46" s="15" t="s">
        <v>465</v>
      </c>
      <c r="F46" s="15" t="s">
        <v>294</v>
      </c>
      <c r="G46" s="15" t="s">
        <v>326</v>
      </c>
      <c r="H46" s="15" t="s">
        <v>269</v>
      </c>
      <c r="I46" s="15" t="s">
        <v>269</v>
      </c>
      <c r="J46" s="15" t="s">
        <v>3</v>
      </c>
      <c r="K46" s="15" t="s">
        <v>3</v>
      </c>
    </row>
    <row r="47" spans="1:11" x14ac:dyDescent="0.3">
      <c r="A47" s="15" t="s">
        <v>274</v>
      </c>
      <c r="B47" s="15" t="s">
        <v>73</v>
      </c>
      <c r="C47" s="15">
        <v>0.48324738640888876</v>
      </c>
      <c r="D47" s="15">
        <v>2021</v>
      </c>
      <c r="E47" s="15" t="s">
        <v>465</v>
      </c>
      <c r="F47" s="15" t="s">
        <v>294</v>
      </c>
      <c r="G47" s="15" t="s">
        <v>327</v>
      </c>
      <c r="H47" s="15" t="s">
        <v>269</v>
      </c>
      <c r="I47" s="15" t="s">
        <v>269</v>
      </c>
      <c r="J47" s="15" t="s">
        <v>3</v>
      </c>
      <c r="K47" s="15" t="s">
        <v>3</v>
      </c>
    </row>
    <row r="48" spans="1:11" x14ac:dyDescent="0.3">
      <c r="A48" s="15" t="s">
        <v>274</v>
      </c>
      <c r="B48" s="15" t="s">
        <v>30</v>
      </c>
      <c r="C48" s="15">
        <v>0.21142073155388891</v>
      </c>
      <c r="D48" s="15">
        <v>2021</v>
      </c>
      <c r="E48" s="15" t="s">
        <v>465</v>
      </c>
      <c r="F48" s="15" t="s">
        <v>294</v>
      </c>
      <c r="G48" s="15" t="s">
        <v>328</v>
      </c>
      <c r="H48" s="15" t="s">
        <v>269</v>
      </c>
      <c r="I48" s="15" t="s">
        <v>269</v>
      </c>
      <c r="J48" s="15" t="s">
        <v>3</v>
      </c>
      <c r="K48" s="15" t="s">
        <v>3</v>
      </c>
    </row>
    <row r="49" spans="1:11" x14ac:dyDescent="0.3">
      <c r="A49" s="15" t="s">
        <v>274</v>
      </c>
      <c r="B49" s="15" t="s">
        <v>74</v>
      </c>
      <c r="C49" s="15">
        <v>0.12081184660222223</v>
      </c>
      <c r="D49" s="15">
        <v>2021</v>
      </c>
      <c r="E49" s="15" t="s">
        <v>465</v>
      </c>
      <c r="F49" s="15" t="s">
        <v>294</v>
      </c>
      <c r="G49" s="15" t="s">
        <v>331</v>
      </c>
      <c r="H49" s="15" t="s">
        <v>269</v>
      </c>
      <c r="I49" s="15" t="s">
        <v>269</v>
      </c>
      <c r="J49" s="15" t="s">
        <v>3</v>
      </c>
      <c r="K49" s="15" t="s">
        <v>3</v>
      </c>
    </row>
    <row r="50" spans="1:11" x14ac:dyDescent="0.3">
      <c r="A50" s="15" t="s">
        <v>275</v>
      </c>
      <c r="B50" s="15" t="s">
        <v>29</v>
      </c>
      <c r="C50" s="15">
        <v>5.7631330622226375</v>
      </c>
      <c r="D50" s="15">
        <v>2021</v>
      </c>
      <c r="E50" s="15" t="s">
        <v>465</v>
      </c>
      <c r="F50" s="15" t="s">
        <v>295</v>
      </c>
      <c r="G50" s="15" t="s">
        <v>326</v>
      </c>
      <c r="H50" s="15" t="s">
        <v>269</v>
      </c>
      <c r="I50" s="15" t="s">
        <v>269</v>
      </c>
      <c r="J50" s="15" t="s">
        <v>3</v>
      </c>
      <c r="K50" s="15" t="s">
        <v>3</v>
      </c>
    </row>
    <row r="51" spans="1:11" x14ac:dyDescent="0.3">
      <c r="A51" s="15" t="s">
        <v>275</v>
      </c>
      <c r="B51" s="15" t="s">
        <v>73</v>
      </c>
      <c r="C51" s="15">
        <v>2.6414359868520427</v>
      </c>
      <c r="D51" s="15">
        <v>2021</v>
      </c>
      <c r="E51" s="15" t="s">
        <v>465</v>
      </c>
      <c r="F51" s="15" t="s">
        <v>295</v>
      </c>
      <c r="G51" s="15" t="s">
        <v>327</v>
      </c>
      <c r="H51" s="15" t="s">
        <v>269</v>
      </c>
      <c r="I51" s="15" t="s">
        <v>269</v>
      </c>
      <c r="J51" s="15" t="s">
        <v>3</v>
      </c>
      <c r="K51" s="15" t="s">
        <v>3</v>
      </c>
    </row>
    <row r="52" spans="1:11" x14ac:dyDescent="0.3">
      <c r="A52" s="15" t="s">
        <v>275</v>
      </c>
      <c r="B52" s="15" t="s">
        <v>30</v>
      </c>
      <c r="C52" s="15">
        <v>1.6809138098149363</v>
      </c>
      <c r="D52" s="15">
        <v>2021</v>
      </c>
      <c r="E52" s="15" t="s">
        <v>465</v>
      </c>
      <c r="F52" s="15" t="s">
        <v>295</v>
      </c>
      <c r="G52" s="15" t="s">
        <v>328</v>
      </c>
      <c r="H52" s="15" t="s">
        <v>269</v>
      </c>
      <c r="I52" s="15" t="s">
        <v>269</v>
      </c>
      <c r="J52" s="15" t="s">
        <v>3</v>
      </c>
      <c r="K52" s="15" t="s">
        <v>3</v>
      </c>
    </row>
    <row r="53" spans="1:11" x14ac:dyDescent="0.3">
      <c r="A53" s="15" t="s">
        <v>275</v>
      </c>
      <c r="B53" s="15" t="s">
        <v>74</v>
      </c>
      <c r="C53" s="15">
        <v>0.96052217703710641</v>
      </c>
      <c r="D53" s="15">
        <v>2021</v>
      </c>
      <c r="E53" s="15" t="s">
        <v>465</v>
      </c>
      <c r="F53" s="15" t="s">
        <v>295</v>
      </c>
      <c r="G53" s="15" t="s">
        <v>331</v>
      </c>
      <c r="H53" s="15" t="s">
        <v>269</v>
      </c>
      <c r="I53" s="15" t="s">
        <v>269</v>
      </c>
      <c r="J53" s="15" t="s">
        <v>3</v>
      </c>
      <c r="K53" s="15" t="s">
        <v>3</v>
      </c>
    </row>
    <row r="54" spans="1:11" x14ac:dyDescent="0.3">
      <c r="A54" s="15" t="s">
        <v>49</v>
      </c>
      <c r="B54" s="15" t="s">
        <v>44</v>
      </c>
      <c r="C54" s="15">
        <v>1.0000000000000001E-5</v>
      </c>
      <c r="D54" s="15">
        <v>2021</v>
      </c>
      <c r="E54" s="15" t="s">
        <v>465</v>
      </c>
      <c r="F54" s="15" t="s">
        <v>296</v>
      </c>
      <c r="G54" s="15" t="s">
        <v>297</v>
      </c>
      <c r="H54" s="15" t="s">
        <v>269</v>
      </c>
      <c r="I54" s="15" t="s">
        <v>269</v>
      </c>
      <c r="J54" s="15" t="s">
        <v>3</v>
      </c>
      <c r="K54" s="15" t="s">
        <v>3</v>
      </c>
    </row>
    <row r="55" spans="1:11" x14ac:dyDescent="0.3">
      <c r="A55" s="15" t="s">
        <v>49</v>
      </c>
      <c r="B55" s="15" t="s">
        <v>37</v>
      </c>
      <c r="C55" s="15">
        <v>0.43529851979999989</v>
      </c>
      <c r="D55" s="15">
        <v>2021</v>
      </c>
      <c r="E55" s="15" t="s">
        <v>465</v>
      </c>
      <c r="F55" s="15" t="s">
        <v>296</v>
      </c>
      <c r="G55" s="15" t="s">
        <v>314</v>
      </c>
      <c r="H55" s="15" t="s">
        <v>269</v>
      </c>
      <c r="I55" s="15" t="s">
        <v>269</v>
      </c>
      <c r="J55" s="15" t="s">
        <v>3</v>
      </c>
      <c r="K55" s="15" t="s">
        <v>3</v>
      </c>
    </row>
    <row r="56" spans="1:11" x14ac:dyDescent="0.3">
      <c r="A56" s="15" t="s">
        <v>49</v>
      </c>
      <c r="B56" s="15" t="s">
        <v>39</v>
      </c>
      <c r="C56" s="15">
        <v>0.15960945725999998</v>
      </c>
      <c r="D56" s="15">
        <v>2021</v>
      </c>
      <c r="E56" s="15" t="s">
        <v>465</v>
      </c>
      <c r="F56" s="15" t="s">
        <v>296</v>
      </c>
      <c r="G56" s="15" t="s">
        <v>315</v>
      </c>
      <c r="H56" s="15" t="s">
        <v>269</v>
      </c>
      <c r="I56" s="15" t="s">
        <v>269</v>
      </c>
      <c r="J56" s="15" t="s">
        <v>3</v>
      </c>
      <c r="K56" s="15" t="s">
        <v>3</v>
      </c>
    </row>
    <row r="57" spans="1:11" x14ac:dyDescent="0.3">
      <c r="A57" s="15" t="s">
        <v>49</v>
      </c>
      <c r="B57" s="15" t="s">
        <v>40</v>
      </c>
      <c r="C57" s="15">
        <v>1.1462861021399999</v>
      </c>
      <c r="D57" s="15">
        <v>2021</v>
      </c>
      <c r="E57" s="15" t="s">
        <v>465</v>
      </c>
      <c r="F57" s="15" t="s">
        <v>296</v>
      </c>
      <c r="G57" s="15" t="s">
        <v>316</v>
      </c>
      <c r="H57" s="15" t="s">
        <v>269</v>
      </c>
      <c r="I57" s="15" t="s">
        <v>269</v>
      </c>
      <c r="J57" s="15" t="s">
        <v>3</v>
      </c>
      <c r="K57" s="15" t="s">
        <v>3</v>
      </c>
    </row>
    <row r="58" spans="1:11" x14ac:dyDescent="0.3">
      <c r="A58" s="15" t="s">
        <v>49</v>
      </c>
      <c r="B58" s="15" t="s">
        <v>41</v>
      </c>
      <c r="C58" s="15">
        <v>0.58039802639999993</v>
      </c>
      <c r="D58" s="15">
        <v>2021</v>
      </c>
      <c r="E58" s="15" t="s">
        <v>465</v>
      </c>
      <c r="F58" s="15" t="s">
        <v>296</v>
      </c>
      <c r="G58" s="15" t="s">
        <v>317</v>
      </c>
      <c r="H58" s="15" t="s">
        <v>269</v>
      </c>
      <c r="I58" s="15" t="s">
        <v>269</v>
      </c>
      <c r="J58" s="15" t="s">
        <v>3</v>
      </c>
      <c r="K58" s="15" t="s">
        <v>3</v>
      </c>
    </row>
    <row r="59" spans="1:11" x14ac:dyDescent="0.3">
      <c r="A59" s="15" t="s">
        <v>49</v>
      </c>
      <c r="B59" s="15" t="s">
        <v>38</v>
      </c>
      <c r="C59" s="15">
        <v>0.58039802639999993</v>
      </c>
      <c r="D59" s="15">
        <v>2021</v>
      </c>
      <c r="E59" s="15" t="s">
        <v>465</v>
      </c>
      <c r="F59" s="15" t="s">
        <v>296</v>
      </c>
      <c r="G59" s="15" t="s">
        <v>318</v>
      </c>
      <c r="H59" s="15" t="s">
        <v>269</v>
      </c>
      <c r="I59" s="15" t="s">
        <v>269</v>
      </c>
      <c r="J59" s="15" t="s">
        <v>3</v>
      </c>
      <c r="K59" s="15" t="s">
        <v>3</v>
      </c>
    </row>
    <row r="60" spans="1:11" x14ac:dyDescent="0.3">
      <c r="A60" s="15" t="s">
        <v>44</v>
      </c>
      <c r="B60" s="15" t="s">
        <v>37</v>
      </c>
      <c r="C60" s="15">
        <v>0.42663087648000003</v>
      </c>
      <c r="D60" s="15">
        <v>2021</v>
      </c>
      <c r="E60" s="15" t="s">
        <v>465</v>
      </c>
      <c r="F60" s="15" t="s">
        <v>297</v>
      </c>
      <c r="G60" s="15" t="s">
        <v>314</v>
      </c>
      <c r="H60" s="15" t="s">
        <v>269</v>
      </c>
      <c r="I60" s="15" t="s">
        <v>269</v>
      </c>
      <c r="J60" s="15" t="s">
        <v>3</v>
      </c>
      <c r="K60" s="15" t="s">
        <v>3</v>
      </c>
    </row>
    <row r="61" spans="1:11" x14ac:dyDescent="0.3">
      <c r="A61" s="15" t="s">
        <v>44</v>
      </c>
      <c r="B61" s="15" t="s">
        <v>39</v>
      </c>
      <c r="C61" s="15">
        <v>1.0665771912000001E-2</v>
      </c>
      <c r="D61" s="15">
        <v>2021</v>
      </c>
      <c r="E61" s="15" t="s">
        <v>465</v>
      </c>
      <c r="F61" s="15" t="s">
        <v>297</v>
      </c>
      <c r="G61" s="15" t="s">
        <v>315</v>
      </c>
      <c r="H61" s="15" t="s">
        <v>269</v>
      </c>
      <c r="I61" s="15" t="s">
        <v>269</v>
      </c>
      <c r="J61" s="15" t="s">
        <v>3</v>
      </c>
      <c r="K61" s="15" t="s">
        <v>3</v>
      </c>
    </row>
    <row r="62" spans="1:11" x14ac:dyDescent="0.3">
      <c r="A62" s="15" t="s">
        <v>44</v>
      </c>
      <c r="B62" s="15" t="s">
        <v>40</v>
      </c>
      <c r="C62" s="15">
        <v>2.1331543824000003</v>
      </c>
      <c r="D62" s="15">
        <v>2021</v>
      </c>
      <c r="E62" s="15" t="s">
        <v>465</v>
      </c>
      <c r="F62" s="15" t="s">
        <v>297</v>
      </c>
      <c r="G62" s="15" t="s">
        <v>316</v>
      </c>
      <c r="H62" s="15" t="s">
        <v>269</v>
      </c>
      <c r="I62" s="15" t="s">
        <v>269</v>
      </c>
      <c r="J62" s="15" t="s">
        <v>3</v>
      </c>
      <c r="K62" s="15" t="s">
        <v>3</v>
      </c>
    </row>
    <row r="63" spans="1:11" x14ac:dyDescent="0.3">
      <c r="A63" s="15" t="s">
        <v>44</v>
      </c>
      <c r="B63" s="15" t="s">
        <v>41</v>
      </c>
      <c r="C63" s="15">
        <v>1.4292134362080002</v>
      </c>
      <c r="D63" s="15">
        <v>2021</v>
      </c>
      <c r="E63" s="15" t="s">
        <v>465</v>
      </c>
      <c r="F63" s="15" t="s">
        <v>297</v>
      </c>
      <c r="G63" s="15" t="s">
        <v>317</v>
      </c>
      <c r="H63" s="15" t="s">
        <v>269</v>
      </c>
      <c r="I63" s="15" t="s">
        <v>269</v>
      </c>
      <c r="J63" s="15" t="s">
        <v>3</v>
      </c>
      <c r="K63" s="15" t="s">
        <v>3</v>
      </c>
    </row>
    <row r="64" spans="1:11" x14ac:dyDescent="0.3">
      <c r="A64" s="15" t="s">
        <v>44</v>
      </c>
      <c r="B64" s="15" t="s">
        <v>38</v>
      </c>
      <c r="C64" s="15">
        <v>1.333221489</v>
      </c>
      <c r="D64" s="15">
        <v>2021</v>
      </c>
      <c r="E64" s="15" t="s">
        <v>465</v>
      </c>
      <c r="F64" s="15" t="s">
        <v>297</v>
      </c>
      <c r="G64" s="15" t="s">
        <v>318</v>
      </c>
      <c r="H64" s="15" t="s">
        <v>269</v>
      </c>
      <c r="I64" s="15" t="s">
        <v>269</v>
      </c>
      <c r="J64" s="15" t="s">
        <v>3</v>
      </c>
      <c r="K64" s="15" t="s">
        <v>3</v>
      </c>
    </row>
    <row r="65" spans="1:11" x14ac:dyDescent="0.3">
      <c r="A65" s="15" t="s">
        <v>45</v>
      </c>
      <c r="B65" s="15" t="s">
        <v>37</v>
      </c>
      <c r="C65" s="15">
        <v>5.1624477345417433E-2</v>
      </c>
      <c r="D65" s="15">
        <v>2021</v>
      </c>
      <c r="E65" s="15" t="s">
        <v>465</v>
      </c>
      <c r="F65" s="15" t="s">
        <v>298</v>
      </c>
      <c r="G65" s="15" t="s">
        <v>314</v>
      </c>
      <c r="H65" s="15" t="s">
        <v>269</v>
      </c>
      <c r="I65" s="15" t="s">
        <v>269</v>
      </c>
      <c r="J65" s="15" t="s">
        <v>3</v>
      </c>
      <c r="K65" s="15" t="s">
        <v>3</v>
      </c>
    </row>
    <row r="66" spans="1:11" x14ac:dyDescent="0.3">
      <c r="A66" s="15" t="s">
        <v>45</v>
      </c>
      <c r="B66" s="15" t="s">
        <v>40</v>
      </c>
      <c r="C66" s="15">
        <v>0.69693044416313543</v>
      </c>
      <c r="D66" s="15">
        <v>2021</v>
      </c>
      <c r="E66" s="15" t="s">
        <v>465</v>
      </c>
      <c r="F66" s="15" t="s">
        <v>298</v>
      </c>
      <c r="G66" s="15" t="s">
        <v>316</v>
      </c>
      <c r="H66" s="15" t="s">
        <v>269</v>
      </c>
      <c r="I66" s="15" t="s">
        <v>269</v>
      </c>
      <c r="J66" s="15" t="s">
        <v>3</v>
      </c>
      <c r="K66" s="15" t="s">
        <v>3</v>
      </c>
    </row>
    <row r="67" spans="1:11" x14ac:dyDescent="0.3">
      <c r="A67" s="15" t="s">
        <v>45</v>
      </c>
      <c r="B67" s="15" t="s">
        <v>41</v>
      </c>
      <c r="C67" s="15">
        <v>1.7036077523987754</v>
      </c>
      <c r="D67" s="15">
        <v>2021</v>
      </c>
      <c r="E67" s="15" t="s">
        <v>465</v>
      </c>
      <c r="F67" s="15" t="s">
        <v>298</v>
      </c>
      <c r="G67" s="15" t="s">
        <v>317</v>
      </c>
      <c r="H67" s="15" t="s">
        <v>269</v>
      </c>
      <c r="I67" s="15" t="s">
        <v>269</v>
      </c>
      <c r="J67" s="15" t="s">
        <v>3</v>
      </c>
      <c r="K67" s="15" t="s">
        <v>3</v>
      </c>
    </row>
    <row r="68" spans="1:11" x14ac:dyDescent="0.3">
      <c r="A68" s="15" t="s">
        <v>45</v>
      </c>
      <c r="B68" s="15" t="s">
        <v>38</v>
      </c>
      <c r="C68" s="15">
        <v>0.12906119336354357</v>
      </c>
      <c r="D68" s="15">
        <v>2021</v>
      </c>
      <c r="E68" s="15" t="s">
        <v>465</v>
      </c>
      <c r="F68" s="15" t="s">
        <v>298</v>
      </c>
      <c r="G68" s="15" t="s">
        <v>318</v>
      </c>
      <c r="H68" s="15" t="s">
        <v>269</v>
      </c>
      <c r="I68" s="15" t="s">
        <v>269</v>
      </c>
      <c r="J68" s="15" t="s">
        <v>3</v>
      </c>
      <c r="K68" s="15" t="s">
        <v>3</v>
      </c>
    </row>
    <row r="69" spans="1:11" x14ac:dyDescent="0.3">
      <c r="A69" s="15" t="s">
        <v>46</v>
      </c>
      <c r="B69" s="15" t="s">
        <v>37</v>
      </c>
      <c r="C69" s="15">
        <v>2.9736392687742864E-3</v>
      </c>
      <c r="D69" s="15">
        <v>2021</v>
      </c>
      <c r="E69" s="15" t="s">
        <v>465</v>
      </c>
      <c r="F69" s="15" t="s">
        <v>299</v>
      </c>
      <c r="G69" s="15" t="s">
        <v>314</v>
      </c>
      <c r="H69" s="15" t="s">
        <v>269</v>
      </c>
      <c r="I69" s="15" t="s">
        <v>269</v>
      </c>
      <c r="J69" s="15" t="s">
        <v>3</v>
      </c>
      <c r="K69" s="15" t="s">
        <v>3</v>
      </c>
    </row>
    <row r="70" spans="1:11" x14ac:dyDescent="0.3">
      <c r="A70" s="15" t="s">
        <v>46</v>
      </c>
      <c r="B70" s="15" t="s">
        <v>40</v>
      </c>
      <c r="C70" s="15">
        <v>4.2076995653156153E-2</v>
      </c>
      <c r="D70" s="15">
        <v>2021</v>
      </c>
      <c r="E70" s="15" t="s">
        <v>465</v>
      </c>
      <c r="F70" s="15" t="s">
        <v>299</v>
      </c>
      <c r="G70" s="15" t="s">
        <v>316</v>
      </c>
      <c r="H70" s="15" t="s">
        <v>269</v>
      </c>
      <c r="I70" s="15" t="s">
        <v>269</v>
      </c>
      <c r="J70" s="15" t="s">
        <v>3</v>
      </c>
      <c r="K70" s="15" t="s">
        <v>3</v>
      </c>
    </row>
    <row r="71" spans="1:11" x14ac:dyDescent="0.3">
      <c r="A71" s="15" t="s">
        <v>46</v>
      </c>
      <c r="B71" s="15" t="s">
        <v>41</v>
      </c>
      <c r="C71" s="15">
        <v>1.4868196343871432E-3</v>
      </c>
      <c r="D71" s="15">
        <v>2021</v>
      </c>
      <c r="E71" s="15" t="s">
        <v>465</v>
      </c>
      <c r="F71" s="15" t="s">
        <v>299</v>
      </c>
      <c r="G71" s="15" t="s">
        <v>317</v>
      </c>
      <c r="H71" s="15" t="s">
        <v>269</v>
      </c>
      <c r="I71" s="15" t="s">
        <v>269</v>
      </c>
      <c r="J71" s="15" t="s">
        <v>3</v>
      </c>
      <c r="K71" s="15" t="s">
        <v>3</v>
      </c>
    </row>
    <row r="72" spans="1:11" x14ac:dyDescent="0.3">
      <c r="A72" s="15" t="s">
        <v>46</v>
      </c>
      <c r="B72" s="15" t="s">
        <v>38</v>
      </c>
      <c r="C72" s="15">
        <v>2.9736392687742864E-3</v>
      </c>
      <c r="D72" s="15">
        <v>2021</v>
      </c>
      <c r="E72" s="15" t="s">
        <v>465</v>
      </c>
      <c r="F72" s="15" t="s">
        <v>299</v>
      </c>
      <c r="G72" s="15" t="s">
        <v>318</v>
      </c>
      <c r="H72" s="15" t="s">
        <v>269</v>
      </c>
      <c r="I72" s="15" t="s">
        <v>269</v>
      </c>
      <c r="J72" s="15" t="s">
        <v>3</v>
      </c>
      <c r="K72" s="15" t="s">
        <v>3</v>
      </c>
    </row>
    <row r="73" spans="1:11" x14ac:dyDescent="0.3">
      <c r="A73" s="15" t="s">
        <v>180</v>
      </c>
      <c r="B73" s="15" t="s">
        <v>37</v>
      </c>
      <c r="C73" s="15">
        <v>7.9934068260000005E-2</v>
      </c>
      <c r="D73" s="15">
        <v>2021</v>
      </c>
      <c r="E73" s="15" t="s">
        <v>465</v>
      </c>
      <c r="F73" s="15" t="s">
        <v>300</v>
      </c>
      <c r="G73" s="15" t="s">
        <v>314</v>
      </c>
      <c r="H73" s="15" t="s">
        <v>269</v>
      </c>
      <c r="I73" s="15" t="s">
        <v>269</v>
      </c>
      <c r="J73" s="15" t="s">
        <v>3</v>
      </c>
      <c r="K73" s="15" t="s">
        <v>3</v>
      </c>
    </row>
    <row r="74" spans="1:11" x14ac:dyDescent="0.3">
      <c r="A74" s="15" t="s">
        <v>180</v>
      </c>
      <c r="B74" s="15" t="s">
        <v>40</v>
      </c>
      <c r="C74" s="15">
        <v>3.1973627304000003E-2</v>
      </c>
      <c r="D74" s="15">
        <v>2021</v>
      </c>
      <c r="E74" s="15" t="s">
        <v>465</v>
      </c>
      <c r="F74" s="15" t="s">
        <v>300</v>
      </c>
      <c r="G74" s="15" t="s">
        <v>316</v>
      </c>
      <c r="H74" s="15" t="s">
        <v>269</v>
      </c>
      <c r="I74" s="15" t="s">
        <v>269</v>
      </c>
      <c r="J74" s="15" t="s">
        <v>3</v>
      </c>
      <c r="K74" s="15" t="s">
        <v>3</v>
      </c>
    </row>
    <row r="75" spans="1:11" x14ac:dyDescent="0.3">
      <c r="A75" s="15" t="s">
        <v>180</v>
      </c>
      <c r="B75" s="15" t="s">
        <v>41</v>
      </c>
      <c r="C75" s="15">
        <v>4.7960440956000001E-2</v>
      </c>
      <c r="D75" s="15">
        <v>2021</v>
      </c>
      <c r="E75" s="15" t="s">
        <v>465</v>
      </c>
      <c r="F75" s="15" t="s">
        <v>300</v>
      </c>
      <c r="G75" s="15" t="s">
        <v>317</v>
      </c>
      <c r="H75" s="15" t="s">
        <v>269</v>
      </c>
      <c r="I75" s="15" t="s">
        <v>269</v>
      </c>
      <c r="J75" s="15" t="s">
        <v>3</v>
      </c>
      <c r="K75" s="15" t="s">
        <v>3</v>
      </c>
    </row>
    <row r="76" spans="1:11" x14ac:dyDescent="0.3">
      <c r="A76" s="15" t="s">
        <v>180</v>
      </c>
      <c r="B76" s="15" t="s">
        <v>38</v>
      </c>
      <c r="C76" s="15">
        <v>0.15986813652000001</v>
      </c>
      <c r="D76" s="15">
        <v>2021</v>
      </c>
      <c r="E76" s="15" t="s">
        <v>465</v>
      </c>
      <c r="F76" s="15" t="s">
        <v>300</v>
      </c>
      <c r="G76" s="15" t="s">
        <v>318</v>
      </c>
      <c r="H76" s="15" t="s">
        <v>269</v>
      </c>
      <c r="I76" s="15" t="s">
        <v>269</v>
      </c>
      <c r="J76" s="15" t="s">
        <v>3</v>
      </c>
      <c r="K76" s="15" t="s">
        <v>3</v>
      </c>
    </row>
    <row r="77" spans="1:11" x14ac:dyDescent="0.3">
      <c r="A77" s="15" t="s">
        <v>209</v>
      </c>
      <c r="B77" s="15" t="s">
        <v>37</v>
      </c>
      <c r="C77" s="15">
        <v>0.23451317667723207</v>
      </c>
      <c r="D77" s="15">
        <v>2021</v>
      </c>
      <c r="E77" s="15" t="s">
        <v>465</v>
      </c>
      <c r="F77" s="15" t="s">
        <v>301</v>
      </c>
      <c r="G77" s="15" t="s">
        <v>314</v>
      </c>
      <c r="H77" s="15" t="s">
        <v>269</v>
      </c>
      <c r="I77" s="15" t="s">
        <v>269</v>
      </c>
      <c r="J77" s="15" t="s">
        <v>3</v>
      </c>
      <c r="K77" s="15" t="s">
        <v>3</v>
      </c>
    </row>
    <row r="78" spans="1:11" x14ac:dyDescent="0.3">
      <c r="A78" s="15" t="s">
        <v>209</v>
      </c>
      <c r="B78" s="15" t="s">
        <v>40</v>
      </c>
      <c r="C78" s="15">
        <v>1.1725658833861603</v>
      </c>
      <c r="D78" s="15">
        <v>2021</v>
      </c>
      <c r="E78" s="15" t="s">
        <v>465</v>
      </c>
      <c r="F78" s="15" t="s">
        <v>301</v>
      </c>
      <c r="G78" s="15" t="s">
        <v>316</v>
      </c>
      <c r="H78" s="15" t="s">
        <v>269</v>
      </c>
      <c r="I78" s="15" t="s">
        <v>269</v>
      </c>
      <c r="J78" s="15" t="s">
        <v>3</v>
      </c>
      <c r="K78" s="15" t="s">
        <v>3</v>
      </c>
    </row>
    <row r="79" spans="1:11" x14ac:dyDescent="0.3">
      <c r="A79" s="15" t="s">
        <v>209</v>
      </c>
      <c r="B79" s="15" t="s">
        <v>41</v>
      </c>
      <c r="C79" s="15">
        <v>2.2278751784337043</v>
      </c>
      <c r="D79" s="15">
        <v>2021</v>
      </c>
      <c r="E79" s="15" t="s">
        <v>465</v>
      </c>
      <c r="F79" s="15" t="s">
        <v>301</v>
      </c>
      <c r="G79" s="15" t="s">
        <v>317</v>
      </c>
      <c r="H79" s="15" t="s">
        <v>269</v>
      </c>
      <c r="I79" s="15" t="s">
        <v>269</v>
      </c>
      <c r="J79" s="15" t="s">
        <v>3</v>
      </c>
      <c r="K79" s="15" t="s">
        <v>3</v>
      </c>
    </row>
    <row r="80" spans="1:11" x14ac:dyDescent="0.3">
      <c r="A80" s="15" t="s">
        <v>209</v>
      </c>
      <c r="B80" s="15" t="s">
        <v>38</v>
      </c>
      <c r="C80" s="15">
        <v>0.27359870612343745</v>
      </c>
      <c r="D80" s="15">
        <v>2021</v>
      </c>
      <c r="E80" s="15" t="s">
        <v>465</v>
      </c>
      <c r="F80" s="15" t="s">
        <v>301</v>
      </c>
      <c r="G80" s="15" t="s">
        <v>318</v>
      </c>
      <c r="H80" s="15" t="s">
        <v>269</v>
      </c>
      <c r="I80" s="15" t="s">
        <v>269</v>
      </c>
      <c r="J80" s="15" t="s">
        <v>3</v>
      </c>
      <c r="K80" s="15" t="s">
        <v>3</v>
      </c>
    </row>
    <row r="81" spans="1:11" x14ac:dyDescent="0.3">
      <c r="A81" s="15" t="s">
        <v>36</v>
      </c>
      <c r="B81" s="15" t="s">
        <v>32</v>
      </c>
      <c r="C81" s="15">
        <v>0.55604496378777801</v>
      </c>
      <c r="D81" s="15">
        <v>2021</v>
      </c>
      <c r="E81" s="15" t="s">
        <v>465</v>
      </c>
      <c r="F81" s="15" t="s">
        <v>313</v>
      </c>
      <c r="G81" s="15" t="s">
        <v>321</v>
      </c>
      <c r="H81" s="15" t="s">
        <v>269</v>
      </c>
      <c r="I81" s="15" t="s">
        <v>269</v>
      </c>
      <c r="J81" s="15" t="s">
        <v>3</v>
      </c>
      <c r="K81" s="15" t="s">
        <v>3</v>
      </c>
    </row>
    <row r="82" spans="1:11" x14ac:dyDescent="0.3">
      <c r="A82" s="15" t="s">
        <v>36</v>
      </c>
      <c r="B82" s="15" t="s">
        <v>33</v>
      </c>
      <c r="C82" s="15">
        <v>1.112089927575556</v>
      </c>
      <c r="D82" s="15">
        <v>2021</v>
      </c>
      <c r="E82" s="15" t="s">
        <v>465</v>
      </c>
      <c r="F82" s="15" t="s">
        <v>313</v>
      </c>
      <c r="G82" s="15" t="s">
        <v>322</v>
      </c>
      <c r="H82" s="15" t="s">
        <v>269</v>
      </c>
      <c r="I82" s="15" t="s">
        <v>269</v>
      </c>
      <c r="J82" s="15" t="s">
        <v>3</v>
      </c>
      <c r="K82" s="15" t="s">
        <v>3</v>
      </c>
    </row>
    <row r="83" spans="1:11" x14ac:dyDescent="0.3">
      <c r="A83" s="15" t="s">
        <v>36</v>
      </c>
      <c r="B83" s="15" t="s">
        <v>34</v>
      </c>
      <c r="C83" s="15">
        <v>0.55604496378777801</v>
      </c>
      <c r="D83" s="15">
        <v>2021</v>
      </c>
      <c r="E83" s="15" t="s">
        <v>465</v>
      </c>
      <c r="F83" s="15" t="s">
        <v>313</v>
      </c>
      <c r="G83" s="15" t="s">
        <v>323</v>
      </c>
      <c r="H83" s="15" t="s">
        <v>269</v>
      </c>
      <c r="I83" s="15" t="s">
        <v>269</v>
      </c>
      <c r="J83" s="15" t="s">
        <v>3</v>
      </c>
      <c r="K83" s="15" t="s">
        <v>3</v>
      </c>
    </row>
    <row r="84" spans="1:11" x14ac:dyDescent="0.3">
      <c r="A84" s="15" t="s">
        <v>36</v>
      </c>
      <c r="B84" s="15" t="s">
        <v>57</v>
      </c>
      <c r="C84" s="15">
        <v>0.55604496378777801</v>
      </c>
      <c r="D84" s="15">
        <v>2021</v>
      </c>
      <c r="E84" s="15" t="s">
        <v>465</v>
      </c>
      <c r="F84" s="15" t="s">
        <v>313</v>
      </c>
      <c r="G84" s="15" t="s">
        <v>325</v>
      </c>
      <c r="H84" s="15" t="s">
        <v>269</v>
      </c>
      <c r="I84" s="15" t="s">
        <v>269</v>
      </c>
      <c r="J84" s="15" t="s">
        <v>3</v>
      </c>
      <c r="K84" s="15" t="s">
        <v>3</v>
      </c>
    </row>
    <row r="85" spans="1:11" x14ac:dyDescent="0.3">
      <c r="A85" s="15" t="s">
        <v>32</v>
      </c>
      <c r="B85" s="15" t="s">
        <v>378</v>
      </c>
      <c r="C85" s="15">
        <v>3.8938782516646548</v>
      </c>
      <c r="D85" s="15">
        <v>2021</v>
      </c>
      <c r="E85" s="15" t="s">
        <v>465</v>
      </c>
      <c r="F85" s="15" t="s">
        <v>321</v>
      </c>
      <c r="G85" s="15" t="s">
        <v>332</v>
      </c>
      <c r="H85" s="15" t="s">
        <v>269</v>
      </c>
      <c r="I85" s="15" t="s">
        <v>269</v>
      </c>
      <c r="J85" s="15" t="s">
        <v>3</v>
      </c>
      <c r="K85" s="15" t="s">
        <v>3</v>
      </c>
    </row>
    <row r="86" spans="1:11" x14ac:dyDescent="0.3">
      <c r="A86" s="15" t="s">
        <v>33</v>
      </c>
      <c r="B86" s="15" t="s">
        <v>378</v>
      </c>
      <c r="C86" s="15">
        <v>13.697754458901551</v>
      </c>
      <c r="D86" s="15">
        <v>2021</v>
      </c>
      <c r="E86" s="15" t="s">
        <v>465</v>
      </c>
      <c r="F86" s="15" t="s">
        <v>322</v>
      </c>
      <c r="G86" s="15" t="s">
        <v>332</v>
      </c>
      <c r="H86" s="15" t="s">
        <v>269</v>
      </c>
      <c r="I86" s="15" t="s">
        <v>269</v>
      </c>
      <c r="J86" s="15" t="s">
        <v>3</v>
      </c>
      <c r="K86" s="15" t="s">
        <v>3</v>
      </c>
    </row>
    <row r="87" spans="1:11" x14ac:dyDescent="0.3">
      <c r="A87" s="15" t="s">
        <v>34</v>
      </c>
      <c r="B87" s="15" t="s">
        <v>378</v>
      </c>
      <c r="C87" s="15">
        <v>1.0871233697540914</v>
      </c>
      <c r="D87" s="15">
        <v>2021</v>
      </c>
      <c r="E87" s="15" t="s">
        <v>465</v>
      </c>
      <c r="F87" s="15" t="s">
        <v>323</v>
      </c>
      <c r="G87" s="15" t="s">
        <v>332</v>
      </c>
      <c r="H87" s="15" t="s">
        <v>269</v>
      </c>
      <c r="I87" s="15" t="s">
        <v>269</v>
      </c>
      <c r="J87" s="15" t="s">
        <v>3</v>
      </c>
      <c r="K87" s="15" t="s">
        <v>3</v>
      </c>
    </row>
    <row r="88" spans="1:11" x14ac:dyDescent="0.3">
      <c r="A88" s="15" t="s">
        <v>57</v>
      </c>
      <c r="B88" s="15" t="s">
        <v>378</v>
      </c>
      <c r="C88" s="15">
        <v>1.0871233697540914</v>
      </c>
      <c r="D88" s="15">
        <v>2021</v>
      </c>
      <c r="E88" s="15" t="s">
        <v>465</v>
      </c>
      <c r="F88" s="15" t="s">
        <v>325</v>
      </c>
      <c r="G88" s="15" t="s">
        <v>332</v>
      </c>
      <c r="H88" s="15" t="s">
        <v>269</v>
      </c>
      <c r="I88" s="15" t="s">
        <v>269</v>
      </c>
      <c r="J88" s="15" t="s">
        <v>3</v>
      </c>
      <c r="K88" s="15" t="s">
        <v>3</v>
      </c>
    </row>
    <row r="89" spans="1:11" x14ac:dyDescent="0.3">
      <c r="A89" s="15" t="s">
        <v>378</v>
      </c>
      <c r="B89" s="15" t="s">
        <v>399</v>
      </c>
      <c r="C89" s="15">
        <v>5.740776466697568</v>
      </c>
      <c r="D89" s="15">
        <v>2021</v>
      </c>
      <c r="E89" s="15" t="s">
        <v>465</v>
      </c>
      <c r="F89" s="15" t="s">
        <v>332</v>
      </c>
      <c r="G89" s="15" t="s">
        <v>297</v>
      </c>
      <c r="H89" s="15" t="s">
        <v>269</v>
      </c>
      <c r="I89" s="15" t="s">
        <v>18</v>
      </c>
      <c r="J89" s="15" t="s">
        <v>3</v>
      </c>
      <c r="K89" s="15" t="s">
        <v>405</v>
      </c>
    </row>
    <row r="90" spans="1:11" x14ac:dyDescent="0.3">
      <c r="A90" s="15" t="s">
        <v>378</v>
      </c>
      <c r="B90" s="15" t="s">
        <v>358</v>
      </c>
      <c r="C90" s="15">
        <v>3.3296503506845894</v>
      </c>
      <c r="D90" s="15">
        <v>2021</v>
      </c>
      <c r="E90" s="15" t="s">
        <v>465</v>
      </c>
      <c r="F90" s="15" t="s">
        <v>332</v>
      </c>
      <c r="G90" s="15" t="s">
        <v>339</v>
      </c>
      <c r="H90" s="15" t="s">
        <v>269</v>
      </c>
      <c r="I90" s="15" t="s">
        <v>269</v>
      </c>
      <c r="J90" s="15" t="s">
        <v>3</v>
      </c>
      <c r="K90" s="15" t="s">
        <v>3</v>
      </c>
    </row>
    <row r="91" spans="1:11" x14ac:dyDescent="0.3">
      <c r="A91" s="15" t="s">
        <v>378</v>
      </c>
      <c r="B91" s="15" t="s">
        <v>539</v>
      </c>
      <c r="C91" s="15">
        <v>1.5500096460083437</v>
      </c>
      <c r="D91" s="15">
        <v>2021</v>
      </c>
      <c r="E91" s="15" t="s">
        <v>465</v>
      </c>
      <c r="F91" s="15" t="s">
        <v>332</v>
      </c>
      <c r="G91" s="15" t="s">
        <v>340</v>
      </c>
      <c r="H91" s="15" t="s">
        <v>269</v>
      </c>
      <c r="I91" s="15" t="s">
        <v>269</v>
      </c>
      <c r="J91" s="15" t="s">
        <v>3</v>
      </c>
      <c r="K91" s="15" t="s">
        <v>3</v>
      </c>
    </row>
    <row r="92" spans="1:11" x14ac:dyDescent="0.3">
      <c r="A92" s="15" t="s">
        <v>378</v>
      </c>
      <c r="B92" s="15" t="s">
        <v>398</v>
      </c>
      <c r="C92" s="15">
        <v>0.8611164700046352</v>
      </c>
      <c r="D92" s="15">
        <v>2021</v>
      </c>
      <c r="E92" s="15" t="s">
        <v>465</v>
      </c>
      <c r="F92" s="15" t="s">
        <v>332</v>
      </c>
      <c r="G92" s="15" t="s">
        <v>345</v>
      </c>
      <c r="H92" s="15" t="s">
        <v>269</v>
      </c>
      <c r="I92" s="15" t="s">
        <v>269</v>
      </c>
      <c r="J92" s="15" t="s">
        <v>3</v>
      </c>
      <c r="K92" s="15" t="s">
        <v>3</v>
      </c>
    </row>
    <row r="93" spans="1:11" x14ac:dyDescent="0.3">
      <c r="A93" s="15" t="s">
        <v>378</v>
      </c>
      <c r="B93" s="15" t="s">
        <v>404</v>
      </c>
      <c r="C93" s="15">
        <v>14.025102983376822</v>
      </c>
      <c r="D93" s="15">
        <v>2021</v>
      </c>
      <c r="E93" s="15" t="s">
        <v>465</v>
      </c>
      <c r="F93" s="15" t="s">
        <v>332</v>
      </c>
      <c r="G93" s="15" t="s">
        <v>298</v>
      </c>
      <c r="H93" s="15" t="s">
        <v>269</v>
      </c>
      <c r="I93" s="15" t="s">
        <v>18</v>
      </c>
      <c r="J93" s="15" t="s">
        <v>3</v>
      </c>
      <c r="K93" s="15" t="s">
        <v>408</v>
      </c>
    </row>
    <row r="94" spans="1:11" x14ac:dyDescent="0.3">
      <c r="A94" s="15" t="s">
        <v>378</v>
      </c>
      <c r="B94" s="15" t="s">
        <v>407</v>
      </c>
      <c r="C94" s="15">
        <v>1.8298675983454884</v>
      </c>
      <c r="D94" s="15">
        <v>2021</v>
      </c>
      <c r="E94" s="15" t="s">
        <v>465</v>
      </c>
      <c r="F94" s="15" t="s">
        <v>332</v>
      </c>
      <c r="G94" s="15" t="s">
        <v>356</v>
      </c>
      <c r="H94" s="15" t="s">
        <v>269</v>
      </c>
      <c r="I94" s="15" t="s">
        <v>269</v>
      </c>
      <c r="J94" s="15" t="s">
        <v>3</v>
      </c>
      <c r="K94" s="15" t="s">
        <v>3</v>
      </c>
    </row>
    <row r="95" spans="1:11" x14ac:dyDescent="0.3">
      <c r="A95" s="15" t="s">
        <v>378</v>
      </c>
      <c r="B95" s="15" t="s">
        <v>359</v>
      </c>
      <c r="C95" s="15">
        <v>7.2496961863543055</v>
      </c>
      <c r="D95" s="15">
        <v>2021</v>
      </c>
      <c r="E95" s="15" t="s">
        <v>465</v>
      </c>
      <c r="F95" s="15" t="s">
        <v>332</v>
      </c>
      <c r="G95" s="15" t="s">
        <v>360</v>
      </c>
      <c r="H95" s="15" t="s">
        <v>269</v>
      </c>
      <c r="I95" s="15" t="s">
        <v>269</v>
      </c>
      <c r="J95" s="15" t="s">
        <v>3</v>
      </c>
      <c r="K95" s="15" t="s">
        <v>3</v>
      </c>
    </row>
    <row r="96" spans="1:11" x14ac:dyDescent="0.3">
      <c r="A96" s="15" t="s">
        <v>378</v>
      </c>
      <c r="B96" s="15" t="s">
        <v>380</v>
      </c>
      <c r="C96" s="15">
        <v>4.9455391986770278</v>
      </c>
      <c r="D96" s="15">
        <v>2021</v>
      </c>
      <c r="E96" s="15" t="s">
        <v>465</v>
      </c>
      <c r="F96" s="15" t="s">
        <v>332</v>
      </c>
      <c r="G96" s="15" t="s">
        <v>361</v>
      </c>
      <c r="H96" s="15" t="s">
        <v>269</v>
      </c>
      <c r="I96" s="15" t="s">
        <v>269</v>
      </c>
      <c r="J96" s="15" t="s">
        <v>3</v>
      </c>
      <c r="K96" s="15" t="s">
        <v>3</v>
      </c>
    </row>
    <row r="97" spans="1:11" x14ac:dyDescent="0.3">
      <c r="A97" s="15" t="s">
        <v>379</v>
      </c>
      <c r="B97" s="15" t="s">
        <v>399</v>
      </c>
      <c r="C97" s="15">
        <v>16.868141087895815</v>
      </c>
      <c r="D97" s="15">
        <v>2021</v>
      </c>
      <c r="E97" s="15" t="s">
        <v>465</v>
      </c>
      <c r="F97" s="15" t="s">
        <v>333</v>
      </c>
      <c r="G97" s="15" t="s">
        <v>297</v>
      </c>
      <c r="H97" s="15" t="s">
        <v>269</v>
      </c>
      <c r="I97" s="15" t="s">
        <v>18</v>
      </c>
      <c r="J97" s="15" t="s">
        <v>3</v>
      </c>
      <c r="K97" s="15" t="s">
        <v>405</v>
      </c>
    </row>
    <row r="98" spans="1:11" x14ac:dyDescent="0.3">
      <c r="A98" s="15" t="s">
        <v>379</v>
      </c>
      <c r="B98" s="15" t="s">
        <v>358</v>
      </c>
      <c r="C98" s="15">
        <v>1.2402969587471777</v>
      </c>
      <c r="D98" s="15">
        <v>2021</v>
      </c>
      <c r="E98" s="15" t="s">
        <v>465</v>
      </c>
      <c r="F98" s="15" t="s">
        <v>333</v>
      </c>
      <c r="G98" s="15" t="s">
        <v>339</v>
      </c>
      <c r="H98" s="15" t="s">
        <v>269</v>
      </c>
      <c r="I98" s="15" t="s">
        <v>269</v>
      </c>
      <c r="J98" s="15" t="s">
        <v>3</v>
      </c>
      <c r="K98" s="15" t="s">
        <v>3</v>
      </c>
    </row>
    <row r="99" spans="1:11" x14ac:dyDescent="0.3">
      <c r="A99" s="15" t="s">
        <v>379</v>
      </c>
      <c r="B99" s="15" t="s">
        <v>398</v>
      </c>
      <c r="C99" s="15">
        <v>0.61395707914863795</v>
      </c>
      <c r="D99" s="15">
        <v>2021</v>
      </c>
      <c r="E99" s="15" t="s">
        <v>465</v>
      </c>
      <c r="F99" s="15" t="s">
        <v>333</v>
      </c>
      <c r="G99" s="15" t="s">
        <v>345</v>
      </c>
      <c r="H99" s="15" t="s">
        <v>269</v>
      </c>
      <c r="I99" s="15" t="s">
        <v>269</v>
      </c>
      <c r="J99" s="15" t="s">
        <v>3</v>
      </c>
      <c r="K99" s="15" t="s">
        <v>3</v>
      </c>
    </row>
    <row r="100" spans="1:11" x14ac:dyDescent="0.3">
      <c r="A100" s="15" t="s">
        <v>379</v>
      </c>
      <c r="B100" s="15" t="s">
        <v>404</v>
      </c>
      <c r="C100" s="15">
        <v>12.340148964636684</v>
      </c>
      <c r="D100" s="15">
        <v>2021</v>
      </c>
      <c r="E100" s="15" t="s">
        <v>465</v>
      </c>
      <c r="F100" s="15" t="s">
        <v>333</v>
      </c>
      <c r="G100" s="15" t="s">
        <v>298</v>
      </c>
      <c r="H100" s="15" t="s">
        <v>269</v>
      </c>
      <c r="I100" s="15" t="s">
        <v>18</v>
      </c>
      <c r="J100" s="15" t="s">
        <v>3</v>
      </c>
      <c r="K100" s="15" t="s">
        <v>408</v>
      </c>
    </row>
    <row r="101" spans="1:11" x14ac:dyDescent="0.3">
      <c r="A101" s="15" t="s">
        <v>379</v>
      </c>
      <c r="B101" s="15" t="s">
        <v>407</v>
      </c>
      <c r="C101" s="15">
        <v>0.53155583946307627</v>
      </c>
      <c r="D101" s="15">
        <v>2021</v>
      </c>
      <c r="E101" s="15" t="s">
        <v>465</v>
      </c>
      <c r="F101" s="15" t="s">
        <v>333</v>
      </c>
      <c r="G101" s="15" t="s">
        <v>356</v>
      </c>
      <c r="H101" s="15" t="s">
        <v>269</v>
      </c>
      <c r="I101" s="15" t="s">
        <v>269</v>
      </c>
      <c r="J101" s="15" t="s">
        <v>3</v>
      </c>
      <c r="K101" s="15" t="s">
        <v>3</v>
      </c>
    </row>
    <row r="102" spans="1:11" x14ac:dyDescent="0.3">
      <c r="A102" s="15" t="s">
        <v>379</v>
      </c>
      <c r="B102" s="15" t="s">
        <v>359</v>
      </c>
      <c r="C102" s="15">
        <v>7.0198491331178872</v>
      </c>
      <c r="D102" s="15">
        <v>2021</v>
      </c>
      <c r="E102" s="15" t="s">
        <v>465</v>
      </c>
      <c r="F102" s="15" t="s">
        <v>333</v>
      </c>
      <c r="G102" s="15" t="s">
        <v>360</v>
      </c>
      <c r="H102" s="15" t="s">
        <v>269</v>
      </c>
      <c r="I102" s="15" t="s">
        <v>269</v>
      </c>
      <c r="J102" s="15" t="s">
        <v>3</v>
      </c>
      <c r="K102" s="15" t="s">
        <v>3</v>
      </c>
    </row>
    <row r="103" spans="1:11" x14ac:dyDescent="0.3">
      <c r="A103" s="15" t="s">
        <v>379</v>
      </c>
      <c r="B103" s="15" t="s">
        <v>380</v>
      </c>
      <c r="C103" s="15">
        <v>4.7887439920557213</v>
      </c>
      <c r="D103" s="15">
        <v>2021</v>
      </c>
      <c r="E103" s="15" t="s">
        <v>465</v>
      </c>
      <c r="F103" s="15" t="s">
        <v>333</v>
      </c>
      <c r="G103" s="15" t="s">
        <v>361</v>
      </c>
      <c r="H103" s="15" t="s">
        <v>269</v>
      </c>
      <c r="I103" s="15" t="s">
        <v>269</v>
      </c>
      <c r="J103" s="15" t="s">
        <v>3</v>
      </c>
      <c r="K103" s="15" t="s">
        <v>3</v>
      </c>
    </row>
    <row r="104" spans="1:11" x14ac:dyDescent="0.3">
      <c r="A104" s="15" t="s">
        <v>29</v>
      </c>
      <c r="B104" s="15" t="s">
        <v>399</v>
      </c>
      <c r="C104" s="15">
        <v>8.8673133257286469</v>
      </c>
      <c r="D104" s="15" t="s">
        <v>19</v>
      </c>
      <c r="E104" s="15" t="s">
        <v>465</v>
      </c>
      <c r="F104" s="15" t="s">
        <v>326</v>
      </c>
      <c r="G104" s="15" t="s">
        <v>297</v>
      </c>
      <c r="H104" s="15" t="s">
        <v>269</v>
      </c>
      <c r="I104" s="15" t="s">
        <v>18</v>
      </c>
      <c r="J104" s="15" t="s">
        <v>3</v>
      </c>
      <c r="K104" s="15" t="s">
        <v>405</v>
      </c>
    </row>
    <row r="105" spans="1:11" x14ac:dyDescent="0.3">
      <c r="A105" s="15" t="s">
        <v>29</v>
      </c>
      <c r="B105" s="15" t="s">
        <v>358</v>
      </c>
      <c r="C105" s="15">
        <v>8.1283705485845932</v>
      </c>
      <c r="D105" s="15" t="s">
        <v>19</v>
      </c>
      <c r="E105" s="15" t="s">
        <v>465</v>
      </c>
      <c r="F105" s="15" t="s">
        <v>326</v>
      </c>
      <c r="G105" s="15" t="s">
        <v>339</v>
      </c>
      <c r="H105" s="15" t="s">
        <v>269</v>
      </c>
      <c r="I105" s="15" t="s">
        <v>269</v>
      </c>
      <c r="J105" s="15" t="s">
        <v>3</v>
      </c>
      <c r="K105" s="15" t="s">
        <v>3</v>
      </c>
    </row>
    <row r="106" spans="1:11" x14ac:dyDescent="0.3">
      <c r="A106" s="15" t="s">
        <v>29</v>
      </c>
      <c r="B106" s="15" t="s">
        <v>398</v>
      </c>
      <c r="C106" s="15">
        <v>0.73894277714405388</v>
      </c>
      <c r="D106" s="15" t="s">
        <v>19</v>
      </c>
      <c r="E106" s="15" t="s">
        <v>465</v>
      </c>
      <c r="F106" s="15" t="s">
        <v>326</v>
      </c>
      <c r="G106" s="15" t="s">
        <v>345</v>
      </c>
      <c r="H106" s="15" t="s">
        <v>269</v>
      </c>
      <c r="I106" s="15" t="s">
        <v>269</v>
      </c>
      <c r="J106" s="15" t="s">
        <v>3</v>
      </c>
      <c r="K106" s="15" t="s">
        <v>3</v>
      </c>
    </row>
    <row r="107" spans="1:11" x14ac:dyDescent="0.3">
      <c r="A107" s="15" t="s">
        <v>29</v>
      </c>
      <c r="B107" s="15" t="s">
        <v>404</v>
      </c>
      <c r="C107" s="15">
        <v>1.4778865542881077</v>
      </c>
      <c r="D107" s="15" t="s">
        <v>19</v>
      </c>
      <c r="E107" s="15" t="s">
        <v>465</v>
      </c>
      <c r="F107" s="15" t="s">
        <v>326</v>
      </c>
      <c r="G107" s="15" t="s">
        <v>298</v>
      </c>
      <c r="H107" s="15" t="s">
        <v>269</v>
      </c>
      <c r="I107" s="15" t="s">
        <v>18</v>
      </c>
      <c r="J107" s="15" t="s">
        <v>3</v>
      </c>
      <c r="K107" s="15" t="s">
        <v>408</v>
      </c>
    </row>
    <row r="108" spans="1:11" x14ac:dyDescent="0.3">
      <c r="A108" s="15" t="s">
        <v>29</v>
      </c>
      <c r="B108" s="15" t="s">
        <v>407</v>
      </c>
      <c r="C108" s="15">
        <v>0.73894277714405388</v>
      </c>
      <c r="D108" s="15" t="s">
        <v>19</v>
      </c>
      <c r="E108" s="15" t="s">
        <v>465</v>
      </c>
      <c r="F108" s="15" t="s">
        <v>326</v>
      </c>
      <c r="G108" s="15" t="s">
        <v>356</v>
      </c>
      <c r="H108" s="15" t="s">
        <v>269</v>
      </c>
      <c r="I108" s="15" t="s">
        <v>269</v>
      </c>
      <c r="J108" s="15" t="s">
        <v>3</v>
      </c>
      <c r="K108" s="15" t="s">
        <v>3</v>
      </c>
    </row>
    <row r="109" spans="1:11" x14ac:dyDescent="0.3">
      <c r="A109" s="15" t="s">
        <v>29</v>
      </c>
      <c r="B109" s="15" t="s">
        <v>359</v>
      </c>
      <c r="C109" s="15">
        <v>0.73894277714405388</v>
      </c>
      <c r="D109" s="15" t="s">
        <v>19</v>
      </c>
      <c r="E109" s="15" t="s">
        <v>465</v>
      </c>
      <c r="F109" s="15" t="s">
        <v>326</v>
      </c>
      <c r="G109" s="15" t="s">
        <v>360</v>
      </c>
      <c r="H109" s="15" t="s">
        <v>269</v>
      </c>
      <c r="I109" s="15" t="s">
        <v>269</v>
      </c>
      <c r="J109" s="15" t="s">
        <v>3</v>
      </c>
      <c r="K109" s="15" t="s">
        <v>3</v>
      </c>
    </row>
    <row r="110" spans="1:11" x14ac:dyDescent="0.3">
      <c r="A110" s="15" t="s">
        <v>29</v>
      </c>
      <c r="B110" s="15" t="s">
        <v>380</v>
      </c>
      <c r="C110" s="15">
        <v>9.9999999999999995E-7</v>
      </c>
      <c r="D110" s="15" t="s">
        <v>19</v>
      </c>
      <c r="E110" s="15" t="s">
        <v>465</v>
      </c>
      <c r="F110" s="15" t="s">
        <v>326</v>
      </c>
      <c r="G110" s="15" t="s">
        <v>361</v>
      </c>
      <c r="H110" s="15" t="s">
        <v>269</v>
      </c>
      <c r="I110" s="15" t="s">
        <v>269</v>
      </c>
      <c r="J110" s="15" t="s">
        <v>3</v>
      </c>
      <c r="K110" s="15" t="s">
        <v>3</v>
      </c>
    </row>
    <row r="111" spans="1:11" x14ac:dyDescent="0.3">
      <c r="A111" s="15" t="s">
        <v>73</v>
      </c>
      <c r="B111" s="15" t="s">
        <v>399</v>
      </c>
      <c r="C111" s="15">
        <v>4.6105420980213321</v>
      </c>
      <c r="D111" s="15" t="s">
        <v>19</v>
      </c>
      <c r="E111" s="15" t="s">
        <v>465</v>
      </c>
      <c r="F111" s="15" t="s">
        <v>327</v>
      </c>
      <c r="G111" s="15" t="s">
        <v>297</v>
      </c>
      <c r="H111" s="15" t="s">
        <v>269</v>
      </c>
      <c r="I111" s="15" t="s">
        <v>18</v>
      </c>
      <c r="J111" s="15" t="s">
        <v>3</v>
      </c>
      <c r="K111" s="15" t="s">
        <v>405</v>
      </c>
    </row>
    <row r="112" spans="1:11" x14ac:dyDescent="0.3">
      <c r="A112" s="15" t="s">
        <v>73</v>
      </c>
      <c r="B112" s="15" t="s">
        <v>358</v>
      </c>
      <c r="C112" s="15">
        <v>4.2812176624483795</v>
      </c>
      <c r="D112" s="15" t="s">
        <v>19</v>
      </c>
      <c r="E112" s="15" t="s">
        <v>465</v>
      </c>
      <c r="F112" s="15" t="s">
        <v>327</v>
      </c>
      <c r="G112" s="15" t="s">
        <v>339</v>
      </c>
      <c r="H112" s="15" t="s">
        <v>269</v>
      </c>
      <c r="I112" s="15" t="s">
        <v>269</v>
      </c>
      <c r="J112" s="15" t="s">
        <v>3</v>
      </c>
      <c r="K112" s="15" t="s">
        <v>3</v>
      </c>
    </row>
    <row r="113" spans="1:11" x14ac:dyDescent="0.3">
      <c r="A113" s="15" t="s">
        <v>73</v>
      </c>
      <c r="B113" s="15" t="s">
        <v>398</v>
      </c>
      <c r="C113" s="15">
        <v>0.32932443557295227</v>
      </c>
      <c r="D113" s="15" t="s">
        <v>19</v>
      </c>
      <c r="E113" s="15" t="s">
        <v>465</v>
      </c>
      <c r="F113" s="15" t="s">
        <v>327</v>
      </c>
      <c r="G113" s="15" t="s">
        <v>345</v>
      </c>
      <c r="H113" s="15" t="s">
        <v>269</v>
      </c>
      <c r="I113" s="15" t="s">
        <v>269</v>
      </c>
      <c r="J113" s="15" t="s">
        <v>3</v>
      </c>
      <c r="K113" s="15" t="s">
        <v>3</v>
      </c>
    </row>
    <row r="114" spans="1:11" x14ac:dyDescent="0.3">
      <c r="A114" s="15" t="s">
        <v>73</v>
      </c>
      <c r="B114" s="15" t="s">
        <v>404</v>
      </c>
      <c r="C114" s="15">
        <v>0.65864987114590456</v>
      </c>
      <c r="D114" s="15" t="s">
        <v>19</v>
      </c>
      <c r="E114" s="15" t="s">
        <v>465</v>
      </c>
      <c r="F114" s="15" t="s">
        <v>327</v>
      </c>
      <c r="G114" s="15" t="s">
        <v>298</v>
      </c>
      <c r="H114" s="15" t="s">
        <v>269</v>
      </c>
      <c r="I114" s="15" t="s">
        <v>18</v>
      </c>
      <c r="J114" s="15" t="s">
        <v>3</v>
      </c>
      <c r="K114" s="15" t="s">
        <v>408</v>
      </c>
    </row>
    <row r="115" spans="1:11" x14ac:dyDescent="0.3">
      <c r="A115" s="15" t="s">
        <v>73</v>
      </c>
      <c r="B115" s="15" t="s">
        <v>407</v>
      </c>
      <c r="C115" s="15">
        <v>0.32932443557295227</v>
      </c>
      <c r="D115" s="15" t="s">
        <v>19</v>
      </c>
      <c r="E115" s="15" t="s">
        <v>465</v>
      </c>
      <c r="F115" s="15" t="s">
        <v>327</v>
      </c>
      <c r="G115" s="15" t="s">
        <v>356</v>
      </c>
      <c r="H115" s="15" t="s">
        <v>269</v>
      </c>
      <c r="I115" s="15" t="s">
        <v>269</v>
      </c>
      <c r="J115" s="15" t="s">
        <v>3</v>
      </c>
      <c r="K115" s="15" t="s">
        <v>3</v>
      </c>
    </row>
    <row r="116" spans="1:11" x14ac:dyDescent="0.3">
      <c r="A116" s="15" t="s">
        <v>73</v>
      </c>
      <c r="B116" s="15" t="s">
        <v>359</v>
      </c>
      <c r="C116" s="15">
        <v>0.32932443557295227</v>
      </c>
      <c r="D116" s="15" t="s">
        <v>19</v>
      </c>
      <c r="E116" s="15" t="s">
        <v>465</v>
      </c>
      <c r="F116" s="15" t="s">
        <v>327</v>
      </c>
      <c r="G116" s="15" t="s">
        <v>360</v>
      </c>
      <c r="H116" s="15" t="s">
        <v>269</v>
      </c>
      <c r="I116" s="15" t="s">
        <v>269</v>
      </c>
      <c r="J116" s="15" t="s">
        <v>3</v>
      </c>
      <c r="K116" s="15" t="s">
        <v>3</v>
      </c>
    </row>
    <row r="117" spans="1:11" x14ac:dyDescent="0.3">
      <c r="A117" s="15" t="s">
        <v>73</v>
      </c>
      <c r="B117" s="15" t="s">
        <v>380</v>
      </c>
      <c r="C117" s="15">
        <v>9.9999999999999995E-7</v>
      </c>
      <c r="D117" s="15" t="s">
        <v>19</v>
      </c>
      <c r="E117" s="15" t="s">
        <v>465</v>
      </c>
      <c r="F117" s="15" t="s">
        <v>327</v>
      </c>
      <c r="G117" s="15" t="s">
        <v>361</v>
      </c>
      <c r="H117" s="15" t="s">
        <v>269</v>
      </c>
      <c r="I117" s="15" t="s">
        <v>269</v>
      </c>
      <c r="J117" s="15" t="s">
        <v>3</v>
      </c>
      <c r="K117" s="15" t="s">
        <v>3</v>
      </c>
    </row>
    <row r="118" spans="1:11" x14ac:dyDescent="0.3">
      <c r="A118" s="15" t="s">
        <v>30</v>
      </c>
      <c r="B118" s="15" t="s">
        <v>399</v>
      </c>
      <c r="C118" s="15">
        <v>3.101373597961457</v>
      </c>
      <c r="D118" s="15" t="s">
        <v>19</v>
      </c>
      <c r="E118" s="15" t="s">
        <v>465</v>
      </c>
      <c r="F118" s="15" t="s">
        <v>328</v>
      </c>
      <c r="G118" s="15" t="s">
        <v>297</v>
      </c>
      <c r="H118" s="15" t="s">
        <v>269</v>
      </c>
      <c r="I118" s="15" t="s">
        <v>18</v>
      </c>
      <c r="J118" s="15" t="s">
        <v>3</v>
      </c>
      <c r="K118" s="15" t="s">
        <v>405</v>
      </c>
    </row>
    <row r="119" spans="1:11" x14ac:dyDescent="0.3">
      <c r="A119" s="15" t="s">
        <v>30</v>
      </c>
      <c r="B119" s="15" t="s">
        <v>358</v>
      </c>
      <c r="C119" s="15">
        <v>2.9189398569049008</v>
      </c>
      <c r="D119" s="15" t="s">
        <v>19</v>
      </c>
      <c r="E119" s="15" t="s">
        <v>465</v>
      </c>
      <c r="F119" s="15" t="s">
        <v>328</v>
      </c>
      <c r="G119" s="15" t="s">
        <v>339</v>
      </c>
      <c r="H119" s="15" t="s">
        <v>269</v>
      </c>
      <c r="I119" s="15" t="s">
        <v>269</v>
      </c>
      <c r="J119" s="15" t="s">
        <v>3</v>
      </c>
      <c r="K119" s="15" t="s">
        <v>3</v>
      </c>
    </row>
    <row r="120" spans="1:11" x14ac:dyDescent="0.3">
      <c r="A120" s="15" t="s">
        <v>30</v>
      </c>
      <c r="B120" s="15" t="s">
        <v>398</v>
      </c>
      <c r="C120" s="15">
        <v>0.1824337410565563</v>
      </c>
      <c r="D120" s="15" t="s">
        <v>19</v>
      </c>
      <c r="E120" s="15" t="s">
        <v>465</v>
      </c>
      <c r="F120" s="15" t="s">
        <v>328</v>
      </c>
      <c r="G120" s="15" t="s">
        <v>345</v>
      </c>
      <c r="H120" s="15" t="s">
        <v>269</v>
      </c>
      <c r="I120" s="15" t="s">
        <v>269</v>
      </c>
      <c r="J120" s="15" t="s">
        <v>3</v>
      </c>
      <c r="K120" s="15" t="s">
        <v>3</v>
      </c>
    </row>
    <row r="121" spans="1:11" x14ac:dyDescent="0.3">
      <c r="A121" s="15" t="s">
        <v>30</v>
      </c>
      <c r="B121" s="15" t="s">
        <v>404</v>
      </c>
      <c r="C121" s="15">
        <v>0.36486848211311257</v>
      </c>
      <c r="D121" s="15" t="s">
        <v>19</v>
      </c>
      <c r="E121" s="15" t="s">
        <v>465</v>
      </c>
      <c r="F121" s="15" t="s">
        <v>328</v>
      </c>
      <c r="G121" s="15" t="s">
        <v>298</v>
      </c>
      <c r="H121" s="15" t="s">
        <v>269</v>
      </c>
      <c r="I121" s="15" t="s">
        <v>18</v>
      </c>
      <c r="J121" s="15" t="s">
        <v>3</v>
      </c>
      <c r="K121" s="15" t="s">
        <v>408</v>
      </c>
    </row>
    <row r="122" spans="1:11" x14ac:dyDescent="0.3">
      <c r="A122" s="15" t="s">
        <v>30</v>
      </c>
      <c r="B122" s="15" t="s">
        <v>407</v>
      </c>
      <c r="C122" s="15">
        <v>0.1824337410565563</v>
      </c>
      <c r="D122" s="15" t="s">
        <v>19</v>
      </c>
      <c r="E122" s="15" t="s">
        <v>465</v>
      </c>
      <c r="F122" s="15" t="s">
        <v>328</v>
      </c>
      <c r="G122" s="15" t="s">
        <v>356</v>
      </c>
      <c r="H122" s="15" t="s">
        <v>269</v>
      </c>
      <c r="I122" s="15" t="s">
        <v>269</v>
      </c>
      <c r="J122" s="15" t="s">
        <v>3</v>
      </c>
      <c r="K122" s="15" t="s">
        <v>3</v>
      </c>
    </row>
    <row r="123" spans="1:11" x14ac:dyDescent="0.3">
      <c r="A123" s="15" t="s">
        <v>30</v>
      </c>
      <c r="B123" s="15" t="s">
        <v>359</v>
      </c>
      <c r="C123" s="15">
        <v>0.1824337410565563</v>
      </c>
      <c r="D123" s="15" t="s">
        <v>19</v>
      </c>
      <c r="E123" s="15" t="s">
        <v>465</v>
      </c>
      <c r="F123" s="15" t="s">
        <v>328</v>
      </c>
      <c r="G123" s="15" t="s">
        <v>360</v>
      </c>
      <c r="H123" s="15" t="s">
        <v>269</v>
      </c>
      <c r="I123" s="15" t="s">
        <v>269</v>
      </c>
      <c r="J123" s="15" t="s">
        <v>3</v>
      </c>
      <c r="K123" s="15" t="s">
        <v>3</v>
      </c>
    </row>
    <row r="124" spans="1:11" x14ac:dyDescent="0.3">
      <c r="A124" s="15" t="s">
        <v>30</v>
      </c>
      <c r="B124" s="15" t="s">
        <v>380</v>
      </c>
      <c r="C124" s="15">
        <v>9.9999999999999995E-7</v>
      </c>
      <c r="D124" s="15" t="s">
        <v>19</v>
      </c>
      <c r="E124" s="15" t="s">
        <v>465</v>
      </c>
      <c r="F124" s="15" t="s">
        <v>328</v>
      </c>
      <c r="G124" s="15" t="s">
        <v>361</v>
      </c>
      <c r="H124" s="15" t="s">
        <v>269</v>
      </c>
      <c r="I124" s="15" t="s">
        <v>269</v>
      </c>
      <c r="J124" s="15" t="s">
        <v>3</v>
      </c>
      <c r="K124" s="15" t="s">
        <v>3</v>
      </c>
    </row>
    <row r="125" spans="1:11" x14ac:dyDescent="0.3">
      <c r="A125" s="15" t="s">
        <v>80</v>
      </c>
      <c r="B125" s="15" t="s">
        <v>399</v>
      </c>
      <c r="C125" s="15">
        <v>17.851797736481068</v>
      </c>
      <c r="D125" s="15" t="s">
        <v>19</v>
      </c>
      <c r="E125" s="15" t="s">
        <v>465</v>
      </c>
      <c r="F125" s="15" t="s">
        <v>329</v>
      </c>
      <c r="G125" s="15" t="s">
        <v>297</v>
      </c>
      <c r="H125" s="15" t="s">
        <v>269</v>
      </c>
      <c r="I125" s="15" t="s">
        <v>18</v>
      </c>
      <c r="J125" s="15" t="s">
        <v>3</v>
      </c>
      <c r="K125" s="15" t="s">
        <v>405</v>
      </c>
    </row>
    <row r="126" spans="1:11" x14ac:dyDescent="0.3">
      <c r="A126" s="15" t="s">
        <v>80</v>
      </c>
      <c r="B126" s="15" t="s">
        <v>358</v>
      </c>
      <c r="C126" s="15">
        <v>15.497714518483566</v>
      </c>
      <c r="D126" s="15" t="s">
        <v>19</v>
      </c>
      <c r="E126" s="15" t="s">
        <v>465</v>
      </c>
      <c r="F126" s="15" t="s">
        <v>329</v>
      </c>
      <c r="G126" s="15" t="s">
        <v>339</v>
      </c>
      <c r="H126" s="15" t="s">
        <v>269</v>
      </c>
      <c r="I126" s="15" t="s">
        <v>269</v>
      </c>
      <c r="J126" s="15" t="s">
        <v>3</v>
      </c>
      <c r="K126" s="15" t="s">
        <v>3</v>
      </c>
    </row>
    <row r="127" spans="1:11" x14ac:dyDescent="0.3">
      <c r="A127" s="15" t="s">
        <v>80</v>
      </c>
      <c r="B127" s="15" t="s">
        <v>398</v>
      </c>
      <c r="C127" s="15">
        <v>2.3540832179975038</v>
      </c>
      <c r="D127" s="15" t="s">
        <v>19</v>
      </c>
      <c r="E127" s="15" t="s">
        <v>465</v>
      </c>
      <c r="F127" s="15" t="s">
        <v>329</v>
      </c>
      <c r="G127" s="15" t="s">
        <v>345</v>
      </c>
      <c r="H127" s="15" t="s">
        <v>269</v>
      </c>
      <c r="I127" s="15" t="s">
        <v>269</v>
      </c>
      <c r="J127" s="15" t="s">
        <v>3</v>
      </c>
      <c r="K127" s="15" t="s">
        <v>3</v>
      </c>
    </row>
    <row r="128" spans="1:11" x14ac:dyDescent="0.3">
      <c r="A128" s="15" t="s">
        <v>80</v>
      </c>
      <c r="B128" s="15" t="s">
        <v>404</v>
      </c>
      <c r="C128" s="15">
        <v>2.354085217997504</v>
      </c>
      <c r="D128" s="15" t="s">
        <v>19</v>
      </c>
      <c r="E128" s="15" t="s">
        <v>465</v>
      </c>
      <c r="F128" s="15" t="s">
        <v>329</v>
      </c>
      <c r="G128" s="15" t="s">
        <v>298</v>
      </c>
      <c r="H128" s="15" t="s">
        <v>269</v>
      </c>
      <c r="I128" s="15" t="s">
        <v>18</v>
      </c>
      <c r="J128" s="15" t="s">
        <v>3</v>
      </c>
      <c r="K128" s="15" t="s">
        <v>408</v>
      </c>
    </row>
    <row r="129" spans="1:11" x14ac:dyDescent="0.3">
      <c r="A129" s="15" t="s">
        <v>80</v>
      </c>
      <c r="B129" s="15" t="s">
        <v>407</v>
      </c>
      <c r="C129" s="15">
        <v>9.9999999999999995E-7</v>
      </c>
      <c r="D129" s="15" t="s">
        <v>19</v>
      </c>
      <c r="E129" s="15" t="s">
        <v>465</v>
      </c>
      <c r="F129" s="15" t="s">
        <v>329</v>
      </c>
      <c r="G129" s="15" t="s">
        <v>356</v>
      </c>
      <c r="H129" s="15" t="s">
        <v>269</v>
      </c>
      <c r="I129" s="15" t="s">
        <v>269</v>
      </c>
      <c r="J129" s="15" t="s">
        <v>3</v>
      </c>
      <c r="K129" s="15" t="s">
        <v>3</v>
      </c>
    </row>
    <row r="130" spans="1:11" x14ac:dyDescent="0.3">
      <c r="A130" s="15" t="s">
        <v>80</v>
      </c>
      <c r="B130" s="15" t="s">
        <v>359</v>
      </c>
      <c r="C130" s="15">
        <v>2.3540832179975038</v>
      </c>
      <c r="D130" s="15" t="s">
        <v>19</v>
      </c>
      <c r="E130" s="15" t="s">
        <v>465</v>
      </c>
      <c r="F130" s="15" t="s">
        <v>329</v>
      </c>
      <c r="G130" s="15" t="s">
        <v>360</v>
      </c>
      <c r="H130" s="15" t="s">
        <v>269</v>
      </c>
      <c r="I130" s="15" t="s">
        <v>269</v>
      </c>
      <c r="J130" s="15" t="s">
        <v>3</v>
      </c>
      <c r="K130" s="15" t="s">
        <v>3</v>
      </c>
    </row>
    <row r="131" spans="1:11" x14ac:dyDescent="0.3">
      <c r="A131" s="15" t="s">
        <v>80</v>
      </c>
      <c r="B131" s="15" t="s">
        <v>380</v>
      </c>
      <c r="C131" s="15">
        <v>9.9999999999999995E-7</v>
      </c>
      <c r="D131" s="15" t="s">
        <v>19</v>
      </c>
      <c r="E131" s="15" t="s">
        <v>465</v>
      </c>
      <c r="F131" s="15" t="s">
        <v>329</v>
      </c>
      <c r="G131" s="15" t="s">
        <v>361</v>
      </c>
      <c r="H131" s="15" t="s">
        <v>269</v>
      </c>
      <c r="I131" s="15" t="s">
        <v>269</v>
      </c>
      <c r="J131" s="15" t="s">
        <v>3</v>
      </c>
      <c r="K131" s="15" t="s">
        <v>3</v>
      </c>
    </row>
    <row r="132" spans="1:11" x14ac:dyDescent="0.3">
      <c r="A132" s="15" t="s">
        <v>358</v>
      </c>
      <c r="B132" s="15" t="s">
        <v>409</v>
      </c>
      <c r="C132" s="15">
        <v>35.396189895853212</v>
      </c>
      <c r="D132" s="15">
        <v>2021</v>
      </c>
      <c r="E132" s="15" t="s">
        <v>465</v>
      </c>
      <c r="F132" s="15" t="s">
        <v>339</v>
      </c>
      <c r="G132" s="15" t="s">
        <v>319</v>
      </c>
      <c r="H132" s="15" t="s">
        <v>269</v>
      </c>
      <c r="I132" s="15" t="s">
        <v>269</v>
      </c>
      <c r="J132" s="15" t="s">
        <v>3</v>
      </c>
      <c r="K132" s="15" t="s">
        <v>3</v>
      </c>
    </row>
  </sheetData>
  <autoFilter ref="A1:V132" xr:uid="{D362F7ED-69C7-4C40-9316-BA7D99120535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9FB1-0C0B-4D05-B038-27B8018DF131}">
  <sheetPr codeName="Sheet13"/>
  <dimension ref="A1:I106"/>
  <sheetViews>
    <sheetView zoomScale="70" zoomScaleNormal="70" workbookViewId="0"/>
  </sheetViews>
  <sheetFormatPr defaultRowHeight="14.4" x14ac:dyDescent="0.3"/>
  <cols>
    <col min="9" max="9" width="8.88671875" style="107"/>
  </cols>
  <sheetData>
    <row r="1" spans="1:9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07" t="s">
        <v>28</v>
      </c>
    </row>
    <row r="2" spans="1:9" x14ac:dyDescent="0.3">
      <c r="A2" t="s">
        <v>265</v>
      </c>
      <c r="B2" t="s">
        <v>409</v>
      </c>
      <c r="C2" t="s">
        <v>278</v>
      </c>
      <c r="D2" t="s">
        <v>319</v>
      </c>
      <c r="E2" t="s">
        <v>61</v>
      </c>
      <c r="F2" t="s">
        <v>409</v>
      </c>
      <c r="G2" t="s">
        <v>334</v>
      </c>
      <c r="H2" t="s">
        <v>319</v>
      </c>
      <c r="I2" s="107">
        <v>1.8667764604562678E-2</v>
      </c>
    </row>
    <row r="3" spans="1:9" x14ac:dyDescent="0.3">
      <c r="A3" t="s">
        <v>266</v>
      </c>
      <c r="B3" t="s">
        <v>409</v>
      </c>
      <c r="C3" t="s">
        <v>279</v>
      </c>
      <c r="D3" t="s">
        <v>319</v>
      </c>
      <c r="E3" t="s">
        <v>61</v>
      </c>
      <c r="F3" t="s">
        <v>409</v>
      </c>
      <c r="G3" t="s">
        <v>334</v>
      </c>
      <c r="H3" t="s">
        <v>319</v>
      </c>
      <c r="I3" s="107">
        <v>0.98133223012139081</v>
      </c>
    </row>
    <row r="4" spans="1:9" x14ac:dyDescent="0.3">
      <c r="A4" t="s">
        <v>267</v>
      </c>
      <c r="B4" t="s">
        <v>49</v>
      </c>
      <c r="C4" t="s">
        <v>280</v>
      </c>
      <c r="D4" t="s">
        <v>296</v>
      </c>
      <c r="E4" t="s">
        <v>62</v>
      </c>
      <c r="F4" t="s">
        <v>49</v>
      </c>
      <c r="G4" t="s">
        <v>335</v>
      </c>
      <c r="H4" t="s">
        <v>296</v>
      </c>
      <c r="I4" s="107">
        <v>4.3804053168841818E-2</v>
      </c>
    </row>
    <row r="5" spans="1:9" x14ac:dyDescent="0.3">
      <c r="A5" t="s">
        <v>268</v>
      </c>
      <c r="B5" t="s">
        <v>49</v>
      </c>
      <c r="C5" t="s">
        <v>283</v>
      </c>
      <c r="D5" t="s">
        <v>296</v>
      </c>
      <c r="E5" t="s">
        <v>62</v>
      </c>
      <c r="F5" t="s">
        <v>49</v>
      </c>
      <c r="G5" t="s">
        <v>335</v>
      </c>
      <c r="H5" t="s">
        <v>296</v>
      </c>
      <c r="I5" s="107">
        <v>0.95619594683115816</v>
      </c>
    </row>
    <row r="6" spans="1:9" x14ac:dyDescent="0.3">
      <c r="A6" t="s">
        <v>267</v>
      </c>
      <c r="B6" t="s">
        <v>44</v>
      </c>
      <c r="C6" t="s">
        <v>280</v>
      </c>
      <c r="D6" t="s">
        <v>297</v>
      </c>
      <c r="E6" t="s">
        <v>62</v>
      </c>
      <c r="F6" t="s">
        <v>44</v>
      </c>
      <c r="G6" t="s">
        <v>335</v>
      </c>
      <c r="H6" t="s">
        <v>297</v>
      </c>
      <c r="I6" s="107">
        <v>4.3804053168841818E-2</v>
      </c>
    </row>
    <row r="7" spans="1:9" x14ac:dyDescent="0.3">
      <c r="A7" t="s">
        <v>268</v>
      </c>
      <c r="B7" t="s">
        <v>44</v>
      </c>
      <c r="C7" t="s">
        <v>283</v>
      </c>
      <c r="D7" t="s">
        <v>297</v>
      </c>
      <c r="E7" t="s">
        <v>62</v>
      </c>
      <c r="F7" t="s">
        <v>44</v>
      </c>
      <c r="G7" t="s">
        <v>335</v>
      </c>
      <c r="H7" t="s">
        <v>297</v>
      </c>
      <c r="I7" s="107">
        <v>0.95619594683115816</v>
      </c>
    </row>
    <row r="8" spans="1:9" x14ac:dyDescent="0.3">
      <c r="A8" t="s">
        <v>272</v>
      </c>
      <c r="B8" t="s">
        <v>179</v>
      </c>
      <c r="C8" t="s">
        <v>286</v>
      </c>
      <c r="D8" t="s">
        <v>290</v>
      </c>
      <c r="E8" t="s">
        <v>64</v>
      </c>
      <c r="F8" t="s">
        <v>179</v>
      </c>
      <c r="G8" t="s">
        <v>337</v>
      </c>
      <c r="H8" t="s">
        <v>290</v>
      </c>
      <c r="I8" s="107">
        <v>5.1055646310342678E-2</v>
      </c>
    </row>
    <row r="9" spans="1:9" x14ac:dyDescent="0.3">
      <c r="A9" t="s">
        <v>273</v>
      </c>
      <c r="B9" t="s">
        <v>179</v>
      </c>
      <c r="C9" t="s">
        <v>287</v>
      </c>
      <c r="D9" t="s">
        <v>290</v>
      </c>
      <c r="E9" t="s">
        <v>64</v>
      </c>
      <c r="F9" t="s">
        <v>179</v>
      </c>
      <c r="G9" t="s">
        <v>337</v>
      </c>
      <c r="H9" t="s">
        <v>290</v>
      </c>
      <c r="I9" s="107">
        <v>0.94894435368965735</v>
      </c>
    </row>
    <row r="10" spans="1:9" x14ac:dyDescent="0.3">
      <c r="A10" t="s">
        <v>179</v>
      </c>
      <c r="B10" t="s">
        <v>409</v>
      </c>
      <c r="C10" t="s">
        <v>290</v>
      </c>
      <c r="D10" t="s">
        <v>319</v>
      </c>
      <c r="E10" t="s">
        <v>56</v>
      </c>
      <c r="F10" t="s">
        <v>59</v>
      </c>
      <c r="G10" t="s">
        <v>290</v>
      </c>
      <c r="H10" t="s">
        <v>368</v>
      </c>
      <c r="I10" s="107" t="s">
        <v>229</v>
      </c>
    </row>
    <row r="11" spans="1:9" x14ac:dyDescent="0.3">
      <c r="A11" t="s">
        <v>179</v>
      </c>
      <c r="B11" t="s">
        <v>33</v>
      </c>
      <c r="C11" t="s">
        <v>290</v>
      </c>
      <c r="D11" t="s">
        <v>322</v>
      </c>
      <c r="E11" t="s">
        <v>56</v>
      </c>
      <c r="F11" t="s">
        <v>59</v>
      </c>
      <c r="G11" t="s">
        <v>290</v>
      </c>
      <c r="H11" t="s">
        <v>368</v>
      </c>
      <c r="I11" s="107" t="s">
        <v>230</v>
      </c>
    </row>
    <row r="12" spans="1:9" x14ac:dyDescent="0.3">
      <c r="A12" t="s">
        <v>179</v>
      </c>
      <c r="B12" t="s">
        <v>57</v>
      </c>
      <c r="C12" t="s">
        <v>290</v>
      </c>
      <c r="D12" t="s">
        <v>325</v>
      </c>
      <c r="E12" t="s">
        <v>56</v>
      </c>
      <c r="F12" t="s">
        <v>59</v>
      </c>
      <c r="G12" t="s">
        <v>290</v>
      </c>
      <c r="H12" t="s">
        <v>368</v>
      </c>
      <c r="I12" s="107" t="s">
        <v>229</v>
      </c>
    </row>
    <row r="13" spans="1:9" x14ac:dyDescent="0.3">
      <c r="A13" t="s">
        <v>179</v>
      </c>
      <c r="B13" t="s">
        <v>29</v>
      </c>
      <c r="C13" t="s">
        <v>290</v>
      </c>
      <c r="D13" t="s">
        <v>326</v>
      </c>
      <c r="E13" t="s">
        <v>9</v>
      </c>
      <c r="F13" t="s">
        <v>58</v>
      </c>
      <c r="G13" t="s">
        <v>290</v>
      </c>
      <c r="H13" t="s">
        <v>369</v>
      </c>
      <c r="I13" s="107">
        <v>0.38461538461538469</v>
      </c>
    </row>
    <row r="14" spans="1:9" x14ac:dyDescent="0.3">
      <c r="A14" t="s">
        <v>179</v>
      </c>
      <c r="B14" t="s">
        <v>73</v>
      </c>
      <c r="C14" t="s">
        <v>290</v>
      </c>
      <c r="D14" t="s">
        <v>327</v>
      </c>
      <c r="E14" t="s">
        <v>9</v>
      </c>
      <c r="F14" t="s">
        <v>58</v>
      </c>
      <c r="G14" t="s">
        <v>290</v>
      </c>
      <c r="H14" t="s">
        <v>369</v>
      </c>
      <c r="I14" s="107">
        <v>0.19230769230769235</v>
      </c>
    </row>
    <row r="15" spans="1:9" x14ac:dyDescent="0.3">
      <c r="A15" t="s">
        <v>179</v>
      </c>
      <c r="B15" t="s">
        <v>30</v>
      </c>
      <c r="C15" t="s">
        <v>290</v>
      </c>
      <c r="D15" t="s">
        <v>328</v>
      </c>
      <c r="E15" t="s">
        <v>9</v>
      </c>
      <c r="F15" t="s">
        <v>58</v>
      </c>
      <c r="G15" t="s">
        <v>290</v>
      </c>
      <c r="H15" t="s">
        <v>369</v>
      </c>
      <c r="I15" s="107">
        <v>0.26923076923076933</v>
      </c>
    </row>
    <row r="16" spans="1:9" x14ac:dyDescent="0.3">
      <c r="A16" t="s">
        <v>179</v>
      </c>
      <c r="B16" t="s">
        <v>74</v>
      </c>
      <c r="C16" t="s">
        <v>290</v>
      </c>
      <c r="D16" t="s">
        <v>331</v>
      </c>
      <c r="E16" t="s">
        <v>9</v>
      </c>
      <c r="F16" t="s">
        <v>58</v>
      </c>
      <c r="G16" t="s">
        <v>290</v>
      </c>
      <c r="H16" t="s">
        <v>369</v>
      </c>
      <c r="I16" s="107">
        <v>0.15384615384615358</v>
      </c>
    </row>
    <row r="17" spans="1:9" x14ac:dyDescent="0.3">
      <c r="A17" t="s">
        <v>274</v>
      </c>
      <c r="B17" t="s">
        <v>36</v>
      </c>
      <c r="C17" t="s">
        <v>294</v>
      </c>
      <c r="D17" t="s">
        <v>313</v>
      </c>
      <c r="E17" t="s">
        <v>48</v>
      </c>
      <c r="F17" t="s">
        <v>51</v>
      </c>
      <c r="G17" t="s">
        <v>294</v>
      </c>
      <c r="H17" t="s">
        <v>367</v>
      </c>
      <c r="I17" s="107">
        <v>0.215</v>
      </c>
    </row>
    <row r="18" spans="1:9" x14ac:dyDescent="0.3">
      <c r="A18" t="s">
        <v>274</v>
      </c>
      <c r="B18" t="s">
        <v>37</v>
      </c>
      <c r="C18" t="s">
        <v>294</v>
      </c>
      <c r="D18" t="s">
        <v>314</v>
      </c>
      <c r="E18" t="s">
        <v>48</v>
      </c>
      <c r="F18" t="s">
        <v>51</v>
      </c>
      <c r="G18" t="s">
        <v>294</v>
      </c>
      <c r="H18" t="s">
        <v>367</v>
      </c>
      <c r="I18" s="107">
        <v>0.19</v>
      </c>
    </row>
    <row r="19" spans="1:9" x14ac:dyDescent="0.3">
      <c r="A19" t="s">
        <v>274</v>
      </c>
      <c r="B19" t="s">
        <v>39</v>
      </c>
      <c r="C19" t="s">
        <v>294</v>
      </c>
      <c r="D19" t="s">
        <v>315</v>
      </c>
      <c r="E19" t="s">
        <v>48</v>
      </c>
      <c r="F19" t="s">
        <v>51</v>
      </c>
      <c r="G19" t="s">
        <v>294</v>
      </c>
      <c r="H19" t="s">
        <v>367</v>
      </c>
      <c r="I19" s="107">
        <v>1.4999999999999999E-2</v>
      </c>
    </row>
    <row r="20" spans="1:9" x14ac:dyDescent="0.3">
      <c r="A20" t="s">
        <v>274</v>
      </c>
      <c r="B20" t="s">
        <v>40</v>
      </c>
      <c r="C20" t="s">
        <v>294</v>
      </c>
      <c r="D20" t="s">
        <v>316</v>
      </c>
      <c r="E20" t="s">
        <v>48</v>
      </c>
      <c r="F20" t="s">
        <v>51</v>
      </c>
      <c r="G20" t="s">
        <v>294</v>
      </c>
      <c r="H20" t="s">
        <v>367</v>
      </c>
      <c r="I20" s="107">
        <v>0.47</v>
      </c>
    </row>
    <row r="21" spans="1:9" x14ac:dyDescent="0.3">
      <c r="A21" t="s">
        <v>274</v>
      </c>
      <c r="B21" t="s">
        <v>41</v>
      </c>
      <c r="C21" t="s">
        <v>294</v>
      </c>
      <c r="D21" t="s">
        <v>317</v>
      </c>
      <c r="E21" t="s">
        <v>48</v>
      </c>
      <c r="F21" t="s">
        <v>51</v>
      </c>
      <c r="G21" t="s">
        <v>294</v>
      </c>
      <c r="H21" t="s">
        <v>367</v>
      </c>
      <c r="I21" s="107">
        <v>0.03</v>
      </c>
    </row>
    <row r="22" spans="1:9" x14ac:dyDescent="0.3">
      <c r="A22" t="s">
        <v>274</v>
      </c>
      <c r="B22" t="s">
        <v>38</v>
      </c>
      <c r="C22" t="s">
        <v>294</v>
      </c>
      <c r="D22" t="s">
        <v>318</v>
      </c>
      <c r="E22" t="s">
        <v>48</v>
      </c>
      <c r="F22" t="s">
        <v>51</v>
      </c>
      <c r="G22" t="s">
        <v>294</v>
      </c>
      <c r="H22" t="s">
        <v>367</v>
      </c>
      <c r="I22" s="107">
        <v>0.08</v>
      </c>
    </row>
    <row r="23" spans="1:9" x14ac:dyDescent="0.3">
      <c r="A23" t="s">
        <v>275</v>
      </c>
      <c r="B23" t="s">
        <v>36</v>
      </c>
      <c r="C23" t="s">
        <v>295</v>
      </c>
      <c r="D23" t="s">
        <v>313</v>
      </c>
      <c r="E23" t="s">
        <v>48</v>
      </c>
      <c r="F23" t="s">
        <v>51</v>
      </c>
      <c r="G23" t="s">
        <v>295</v>
      </c>
      <c r="H23" t="s">
        <v>367</v>
      </c>
      <c r="I23" s="107">
        <v>0.215</v>
      </c>
    </row>
    <row r="24" spans="1:9" x14ac:dyDescent="0.3">
      <c r="A24" t="s">
        <v>275</v>
      </c>
      <c r="B24" t="s">
        <v>37</v>
      </c>
      <c r="C24" t="s">
        <v>295</v>
      </c>
      <c r="D24" t="s">
        <v>314</v>
      </c>
      <c r="E24" t="s">
        <v>48</v>
      </c>
      <c r="F24" t="s">
        <v>51</v>
      </c>
      <c r="G24" t="s">
        <v>295</v>
      </c>
      <c r="H24" t="s">
        <v>367</v>
      </c>
      <c r="I24" s="107">
        <v>0.19</v>
      </c>
    </row>
    <row r="25" spans="1:9" x14ac:dyDescent="0.3">
      <c r="A25" t="s">
        <v>275</v>
      </c>
      <c r="B25" t="s">
        <v>39</v>
      </c>
      <c r="C25" t="s">
        <v>295</v>
      </c>
      <c r="D25" t="s">
        <v>315</v>
      </c>
      <c r="E25" t="s">
        <v>48</v>
      </c>
      <c r="F25" t="s">
        <v>51</v>
      </c>
      <c r="G25" t="s">
        <v>295</v>
      </c>
      <c r="H25" t="s">
        <v>367</v>
      </c>
      <c r="I25" s="107">
        <v>1.4999999999999999E-2</v>
      </c>
    </row>
    <row r="26" spans="1:9" x14ac:dyDescent="0.3">
      <c r="A26" t="s">
        <v>275</v>
      </c>
      <c r="B26" t="s">
        <v>40</v>
      </c>
      <c r="C26" t="s">
        <v>295</v>
      </c>
      <c r="D26" t="s">
        <v>316</v>
      </c>
      <c r="E26" t="s">
        <v>48</v>
      </c>
      <c r="F26" t="s">
        <v>51</v>
      </c>
      <c r="G26" t="s">
        <v>295</v>
      </c>
      <c r="H26" t="s">
        <v>367</v>
      </c>
      <c r="I26" s="107">
        <v>0.47</v>
      </c>
    </row>
    <row r="27" spans="1:9" x14ac:dyDescent="0.3">
      <c r="A27" t="s">
        <v>275</v>
      </c>
      <c r="B27" t="s">
        <v>41</v>
      </c>
      <c r="C27" t="s">
        <v>295</v>
      </c>
      <c r="D27" t="s">
        <v>317</v>
      </c>
      <c r="E27" t="s">
        <v>48</v>
      </c>
      <c r="F27" t="s">
        <v>51</v>
      </c>
      <c r="G27" t="s">
        <v>295</v>
      </c>
      <c r="H27" t="s">
        <v>367</v>
      </c>
      <c r="I27" s="107">
        <v>0.03</v>
      </c>
    </row>
    <row r="28" spans="1:9" x14ac:dyDescent="0.3">
      <c r="A28" t="s">
        <v>275</v>
      </c>
      <c r="B28" t="s">
        <v>38</v>
      </c>
      <c r="C28" t="s">
        <v>295</v>
      </c>
      <c r="D28" t="s">
        <v>318</v>
      </c>
      <c r="E28" t="s">
        <v>48</v>
      </c>
      <c r="F28" t="s">
        <v>51</v>
      </c>
      <c r="G28" t="s">
        <v>295</v>
      </c>
      <c r="H28" t="s">
        <v>367</v>
      </c>
      <c r="I28" s="107">
        <v>0.08</v>
      </c>
    </row>
    <row r="29" spans="1:9" x14ac:dyDescent="0.3">
      <c r="A29" t="s">
        <v>274</v>
      </c>
      <c r="B29" t="s">
        <v>29</v>
      </c>
      <c r="C29" t="s">
        <v>294</v>
      </c>
      <c r="D29" t="s">
        <v>326</v>
      </c>
      <c r="E29" t="s">
        <v>48</v>
      </c>
      <c r="F29" t="s">
        <v>58</v>
      </c>
      <c r="G29" t="s">
        <v>294</v>
      </c>
      <c r="H29" t="s">
        <v>369</v>
      </c>
      <c r="I29" s="107">
        <v>0.50000000000000011</v>
      </c>
    </row>
    <row r="30" spans="1:9" x14ac:dyDescent="0.3">
      <c r="A30" t="s">
        <v>274</v>
      </c>
      <c r="B30" t="s">
        <v>73</v>
      </c>
      <c r="C30" t="s">
        <v>294</v>
      </c>
      <c r="D30" t="s">
        <v>327</v>
      </c>
      <c r="E30" t="s">
        <v>48</v>
      </c>
      <c r="F30" t="s">
        <v>58</v>
      </c>
      <c r="G30" t="s">
        <v>294</v>
      </c>
      <c r="H30" t="s">
        <v>369</v>
      </c>
      <c r="I30" s="107">
        <v>0.29629629629629622</v>
      </c>
    </row>
    <row r="31" spans="1:9" x14ac:dyDescent="0.3">
      <c r="A31" t="s">
        <v>274</v>
      </c>
      <c r="B31" t="s">
        <v>30</v>
      </c>
      <c r="C31" t="s">
        <v>294</v>
      </c>
      <c r="D31" t="s">
        <v>328</v>
      </c>
      <c r="E31" t="s">
        <v>48</v>
      </c>
      <c r="F31" t="s">
        <v>58</v>
      </c>
      <c r="G31" t="s">
        <v>294</v>
      </c>
      <c r="H31" t="s">
        <v>369</v>
      </c>
      <c r="I31" s="107">
        <v>0.12962962962962965</v>
      </c>
    </row>
    <row r="32" spans="1:9" x14ac:dyDescent="0.3">
      <c r="A32" t="s">
        <v>274</v>
      </c>
      <c r="B32" t="s">
        <v>74</v>
      </c>
      <c r="C32" t="s">
        <v>294</v>
      </c>
      <c r="D32" t="s">
        <v>331</v>
      </c>
      <c r="E32" t="s">
        <v>48</v>
      </c>
      <c r="F32" t="s">
        <v>58</v>
      </c>
      <c r="G32" t="s">
        <v>294</v>
      </c>
      <c r="H32" t="s">
        <v>369</v>
      </c>
      <c r="I32" s="107">
        <v>7.4074074074074084E-2</v>
      </c>
    </row>
    <row r="33" spans="1:9" x14ac:dyDescent="0.3">
      <c r="A33" t="s">
        <v>275</v>
      </c>
      <c r="B33" t="s">
        <v>29</v>
      </c>
      <c r="C33" t="s">
        <v>295</v>
      </c>
      <c r="D33" t="s">
        <v>326</v>
      </c>
      <c r="E33" t="s">
        <v>48</v>
      </c>
      <c r="F33" t="s">
        <v>58</v>
      </c>
      <c r="G33" t="s">
        <v>295</v>
      </c>
      <c r="H33" t="s">
        <v>369</v>
      </c>
      <c r="I33" s="107">
        <v>0.52173913043478259</v>
      </c>
    </row>
    <row r="34" spans="1:9" x14ac:dyDescent="0.3">
      <c r="A34" t="s">
        <v>275</v>
      </c>
      <c r="B34" t="s">
        <v>73</v>
      </c>
      <c r="C34" t="s">
        <v>295</v>
      </c>
      <c r="D34" t="s">
        <v>327</v>
      </c>
      <c r="E34" t="s">
        <v>48</v>
      </c>
      <c r="F34" t="s">
        <v>58</v>
      </c>
      <c r="G34" t="s">
        <v>295</v>
      </c>
      <c r="H34" t="s">
        <v>369</v>
      </c>
      <c r="I34" s="107">
        <v>0.23913043478260876</v>
      </c>
    </row>
    <row r="35" spans="1:9" x14ac:dyDescent="0.3">
      <c r="A35" t="s">
        <v>275</v>
      </c>
      <c r="B35" t="s">
        <v>30</v>
      </c>
      <c r="C35" t="s">
        <v>295</v>
      </c>
      <c r="D35" t="s">
        <v>328</v>
      </c>
      <c r="E35" t="s">
        <v>48</v>
      </c>
      <c r="F35" t="s">
        <v>58</v>
      </c>
      <c r="G35" t="s">
        <v>295</v>
      </c>
      <c r="H35" t="s">
        <v>369</v>
      </c>
      <c r="I35" s="107">
        <v>0.1521739130434783</v>
      </c>
    </row>
    <row r="36" spans="1:9" x14ac:dyDescent="0.3">
      <c r="A36" t="s">
        <v>275</v>
      </c>
      <c r="B36" t="s">
        <v>74</v>
      </c>
      <c r="C36" t="s">
        <v>295</v>
      </c>
      <c r="D36" t="s">
        <v>331</v>
      </c>
      <c r="E36" t="s">
        <v>48</v>
      </c>
      <c r="F36" t="s">
        <v>58</v>
      </c>
      <c r="G36" t="s">
        <v>295</v>
      </c>
      <c r="H36" t="s">
        <v>369</v>
      </c>
      <c r="I36" s="107">
        <v>8.6956521739130446E-2</v>
      </c>
    </row>
    <row r="37" spans="1:9" x14ac:dyDescent="0.3">
      <c r="A37" t="s">
        <v>49</v>
      </c>
      <c r="B37" t="s">
        <v>37</v>
      </c>
      <c r="C37" t="s">
        <v>296</v>
      </c>
      <c r="D37" t="s">
        <v>314</v>
      </c>
      <c r="E37" t="s">
        <v>49</v>
      </c>
      <c r="F37" t="s">
        <v>51</v>
      </c>
      <c r="G37" t="s">
        <v>296</v>
      </c>
      <c r="H37" t="s">
        <v>367</v>
      </c>
      <c r="I37" s="107">
        <v>0.15</v>
      </c>
    </row>
    <row r="38" spans="1:9" x14ac:dyDescent="0.3">
      <c r="A38" t="s">
        <v>49</v>
      </c>
      <c r="B38" t="s">
        <v>39</v>
      </c>
      <c r="C38" t="s">
        <v>296</v>
      </c>
      <c r="D38" t="s">
        <v>315</v>
      </c>
      <c r="E38" t="s">
        <v>49</v>
      </c>
      <c r="F38" t="s">
        <v>51</v>
      </c>
      <c r="G38" t="s">
        <v>296</v>
      </c>
      <c r="H38" t="s">
        <v>367</v>
      </c>
      <c r="I38" s="107">
        <v>5.5E-2</v>
      </c>
    </row>
    <row r="39" spans="1:9" x14ac:dyDescent="0.3">
      <c r="A39" t="s">
        <v>49</v>
      </c>
      <c r="B39" t="s">
        <v>40</v>
      </c>
      <c r="C39" t="s">
        <v>296</v>
      </c>
      <c r="D39" t="s">
        <v>316</v>
      </c>
      <c r="E39" t="s">
        <v>49</v>
      </c>
      <c r="F39" t="s">
        <v>51</v>
      </c>
      <c r="G39" t="s">
        <v>296</v>
      </c>
      <c r="H39" t="s">
        <v>367</v>
      </c>
      <c r="I39" s="107">
        <v>0.39500000000000002</v>
      </c>
    </row>
    <row r="40" spans="1:9" x14ac:dyDescent="0.3">
      <c r="A40" t="s">
        <v>49</v>
      </c>
      <c r="B40" t="s">
        <v>41</v>
      </c>
      <c r="C40" t="s">
        <v>296</v>
      </c>
      <c r="D40" t="s">
        <v>317</v>
      </c>
      <c r="E40" t="s">
        <v>49</v>
      </c>
      <c r="F40" t="s">
        <v>51</v>
      </c>
      <c r="G40" t="s">
        <v>296</v>
      </c>
      <c r="H40" t="s">
        <v>367</v>
      </c>
      <c r="I40" s="107">
        <v>0.2</v>
      </c>
    </row>
    <row r="41" spans="1:9" x14ac:dyDescent="0.3">
      <c r="A41" t="s">
        <v>49</v>
      </c>
      <c r="B41" t="s">
        <v>38</v>
      </c>
      <c r="C41" t="s">
        <v>296</v>
      </c>
      <c r="D41" t="s">
        <v>318</v>
      </c>
      <c r="E41" t="s">
        <v>49</v>
      </c>
      <c r="F41" t="s">
        <v>51</v>
      </c>
      <c r="G41" t="s">
        <v>296</v>
      </c>
      <c r="H41" t="s">
        <v>367</v>
      </c>
      <c r="I41" s="107">
        <v>0.2</v>
      </c>
    </row>
    <row r="42" spans="1:9" x14ac:dyDescent="0.3">
      <c r="A42" t="s">
        <v>44</v>
      </c>
      <c r="B42" t="s">
        <v>37</v>
      </c>
      <c r="C42" t="s">
        <v>297</v>
      </c>
      <c r="D42" t="s">
        <v>314</v>
      </c>
      <c r="E42" t="s">
        <v>44</v>
      </c>
      <c r="F42" t="s">
        <v>51</v>
      </c>
      <c r="G42" t="s">
        <v>297</v>
      </c>
      <c r="H42" t="s">
        <v>367</v>
      </c>
      <c r="I42" s="107">
        <v>0.08</v>
      </c>
    </row>
    <row r="43" spans="1:9" x14ac:dyDescent="0.3">
      <c r="A43" t="s">
        <v>44</v>
      </c>
      <c r="B43" t="s">
        <v>39</v>
      </c>
      <c r="C43" t="s">
        <v>297</v>
      </c>
      <c r="D43" t="s">
        <v>315</v>
      </c>
      <c r="E43" t="s">
        <v>44</v>
      </c>
      <c r="F43" t="s">
        <v>51</v>
      </c>
      <c r="G43" t="s">
        <v>297</v>
      </c>
      <c r="H43" t="s">
        <v>367</v>
      </c>
      <c r="I43" s="107">
        <v>2E-3</v>
      </c>
    </row>
    <row r="44" spans="1:9" x14ac:dyDescent="0.3">
      <c r="A44" t="s">
        <v>44</v>
      </c>
      <c r="B44" t="s">
        <v>40</v>
      </c>
      <c r="C44" t="s">
        <v>297</v>
      </c>
      <c r="D44" t="s">
        <v>316</v>
      </c>
      <c r="E44" t="s">
        <v>44</v>
      </c>
      <c r="F44" t="s">
        <v>51</v>
      </c>
      <c r="G44" t="s">
        <v>297</v>
      </c>
      <c r="H44" t="s">
        <v>367</v>
      </c>
      <c r="I44" s="107">
        <v>0.4</v>
      </c>
    </row>
    <row r="45" spans="1:9" x14ac:dyDescent="0.3">
      <c r="A45" t="s">
        <v>44</v>
      </c>
      <c r="B45" t="s">
        <v>41</v>
      </c>
      <c r="C45" t="s">
        <v>297</v>
      </c>
      <c r="D45" t="s">
        <v>317</v>
      </c>
      <c r="E45" t="s">
        <v>44</v>
      </c>
      <c r="F45" t="s">
        <v>51</v>
      </c>
      <c r="G45" t="s">
        <v>297</v>
      </c>
      <c r="H45" t="s">
        <v>367</v>
      </c>
      <c r="I45" s="107">
        <v>0.26800000000000002</v>
      </c>
    </row>
    <row r="46" spans="1:9" x14ac:dyDescent="0.3">
      <c r="A46" t="s">
        <v>44</v>
      </c>
      <c r="B46" t="s">
        <v>38</v>
      </c>
      <c r="C46" t="s">
        <v>297</v>
      </c>
      <c r="D46" t="s">
        <v>318</v>
      </c>
      <c r="E46" t="s">
        <v>44</v>
      </c>
      <c r="F46" t="s">
        <v>51</v>
      </c>
      <c r="G46" t="s">
        <v>297</v>
      </c>
      <c r="H46" t="s">
        <v>367</v>
      </c>
      <c r="I46" s="107">
        <v>0.25</v>
      </c>
    </row>
    <row r="47" spans="1:9" x14ac:dyDescent="0.3">
      <c r="A47" t="s">
        <v>44</v>
      </c>
      <c r="B47" t="s">
        <v>29</v>
      </c>
      <c r="C47" t="s">
        <v>297</v>
      </c>
      <c r="D47" t="s">
        <v>326</v>
      </c>
      <c r="E47" t="s">
        <v>44</v>
      </c>
      <c r="F47" t="s">
        <v>58</v>
      </c>
      <c r="G47" t="s">
        <v>297</v>
      </c>
      <c r="H47" t="s">
        <v>369</v>
      </c>
      <c r="I47" s="107">
        <v>0.75555555555555554</v>
      </c>
    </row>
    <row r="48" spans="1:9" x14ac:dyDescent="0.3">
      <c r="A48" t="s">
        <v>44</v>
      </c>
      <c r="B48" t="s">
        <v>73</v>
      </c>
      <c r="C48" t="s">
        <v>297</v>
      </c>
      <c r="D48" t="s">
        <v>327</v>
      </c>
      <c r="E48" t="s">
        <v>44</v>
      </c>
      <c r="F48" t="s">
        <v>58</v>
      </c>
      <c r="G48" t="s">
        <v>297</v>
      </c>
      <c r="H48" t="s">
        <v>369</v>
      </c>
      <c r="I48" s="107">
        <v>2.2222222222222487E-2</v>
      </c>
    </row>
    <row r="49" spans="1:9" x14ac:dyDescent="0.3">
      <c r="A49" t="s">
        <v>44</v>
      </c>
      <c r="B49" t="s">
        <v>30</v>
      </c>
      <c r="C49" t="s">
        <v>297</v>
      </c>
      <c r="D49" t="s">
        <v>328</v>
      </c>
      <c r="E49" t="s">
        <v>44</v>
      </c>
      <c r="F49" t="s">
        <v>58</v>
      </c>
      <c r="G49" t="s">
        <v>297</v>
      </c>
      <c r="H49" t="s">
        <v>369</v>
      </c>
      <c r="I49" s="107">
        <v>0.15555555555555556</v>
      </c>
    </row>
    <row r="50" spans="1:9" x14ac:dyDescent="0.3">
      <c r="A50" t="s">
        <v>44</v>
      </c>
      <c r="B50" t="s">
        <v>74</v>
      </c>
      <c r="C50" t="s">
        <v>297</v>
      </c>
      <c r="D50" t="s">
        <v>331</v>
      </c>
      <c r="E50" t="s">
        <v>44</v>
      </c>
      <c r="F50" t="s">
        <v>58</v>
      </c>
      <c r="G50" t="s">
        <v>297</v>
      </c>
      <c r="H50" t="s">
        <v>369</v>
      </c>
      <c r="I50" s="107">
        <v>6.6666666666666471E-2</v>
      </c>
    </row>
    <row r="51" spans="1:9" x14ac:dyDescent="0.3">
      <c r="A51" t="s">
        <v>45</v>
      </c>
      <c r="B51" t="s">
        <v>37</v>
      </c>
      <c r="C51" t="s">
        <v>298</v>
      </c>
      <c r="D51" t="s">
        <v>314</v>
      </c>
      <c r="E51" t="s">
        <v>45</v>
      </c>
      <c r="F51" t="s">
        <v>51</v>
      </c>
      <c r="G51" t="s">
        <v>298</v>
      </c>
      <c r="H51" t="s">
        <v>367</v>
      </c>
      <c r="I51" s="107">
        <v>0.02</v>
      </c>
    </row>
    <row r="52" spans="1:9" x14ac:dyDescent="0.3">
      <c r="A52" t="s">
        <v>45</v>
      </c>
      <c r="B52" t="s">
        <v>40</v>
      </c>
      <c r="C52" t="s">
        <v>298</v>
      </c>
      <c r="D52" t="s">
        <v>316</v>
      </c>
      <c r="E52" t="s">
        <v>45</v>
      </c>
      <c r="F52" t="s">
        <v>51</v>
      </c>
      <c r="G52" t="s">
        <v>298</v>
      </c>
      <c r="H52" t="s">
        <v>367</v>
      </c>
      <c r="I52" s="107">
        <v>0.27</v>
      </c>
    </row>
    <row r="53" spans="1:9" x14ac:dyDescent="0.3">
      <c r="A53" t="s">
        <v>45</v>
      </c>
      <c r="B53" t="s">
        <v>41</v>
      </c>
      <c r="C53" t="s">
        <v>298</v>
      </c>
      <c r="D53" t="s">
        <v>317</v>
      </c>
      <c r="E53" t="s">
        <v>45</v>
      </c>
      <c r="F53" t="s">
        <v>51</v>
      </c>
      <c r="G53" t="s">
        <v>298</v>
      </c>
      <c r="H53" t="s">
        <v>367</v>
      </c>
      <c r="I53" s="107">
        <v>0.66</v>
      </c>
    </row>
    <row r="54" spans="1:9" x14ac:dyDescent="0.3">
      <c r="A54" t="s">
        <v>45</v>
      </c>
      <c r="B54" t="s">
        <v>38</v>
      </c>
      <c r="C54" t="s">
        <v>298</v>
      </c>
      <c r="D54" t="s">
        <v>318</v>
      </c>
      <c r="E54" t="s">
        <v>45</v>
      </c>
      <c r="F54" t="s">
        <v>51</v>
      </c>
      <c r="G54" t="s">
        <v>298</v>
      </c>
      <c r="H54" t="s">
        <v>367</v>
      </c>
      <c r="I54" s="107">
        <v>0.05</v>
      </c>
    </row>
    <row r="55" spans="1:9" x14ac:dyDescent="0.3">
      <c r="A55" t="s">
        <v>46</v>
      </c>
      <c r="B55" t="s">
        <v>37</v>
      </c>
      <c r="C55" t="s">
        <v>299</v>
      </c>
      <c r="D55" t="s">
        <v>314</v>
      </c>
      <c r="E55" t="s">
        <v>46</v>
      </c>
      <c r="F55" t="s">
        <v>51</v>
      </c>
      <c r="G55" t="s">
        <v>299</v>
      </c>
      <c r="H55" t="s">
        <v>367</v>
      </c>
      <c r="I55" s="107">
        <v>0.06</v>
      </c>
    </row>
    <row r="56" spans="1:9" x14ac:dyDescent="0.3">
      <c r="A56" t="s">
        <v>46</v>
      </c>
      <c r="B56" t="s">
        <v>39</v>
      </c>
      <c r="C56" t="s">
        <v>299</v>
      </c>
      <c r="D56" t="s">
        <v>315</v>
      </c>
      <c r="E56" t="s">
        <v>46</v>
      </c>
      <c r="F56" t="s">
        <v>51</v>
      </c>
      <c r="G56" t="s">
        <v>299</v>
      </c>
      <c r="H56" t="s">
        <v>367</v>
      </c>
      <c r="I56" s="107">
        <v>1E-3</v>
      </c>
    </row>
    <row r="57" spans="1:9" x14ac:dyDescent="0.3">
      <c r="A57" t="s">
        <v>46</v>
      </c>
      <c r="B57" t="s">
        <v>40</v>
      </c>
      <c r="C57" t="s">
        <v>299</v>
      </c>
      <c r="D57" t="s">
        <v>316</v>
      </c>
      <c r="E57" t="s">
        <v>46</v>
      </c>
      <c r="F57" t="s">
        <v>51</v>
      </c>
      <c r="G57" t="s">
        <v>299</v>
      </c>
      <c r="H57" t="s">
        <v>367</v>
      </c>
      <c r="I57" s="107">
        <v>0.84899999999999998</v>
      </c>
    </row>
    <row r="58" spans="1:9" x14ac:dyDescent="0.3">
      <c r="A58" t="s">
        <v>46</v>
      </c>
      <c r="B58" t="s">
        <v>41</v>
      </c>
      <c r="C58" t="s">
        <v>299</v>
      </c>
      <c r="D58" t="s">
        <v>317</v>
      </c>
      <c r="E58" t="s">
        <v>46</v>
      </c>
      <c r="F58" t="s">
        <v>51</v>
      </c>
      <c r="G58" t="s">
        <v>299</v>
      </c>
      <c r="H58" t="s">
        <v>367</v>
      </c>
      <c r="I58" s="107">
        <v>0.03</v>
      </c>
    </row>
    <row r="59" spans="1:9" x14ac:dyDescent="0.3">
      <c r="A59" t="s">
        <v>46</v>
      </c>
      <c r="B59" t="s">
        <v>38</v>
      </c>
      <c r="C59" t="s">
        <v>299</v>
      </c>
      <c r="D59" t="s">
        <v>318</v>
      </c>
      <c r="E59" t="s">
        <v>46</v>
      </c>
      <c r="F59" t="s">
        <v>51</v>
      </c>
      <c r="G59" t="s">
        <v>299</v>
      </c>
      <c r="H59" t="s">
        <v>367</v>
      </c>
      <c r="I59" s="107">
        <v>0.06</v>
      </c>
    </row>
    <row r="60" spans="1:9" x14ac:dyDescent="0.3">
      <c r="A60" t="s">
        <v>180</v>
      </c>
      <c r="B60" t="s">
        <v>37</v>
      </c>
      <c r="C60" t="s">
        <v>300</v>
      </c>
      <c r="D60" t="s">
        <v>314</v>
      </c>
      <c r="E60" t="s">
        <v>180</v>
      </c>
      <c r="F60" t="s">
        <v>51</v>
      </c>
      <c r="G60" t="s">
        <v>300</v>
      </c>
      <c r="H60" t="s">
        <v>367</v>
      </c>
      <c r="I60" s="107">
        <v>0.25</v>
      </c>
    </row>
    <row r="61" spans="1:9" x14ac:dyDescent="0.3">
      <c r="A61" t="s">
        <v>180</v>
      </c>
      <c r="B61" t="s">
        <v>40</v>
      </c>
      <c r="C61" t="s">
        <v>300</v>
      </c>
      <c r="D61" t="s">
        <v>316</v>
      </c>
      <c r="E61" t="s">
        <v>180</v>
      </c>
      <c r="F61" t="s">
        <v>51</v>
      </c>
      <c r="G61" t="s">
        <v>300</v>
      </c>
      <c r="H61" t="s">
        <v>367</v>
      </c>
      <c r="I61" s="107">
        <v>0.1</v>
      </c>
    </row>
    <row r="62" spans="1:9" x14ac:dyDescent="0.3">
      <c r="A62" t="s">
        <v>180</v>
      </c>
      <c r="B62" t="s">
        <v>41</v>
      </c>
      <c r="C62" t="s">
        <v>300</v>
      </c>
      <c r="D62" t="s">
        <v>317</v>
      </c>
      <c r="E62" t="s">
        <v>180</v>
      </c>
      <c r="F62" t="s">
        <v>51</v>
      </c>
      <c r="G62" t="s">
        <v>300</v>
      </c>
      <c r="H62" t="s">
        <v>367</v>
      </c>
      <c r="I62" s="107">
        <v>0.15</v>
      </c>
    </row>
    <row r="63" spans="1:9" x14ac:dyDescent="0.3">
      <c r="A63" t="s">
        <v>180</v>
      </c>
      <c r="B63" t="s">
        <v>38</v>
      </c>
      <c r="C63" t="s">
        <v>300</v>
      </c>
      <c r="D63" t="s">
        <v>318</v>
      </c>
      <c r="E63" t="s">
        <v>180</v>
      </c>
      <c r="F63" t="s">
        <v>51</v>
      </c>
      <c r="G63" t="s">
        <v>300</v>
      </c>
      <c r="H63" t="s">
        <v>367</v>
      </c>
      <c r="I63" s="107">
        <v>0.5</v>
      </c>
    </row>
    <row r="64" spans="1:9" x14ac:dyDescent="0.3">
      <c r="A64" t="s">
        <v>209</v>
      </c>
      <c r="B64" t="s">
        <v>37</v>
      </c>
      <c r="C64" t="s">
        <v>301</v>
      </c>
      <c r="D64" t="s">
        <v>314</v>
      </c>
      <c r="E64" t="s">
        <v>209</v>
      </c>
      <c r="F64" t="s">
        <v>51</v>
      </c>
      <c r="G64" t="s">
        <v>301</v>
      </c>
      <c r="H64" t="s">
        <v>367</v>
      </c>
      <c r="I64" s="107">
        <v>0.06</v>
      </c>
    </row>
    <row r="65" spans="1:9" x14ac:dyDescent="0.3">
      <c r="A65" t="s">
        <v>209</v>
      </c>
      <c r="B65" t="s">
        <v>40</v>
      </c>
      <c r="C65" t="s">
        <v>301</v>
      </c>
      <c r="D65" t="s">
        <v>316</v>
      </c>
      <c r="E65" t="s">
        <v>209</v>
      </c>
      <c r="F65" t="s">
        <v>51</v>
      </c>
      <c r="G65" t="s">
        <v>301</v>
      </c>
      <c r="H65" t="s">
        <v>367</v>
      </c>
      <c r="I65" s="107">
        <v>0.3</v>
      </c>
    </row>
    <row r="66" spans="1:9" x14ac:dyDescent="0.3">
      <c r="A66" t="s">
        <v>209</v>
      </c>
      <c r="B66" t="s">
        <v>41</v>
      </c>
      <c r="C66" t="s">
        <v>301</v>
      </c>
      <c r="D66" t="s">
        <v>317</v>
      </c>
      <c r="E66" t="s">
        <v>209</v>
      </c>
      <c r="F66" t="s">
        <v>51</v>
      </c>
      <c r="G66" t="s">
        <v>301</v>
      </c>
      <c r="H66" t="s">
        <v>367</v>
      </c>
      <c r="I66" s="107">
        <v>0.56999999999999995</v>
      </c>
    </row>
    <row r="67" spans="1:9" x14ac:dyDescent="0.3">
      <c r="A67" t="s">
        <v>209</v>
      </c>
      <c r="B67" t="s">
        <v>38</v>
      </c>
      <c r="C67" t="s">
        <v>301</v>
      </c>
      <c r="D67" t="s">
        <v>318</v>
      </c>
      <c r="E67" t="s">
        <v>209</v>
      </c>
      <c r="F67" t="s">
        <v>51</v>
      </c>
      <c r="G67" t="s">
        <v>301</v>
      </c>
      <c r="H67" t="s">
        <v>367</v>
      </c>
      <c r="I67" s="107">
        <v>7.0000000000000007E-2</v>
      </c>
    </row>
    <row r="68" spans="1:9" x14ac:dyDescent="0.3">
      <c r="A68" t="s">
        <v>78</v>
      </c>
      <c r="B68" t="s">
        <v>31</v>
      </c>
      <c r="C68" t="s">
        <v>308</v>
      </c>
      <c r="D68" t="s">
        <v>320</v>
      </c>
      <c r="E68" t="s">
        <v>50</v>
      </c>
      <c r="F68" t="s">
        <v>31</v>
      </c>
      <c r="G68" t="s">
        <v>366</v>
      </c>
      <c r="H68" t="s">
        <v>320</v>
      </c>
      <c r="I68" s="107">
        <v>0.11585214089554828</v>
      </c>
    </row>
    <row r="69" spans="1:9" x14ac:dyDescent="0.3">
      <c r="A69" t="s">
        <v>79</v>
      </c>
      <c r="B69" t="s">
        <v>31</v>
      </c>
      <c r="C69" t="s">
        <v>309</v>
      </c>
      <c r="D69" t="s">
        <v>320</v>
      </c>
      <c r="E69" t="s">
        <v>50</v>
      </c>
      <c r="F69" t="s">
        <v>31</v>
      </c>
      <c r="G69" t="s">
        <v>366</v>
      </c>
      <c r="H69" t="s">
        <v>320</v>
      </c>
      <c r="I69" s="107">
        <v>0.62761818633027822</v>
      </c>
    </row>
    <row r="70" spans="1:9" x14ac:dyDescent="0.3">
      <c r="A70" t="s">
        <v>67</v>
      </c>
      <c r="B70" t="s">
        <v>31</v>
      </c>
      <c r="C70" t="s">
        <v>310</v>
      </c>
      <c r="D70" t="s">
        <v>320</v>
      </c>
      <c r="E70" t="s">
        <v>50</v>
      </c>
      <c r="F70" t="s">
        <v>31</v>
      </c>
      <c r="G70" t="s">
        <v>366</v>
      </c>
      <c r="H70" t="s">
        <v>320</v>
      </c>
      <c r="I70" s="107">
        <v>0.15190566312509265</v>
      </c>
    </row>
    <row r="71" spans="1:9" x14ac:dyDescent="0.3">
      <c r="A71" t="s">
        <v>69</v>
      </c>
      <c r="B71" t="s">
        <v>31</v>
      </c>
      <c r="C71" t="s">
        <v>312</v>
      </c>
      <c r="D71" t="s">
        <v>320</v>
      </c>
      <c r="E71" t="s">
        <v>50</v>
      </c>
      <c r="F71" t="s">
        <v>31</v>
      </c>
      <c r="G71" t="s">
        <v>366</v>
      </c>
      <c r="H71" t="s">
        <v>320</v>
      </c>
      <c r="I71" s="107">
        <v>0.10462400964908086</v>
      </c>
    </row>
    <row r="72" spans="1:9" x14ac:dyDescent="0.3">
      <c r="A72" t="s">
        <v>36</v>
      </c>
      <c r="B72" t="s">
        <v>32</v>
      </c>
      <c r="C72" t="s">
        <v>313</v>
      </c>
      <c r="D72" t="s">
        <v>321</v>
      </c>
      <c r="E72" t="s">
        <v>36</v>
      </c>
      <c r="F72" t="s">
        <v>59</v>
      </c>
      <c r="G72" t="s">
        <v>313</v>
      </c>
      <c r="H72" t="s">
        <v>368</v>
      </c>
      <c r="I72" s="107">
        <v>0.2</v>
      </c>
    </row>
    <row r="73" spans="1:9" x14ac:dyDescent="0.3">
      <c r="A73" t="s">
        <v>36</v>
      </c>
      <c r="B73" t="s">
        <v>33</v>
      </c>
      <c r="C73" t="s">
        <v>313</v>
      </c>
      <c r="D73" t="s">
        <v>322</v>
      </c>
      <c r="E73" t="s">
        <v>36</v>
      </c>
      <c r="F73" t="s">
        <v>59</v>
      </c>
      <c r="G73" t="s">
        <v>313</v>
      </c>
      <c r="H73" t="s">
        <v>368</v>
      </c>
      <c r="I73" s="107">
        <v>0.4</v>
      </c>
    </row>
    <row r="74" spans="1:9" x14ac:dyDescent="0.3">
      <c r="A74" t="s">
        <v>36</v>
      </c>
      <c r="B74" t="s">
        <v>34</v>
      </c>
      <c r="C74" t="s">
        <v>313</v>
      </c>
      <c r="D74" t="s">
        <v>323</v>
      </c>
      <c r="E74" t="s">
        <v>36</v>
      </c>
      <c r="F74" t="s">
        <v>59</v>
      </c>
      <c r="G74" t="s">
        <v>313</v>
      </c>
      <c r="H74" t="s">
        <v>368</v>
      </c>
      <c r="I74" s="107">
        <v>0.2</v>
      </c>
    </row>
    <row r="75" spans="1:9" x14ac:dyDescent="0.3">
      <c r="A75" t="s">
        <v>36</v>
      </c>
      <c r="B75" t="s">
        <v>57</v>
      </c>
      <c r="C75" t="s">
        <v>313</v>
      </c>
      <c r="D75" t="s">
        <v>325</v>
      </c>
      <c r="E75" t="s">
        <v>36</v>
      </c>
      <c r="F75" t="s">
        <v>59</v>
      </c>
      <c r="G75" t="s">
        <v>313</v>
      </c>
      <c r="H75" t="s">
        <v>368</v>
      </c>
      <c r="I75" s="107">
        <v>0.2</v>
      </c>
    </row>
    <row r="76" spans="1:9" x14ac:dyDescent="0.3">
      <c r="A76" t="s">
        <v>32</v>
      </c>
      <c r="B76" t="s">
        <v>378</v>
      </c>
      <c r="C76" t="s">
        <v>321</v>
      </c>
      <c r="D76" t="s">
        <v>332</v>
      </c>
      <c r="E76" t="s">
        <v>59</v>
      </c>
      <c r="F76" t="s">
        <v>378</v>
      </c>
      <c r="G76" t="s">
        <v>368</v>
      </c>
      <c r="H76" t="s">
        <v>332</v>
      </c>
      <c r="I76" s="107">
        <v>0.19700000000000001</v>
      </c>
    </row>
    <row r="77" spans="1:9" x14ac:dyDescent="0.3">
      <c r="A77" t="s">
        <v>33</v>
      </c>
      <c r="B77" t="s">
        <v>378</v>
      </c>
      <c r="C77" t="s">
        <v>322</v>
      </c>
      <c r="D77" t="s">
        <v>332</v>
      </c>
      <c r="E77" t="s">
        <v>59</v>
      </c>
      <c r="F77" t="s">
        <v>378</v>
      </c>
      <c r="G77" t="s">
        <v>368</v>
      </c>
      <c r="H77" t="s">
        <v>332</v>
      </c>
      <c r="I77" s="107">
        <v>0.69299999999999995</v>
      </c>
    </row>
    <row r="78" spans="1:9" x14ac:dyDescent="0.3">
      <c r="A78" t="s">
        <v>34</v>
      </c>
      <c r="B78" t="s">
        <v>378</v>
      </c>
      <c r="C78" t="s">
        <v>323</v>
      </c>
      <c r="D78" t="s">
        <v>332</v>
      </c>
      <c r="E78" t="s">
        <v>59</v>
      </c>
      <c r="F78" t="s">
        <v>378</v>
      </c>
      <c r="G78" t="s">
        <v>368</v>
      </c>
      <c r="H78" t="s">
        <v>332</v>
      </c>
      <c r="I78" s="107">
        <v>5.5E-2</v>
      </c>
    </row>
    <row r="79" spans="1:9" x14ac:dyDescent="0.3">
      <c r="A79" t="s">
        <v>57</v>
      </c>
      <c r="B79" t="s">
        <v>378</v>
      </c>
      <c r="C79" t="s">
        <v>325</v>
      </c>
      <c r="D79" t="s">
        <v>332</v>
      </c>
      <c r="E79" t="s">
        <v>59</v>
      </c>
      <c r="F79" t="s">
        <v>378</v>
      </c>
      <c r="G79" t="s">
        <v>368</v>
      </c>
      <c r="H79" t="s">
        <v>332</v>
      </c>
      <c r="I79" s="107">
        <v>5.5E-2</v>
      </c>
    </row>
    <row r="80" spans="1:9" x14ac:dyDescent="0.3">
      <c r="A80" t="s">
        <v>378</v>
      </c>
      <c r="B80" t="s">
        <v>358</v>
      </c>
      <c r="C80" t="s">
        <v>332</v>
      </c>
      <c r="D80" t="s">
        <v>339</v>
      </c>
      <c r="E80" t="s">
        <v>378</v>
      </c>
      <c r="F80" t="s">
        <v>357</v>
      </c>
      <c r="G80" t="s">
        <v>332</v>
      </c>
      <c r="H80" t="s">
        <v>406</v>
      </c>
      <c r="I80" s="107">
        <v>0.16845444995730044</v>
      </c>
    </row>
    <row r="81" spans="1:9" x14ac:dyDescent="0.3">
      <c r="A81" t="s">
        <v>378</v>
      </c>
      <c r="B81" t="s">
        <v>539</v>
      </c>
      <c r="C81" t="s">
        <v>332</v>
      </c>
      <c r="D81" t="s">
        <v>340</v>
      </c>
      <c r="E81" t="s">
        <v>378</v>
      </c>
      <c r="F81" t="s">
        <v>357</v>
      </c>
      <c r="G81" t="s">
        <v>332</v>
      </c>
      <c r="H81" t="s">
        <v>406</v>
      </c>
      <c r="I81" s="107">
        <v>7.8418450842191595E-2</v>
      </c>
    </row>
    <row r="82" spans="1:9" x14ac:dyDescent="0.3">
      <c r="A82" t="s">
        <v>378</v>
      </c>
      <c r="B82" t="s">
        <v>398</v>
      </c>
      <c r="C82" t="s">
        <v>332</v>
      </c>
      <c r="D82" t="s">
        <v>345</v>
      </c>
      <c r="E82" t="s">
        <v>378</v>
      </c>
      <c r="F82" t="s">
        <v>357</v>
      </c>
      <c r="G82" t="s">
        <v>332</v>
      </c>
      <c r="H82" t="s">
        <v>406</v>
      </c>
      <c r="I82" s="107">
        <v>4.356580602343977E-2</v>
      </c>
    </row>
    <row r="83" spans="1:9" x14ac:dyDescent="0.3">
      <c r="A83" t="s">
        <v>378</v>
      </c>
      <c r="B83" t="s">
        <v>407</v>
      </c>
      <c r="C83" t="s">
        <v>332</v>
      </c>
      <c r="D83" t="s">
        <v>356</v>
      </c>
      <c r="E83" t="s">
        <v>378</v>
      </c>
      <c r="F83" t="s">
        <v>357</v>
      </c>
      <c r="G83" t="s">
        <v>332</v>
      </c>
      <c r="H83" t="s">
        <v>406</v>
      </c>
      <c r="I83" s="107">
        <v>9.2577089876899027E-2</v>
      </c>
    </row>
    <row r="84" spans="1:9" x14ac:dyDescent="0.3">
      <c r="A84" t="s">
        <v>378</v>
      </c>
      <c r="B84" t="s">
        <v>359</v>
      </c>
      <c r="C84" t="s">
        <v>332</v>
      </c>
      <c r="D84" t="s">
        <v>360</v>
      </c>
      <c r="E84" t="s">
        <v>378</v>
      </c>
      <c r="F84" t="s">
        <v>357</v>
      </c>
      <c r="G84" t="s">
        <v>332</v>
      </c>
      <c r="H84" t="s">
        <v>406</v>
      </c>
      <c r="I84" s="107">
        <v>0.36677832649267833</v>
      </c>
    </row>
    <row r="85" spans="1:9" x14ac:dyDescent="0.3">
      <c r="A85" t="s">
        <v>378</v>
      </c>
      <c r="B85" t="s">
        <v>380</v>
      </c>
      <c r="C85" t="s">
        <v>332</v>
      </c>
      <c r="D85" t="s">
        <v>361</v>
      </c>
      <c r="E85" t="s">
        <v>378</v>
      </c>
      <c r="F85" t="s">
        <v>357</v>
      </c>
      <c r="G85" t="s">
        <v>332</v>
      </c>
      <c r="H85" t="s">
        <v>406</v>
      </c>
      <c r="I85" s="107">
        <v>0.25020587680749085</v>
      </c>
    </row>
    <row r="86" spans="1:9" x14ac:dyDescent="0.3">
      <c r="A86" t="s">
        <v>379</v>
      </c>
      <c r="B86" t="s">
        <v>358</v>
      </c>
      <c r="C86" t="s">
        <v>333</v>
      </c>
      <c r="D86" t="s">
        <v>339</v>
      </c>
      <c r="E86" t="s">
        <v>379</v>
      </c>
      <c r="F86" t="s">
        <v>357</v>
      </c>
      <c r="G86" t="s">
        <v>333</v>
      </c>
      <c r="H86" t="s">
        <v>406</v>
      </c>
      <c r="I86" s="107">
        <v>4.2463867501878562E-2</v>
      </c>
    </row>
    <row r="87" spans="1:9" x14ac:dyDescent="0.3">
      <c r="A87" t="s">
        <v>379</v>
      </c>
      <c r="B87" t="s">
        <v>540</v>
      </c>
      <c r="C87" t="s">
        <v>333</v>
      </c>
      <c r="D87" t="s">
        <v>344</v>
      </c>
      <c r="E87" t="s">
        <v>379</v>
      </c>
      <c r="F87" t="s">
        <v>357</v>
      </c>
      <c r="G87" t="s">
        <v>333</v>
      </c>
      <c r="H87" t="s">
        <v>406</v>
      </c>
      <c r="I87" s="107">
        <v>0.51402827837565324</v>
      </c>
    </row>
    <row r="88" spans="1:9" x14ac:dyDescent="0.3">
      <c r="A88" t="s">
        <v>379</v>
      </c>
      <c r="B88" t="s">
        <v>398</v>
      </c>
      <c r="C88" t="s">
        <v>333</v>
      </c>
      <c r="D88" t="s">
        <v>345</v>
      </c>
      <c r="E88" t="s">
        <v>379</v>
      </c>
      <c r="F88" t="s">
        <v>357</v>
      </c>
      <c r="G88" t="s">
        <v>333</v>
      </c>
      <c r="H88" t="s">
        <v>406</v>
      </c>
      <c r="I88" s="107">
        <v>2.101995967735211E-2</v>
      </c>
    </row>
    <row r="89" spans="1:9" x14ac:dyDescent="0.3">
      <c r="A89" t="s">
        <v>379</v>
      </c>
      <c r="B89" t="s">
        <v>407</v>
      </c>
      <c r="C89" t="s">
        <v>333</v>
      </c>
      <c r="D89" t="s">
        <v>356</v>
      </c>
      <c r="E89" t="s">
        <v>379</v>
      </c>
      <c r="F89" t="s">
        <v>357</v>
      </c>
      <c r="G89" t="s">
        <v>333</v>
      </c>
      <c r="H89" t="s">
        <v>406</v>
      </c>
      <c r="I89" s="107">
        <v>1.8198800357947957E-2</v>
      </c>
    </row>
    <row r="90" spans="1:9" x14ac:dyDescent="0.3">
      <c r="A90" t="s">
        <v>379</v>
      </c>
      <c r="B90" t="s">
        <v>359</v>
      </c>
      <c r="C90" t="s">
        <v>333</v>
      </c>
      <c r="D90" t="s">
        <v>360</v>
      </c>
      <c r="E90" t="s">
        <v>379</v>
      </c>
      <c r="F90" t="s">
        <v>357</v>
      </c>
      <c r="G90" t="s">
        <v>333</v>
      </c>
      <c r="H90" t="s">
        <v>406</v>
      </c>
      <c r="I90" s="107">
        <v>0.24033755897700118</v>
      </c>
    </row>
    <row r="91" spans="1:9" x14ac:dyDescent="0.3">
      <c r="A91" t="s">
        <v>379</v>
      </c>
      <c r="B91" t="s">
        <v>380</v>
      </c>
      <c r="C91" t="s">
        <v>333</v>
      </c>
      <c r="D91" t="s">
        <v>361</v>
      </c>
      <c r="E91" t="s">
        <v>379</v>
      </c>
      <c r="F91" t="s">
        <v>357</v>
      </c>
      <c r="G91" t="s">
        <v>333</v>
      </c>
      <c r="H91" t="s">
        <v>406</v>
      </c>
      <c r="I91" s="107">
        <v>0.16395153511016691</v>
      </c>
    </row>
    <row r="92" spans="1:9" x14ac:dyDescent="0.3">
      <c r="A92" t="s">
        <v>29</v>
      </c>
      <c r="B92" t="s">
        <v>358</v>
      </c>
      <c r="C92" t="s">
        <v>326</v>
      </c>
      <c r="D92" t="s">
        <v>339</v>
      </c>
      <c r="E92" t="s">
        <v>29</v>
      </c>
      <c r="F92" t="s">
        <v>357</v>
      </c>
      <c r="G92" t="s">
        <v>326</v>
      </c>
      <c r="H92" t="s">
        <v>406</v>
      </c>
      <c r="I92" s="107">
        <v>0.78571428571428581</v>
      </c>
    </row>
    <row r="93" spans="1:9" x14ac:dyDescent="0.3">
      <c r="A93" t="s">
        <v>29</v>
      </c>
      <c r="B93" t="s">
        <v>398</v>
      </c>
      <c r="C93" t="s">
        <v>326</v>
      </c>
      <c r="D93" t="s">
        <v>345</v>
      </c>
      <c r="E93" t="s">
        <v>29</v>
      </c>
      <c r="F93" t="s">
        <v>357</v>
      </c>
      <c r="G93" t="s">
        <v>326</v>
      </c>
      <c r="H93" t="s">
        <v>406</v>
      </c>
      <c r="I93" s="107">
        <v>7.1428571428571438E-2</v>
      </c>
    </row>
    <row r="94" spans="1:9" x14ac:dyDescent="0.3">
      <c r="A94" t="s">
        <v>29</v>
      </c>
      <c r="B94" t="s">
        <v>407</v>
      </c>
      <c r="C94" t="s">
        <v>326</v>
      </c>
      <c r="D94" t="s">
        <v>356</v>
      </c>
      <c r="E94" t="s">
        <v>29</v>
      </c>
      <c r="F94" t="s">
        <v>357</v>
      </c>
      <c r="G94" t="s">
        <v>326</v>
      </c>
      <c r="H94" t="s">
        <v>406</v>
      </c>
      <c r="I94" s="107">
        <v>7.1428571428571438E-2</v>
      </c>
    </row>
    <row r="95" spans="1:9" x14ac:dyDescent="0.3">
      <c r="A95" t="s">
        <v>29</v>
      </c>
      <c r="B95" t="s">
        <v>359</v>
      </c>
      <c r="C95" t="s">
        <v>326</v>
      </c>
      <c r="D95" t="s">
        <v>360</v>
      </c>
      <c r="E95" t="s">
        <v>29</v>
      </c>
      <c r="F95" t="s">
        <v>357</v>
      </c>
      <c r="G95" t="s">
        <v>326</v>
      </c>
      <c r="H95" t="s">
        <v>406</v>
      </c>
      <c r="I95" s="107">
        <v>7.1428571428571438E-2</v>
      </c>
    </row>
    <row r="96" spans="1:9" x14ac:dyDescent="0.3">
      <c r="A96" t="s">
        <v>73</v>
      </c>
      <c r="B96" t="s">
        <v>358</v>
      </c>
      <c r="C96" t="s">
        <v>327</v>
      </c>
      <c r="D96" t="s">
        <v>339</v>
      </c>
      <c r="E96" t="s">
        <v>73</v>
      </c>
      <c r="F96" t="s">
        <v>357</v>
      </c>
      <c r="G96" t="s">
        <v>327</v>
      </c>
      <c r="H96" t="s">
        <v>406</v>
      </c>
      <c r="I96" s="107">
        <v>0.8125</v>
      </c>
    </row>
    <row r="97" spans="1:9" x14ac:dyDescent="0.3">
      <c r="A97" t="s">
        <v>73</v>
      </c>
      <c r="B97" t="s">
        <v>398</v>
      </c>
      <c r="C97" t="s">
        <v>327</v>
      </c>
      <c r="D97" t="s">
        <v>345</v>
      </c>
      <c r="E97" t="s">
        <v>73</v>
      </c>
      <c r="F97" t="s">
        <v>357</v>
      </c>
      <c r="G97" t="s">
        <v>327</v>
      </c>
      <c r="H97" t="s">
        <v>406</v>
      </c>
      <c r="I97" s="107">
        <v>6.25E-2</v>
      </c>
    </row>
    <row r="98" spans="1:9" x14ac:dyDescent="0.3">
      <c r="A98" t="s">
        <v>73</v>
      </c>
      <c r="B98" t="s">
        <v>407</v>
      </c>
      <c r="C98" t="s">
        <v>327</v>
      </c>
      <c r="D98" t="s">
        <v>356</v>
      </c>
      <c r="E98" t="s">
        <v>73</v>
      </c>
      <c r="F98" t="s">
        <v>357</v>
      </c>
      <c r="G98" t="s">
        <v>327</v>
      </c>
      <c r="H98" t="s">
        <v>406</v>
      </c>
      <c r="I98" s="107">
        <v>6.25E-2</v>
      </c>
    </row>
    <row r="99" spans="1:9" x14ac:dyDescent="0.3">
      <c r="A99" t="s">
        <v>73</v>
      </c>
      <c r="B99" t="s">
        <v>359</v>
      </c>
      <c r="C99" t="s">
        <v>327</v>
      </c>
      <c r="D99" t="s">
        <v>360</v>
      </c>
      <c r="E99" t="s">
        <v>73</v>
      </c>
      <c r="F99" t="s">
        <v>357</v>
      </c>
      <c r="G99" t="s">
        <v>327</v>
      </c>
      <c r="H99" t="s">
        <v>406</v>
      </c>
      <c r="I99" s="107">
        <v>6.25E-2</v>
      </c>
    </row>
    <row r="100" spans="1:9" x14ac:dyDescent="0.3">
      <c r="A100" t="s">
        <v>30</v>
      </c>
      <c r="B100" t="s">
        <v>358</v>
      </c>
      <c r="C100" t="s">
        <v>328</v>
      </c>
      <c r="D100" t="s">
        <v>339</v>
      </c>
      <c r="E100" t="s">
        <v>30</v>
      </c>
      <c r="F100" t="s">
        <v>357</v>
      </c>
      <c r="G100" t="s">
        <v>328</v>
      </c>
      <c r="H100" t="s">
        <v>406</v>
      </c>
      <c r="I100" s="107">
        <v>0.84210526315789469</v>
      </c>
    </row>
    <row r="101" spans="1:9" x14ac:dyDescent="0.3">
      <c r="A101" t="s">
        <v>30</v>
      </c>
      <c r="B101" t="s">
        <v>398</v>
      </c>
      <c r="C101" t="s">
        <v>328</v>
      </c>
      <c r="D101" t="s">
        <v>345</v>
      </c>
      <c r="E101" t="s">
        <v>30</v>
      </c>
      <c r="F101" t="s">
        <v>357</v>
      </c>
      <c r="G101" t="s">
        <v>328</v>
      </c>
      <c r="H101" t="s">
        <v>406</v>
      </c>
      <c r="I101" s="107">
        <v>5.2631578947368418E-2</v>
      </c>
    </row>
    <row r="102" spans="1:9" x14ac:dyDescent="0.3">
      <c r="A102" t="s">
        <v>30</v>
      </c>
      <c r="B102" t="s">
        <v>407</v>
      </c>
      <c r="C102" t="s">
        <v>328</v>
      </c>
      <c r="D102" t="s">
        <v>356</v>
      </c>
      <c r="E102" t="s">
        <v>30</v>
      </c>
      <c r="F102" t="s">
        <v>357</v>
      </c>
      <c r="G102" t="s">
        <v>328</v>
      </c>
      <c r="H102" t="s">
        <v>406</v>
      </c>
      <c r="I102" s="107">
        <v>5.2631578947368418E-2</v>
      </c>
    </row>
    <row r="103" spans="1:9" x14ac:dyDescent="0.3">
      <c r="A103" t="s">
        <v>30</v>
      </c>
      <c r="B103" t="s">
        <v>359</v>
      </c>
      <c r="C103" t="s">
        <v>328</v>
      </c>
      <c r="D103" t="s">
        <v>360</v>
      </c>
      <c r="E103" t="s">
        <v>30</v>
      </c>
      <c r="F103" t="s">
        <v>357</v>
      </c>
      <c r="G103" t="s">
        <v>328</v>
      </c>
      <c r="H103" t="s">
        <v>406</v>
      </c>
      <c r="I103" s="107">
        <v>5.2631578947368418E-2</v>
      </c>
    </row>
    <row r="104" spans="1:9" x14ac:dyDescent="0.3">
      <c r="A104" t="s">
        <v>80</v>
      </c>
      <c r="B104" t="s">
        <v>358</v>
      </c>
      <c r="C104" t="s">
        <v>329</v>
      </c>
      <c r="D104" t="s">
        <v>339</v>
      </c>
      <c r="E104" t="s">
        <v>80</v>
      </c>
      <c r="F104" t="s">
        <v>357</v>
      </c>
      <c r="G104" t="s">
        <v>329</v>
      </c>
      <c r="H104" t="s">
        <v>406</v>
      </c>
      <c r="I104" s="107">
        <v>0.76699029126213591</v>
      </c>
    </row>
    <row r="105" spans="1:9" x14ac:dyDescent="0.3">
      <c r="A105" t="s">
        <v>80</v>
      </c>
      <c r="B105" t="s">
        <v>398</v>
      </c>
      <c r="C105" t="s">
        <v>329</v>
      </c>
      <c r="D105" t="s">
        <v>345</v>
      </c>
      <c r="E105" t="s">
        <v>80</v>
      </c>
      <c r="F105" t="s">
        <v>357</v>
      </c>
      <c r="G105" t="s">
        <v>329</v>
      </c>
      <c r="H105" t="s">
        <v>406</v>
      </c>
      <c r="I105" s="107">
        <v>0.11650485436893204</v>
      </c>
    </row>
    <row r="106" spans="1:9" x14ac:dyDescent="0.3">
      <c r="A106" t="s">
        <v>80</v>
      </c>
      <c r="B106" t="s">
        <v>359</v>
      </c>
      <c r="C106" t="s">
        <v>329</v>
      </c>
      <c r="D106" t="s">
        <v>360</v>
      </c>
      <c r="E106" t="s">
        <v>80</v>
      </c>
      <c r="F106" t="s">
        <v>357</v>
      </c>
      <c r="G106" t="s">
        <v>329</v>
      </c>
      <c r="H106" t="s">
        <v>406</v>
      </c>
      <c r="I106" s="107">
        <v>0.11650485436893204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0C9D-9035-4D4D-A7E2-899994673001}">
  <sheetPr codeName="Sheet1"/>
  <dimension ref="A1:G54"/>
  <sheetViews>
    <sheetView zoomScale="70" zoomScaleNormal="70" workbookViewId="0"/>
  </sheetViews>
  <sheetFormatPr defaultColWidth="35.88671875" defaultRowHeight="13.2" x14ac:dyDescent="0.3"/>
  <cols>
    <col min="1" max="1" width="50.5546875" style="2" bestFit="1" customWidth="1"/>
    <col min="2" max="2" width="20.33203125" style="2" customWidth="1"/>
    <col min="3" max="3" width="17.33203125" style="2" bestFit="1" customWidth="1"/>
    <col min="4" max="4" width="13.88671875" style="2" bestFit="1" customWidth="1"/>
    <col min="5" max="5" width="17.44140625" style="2" bestFit="1" customWidth="1"/>
    <col min="6" max="6" width="23.88671875" style="2" bestFit="1" customWidth="1"/>
    <col min="7" max="7" width="110" style="2" bestFit="1" customWidth="1"/>
    <col min="8" max="16384" width="35.88671875" style="2"/>
  </cols>
  <sheetData>
    <row r="1" spans="1:7" x14ac:dyDescent="0.3">
      <c r="A1" s="94" t="s">
        <v>463</v>
      </c>
      <c r="B1" s="94" t="s">
        <v>465</v>
      </c>
    </row>
    <row r="2" spans="1:7" x14ac:dyDescent="0.3">
      <c r="A2" s="114" t="s">
        <v>413</v>
      </c>
      <c r="B2" s="16"/>
      <c r="C2" s="16"/>
      <c r="D2" s="16"/>
      <c r="E2" s="16"/>
      <c r="F2" s="16"/>
      <c r="G2" s="16"/>
    </row>
    <row r="3" spans="1:7" ht="30" customHeight="1" x14ac:dyDescent="0.3">
      <c r="A3" s="30" t="s">
        <v>125</v>
      </c>
      <c r="B3" s="154" t="s">
        <v>118</v>
      </c>
      <c r="C3" s="154"/>
      <c r="D3" s="28" t="s">
        <v>91</v>
      </c>
      <c r="E3" s="94" t="s">
        <v>411</v>
      </c>
      <c r="F3" s="94" t="s">
        <v>216</v>
      </c>
      <c r="G3" s="72" t="s">
        <v>218</v>
      </c>
    </row>
    <row r="4" spans="1:7" ht="15.6" x14ac:dyDescent="0.3">
      <c r="A4" s="22" t="s">
        <v>514</v>
      </c>
      <c r="B4" s="155">
        <v>427.25</v>
      </c>
      <c r="C4" s="155"/>
      <c r="D4" s="2" t="s">
        <v>122</v>
      </c>
      <c r="E4" s="21">
        <f t="shared" ref="E4:E13" si="0">B4/1000</f>
        <v>0.42725000000000002</v>
      </c>
      <c r="F4" s="2" t="s">
        <v>526</v>
      </c>
      <c r="G4" s="97" t="s">
        <v>215</v>
      </c>
    </row>
    <row r="5" spans="1:7" ht="15.6" x14ac:dyDescent="0.3">
      <c r="A5" s="22" t="s">
        <v>515</v>
      </c>
      <c r="B5" s="155">
        <v>800</v>
      </c>
      <c r="C5" s="155"/>
      <c r="D5" s="2" t="s">
        <v>122</v>
      </c>
      <c r="E5" s="21">
        <f t="shared" si="0"/>
        <v>0.8</v>
      </c>
      <c r="F5" s="2" t="s">
        <v>468</v>
      </c>
      <c r="G5" s="97" t="s">
        <v>215</v>
      </c>
    </row>
    <row r="6" spans="1:7" ht="15.6" x14ac:dyDescent="0.3">
      <c r="A6" s="22" t="s">
        <v>516</v>
      </c>
      <c r="B6" s="155">
        <f>(B8+B10)/2</f>
        <v>415</v>
      </c>
      <c r="C6" s="155"/>
      <c r="D6" s="2" t="s">
        <v>100</v>
      </c>
      <c r="E6" s="21">
        <f t="shared" si="0"/>
        <v>0.41499999999999998</v>
      </c>
      <c r="F6" s="2" t="s">
        <v>526</v>
      </c>
      <c r="G6" s="97" t="s">
        <v>215</v>
      </c>
    </row>
    <row r="7" spans="1:7" ht="15.6" x14ac:dyDescent="0.3">
      <c r="A7" s="22" t="s">
        <v>517</v>
      </c>
      <c r="B7" s="155">
        <f>(B9+B11)/2</f>
        <v>553</v>
      </c>
      <c r="C7" s="155"/>
      <c r="D7" s="2" t="s">
        <v>100</v>
      </c>
      <c r="E7" s="21">
        <f t="shared" si="0"/>
        <v>0.55300000000000005</v>
      </c>
      <c r="F7" s="2" t="s">
        <v>526</v>
      </c>
      <c r="G7" s="97" t="s">
        <v>215</v>
      </c>
    </row>
    <row r="8" spans="1:7" ht="15.6" x14ac:dyDescent="0.3">
      <c r="A8" s="22" t="s">
        <v>518</v>
      </c>
      <c r="B8" s="155">
        <v>420</v>
      </c>
      <c r="C8" s="155"/>
      <c r="D8" s="2" t="s">
        <v>100</v>
      </c>
      <c r="E8" s="21">
        <f t="shared" si="0"/>
        <v>0.42</v>
      </c>
      <c r="F8" s="2" t="s">
        <v>468</v>
      </c>
      <c r="G8" s="97" t="s">
        <v>215</v>
      </c>
    </row>
    <row r="9" spans="1:7" ht="15.6" x14ac:dyDescent="0.3">
      <c r="A9" s="22" t="s">
        <v>519</v>
      </c>
      <c r="B9" s="155">
        <v>613</v>
      </c>
      <c r="C9" s="155"/>
      <c r="D9" s="2" t="s">
        <v>100</v>
      </c>
      <c r="E9" s="21">
        <f t="shared" si="0"/>
        <v>0.61299999999999999</v>
      </c>
      <c r="F9" s="2" t="s">
        <v>468</v>
      </c>
      <c r="G9" s="97" t="s">
        <v>215</v>
      </c>
    </row>
    <row r="10" spans="1:7" ht="15.6" x14ac:dyDescent="0.3">
      <c r="A10" s="22" t="s">
        <v>520</v>
      </c>
      <c r="B10" s="155">
        <v>410</v>
      </c>
      <c r="C10" s="155"/>
      <c r="D10" s="2" t="s">
        <v>100</v>
      </c>
      <c r="E10" s="21">
        <f t="shared" si="0"/>
        <v>0.41</v>
      </c>
      <c r="F10" s="2" t="s">
        <v>468</v>
      </c>
      <c r="G10" s="97" t="s">
        <v>215</v>
      </c>
    </row>
    <row r="11" spans="1:7" ht="15.6" x14ac:dyDescent="0.3">
      <c r="A11" s="22" t="s">
        <v>521</v>
      </c>
      <c r="B11" s="155">
        <v>493</v>
      </c>
      <c r="C11" s="155"/>
      <c r="D11" s="2" t="s">
        <v>100</v>
      </c>
      <c r="E11" s="21">
        <f t="shared" si="0"/>
        <v>0.49299999999999999</v>
      </c>
      <c r="F11" s="2" t="s">
        <v>468</v>
      </c>
      <c r="G11" s="97" t="s">
        <v>215</v>
      </c>
    </row>
    <row r="12" spans="1:7" ht="15.6" x14ac:dyDescent="0.3">
      <c r="A12" s="22" t="s">
        <v>522</v>
      </c>
      <c r="B12" s="155">
        <f>(B8+B10)/2</f>
        <v>415</v>
      </c>
      <c r="C12" s="155"/>
      <c r="D12" s="2" t="s">
        <v>100</v>
      </c>
      <c r="E12" s="21">
        <f t="shared" si="0"/>
        <v>0.41499999999999998</v>
      </c>
      <c r="F12" s="2" t="s">
        <v>526</v>
      </c>
      <c r="G12" s="97" t="s">
        <v>215</v>
      </c>
    </row>
    <row r="13" spans="1:7" ht="15.6" x14ac:dyDescent="0.3">
      <c r="A13" s="22" t="s">
        <v>523</v>
      </c>
      <c r="B13" s="156">
        <f>(B9+B11)/2</f>
        <v>553</v>
      </c>
      <c r="C13" s="156"/>
      <c r="D13" s="2" t="s">
        <v>100</v>
      </c>
      <c r="E13" s="21">
        <f t="shared" si="0"/>
        <v>0.55300000000000005</v>
      </c>
      <c r="F13" s="2" t="s">
        <v>526</v>
      </c>
      <c r="G13" s="97" t="s">
        <v>215</v>
      </c>
    </row>
    <row r="14" spans="1:7" ht="30" customHeight="1" x14ac:dyDescent="0.3">
      <c r="A14" s="26" t="s">
        <v>119</v>
      </c>
      <c r="B14" s="158" t="s">
        <v>92</v>
      </c>
      <c r="C14" s="158"/>
      <c r="D14" s="19" t="s">
        <v>91</v>
      </c>
      <c r="E14" s="18" t="s">
        <v>411</v>
      </c>
      <c r="F14" s="18" t="s">
        <v>216</v>
      </c>
      <c r="G14" s="25" t="s">
        <v>218</v>
      </c>
    </row>
    <row r="15" spans="1:7" ht="13.8" x14ac:dyDescent="0.3">
      <c r="A15" s="22" t="s">
        <v>119</v>
      </c>
      <c r="B15" s="153">
        <v>3.5000000000000003E-2</v>
      </c>
      <c r="C15" s="153"/>
      <c r="D15" s="2" t="s">
        <v>81</v>
      </c>
      <c r="E15" s="21">
        <f>1-B15</f>
        <v>0.96499999999999997</v>
      </c>
      <c r="F15" s="2" t="s">
        <v>217</v>
      </c>
      <c r="G15" s="97" t="s">
        <v>215</v>
      </c>
    </row>
    <row r="16" spans="1:7" ht="26.4" x14ac:dyDescent="0.3">
      <c r="A16" s="26" t="s">
        <v>93</v>
      </c>
      <c r="B16" s="158" t="s">
        <v>219</v>
      </c>
      <c r="C16" s="158"/>
      <c r="D16" s="19" t="s">
        <v>91</v>
      </c>
      <c r="E16" s="18" t="s">
        <v>411</v>
      </c>
      <c r="F16" s="18" t="s">
        <v>216</v>
      </c>
      <c r="G16" s="25" t="s">
        <v>218</v>
      </c>
    </row>
    <row r="17" spans="1:7" ht="15.6" x14ac:dyDescent="0.3">
      <c r="A17" s="22" t="s">
        <v>93</v>
      </c>
      <c r="B17" s="157">
        <v>2.4300000000000002</v>
      </c>
      <c r="C17" s="157"/>
      <c r="D17" s="2" t="s">
        <v>100</v>
      </c>
      <c r="E17" s="21">
        <f>1/B17</f>
        <v>0.41152263374485593</v>
      </c>
      <c r="F17" s="2" t="s">
        <v>468</v>
      </c>
      <c r="G17" s="97" t="s">
        <v>215</v>
      </c>
    </row>
    <row r="18" spans="1:7" ht="15.6" x14ac:dyDescent="0.3">
      <c r="A18" s="24" t="s">
        <v>117</v>
      </c>
      <c r="B18" s="159">
        <f>(2.46+2.41)/2</f>
        <v>2.4350000000000001</v>
      </c>
      <c r="C18" s="159"/>
      <c r="D18" s="16" t="s">
        <v>122</v>
      </c>
      <c r="E18" s="17">
        <f>1/B18</f>
        <v>0.41067761806981518</v>
      </c>
      <c r="F18" s="16" t="s">
        <v>468</v>
      </c>
      <c r="G18" s="98" t="s">
        <v>215</v>
      </c>
    </row>
    <row r="19" spans="1:7" ht="30" customHeight="1" x14ac:dyDescent="0.3">
      <c r="A19" s="26" t="s">
        <v>232</v>
      </c>
      <c r="B19" s="158" t="s">
        <v>92</v>
      </c>
      <c r="C19" s="158"/>
      <c r="E19" s="21"/>
      <c r="G19" s="97"/>
    </row>
    <row r="20" spans="1:7" ht="13.8" x14ac:dyDescent="0.3">
      <c r="A20" s="22" t="s">
        <v>151</v>
      </c>
      <c r="B20" s="153">
        <v>0.22500000000000001</v>
      </c>
      <c r="C20" s="153"/>
      <c r="D20" s="2" t="s">
        <v>81</v>
      </c>
      <c r="E20" s="21">
        <f>1-B20</f>
        <v>0.77500000000000002</v>
      </c>
      <c r="F20" s="2" t="s">
        <v>217</v>
      </c>
      <c r="G20" s="97" t="s">
        <v>231</v>
      </c>
    </row>
    <row r="21" spans="1:7" ht="26.4" x14ac:dyDescent="0.3">
      <c r="A21" s="26" t="s">
        <v>220</v>
      </c>
      <c r="B21" s="158" t="s">
        <v>92</v>
      </c>
      <c r="C21" s="158"/>
      <c r="D21" s="19" t="s">
        <v>91</v>
      </c>
      <c r="E21" s="18" t="s">
        <v>411</v>
      </c>
      <c r="F21" s="18" t="s">
        <v>216</v>
      </c>
      <c r="G21" s="25" t="s">
        <v>218</v>
      </c>
    </row>
    <row r="22" spans="1:7" ht="14.4" customHeight="1" x14ac:dyDescent="0.3">
      <c r="A22" s="22" t="s">
        <v>116</v>
      </c>
      <c r="B22" s="153">
        <v>7.4999999999999997E-2</v>
      </c>
      <c r="C22" s="153"/>
      <c r="D22" s="2" t="s">
        <v>81</v>
      </c>
      <c r="E22" s="21">
        <f>1-B22</f>
        <v>0.92500000000000004</v>
      </c>
      <c r="F22" s="2" t="s">
        <v>217</v>
      </c>
      <c r="G22" s="97" t="s">
        <v>215</v>
      </c>
    </row>
    <row r="23" spans="1:7" ht="13.8" x14ac:dyDescent="0.3">
      <c r="A23" s="24" t="s">
        <v>115</v>
      </c>
      <c r="B23" s="152">
        <v>7.4999999999999997E-2</v>
      </c>
      <c r="C23" s="152"/>
      <c r="D23" s="16" t="s">
        <v>81</v>
      </c>
      <c r="E23" s="17">
        <f>1-B23</f>
        <v>0.92500000000000004</v>
      </c>
      <c r="F23" s="16" t="s">
        <v>217</v>
      </c>
      <c r="G23" s="98" t="s">
        <v>215</v>
      </c>
    </row>
    <row r="24" spans="1:7" ht="39.6" customHeight="1" x14ac:dyDescent="0.3">
      <c r="A24" s="26" t="s">
        <v>114</v>
      </c>
      <c r="B24" s="19" t="s">
        <v>108</v>
      </c>
      <c r="C24" s="19" t="s">
        <v>113</v>
      </c>
      <c r="D24" s="19" t="s">
        <v>91</v>
      </c>
      <c r="E24" s="18" t="s">
        <v>411</v>
      </c>
      <c r="F24" s="18" t="s">
        <v>216</v>
      </c>
      <c r="G24" s="25" t="s">
        <v>218</v>
      </c>
    </row>
    <row r="25" spans="1:7" ht="15.6" x14ac:dyDescent="0.3">
      <c r="A25" s="22" t="s">
        <v>524</v>
      </c>
      <c r="B25" s="23">
        <v>556</v>
      </c>
      <c r="C25" s="29">
        <v>0.125</v>
      </c>
      <c r="D25" s="2" t="s">
        <v>100</v>
      </c>
      <c r="E25" s="21">
        <f>B25/1000*(1-C25)</f>
        <v>0.48650000000000004</v>
      </c>
      <c r="F25" s="2" t="s">
        <v>468</v>
      </c>
      <c r="G25" s="97" t="s">
        <v>215</v>
      </c>
    </row>
    <row r="26" spans="1:7" ht="15.6" x14ac:dyDescent="0.3">
      <c r="A26" s="24" t="s">
        <v>525</v>
      </c>
      <c r="B26" s="32">
        <v>730</v>
      </c>
      <c r="C26" s="20">
        <f>C25</f>
        <v>0.125</v>
      </c>
      <c r="D26" s="16" t="s">
        <v>100</v>
      </c>
      <c r="E26" s="17">
        <f>B26/1000*(1-C26)</f>
        <v>0.63874999999999993</v>
      </c>
      <c r="F26" s="16" t="s">
        <v>468</v>
      </c>
      <c r="G26" s="98" t="s">
        <v>215</v>
      </c>
    </row>
    <row r="27" spans="1:7" ht="42" x14ac:dyDescent="0.3">
      <c r="A27" s="26" t="s">
        <v>110</v>
      </c>
      <c r="B27" s="19" t="s">
        <v>108</v>
      </c>
      <c r="C27" s="19" t="s">
        <v>107</v>
      </c>
      <c r="D27" s="19" t="s">
        <v>91</v>
      </c>
      <c r="E27" s="18" t="s">
        <v>411</v>
      </c>
      <c r="F27" s="18" t="s">
        <v>216</v>
      </c>
      <c r="G27" s="25" t="s">
        <v>218</v>
      </c>
    </row>
    <row r="28" spans="1:7" ht="15.6" x14ac:dyDescent="0.3">
      <c r="A28" s="24" t="s">
        <v>354</v>
      </c>
      <c r="B28" s="32">
        <f>(620+650)/2</f>
        <v>635</v>
      </c>
      <c r="C28" s="20">
        <v>0.9</v>
      </c>
      <c r="D28" s="16" t="s">
        <v>100</v>
      </c>
      <c r="E28" s="17">
        <f>B28/1000*(C28)</f>
        <v>0.57150000000000001</v>
      </c>
      <c r="F28" s="16" t="s">
        <v>468</v>
      </c>
      <c r="G28" s="98" t="s">
        <v>215</v>
      </c>
    </row>
    <row r="29" spans="1:7" ht="42" x14ac:dyDescent="0.3">
      <c r="A29" s="30" t="s">
        <v>109</v>
      </c>
      <c r="B29" s="28" t="s">
        <v>108</v>
      </c>
      <c r="C29" s="28" t="s">
        <v>107</v>
      </c>
      <c r="D29" s="28" t="s">
        <v>91</v>
      </c>
      <c r="E29" s="94" t="s">
        <v>411</v>
      </c>
      <c r="F29" s="94" t="s">
        <v>216</v>
      </c>
      <c r="G29" s="72" t="s">
        <v>218</v>
      </c>
    </row>
    <row r="30" spans="1:7" ht="15.6" x14ac:dyDescent="0.3">
      <c r="A30" s="22" t="s">
        <v>106</v>
      </c>
      <c r="B30" s="31">
        <f>(620+650)/2</f>
        <v>635</v>
      </c>
      <c r="C30" s="29">
        <v>0.9</v>
      </c>
      <c r="D30" s="2" t="s">
        <v>100</v>
      </c>
      <c r="E30" s="21">
        <f t="shared" ref="E30:E35" si="1">B30/1000*(C30)</f>
        <v>0.57150000000000001</v>
      </c>
      <c r="F30" s="2" t="s">
        <v>468</v>
      </c>
      <c r="G30" s="97" t="s">
        <v>215</v>
      </c>
    </row>
    <row r="31" spans="1:7" ht="15.6" x14ac:dyDescent="0.3">
      <c r="A31" s="22" t="s">
        <v>105</v>
      </c>
      <c r="B31" s="31">
        <v>687</v>
      </c>
      <c r="C31" s="29">
        <f>(82*3+81*2+84*1+83*8)/14/100</f>
        <v>0.82571428571428573</v>
      </c>
      <c r="D31" s="2" t="s">
        <v>100</v>
      </c>
      <c r="E31" s="21">
        <f t="shared" si="1"/>
        <v>0.56726571428571437</v>
      </c>
      <c r="F31" s="2" t="s">
        <v>468</v>
      </c>
      <c r="G31" s="97" t="s">
        <v>215</v>
      </c>
    </row>
    <row r="32" spans="1:7" ht="15.6" x14ac:dyDescent="0.3">
      <c r="A32" s="22" t="s">
        <v>104</v>
      </c>
      <c r="B32" s="31">
        <v>655</v>
      </c>
      <c r="C32" s="29">
        <f>(90*4+86*3)/7/100</f>
        <v>0.8828571428571429</v>
      </c>
      <c r="D32" s="2" t="s">
        <v>100</v>
      </c>
      <c r="E32" s="21">
        <f t="shared" si="1"/>
        <v>0.57827142857142866</v>
      </c>
      <c r="F32" s="2" t="s">
        <v>468</v>
      </c>
      <c r="G32" s="97" t="s">
        <v>215</v>
      </c>
    </row>
    <row r="33" spans="1:7" ht="15.6" x14ac:dyDescent="0.3">
      <c r="A33" s="22" t="s">
        <v>103</v>
      </c>
      <c r="B33" s="31">
        <v>900</v>
      </c>
      <c r="C33" s="29">
        <f>(83*2+88*3)/5/100</f>
        <v>0.86</v>
      </c>
      <c r="D33" s="2" t="s">
        <v>100</v>
      </c>
      <c r="E33" s="21">
        <f t="shared" si="1"/>
        <v>0.77400000000000002</v>
      </c>
      <c r="F33" s="2" t="s">
        <v>468</v>
      </c>
      <c r="G33" s="97" t="s">
        <v>215</v>
      </c>
    </row>
    <row r="34" spans="1:7" ht="15.6" x14ac:dyDescent="0.3">
      <c r="A34" s="22" t="s">
        <v>102</v>
      </c>
      <c r="B34" s="23">
        <v>725</v>
      </c>
      <c r="C34" s="29">
        <f>(85*2+83*1+83*4)/7/100</f>
        <v>0.83571428571428574</v>
      </c>
      <c r="D34" s="2" t="s">
        <v>100</v>
      </c>
      <c r="E34" s="21">
        <f t="shared" si="1"/>
        <v>0.60589285714285712</v>
      </c>
      <c r="F34" s="2" t="s">
        <v>468</v>
      </c>
      <c r="G34" s="97" t="s">
        <v>215</v>
      </c>
    </row>
    <row r="35" spans="1:7" ht="15.6" x14ac:dyDescent="0.3">
      <c r="A35" s="24" t="s">
        <v>101</v>
      </c>
      <c r="B35" s="32">
        <f>(300*1+267*7)/8</f>
        <v>271.125</v>
      </c>
      <c r="C35" s="20">
        <f>90/100</f>
        <v>0.9</v>
      </c>
      <c r="D35" s="16" t="s">
        <v>100</v>
      </c>
      <c r="E35" s="17">
        <f t="shared" si="1"/>
        <v>0.24401250000000002</v>
      </c>
      <c r="F35" s="2" t="s">
        <v>526</v>
      </c>
      <c r="G35" s="98" t="s">
        <v>215</v>
      </c>
    </row>
    <row r="36" spans="1:7" ht="28.95" customHeight="1" x14ac:dyDescent="0.3">
      <c r="A36" s="30" t="s">
        <v>221</v>
      </c>
      <c r="B36" s="154" t="s">
        <v>92</v>
      </c>
      <c r="C36" s="154"/>
      <c r="D36" s="28" t="s">
        <v>91</v>
      </c>
      <c r="E36" s="18" t="s">
        <v>411</v>
      </c>
      <c r="F36" s="18" t="s">
        <v>216</v>
      </c>
      <c r="G36" s="25" t="s">
        <v>218</v>
      </c>
    </row>
    <row r="37" spans="1:7" ht="13.8" x14ac:dyDescent="0.3">
      <c r="A37" s="22" t="s">
        <v>99</v>
      </c>
      <c r="B37" s="153">
        <v>0.1</v>
      </c>
      <c r="C37" s="153"/>
      <c r="D37" s="2" t="s">
        <v>81</v>
      </c>
      <c r="E37" s="21">
        <f>1-B37</f>
        <v>0.9</v>
      </c>
      <c r="F37" s="2" t="s">
        <v>217</v>
      </c>
      <c r="G37" s="97" t="s">
        <v>215</v>
      </c>
    </row>
    <row r="38" spans="1:7" ht="13.8" x14ac:dyDescent="0.3">
      <c r="A38" s="22" t="s">
        <v>98</v>
      </c>
      <c r="B38" s="153">
        <v>0.1</v>
      </c>
      <c r="C38" s="153"/>
      <c r="D38" s="2" t="s">
        <v>81</v>
      </c>
      <c r="E38" s="21">
        <f>1-B38</f>
        <v>0.9</v>
      </c>
      <c r="F38" s="2" t="s">
        <v>217</v>
      </c>
      <c r="G38" s="97" t="s">
        <v>215</v>
      </c>
    </row>
    <row r="39" spans="1:7" ht="13.8" x14ac:dyDescent="0.3">
      <c r="A39" s="22" t="s">
        <v>97</v>
      </c>
      <c r="B39" s="153">
        <v>0.1</v>
      </c>
      <c r="C39" s="153"/>
      <c r="D39" s="2" t="s">
        <v>81</v>
      </c>
      <c r="E39" s="21">
        <f>1-B39</f>
        <v>0.9</v>
      </c>
      <c r="F39" s="2" t="s">
        <v>217</v>
      </c>
      <c r="G39" s="97" t="s">
        <v>215</v>
      </c>
    </row>
    <row r="40" spans="1:7" ht="13.8" x14ac:dyDescent="0.3">
      <c r="A40" s="22" t="s">
        <v>96</v>
      </c>
      <c r="B40" s="153">
        <v>0.1</v>
      </c>
      <c r="C40" s="153"/>
      <c r="D40" s="2" t="s">
        <v>81</v>
      </c>
      <c r="E40" s="21">
        <f>1-B40</f>
        <v>0.9</v>
      </c>
      <c r="F40" s="2" t="s">
        <v>217</v>
      </c>
      <c r="G40" s="97" t="s">
        <v>215</v>
      </c>
    </row>
    <row r="41" spans="1:7" ht="13.8" x14ac:dyDescent="0.3">
      <c r="A41" s="24" t="s">
        <v>95</v>
      </c>
      <c r="B41" s="152">
        <v>0.1</v>
      </c>
      <c r="C41" s="152"/>
      <c r="D41" s="16" t="s">
        <v>81</v>
      </c>
      <c r="E41" s="17">
        <f>1-B41</f>
        <v>0.9</v>
      </c>
      <c r="F41" s="16" t="s">
        <v>217</v>
      </c>
      <c r="G41" s="98" t="s">
        <v>215</v>
      </c>
    </row>
    <row r="42" spans="1:7" ht="28.95" customHeight="1" x14ac:dyDescent="0.3">
      <c r="A42" s="30" t="s">
        <v>222</v>
      </c>
      <c r="B42" s="154" t="s">
        <v>92</v>
      </c>
      <c r="C42" s="154"/>
      <c r="D42" s="28" t="s">
        <v>91</v>
      </c>
      <c r="E42" s="18" t="s">
        <v>411</v>
      </c>
      <c r="F42" s="18" t="s">
        <v>216</v>
      </c>
      <c r="G42" s="25" t="s">
        <v>218</v>
      </c>
    </row>
    <row r="43" spans="1:7" ht="13.8" x14ac:dyDescent="0.3">
      <c r="A43" s="22" t="s">
        <v>137</v>
      </c>
      <c r="B43" s="153">
        <v>0.125</v>
      </c>
      <c r="C43" s="153"/>
      <c r="D43" s="2" t="s">
        <v>81</v>
      </c>
      <c r="E43" s="21">
        <f t="shared" ref="E43" si="2">1-B43</f>
        <v>0.875</v>
      </c>
      <c r="F43" s="2" t="s">
        <v>217</v>
      </c>
      <c r="G43" s="97" t="s">
        <v>387</v>
      </c>
    </row>
    <row r="44" spans="1:7" ht="13.8" x14ac:dyDescent="0.3">
      <c r="A44" s="22" t="s">
        <v>89</v>
      </c>
      <c r="B44" s="153">
        <v>0.05</v>
      </c>
      <c r="C44" s="153"/>
      <c r="D44" s="2" t="s">
        <v>81</v>
      </c>
      <c r="E44" s="21">
        <f t="shared" ref="E44:E52" si="3">1-B44</f>
        <v>0.95</v>
      </c>
      <c r="F44" s="2" t="s">
        <v>217</v>
      </c>
      <c r="G44" s="97" t="s">
        <v>215</v>
      </c>
    </row>
    <row r="45" spans="1:7" ht="13.8" x14ac:dyDescent="0.3">
      <c r="A45" s="22" t="s">
        <v>88</v>
      </c>
      <c r="B45" s="153">
        <v>0.05</v>
      </c>
      <c r="C45" s="153"/>
      <c r="D45" s="2" t="s">
        <v>81</v>
      </c>
      <c r="E45" s="21">
        <f t="shared" si="3"/>
        <v>0.95</v>
      </c>
      <c r="F45" s="2" t="s">
        <v>217</v>
      </c>
      <c r="G45" s="97" t="s">
        <v>215</v>
      </c>
    </row>
    <row r="46" spans="1:7" ht="13.8" x14ac:dyDescent="0.3">
      <c r="A46" s="22" t="s">
        <v>87</v>
      </c>
      <c r="B46" s="153">
        <v>0.05</v>
      </c>
      <c r="C46" s="153"/>
      <c r="D46" s="2" t="s">
        <v>81</v>
      </c>
      <c r="E46" s="21">
        <f t="shared" si="3"/>
        <v>0.95</v>
      </c>
      <c r="F46" s="2" t="s">
        <v>217</v>
      </c>
      <c r="G46" s="97" t="s">
        <v>215</v>
      </c>
    </row>
    <row r="47" spans="1:7" ht="13.8" x14ac:dyDescent="0.3">
      <c r="A47" s="22" t="s">
        <v>86</v>
      </c>
      <c r="B47" s="153">
        <v>0.05</v>
      </c>
      <c r="C47" s="153"/>
      <c r="D47" s="2" t="s">
        <v>81</v>
      </c>
      <c r="E47" s="21">
        <f t="shared" si="3"/>
        <v>0.95</v>
      </c>
      <c r="F47" s="2" t="s">
        <v>217</v>
      </c>
      <c r="G47" s="97" t="s">
        <v>215</v>
      </c>
    </row>
    <row r="48" spans="1:7" ht="13.8" x14ac:dyDescent="0.3">
      <c r="A48" s="22" t="s">
        <v>85</v>
      </c>
      <c r="B48" s="153">
        <v>0.05</v>
      </c>
      <c r="C48" s="153"/>
      <c r="D48" s="2" t="s">
        <v>81</v>
      </c>
      <c r="E48" s="21">
        <f t="shared" si="3"/>
        <v>0.95</v>
      </c>
      <c r="F48" s="2" t="s">
        <v>217</v>
      </c>
      <c r="G48" s="97" t="s">
        <v>215</v>
      </c>
    </row>
    <row r="49" spans="1:7" ht="13.8" x14ac:dyDescent="0.3">
      <c r="A49" s="22" t="s">
        <v>84</v>
      </c>
      <c r="B49" s="153">
        <v>0.05</v>
      </c>
      <c r="C49" s="153"/>
      <c r="D49" s="2" t="s">
        <v>81</v>
      </c>
      <c r="E49" s="21">
        <f t="shared" si="3"/>
        <v>0.95</v>
      </c>
      <c r="F49" s="2" t="s">
        <v>217</v>
      </c>
      <c r="G49" s="97" t="s">
        <v>215</v>
      </c>
    </row>
    <row r="50" spans="1:7" ht="13.8" x14ac:dyDescent="0.3">
      <c r="A50" s="22" t="s">
        <v>132</v>
      </c>
      <c r="B50" s="153">
        <v>0.05</v>
      </c>
      <c r="C50" s="153"/>
      <c r="D50" s="2" t="s">
        <v>81</v>
      </c>
      <c r="E50" s="21">
        <f t="shared" si="3"/>
        <v>0.95</v>
      </c>
      <c r="F50" s="2" t="s">
        <v>217</v>
      </c>
      <c r="G50" s="97" t="s">
        <v>215</v>
      </c>
    </row>
    <row r="51" spans="1:7" ht="13.8" x14ac:dyDescent="0.3">
      <c r="A51" s="22" t="s">
        <v>83</v>
      </c>
      <c r="B51" s="153">
        <v>0.05</v>
      </c>
      <c r="C51" s="153"/>
      <c r="D51" s="2" t="s">
        <v>81</v>
      </c>
      <c r="E51" s="21">
        <f t="shared" ref="E51" si="4">1-B51</f>
        <v>0.95</v>
      </c>
      <c r="F51" s="2" t="s">
        <v>217</v>
      </c>
      <c r="G51" s="97" t="s">
        <v>215</v>
      </c>
    </row>
    <row r="52" spans="1:7" ht="13.8" x14ac:dyDescent="0.3">
      <c r="A52" s="24" t="s">
        <v>82</v>
      </c>
      <c r="B52" s="152">
        <v>0.05</v>
      </c>
      <c r="C52" s="152"/>
      <c r="D52" s="16" t="s">
        <v>81</v>
      </c>
      <c r="E52" s="17">
        <f t="shared" si="3"/>
        <v>0.95</v>
      </c>
      <c r="F52" s="16" t="s">
        <v>217</v>
      </c>
      <c r="G52" s="98" t="s">
        <v>215</v>
      </c>
    </row>
    <row r="53" spans="1:7" ht="13.2" customHeight="1" x14ac:dyDescent="0.3">
      <c r="A53" s="26" t="s">
        <v>412</v>
      </c>
      <c r="B53" s="19" t="s">
        <v>108</v>
      </c>
      <c r="C53" s="19" t="s">
        <v>107</v>
      </c>
      <c r="D53" s="19" t="s">
        <v>91</v>
      </c>
      <c r="E53" s="18" t="s">
        <v>411</v>
      </c>
      <c r="F53" s="18" t="s">
        <v>216</v>
      </c>
      <c r="G53" s="25" t="s">
        <v>218</v>
      </c>
    </row>
    <row r="54" spans="1:7" ht="15.6" x14ac:dyDescent="0.25">
      <c r="A54" s="24" t="s">
        <v>412</v>
      </c>
      <c r="B54" s="81">
        <f>(621+674)/2</f>
        <v>647.5</v>
      </c>
      <c r="C54" s="20">
        <f>((88.5+90.2)/2)%</f>
        <v>0.89349999999999996</v>
      </c>
      <c r="D54" s="16" t="s">
        <v>100</v>
      </c>
      <c r="E54" s="17">
        <f t="shared" ref="E54" si="5">B54/1000*(C54)</f>
        <v>0.5785412499999999</v>
      </c>
      <c r="F54" s="16" t="s">
        <v>377</v>
      </c>
      <c r="G54" s="80" t="s">
        <v>228</v>
      </c>
    </row>
  </sheetData>
  <mergeCells count="38">
    <mergeCell ref="B3:C3"/>
    <mergeCell ref="B14:C14"/>
    <mergeCell ref="B16:C16"/>
    <mergeCell ref="B21:C21"/>
    <mergeCell ref="B4:C4"/>
    <mergeCell ref="B5:C5"/>
    <mergeCell ref="B6:C6"/>
    <mergeCell ref="B7:C7"/>
    <mergeCell ref="B8:C8"/>
    <mergeCell ref="B18:C18"/>
    <mergeCell ref="B15:C15"/>
    <mergeCell ref="B22:C22"/>
    <mergeCell ref="B23:C23"/>
    <mergeCell ref="B9:C9"/>
    <mergeCell ref="B10:C10"/>
    <mergeCell ref="B11:C11"/>
    <mergeCell ref="B12:C12"/>
    <mergeCell ref="B13:C13"/>
    <mergeCell ref="B17:C17"/>
    <mergeCell ref="B19:C19"/>
    <mergeCell ref="B20:C20"/>
    <mergeCell ref="B36:C36"/>
    <mergeCell ref="B37:C37"/>
    <mergeCell ref="B38:C38"/>
    <mergeCell ref="B39:C39"/>
    <mergeCell ref="B40:C40"/>
    <mergeCell ref="B41:C41"/>
    <mergeCell ref="B49:C49"/>
    <mergeCell ref="B50:C50"/>
    <mergeCell ref="B52:C52"/>
    <mergeCell ref="B42:C42"/>
    <mergeCell ref="B44:C44"/>
    <mergeCell ref="B46:C46"/>
    <mergeCell ref="B47:C47"/>
    <mergeCell ref="B48:C48"/>
    <mergeCell ref="B45:C45"/>
    <mergeCell ref="B43:C43"/>
    <mergeCell ref="B51:C51"/>
  </mergeCells>
  <phoneticPr fontId="1" type="noConversion"/>
  <hyperlinks>
    <hyperlink ref="G18" r:id="rId1" xr:uid="{5EF51F8A-0BD3-4C96-A07F-577F7A619637}"/>
    <hyperlink ref="G17" r:id="rId2" xr:uid="{96A7157D-4DF4-4158-8D62-61FEDEB997A3}"/>
    <hyperlink ref="G4" r:id="rId3" xr:uid="{CFA9D5E2-6A5A-49DA-B30A-0CE362B5A9C3}"/>
    <hyperlink ref="G5:G13" r:id="rId4" display="https://www.fao.org/3/ca7952en/CA7952EN.pdf" xr:uid="{75CFE812-412E-49FE-87F2-6D2BB32EEFEB}"/>
    <hyperlink ref="G22" r:id="rId5" xr:uid="{19A27F8A-CC13-4B28-AA32-9CAB5732A7B4}"/>
    <hyperlink ref="G23" r:id="rId6" xr:uid="{2B019E06-468D-45C3-809A-D160FA50DBB2}"/>
    <hyperlink ref="G25" r:id="rId7" xr:uid="{95C20E0D-5567-4C8F-92F1-F76AEDA693BD}"/>
    <hyperlink ref="G26" r:id="rId8" xr:uid="{07EC513A-FD4D-4ED1-9B0E-25F00E46DD85}"/>
    <hyperlink ref="G28" r:id="rId9" xr:uid="{1BB62356-DAE6-4549-9B5C-AA88FC1FA4C5}"/>
    <hyperlink ref="G30" r:id="rId10" xr:uid="{F70E4816-FF39-4CFD-B9E2-097534023777}"/>
    <hyperlink ref="G31" r:id="rId11" xr:uid="{EF288607-AE84-47DB-B2A6-B9FC3F758FD0}"/>
    <hyperlink ref="G32" r:id="rId12" xr:uid="{F28E9DDD-3FA8-40F6-8916-D33E87B35857}"/>
    <hyperlink ref="G33" r:id="rId13" xr:uid="{CC85180E-DB61-48A4-8DD7-771AE4B7AF35}"/>
    <hyperlink ref="G34" r:id="rId14" xr:uid="{13062756-D0AD-4BC8-B5D4-87D90A3B440A}"/>
    <hyperlink ref="G35" r:id="rId15" xr:uid="{9E0D0BC1-F586-4761-B77D-19E865CC0325}"/>
    <hyperlink ref="G37:G41" r:id="rId16" display="https://www.fao.org/3/ca7952en/CA7952EN.pdf" xr:uid="{B7C457E7-C54E-4412-842A-6A59387E2735}"/>
    <hyperlink ref="G49" r:id="rId17" xr:uid="{6414948F-E6EF-4953-8B03-BFC117538811}"/>
    <hyperlink ref="G44:G48" r:id="rId18" display="https://www.fao.org/3/ca7952en/CA7952EN.pdf" xr:uid="{69953629-00AB-4251-B65D-C3B4926E7CDC}"/>
    <hyperlink ref="G50:G52" r:id="rId19" display="https://www.fao.org/3/ca7952en/CA7952EN.pdf" xr:uid="{04A727BF-9881-456A-B993-A45470779E76}"/>
    <hyperlink ref="G15" r:id="rId20" xr:uid="{E31964E0-953F-40DF-AC27-05F02F7C75B3}"/>
    <hyperlink ref="G51" r:id="rId21" xr:uid="{B840D335-A8A3-487B-9C41-AFC96C08FE71}"/>
    <hyperlink ref="G20" r:id="rId22" xr:uid="{1500368D-9DEB-4463-97A6-5BAFDC23458E}"/>
    <hyperlink ref="G54" r:id="rId23" xr:uid="{31440338-E6BF-41C6-9FF9-B3101766104E}"/>
  </hyperlinks>
  <pageMargins left="0.7" right="0.7" top="0.75" bottom="0.75" header="0.3" footer="0.3"/>
  <pageSetup orientation="portrait" horizontalDpi="1200" verticalDpi="1200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0470-683A-41C2-A18F-0F8D8DD15286}">
  <sheetPr codeName="Sheet2"/>
  <dimension ref="A1:F114"/>
  <sheetViews>
    <sheetView zoomScale="70" zoomScaleNormal="70" workbookViewId="0"/>
  </sheetViews>
  <sheetFormatPr defaultColWidth="8.88671875" defaultRowHeight="13.2" x14ac:dyDescent="0.25"/>
  <cols>
    <col min="1" max="1" width="38.33203125" style="4" bestFit="1" customWidth="1"/>
    <col min="2" max="2" width="8.88671875" style="8"/>
    <col min="3" max="3" width="43.5546875" style="4" customWidth="1"/>
    <col min="4" max="4" width="89.6640625" style="4" customWidth="1"/>
    <col min="5" max="5" width="8.88671875" style="4"/>
    <col min="6" max="6" width="19.44140625" style="4" bestFit="1" customWidth="1"/>
    <col min="7" max="16384" width="8.88671875" style="4"/>
  </cols>
  <sheetData>
    <row r="1" spans="1:4" x14ac:dyDescent="0.25">
      <c r="A1" s="94" t="s">
        <v>463</v>
      </c>
      <c r="B1" s="94" t="str">
        <f>'conversion-factors'!B1</f>
        <v>OAS</v>
      </c>
    </row>
    <row r="2" spans="1:4" s="33" customFormat="1" x14ac:dyDescent="0.25">
      <c r="A2" s="115" t="s">
        <v>414</v>
      </c>
      <c r="B2" s="119"/>
      <c r="C2" s="115"/>
      <c r="D2" s="115"/>
    </row>
    <row r="3" spans="1:4" x14ac:dyDescent="0.25">
      <c r="A3" s="67" t="s">
        <v>415</v>
      </c>
      <c r="C3" s="33" t="s">
        <v>216</v>
      </c>
      <c r="D3" s="71" t="s">
        <v>218</v>
      </c>
    </row>
    <row r="4" spans="1:4" x14ac:dyDescent="0.25">
      <c r="A4" s="35" t="s">
        <v>119</v>
      </c>
      <c r="B4" s="8">
        <f>'production-mass-balance'!B93</f>
        <v>0.26584988719656977</v>
      </c>
      <c r="C4" s="4" t="s">
        <v>429</v>
      </c>
      <c r="D4" s="68"/>
    </row>
    <row r="5" spans="1:4" x14ac:dyDescent="0.25">
      <c r="A5" s="35" t="s">
        <v>183</v>
      </c>
      <c r="B5" s="8">
        <f>1-B4</f>
        <v>0.73415011280343023</v>
      </c>
      <c r="D5" s="38"/>
    </row>
    <row r="6" spans="1:4" ht="15.6" x14ac:dyDescent="0.35">
      <c r="A6" s="36" t="s">
        <v>223</v>
      </c>
      <c r="B6" s="39">
        <f>B4</f>
        <v>0.26584988719656977</v>
      </c>
      <c r="C6" s="3"/>
      <c r="D6" s="40"/>
    </row>
    <row r="7" spans="1:4" x14ac:dyDescent="0.25">
      <c r="A7" s="67" t="s">
        <v>416</v>
      </c>
      <c r="D7" s="38"/>
    </row>
    <row r="8" spans="1:4" x14ac:dyDescent="0.25">
      <c r="A8" s="35" t="s">
        <v>259</v>
      </c>
      <c r="B8" s="8">
        <f>'production-mass-balance'!B100</f>
        <v>0.91054509659160821</v>
      </c>
      <c r="C8" s="4" t="s">
        <v>429</v>
      </c>
      <c r="D8" s="38"/>
    </row>
    <row r="9" spans="1:4" x14ac:dyDescent="0.25">
      <c r="A9" s="35" t="s">
        <v>183</v>
      </c>
      <c r="B9" s="8">
        <f>1-B8</f>
        <v>8.9454903408391795E-2</v>
      </c>
      <c r="D9" s="38"/>
    </row>
    <row r="10" spans="1:4" ht="15.6" x14ac:dyDescent="0.35">
      <c r="A10" s="36" t="s">
        <v>260</v>
      </c>
      <c r="B10" s="39">
        <f>B8</f>
        <v>0.91054509659160821</v>
      </c>
      <c r="C10" s="3"/>
      <c r="D10" s="40"/>
    </row>
    <row r="11" spans="1:4" x14ac:dyDescent="0.25">
      <c r="A11" s="67" t="s">
        <v>417</v>
      </c>
      <c r="C11" s="33" t="s">
        <v>216</v>
      </c>
      <c r="D11" s="71" t="s">
        <v>218</v>
      </c>
    </row>
    <row r="12" spans="1:4" x14ac:dyDescent="0.25">
      <c r="A12" s="35" t="s">
        <v>196</v>
      </c>
      <c r="B12" s="8">
        <f>'production-mass-balance'!B103</f>
        <v>0.8</v>
      </c>
      <c r="C12" s="4" t="s">
        <v>429</v>
      </c>
      <c r="D12" s="69" t="s">
        <v>215</v>
      </c>
    </row>
    <row r="13" spans="1:4" x14ac:dyDescent="0.25">
      <c r="A13" s="35" t="s">
        <v>181</v>
      </c>
      <c r="B13" s="8">
        <v>0.01</v>
      </c>
      <c r="C13" s="4" t="s">
        <v>241</v>
      </c>
      <c r="D13" s="38"/>
    </row>
    <row r="14" spans="1:4" x14ac:dyDescent="0.25">
      <c r="A14" s="35" t="s">
        <v>182</v>
      </c>
      <c r="B14" s="8">
        <v>0.1</v>
      </c>
      <c r="C14" s="4" t="s">
        <v>241</v>
      </c>
      <c r="D14" s="38"/>
    </row>
    <row r="15" spans="1:4" x14ac:dyDescent="0.25">
      <c r="A15" s="35" t="s">
        <v>184</v>
      </c>
      <c r="B15" s="8">
        <v>0.05</v>
      </c>
      <c r="C15" s="4" t="s">
        <v>241</v>
      </c>
      <c r="D15" s="38"/>
    </row>
    <row r="16" spans="1:4" x14ac:dyDescent="0.25">
      <c r="A16" s="35" t="s">
        <v>183</v>
      </c>
      <c r="B16" s="8">
        <v>3.9999999999999925E-2</v>
      </c>
      <c r="D16" s="38"/>
    </row>
    <row r="17" spans="1:6" x14ac:dyDescent="0.25">
      <c r="A17" s="35" t="s">
        <v>185</v>
      </c>
      <c r="B17" s="8">
        <v>7.0000000000000007E-2</v>
      </c>
      <c r="C17" s="4" t="s">
        <v>241</v>
      </c>
      <c r="D17" s="38"/>
    </row>
    <row r="18" spans="1:6" ht="15.6" x14ac:dyDescent="0.35">
      <c r="A18" s="36" t="s">
        <v>208</v>
      </c>
      <c r="B18" s="39">
        <f>B12</f>
        <v>0.8</v>
      </c>
      <c r="C18" s="3"/>
      <c r="D18" s="40"/>
    </row>
    <row r="19" spans="1:6" x14ac:dyDescent="0.25">
      <c r="A19" s="34" t="s">
        <v>418</v>
      </c>
      <c r="B19" s="37"/>
      <c r="C19" s="41" t="s">
        <v>216</v>
      </c>
      <c r="D19" s="42" t="s">
        <v>218</v>
      </c>
    </row>
    <row r="20" spans="1:6" x14ac:dyDescent="0.25">
      <c r="A20" s="35" t="s">
        <v>112</v>
      </c>
      <c r="B20" s="8">
        <f>50/100</f>
        <v>0.5</v>
      </c>
      <c r="C20" s="4" t="s">
        <v>470</v>
      </c>
      <c r="D20" s="69" t="s">
        <v>215</v>
      </c>
    </row>
    <row r="21" spans="1:6" x14ac:dyDescent="0.25">
      <c r="A21" s="35" t="s">
        <v>181</v>
      </c>
      <c r="B21" s="8">
        <v>0.03</v>
      </c>
      <c r="C21" s="4" t="s">
        <v>348</v>
      </c>
      <c r="D21" s="38"/>
    </row>
    <row r="22" spans="1:6" x14ac:dyDescent="0.25">
      <c r="A22" s="35" t="s">
        <v>182</v>
      </c>
      <c r="B22" s="8">
        <v>0.27</v>
      </c>
      <c r="C22" s="4" t="s">
        <v>470</v>
      </c>
      <c r="D22" s="38"/>
      <c r="F22" s="52"/>
    </row>
    <row r="23" spans="1:6" x14ac:dyDescent="0.25">
      <c r="A23" s="35" t="s">
        <v>184</v>
      </c>
      <c r="B23" s="8">
        <f>1-B20-B21-B22-B24</f>
        <v>0.15999999999999995</v>
      </c>
      <c r="D23" s="38"/>
      <c r="F23" s="52"/>
    </row>
    <row r="24" spans="1:6" x14ac:dyDescent="0.25">
      <c r="A24" s="35" t="s">
        <v>183</v>
      </c>
      <c r="B24" s="8">
        <v>0.04</v>
      </c>
      <c r="C24" s="4" t="s">
        <v>348</v>
      </c>
      <c r="D24" s="38"/>
      <c r="F24" s="52"/>
    </row>
    <row r="25" spans="1:6" x14ac:dyDescent="0.25">
      <c r="A25" s="35" t="s">
        <v>185</v>
      </c>
      <c r="B25" s="8">
        <v>7.0000000000000007E-2</v>
      </c>
      <c r="C25" s="4" t="s">
        <v>348</v>
      </c>
      <c r="D25" s="38"/>
    </row>
    <row r="26" spans="1:6" ht="15.6" x14ac:dyDescent="0.35">
      <c r="A26" s="36" t="s">
        <v>197</v>
      </c>
      <c r="B26" s="39">
        <f>B20</f>
        <v>0.5</v>
      </c>
      <c r="C26" s="3"/>
      <c r="D26" s="40"/>
    </row>
    <row r="27" spans="1:6" x14ac:dyDescent="0.25">
      <c r="A27" s="34" t="s">
        <v>527</v>
      </c>
      <c r="B27" s="37"/>
      <c r="C27" s="41" t="s">
        <v>216</v>
      </c>
      <c r="D27" s="42" t="s">
        <v>218</v>
      </c>
    </row>
    <row r="28" spans="1:6" x14ac:dyDescent="0.25">
      <c r="A28" s="35" t="s">
        <v>224</v>
      </c>
      <c r="B28" s="8">
        <v>0.57999999999999996</v>
      </c>
      <c r="C28" s="4" t="s">
        <v>470</v>
      </c>
      <c r="D28" s="69" t="s">
        <v>215</v>
      </c>
    </row>
    <row r="29" spans="1:6" x14ac:dyDescent="0.25">
      <c r="A29" s="35" t="s">
        <v>181</v>
      </c>
      <c r="B29" s="8">
        <v>0.03</v>
      </c>
      <c r="C29" s="4" t="s">
        <v>348</v>
      </c>
      <c r="D29" s="38"/>
    </row>
    <row r="30" spans="1:6" x14ac:dyDescent="0.25">
      <c r="A30" s="35" t="s">
        <v>182</v>
      </c>
      <c r="B30" s="8">
        <v>0.24</v>
      </c>
      <c r="C30" s="4" t="s">
        <v>470</v>
      </c>
      <c r="D30" s="38"/>
    </row>
    <row r="31" spans="1:6" x14ac:dyDescent="0.25">
      <c r="A31" s="35" t="s">
        <v>184</v>
      </c>
      <c r="B31" s="8">
        <f>1-B28-B29-B30-B32</f>
        <v>0.11000000000000001</v>
      </c>
      <c r="D31" s="38"/>
    </row>
    <row r="32" spans="1:6" x14ac:dyDescent="0.25">
      <c r="A32" s="35" t="s">
        <v>183</v>
      </c>
      <c r="B32" s="8">
        <v>0.04</v>
      </c>
      <c r="C32" s="4" t="s">
        <v>348</v>
      </c>
      <c r="D32" s="38"/>
    </row>
    <row r="33" spans="1:4" x14ac:dyDescent="0.25">
      <c r="A33" s="35" t="s">
        <v>185</v>
      </c>
      <c r="B33" s="8">
        <v>7.0000000000000007E-2</v>
      </c>
      <c r="C33" s="4" t="s">
        <v>348</v>
      </c>
      <c r="D33" s="38"/>
    </row>
    <row r="34" spans="1:4" ht="15.6" x14ac:dyDescent="0.35">
      <c r="A34" s="36" t="s">
        <v>198</v>
      </c>
      <c r="B34" s="39">
        <f>B28</f>
        <v>0.57999999999999996</v>
      </c>
      <c r="C34" s="3"/>
      <c r="D34" s="40"/>
    </row>
    <row r="35" spans="1:4" x14ac:dyDescent="0.25">
      <c r="A35" s="34" t="s">
        <v>419</v>
      </c>
      <c r="B35" s="37"/>
      <c r="C35" s="41" t="s">
        <v>216</v>
      </c>
      <c r="D35" s="42" t="s">
        <v>218</v>
      </c>
    </row>
    <row r="36" spans="1:4" x14ac:dyDescent="0.25">
      <c r="A36" s="35" t="s">
        <v>186</v>
      </c>
      <c r="B36" s="8">
        <v>0.57999999999999996</v>
      </c>
      <c r="C36" s="4" t="s">
        <v>470</v>
      </c>
      <c r="D36" s="69" t="s">
        <v>215</v>
      </c>
    </row>
    <row r="37" spans="1:4" x14ac:dyDescent="0.25">
      <c r="A37" s="35" t="s">
        <v>181</v>
      </c>
      <c r="B37" s="8">
        <v>0.04</v>
      </c>
      <c r="C37" s="4" t="s">
        <v>348</v>
      </c>
      <c r="D37" s="38"/>
    </row>
    <row r="38" spans="1:4" x14ac:dyDescent="0.25">
      <c r="A38" s="35" t="s">
        <v>182</v>
      </c>
      <c r="B38" s="8">
        <v>0.34</v>
      </c>
      <c r="C38" s="4" t="s">
        <v>470</v>
      </c>
      <c r="D38" s="38"/>
    </row>
    <row r="39" spans="1:4" x14ac:dyDescent="0.25">
      <c r="A39" s="35" t="s">
        <v>184</v>
      </c>
      <c r="B39" s="8">
        <f>1-B36-B37-B38-B40</f>
        <v>1.000000000000012E-2</v>
      </c>
      <c r="D39" s="38"/>
    </row>
    <row r="40" spans="1:4" x14ac:dyDescent="0.25">
      <c r="A40" s="35" t="s">
        <v>183</v>
      </c>
      <c r="B40" s="8">
        <v>2.9999999999999916E-2</v>
      </c>
      <c r="C40" s="4" t="s">
        <v>348</v>
      </c>
      <c r="D40" s="38"/>
    </row>
    <row r="41" spans="1:4" x14ac:dyDescent="0.25">
      <c r="A41" s="35" t="s">
        <v>185</v>
      </c>
      <c r="B41" s="8">
        <v>7.0000000000000007E-2</v>
      </c>
      <c r="C41" s="4" t="s">
        <v>348</v>
      </c>
      <c r="D41" s="38"/>
    </row>
    <row r="42" spans="1:4" ht="15.6" x14ac:dyDescent="0.35">
      <c r="A42" s="36" t="s">
        <v>198</v>
      </c>
      <c r="B42" s="39">
        <f>B36</f>
        <v>0.57999999999999996</v>
      </c>
      <c r="C42" s="3"/>
      <c r="D42" s="40"/>
    </row>
    <row r="43" spans="1:4" s="33" customFormat="1" x14ac:dyDescent="0.25">
      <c r="A43" s="34" t="s">
        <v>420</v>
      </c>
      <c r="B43" s="43"/>
      <c r="C43" s="41" t="s">
        <v>216</v>
      </c>
      <c r="D43" s="42" t="s">
        <v>218</v>
      </c>
    </row>
    <row r="44" spans="1:4" x14ac:dyDescent="0.25">
      <c r="A44" s="35" t="s">
        <v>105</v>
      </c>
      <c r="B44" s="8">
        <v>0.67</v>
      </c>
      <c r="C44" s="4" t="s">
        <v>348</v>
      </c>
      <c r="D44" s="69" t="s">
        <v>215</v>
      </c>
    </row>
    <row r="45" spans="1:4" x14ac:dyDescent="0.25">
      <c r="A45" s="35" t="s">
        <v>188</v>
      </c>
      <c r="B45" s="8">
        <v>0.33</v>
      </c>
      <c r="D45" s="38"/>
    </row>
    <row r="46" spans="1:4" x14ac:dyDescent="0.25">
      <c r="A46" s="35" t="s">
        <v>183</v>
      </c>
      <c r="B46" s="8">
        <f>1-SUM(B44:B45)</f>
        <v>0</v>
      </c>
      <c r="D46" s="38"/>
    </row>
    <row r="47" spans="1:4" x14ac:dyDescent="0.25">
      <c r="A47" s="35" t="s">
        <v>185</v>
      </c>
      <c r="B47" s="8">
        <v>0</v>
      </c>
      <c r="D47" s="38"/>
    </row>
    <row r="48" spans="1:4" ht="15.6" x14ac:dyDescent="0.35">
      <c r="A48" s="36" t="s">
        <v>199</v>
      </c>
      <c r="B48" s="39">
        <f>+B44+B45</f>
        <v>1</v>
      </c>
      <c r="C48" s="3"/>
      <c r="D48" s="40"/>
    </row>
    <row r="49" spans="1:4" s="33" customFormat="1" x14ac:dyDescent="0.25">
      <c r="A49" s="34" t="s">
        <v>421</v>
      </c>
      <c r="B49" s="43"/>
      <c r="C49" s="41" t="s">
        <v>216</v>
      </c>
      <c r="D49" s="42" t="s">
        <v>218</v>
      </c>
    </row>
    <row r="50" spans="1:4" x14ac:dyDescent="0.25">
      <c r="A50" s="35" t="s">
        <v>187</v>
      </c>
      <c r="B50" s="8">
        <v>0.6</v>
      </c>
      <c r="C50" s="4" t="s">
        <v>348</v>
      </c>
      <c r="D50" s="69" t="s">
        <v>215</v>
      </c>
    </row>
    <row r="51" spans="1:4" x14ac:dyDescent="0.25">
      <c r="A51" s="35" t="s">
        <v>188</v>
      </c>
      <c r="B51" s="8">
        <v>0.38700000000000001</v>
      </c>
      <c r="D51" s="38"/>
    </row>
    <row r="52" spans="1:4" x14ac:dyDescent="0.25">
      <c r="A52" s="35" t="s">
        <v>184</v>
      </c>
      <c r="B52" s="8">
        <v>0.01</v>
      </c>
      <c r="D52" s="38"/>
    </row>
    <row r="53" spans="1:4" x14ac:dyDescent="0.25">
      <c r="A53" s="35" t="s">
        <v>183</v>
      </c>
      <c r="B53" s="8">
        <f>1-SUM(B50:B52)</f>
        <v>3.0000000000000027E-3</v>
      </c>
      <c r="D53" s="38"/>
    </row>
    <row r="54" spans="1:4" x14ac:dyDescent="0.25">
      <c r="A54" s="35" t="s">
        <v>185</v>
      </c>
      <c r="B54" s="8">
        <v>0</v>
      </c>
      <c r="D54" s="38"/>
    </row>
    <row r="55" spans="1:4" ht="15.6" x14ac:dyDescent="0.35">
      <c r="A55" s="36" t="s">
        <v>200</v>
      </c>
      <c r="B55" s="39">
        <f>B50+B51</f>
        <v>0.98699999999999999</v>
      </c>
      <c r="C55" s="3"/>
      <c r="D55" s="40"/>
    </row>
    <row r="56" spans="1:4" s="33" customFormat="1" x14ac:dyDescent="0.25">
      <c r="A56" s="34" t="s">
        <v>422</v>
      </c>
      <c r="B56" s="43"/>
      <c r="C56" s="41" t="s">
        <v>216</v>
      </c>
      <c r="D56" s="42" t="s">
        <v>218</v>
      </c>
    </row>
    <row r="57" spans="1:4" x14ac:dyDescent="0.25">
      <c r="A57" s="35" t="s">
        <v>193</v>
      </c>
      <c r="B57" s="8">
        <v>0.55000000000000004</v>
      </c>
      <c r="C57" s="4" t="s">
        <v>348</v>
      </c>
      <c r="D57" s="69" t="s">
        <v>215</v>
      </c>
    </row>
    <row r="58" spans="1:4" x14ac:dyDescent="0.25">
      <c r="A58" s="35" t="s">
        <v>188</v>
      </c>
      <c r="B58" s="8">
        <v>0.45</v>
      </c>
      <c r="D58" s="38"/>
    </row>
    <row r="59" spans="1:4" x14ac:dyDescent="0.25">
      <c r="A59" s="35" t="s">
        <v>183</v>
      </c>
      <c r="B59" s="8">
        <f>1-SUM(B57:B58)</f>
        <v>0</v>
      </c>
      <c r="D59" s="38"/>
    </row>
    <row r="60" spans="1:4" ht="15.6" x14ac:dyDescent="0.35">
      <c r="A60" s="36" t="s">
        <v>201</v>
      </c>
      <c r="B60" s="39">
        <f>B57+B58</f>
        <v>1</v>
      </c>
      <c r="C60" s="3"/>
      <c r="D60" s="40"/>
    </row>
    <row r="61" spans="1:4" s="33" customFormat="1" x14ac:dyDescent="0.25">
      <c r="A61" s="34" t="s">
        <v>423</v>
      </c>
      <c r="B61" s="43"/>
      <c r="C61" s="41" t="s">
        <v>216</v>
      </c>
      <c r="D61" s="42" t="s">
        <v>218</v>
      </c>
    </row>
    <row r="62" spans="1:4" x14ac:dyDescent="0.25">
      <c r="A62" s="35" t="s">
        <v>189</v>
      </c>
      <c r="B62" s="8">
        <v>0.93</v>
      </c>
      <c r="C62" s="4" t="s">
        <v>226</v>
      </c>
      <c r="D62" s="70" t="s">
        <v>227</v>
      </c>
    </row>
    <row r="63" spans="1:4" x14ac:dyDescent="0.25">
      <c r="A63" s="35" t="s">
        <v>183</v>
      </c>
      <c r="B63" s="8">
        <f>1-B62</f>
        <v>6.9999999999999951E-2</v>
      </c>
      <c r="D63" s="38"/>
    </row>
    <row r="64" spans="1:4" ht="15.6" x14ac:dyDescent="0.35">
      <c r="A64" s="36" t="s">
        <v>202</v>
      </c>
      <c r="B64" s="39">
        <f>B62</f>
        <v>0.93</v>
      </c>
      <c r="C64" s="3"/>
      <c r="D64" s="40"/>
    </row>
    <row r="65" spans="1:4" s="33" customFormat="1" x14ac:dyDescent="0.25">
      <c r="A65" s="34" t="s">
        <v>424</v>
      </c>
      <c r="B65" s="43"/>
      <c r="C65" s="41" t="s">
        <v>216</v>
      </c>
      <c r="D65" s="42" t="s">
        <v>218</v>
      </c>
    </row>
    <row r="66" spans="1:4" x14ac:dyDescent="0.25">
      <c r="A66" s="35" t="s">
        <v>190</v>
      </c>
      <c r="B66" s="8">
        <v>0.48</v>
      </c>
      <c r="C66" s="4" t="s">
        <v>226</v>
      </c>
      <c r="D66" s="70" t="s">
        <v>227</v>
      </c>
    </row>
    <row r="67" spans="1:4" x14ac:dyDescent="0.25">
      <c r="A67" s="35" t="s">
        <v>183</v>
      </c>
      <c r="B67" s="8">
        <f>1-B66</f>
        <v>0.52</v>
      </c>
      <c r="D67" s="38"/>
    </row>
    <row r="68" spans="1:4" ht="15.6" x14ac:dyDescent="0.35">
      <c r="A68" s="36" t="s">
        <v>203</v>
      </c>
      <c r="B68" s="39">
        <f>B66</f>
        <v>0.48</v>
      </c>
      <c r="C68" s="3"/>
      <c r="D68" s="40"/>
    </row>
    <row r="69" spans="1:4" s="33" customFormat="1" x14ac:dyDescent="0.25">
      <c r="A69" s="34" t="s">
        <v>425</v>
      </c>
      <c r="B69" s="43"/>
      <c r="C69" s="41" t="s">
        <v>216</v>
      </c>
      <c r="D69" s="42" t="s">
        <v>218</v>
      </c>
    </row>
    <row r="70" spans="1:4" x14ac:dyDescent="0.25">
      <c r="A70" s="35" t="s">
        <v>191</v>
      </c>
      <c r="B70" s="8">
        <v>0.35</v>
      </c>
      <c r="C70" s="4" t="s">
        <v>226</v>
      </c>
      <c r="D70" s="70" t="s">
        <v>227</v>
      </c>
    </row>
    <row r="71" spans="1:4" x14ac:dyDescent="0.25">
      <c r="A71" s="35" t="s">
        <v>183</v>
      </c>
      <c r="B71" s="8">
        <f>1-B70</f>
        <v>0.65</v>
      </c>
      <c r="D71" s="38"/>
    </row>
    <row r="72" spans="1:4" ht="15.6" x14ac:dyDescent="0.35">
      <c r="A72" s="36" t="s">
        <v>204</v>
      </c>
      <c r="B72" s="39">
        <f>B70</f>
        <v>0.35</v>
      </c>
      <c r="C72" s="3"/>
      <c r="D72" s="40"/>
    </row>
    <row r="73" spans="1:4" s="33" customFormat="1" x14ac:dyDescent="0.25">
      <c r="A73" s="34" t="s">
        <v>426</v>
      </c>
      <c r="B73" s="43"/>
      <c r="C73" s="41" t="s">
        <v>216</v>
      </c>
      <c r="D73" s="42" t="s">
        <v>218</v>
      </c>
    </row>
    <row r="74" spans="1:4" x14ac:dyDescent="0.25">
      <c r="A74" s="35" t="s">
        <v>192</v>
      </c>
      <c r="B74" s="8">
        <v>0.81</v>
      </c>
      <c r="C74" s="54" t="s">
        <v>217</v>
      </c>
      <c r="D74" s="69" t="s">
        <v>215</v>
      </c>
    </row>
    <row r="75" spans="1:4" x14ac:dyDescent="0.25">
      <c r="A75" s="35" t="s">
        <v>183</v>
      </c>
      <c r="B75" s="8">
        <f>1-B74</f>
        <v>0.18999999999999995</v>
      </c>
      <c r="D75" s="38"/>
    </row>
    <row r="76" spans="1:4" ht="15.6" x14ac:dyDescent="0.35">
      <c r="A76" s="36" t="s">
        <v>205</v>
      </c>
      <c r="B76" s="39">
        <f>B74</f>
        <v>0.81</v>
      </c>
      <c r="C76" s="3"/>
      <c r="D76" s="40"/>
    </row>
    <row r="77" spans="1:4" s="33" customFormat="1" x14ac:dyDescent="0.25">
      <c r="A77" s="34" t="s">
        <v>427</v>
      </c>
      <c r="B77" s="43"/>
      <c r="C77" s="41" t="s">
        <v>216</v>
      </c>
      <c r="D77" s="42" t="s">
        <v>218</v>
      </c>
    </row>
    <row r="78" spans="1:4" x14ac:dyDescent="0.25">
      <c r="A78" s="35" t="s">
        <v>194</v>
      </c>
      <c r="B78" s="8">
        <v>0.95</v>
      </c>
      <c r="C78" s="4" t="s">
        <v>226</v>
      </c>
      <c r="D78" s="70" t="s">
        <v>227</v>
      </c>
    </row>
    <row r="79" spans="1:4" x14ac:dyDescent="0.25">
      <c r="A79" s="35" t="s">
        <v>195</v>
      </c>
      <c r="B79" s="8">
        <f>1-B78</f>
        <v>5.0000000000000044E-2</v>
      </c>
      <c r="D79" s="38"/>
    </row>
    <row r="80" spans="1:4" ht="15.6" x14ac:dyDescent="0.35">
      <c r="A80" s="36" t="s">
        <v>206</v>
      </c>
      <c r="B80" s="39">
        <f>B78</f>
        <v>0.95</v>
      </c>
      <c r="C80" s="3"/>
      <c r="D80" s="40"/>
    </row>
    <row r="81" spans="1:4" s="33" customFormat="1" x14ac:dyDescent="0.25">
      <c r="A81" s="34" t="s">
        <v>428</v>
      </c>
      <c r="B81" s="43"/>
      <c r="C81" s="41" t="s">
        <v>216</v>
      </c>
      <c r="D81" s="42" t="s">
        <v>218</v>
      </c>
    </row>
    <row r="82" spans="1:4" x14ac:dyDescent="0.25">
      <c r="A82" s="35" t="s">
        <v>225</v>
      </c>
      <c r="B82" s="8">
        <f>'production-mass-balance'!B114</f>
        <v>0.90963032845899849</v>
      </c>
      <c r="C82" s="160" t="s">
        <v>237</v>
      </c>
      <c r="D82" s="70" t="s">
        <v>228</v>
      </c>
    </row>
    <row r="83" spans="1:4" x14ac:dyDescent="0.25">
      <c r="A83" s="35" t="s">
        <v>182</v>
      </c>
      <c r="B83" s="8">
        <v>0</v>
      </c>
      <c r="C83" s="160"/>
      <c r="D83" s="70"/>
    </row>
    <row r="84" spans="1:4" x14ac:dyDescent="0.25">
      <c r="A84" s="35" t="s">
        <v>184</v>
      </c>
      <c r="B84" s="8">
        <f>'production-mass-balance'!B112</f>
        <v>1.8206344083351955E-3</v>
      </c>
      <c r="C84" s="160"/>
      <c r="D84" s="70"/>
    </row>
    <row r="85" spans="1:4" x14ac:dyDescent="0.25">
      <c r="A85" s="35" t="s">
        <v>183</v>
      </c>
      <c r="B85" s="8">
        <f>'production-mass-balance'!B113</f>
        <v>8.8549037132666319E-2</v>
      </c>
      <c r="C85" s="160"/>
      <c r="D85" s="38"/>
    </row>
    <row r="86" spans="1:4" ht="15.6" x14ac:dyDescent="0.25">
      <c r="A86" s="48" t="s">
        <v>207</v>
      </c>
      <c r="B86" s="49">
        <f>B82</f>
        <v>0.90963032845899849</v>
      </c>
      <c r="C86" s="161"/>
      <c r="D86" s="40"/>
    </row>
    <row r="87" spans="1:4" x14ac:dyDescent="0.25">
      <c r="A87" s="53"/>
      <c r="B87" s="76"/>
      <c r="C87" s="144"/>
    </row>
    <row r="88" spans="1:4" x14ac:dyDescent="0.25">
      <c r="A88" s="33" t="s">
        <v>410</v>
      </c>
    </row>
    <row r="89" spans="1:4" x14ac:dyDescent="0.25">
      <c r="A89" s="34" t="s">
        <v>415</v>
      </c>
      <c r="B89" s="58"/>
      <c r="C89" s="145" t="s">
        <v>216</v>
      </c>
      <c r="D89" s="62" t="s">
        <v>218</v>
      </c>
    </row>
    <row r="90" spans="1:4" ht="39.6" x14ac:dyDescent="0.25">
      <c r="A90" s="59" t="s">
        <v>248</v>
      </c>
      <c r="B90" s="56">
        <v>6.13</v>
      </c>
      <c r="C90" s="54" t="s">
        <v>469</v>
      </c>
      <c r="D90" s="27" t="s">
        <v>215</v>
      </c>
    </row>
    <row r="91" spans="1:4" x14ac:dyDescent="0.25">
      <c r="A91" s="35" t="s">
        <v>249</v>
      </c>
      <c r="B91" s="57">
        <f>('conversion-factors'!B4+'conversion-factors'!B5)/2</f>
        <v>613.625</v>
      </c>
      <c r="C91" s="54" t="s">
        <v>547</v>
      </c>
      <c r="D91" s="66"/>
    </row>
    <row r="92" spans="1:4" ht="26.4" x14ac:dyDescent="0.25">
      <c r="A92" s="59" t="s">
        <v>251</v>
      </c>
      <c r="B92" s="57">
        <f>B90*B91/1000</f>
        <v>3.7615212499999999</v>
      </c>
      <c r="C92" s="54" t="s">
        <v>546</v>
      </c>
      <c r="D92" s="66"/>
    </row>
    <row r="93" spans="1:4" ht="15.6" x14ac:dyDescent="0.35">
      <c r="A93" s="36" t="s">
        <v>223</v>
      </c>
      <c r="B93" s="61">
        <f>1/B92</f>
        <v>0.26584988719656977</v>
      </c>
      <c r="C93" s="116"/>
      <c r="D93" s="63"/>
    </row>
    <row r="94" spans="1:4" x14ac:dyDescent="0.25">
      <c r="A94" s="67" t="s">
        <v>416</v>
      </c>
      <c r="B94" s="60"/>
      <c r="C94" s="58"/>
      <c r="D94" s="55"/>
    </row>
    <row r="95" spans="1:4" ht="26.4" x14ac:dyDescent="0.25">
      <c r="A95" s="59" t="s">
        <v>261</v>
      </c>
      <c r="B95" s="57">
        <v>2.25</v>
      </c>
      <c r="C95" s="54" t="s">
        <v>469</v>
      </c>
      <c r="D95" s="27" t="s">
        <v>215</v>
      </c>
    </row>
    <row r="96" spans="1:4" x14ac:dyDescent="0.25">
      <c r="A96" s="59" t="s">
        <v>262</v>
      </c>
      <c r="B96" s="57">
        <f>'conversion-factors'!B22</f>
        <v>7.4999999999999997E-2</v>
      </c>
      <c r="C96" s="54"/>
      <c r="D96" s="66"/>
    </row>
    <row r="97" spans="1:4" x14ac:dyDescent="0.25">
      <c r="A97" s="22" t="s">
        <v>264</v>
      </c>
      <c r="B97" s="57">
        <f>('conversion-factors'!B10+'conversion-factors'!B11)/2</f>
        <v>451.5</v>
      </c>
      <c r="C97" s="54" t="s">
        <v>548</v>
      </c>
      <c r="D97" s="66"/>
    </row>
    <row r="98" spans="1:4" ht="26.4" x14ac:dyDescent="0.25">
      <c r="A98" s="59" t="s">
        <v>263</v>
      </c>
      <c r="B98" s="57">
        <f>B95*B97/1000</f>
        <v>1.0158750000000001</v>
      </c>
      <c r="C98" s="54"/>
      <c r="D98" s="66"/>
    </row>
    <row r="99" spans="1:4" x14ac:dyDescent="0.25">
      <c r="A99" s="35" t="s">
        <v>257</v>
      </c>
      <c r="B99" s="57">
        <f>1*(1-B96)</f>
        <v>0.92500000000000004</v>
      </c>
      <c r="C99" s="54"/>
      <c r="D99" s="66"/>
    </row>
    <row r="100" spans="1:4" ht="15.6" x14ac:dyDescent="0.35">
      <c r="A100" s="36" t="s">
        <v>260</v>
      </c>
      <c r="B100" s="61">
        <f>B99/B98</f>
        <v>0.91054509659160821</v>
      </c>
      <c r="C100" s="116"/>
      <c r="D100" s="63"/>
    </row>
    <row r="101" spans="1:4" x14ac:dyDescent="0.25">
      <c r="A101" s="67" t="s">
        <v>417</v>
      </c>
      <c r="B101" s="60"/>
      <c r="C101" s="58"/>
      <c r="D101" s="55"/>
    </row>
    <row r="102" spans="1:4" s="54" customFormat="1" ht="26.4" x14ac:dyDescent="0.3">
      <c r="A102" s="86" t="s">
        <v>347</v>
      </c>
      <c r="B102" s="57">
        <v>1.25</v>
      </c>
      <c r="C102" s="54" t="s">
        <v>469</v>
      </c>
      <c r="D102" s="27" t="s">
        <v>215</v>
      </c>
    </row>
    <row r="103" spans="1:4" ht="15.6" x14ac:dyDescent="0.35">
      <c r="A103" s="36" t="s">
        <v>197</v>
      </c>
      <c r="B103" s="61">
        <f>1/B102</f>
        <v>0.8</v>
      </c>
      <c r="C103" s="116"/>
      <c r="D103" s="63"/>
    </row>
    <row r="104" spans="1:4" x14ac:dyDescent="0.25">
      <c r="A104" s="67" t="s">
        <v>428</v>
      </c>
      <c r="B104" s="54"/>
      <c r="C104" s="54"/>
      <c r="D104" s="66"/>
    </row>
    <row r="105" spans="1:4" ht="14.4" x14ac:dyDescent="0.3">
      <c r="A105" s="35" t="s">
        <v>253</v>
      </c>
      <c r="B105" s="57">
        <v>621</v>
      </c>
      <c r="C105" s="54" t="s">
        <v>255</v>
      </c>
      <c r="D105" s="44" t="s">
        <v>228</v>
      </c>
    </row>
    <row r="106" spans="1:4" x14ac:dyDescent="0.25">
      <c r="A106" s="35" t="s">
        <v>107</v>
      </c>
      <c r="B106" s="57">
        <v>0.88500000000000001</v>
      </c>
      <c r="C106" s="54" t="s">
        <v>255</v>
      </c>
      <c r="D106" s="66"/>
    </row>
    <row r="107" spans="1:4" x14ac:dyDescent="0.25">
      <c r="A107" s="35" t="s">
        <v>252</v>
      </c>
      <c r="B107" s="57">
        <v>1.1000000000000001</v>
      </c>
      <c r="C107" s="54" t="s">
        <v>256</v>
      </c>
      <c r="D107" s="66"/>
    </row>
    <row r="108" spans="1:4" x14ac:dyDescent="0.25">
      <c r="A108" s="35" t="s">
        <v>254</v>
      </c>
      <c r="B108" s="57">
        <v>53.5</v>
      </c>
      <c r="C108" s="54" t="s">
        <v>256</v>
      </c>
      <c r="D108" s="66"/>
    </row>
    <row r="109" spans="1:4" x14ac:dyDescent="0.25">
      <c r="A109" s="35" t="s">
        <v>250</v>
      </c>
      <c r="B109" s="57"/>
      <c r="C109" s="54"/>
      <c r="D109" s="66"/>
    </row>
    <row r="110" spans="1:4" x14ac:dyDescent="0.25">
      <c r="A110" s="35" t="s">
        <v>257</v>
      </c>
      <c r="B110" s="57">
        <f>B105*B106/1000</f>
        <v>0.54958499999999999</v>
      </c>
      <c r="C110" s="54"/>
      <c r="D110" s="66"/>
    </row>
    <row r="111" spans="1:4" x14ac:dyDescent="0.25">
      <c r="A111" s="35" t="s">
        <v>258</v>
      </c>
      <c r="B111" s="57">
        <f>B110+B107/1000+B108/1000</f>
        <v>0.60418499999999997</v>
      </c>
      <c r="C111" s="54"/>
      <c r="D111" s="66"/>
    </row>
    <row r="112" spans="1:4" x14ac:dyDescent="0.25">
      <c r="A112" s="35" t="s">
        <v>402</v>
      </c>
      <c r="B112" s="57">
        <f>(B107/1000)/B111</f>
        <v>1.8206344083351955E-3</v>
      </c>
      <c r="C112" s="54"/>
      <c r="D112" s="66"/>
    </row>
    <row r="113" spans="1:4" x14ac:dyDescent="0.25">
      <c r="A113" s="35" t="s">
        <v>403</v>
      </c>
      <c r="B113" s="57">
        <f>B108/1000/B111</f>
        <v>8.8549037132666319E-2</v>
      </c>
      <c r="C113" s="54"/>
      <c r="D113" s="66"/>
    </row>
    <row r="114" spans="1:4" ht="15.6" x14ac:dyDescent="0.25">
      <c r="A114" s="48" t="s">
        <v>207</v>
      </c>
      <c r="B114" s="61">
        <f>(B110)/B111</f>
        <v>0.90963032845899849</v>
      </c>
      <c r="C114" s="116"/>
      <c r="D114" s="63"/>
    </row>
  </sheetData>
  <mergeCells count="1">
    <mergeCell ref="C82:C86"/>
  </mergeCells>
  <hyperlinks>
    <hyperlink ref="D12" r:id="rId1" xr:uid="{D9B3CC70-CE0D-48DC-9D44-B1AE6AFD210B}"/>
    <hyperlink ref="D20" r:id="rId2" xr:uid="{446FA419-D80F-4969-8116-86CCF794F3A6}"/>
    <hyperlink ref="D28" r:id="rId3" xr:uid="{79B2F017-D3C3-44DE-B337-A7EC5C900E94}"/>
    <hyperlink ref="D36" r:id="rId4" xr:uid="{58172266-B501-4693-9103-7C42DDA05294}"/>
    <hyperlink ref="D44" r:id="rId5" xr:uid="{C91A78CB-646E-44A0-A980-EDF10BBCD071}"/>
    <hyperlink ref="D50" r:id="rId6" xr:uid="{5A902EC2-1586-4D7C-9498-EBE137531DA5}"/>
    <hyperlink ref="D57" r:id="rId7" xr:uid="{FDA77A25-DCC5-4FE5-8BDA-3CAC6688CF8D}"/>
    <hyperlink ref="D62" r:id="rId8" xr:uid="{025453C4-BA0D-4161-9147-8FCD26B3BF11}"/>
    <hyperlink ref="D66" r:id="rId9" xr:uid="{FF8C4E17-802F-4D7E-82CA-1022B170C4DC}"/>
    <hyperlink ref="D70" r:id="rId10" xr:uid="{67A4BCFD-4BBA-444D-A3B0-8725FFF6C60F}"/>
    <hyperlink ref="D78" r:id="rId11" xr:uid="{250D76E1-BF0D-41C6-B9EA-4425BCC6EC33}"/>
    <hyperlink ref="D82" r:id="rId12" xr:uid="{63FF2FAC-CF69-49DA-B916-7189BD4FA28F}"/>
    <hyperlink ref="D74" r:id="rId13" xr:uid="{6CF1D447-3A15-400D-8EA2-8E3B7B6421DC}"/>
    <hyperlink ref="D90" r:id="rId14" xr:uid="{958AEE25-C06D-43FC-AAB5-842A555D0DC6}"/>
    <hyperlink ref="D105" r:id="rId15" xr:uid="{D1B33D40-7D07-47A0-86C8-96F6694F5FAC}"/>
    <hyperlink ref="D95" r:id="rId16" xr:uid="{75A10A76-9249-49E7-86E2-4F1E8B00F2B2}"/>
    <hyperlink ref="D102" r:id="rId17" xr:uid="{09557D93-0D6C-4449-BEA4-5E74954C5958}"/>
  </hyperlinks>
  <pageMargins left="0.7" right="0.7" top="0.75" bottom="0.75" header="0.3" footer="0.3"/>
  <pageSetup orientation="portrait" horizontalDpi="1200" verticalDpi="1200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0FE2-289D-4BFC-93EE-7183C17C78DB}">
  <dimension ref="A1:N5"/>
  <sheetViews>
    <sheetView zoomScale="70" zoomScaleNormal="70" workbookViewId="0"/>
  </sheetViews>
  <sheetFormatPr defaultColWidth="9.109375" defaultRowHeight="13.2" x14ac:dyDescent="0.25"/>
  <cols>
    <col min="1" max="1" width="9.109375" style="4"/>
    <col min="2" max="2" width="14.88671875" style="104" bestFit="1" customWidth="1"/>
    <col min="3" max="9" width="12.6640625" style="4" customWidth="1"/>
    <col min="10" max="10" width="9.88671875" style="4" bestFit="1" customWidth="1"/>
    <col min="11" max="13" width="9.109375" style="4"/>
    <col min="14" max="14" width="76.77734375" style="4" bestFit="1" customWidth="1"/>
    <col min="15" max="16384" width="9.109375" style="4"/>
  </cols>
  <sheetData>
    <row r="1" spans="1:14" x14ac:dyDescent="0.25">
      <c r="A1" s="33" t="s">
        <v>400</v>
      </c>
      <c r="B1" s="33" t="s">
        <v>465</v>
      </c>
    </row>
    <row r="2" spans="1:14" x14ac:dyDescent="0.25">
      <c r="A2" s="33" t="s">
        <v>489</v>
      </c>
      <c r="B2" s="33"/>
    </row>
    <row r="3" spans="1:14" x14ac:dyDescent="0.25">
      <c r="A3" s="120" t="s">
        <v>528</v>
      </c>
      <c r="B3" s="121"/>
      <c r="C3" s="120" t="s">
        <v>529</v>
      </c>
      <c r="D3" s="122"/>
      <c r="E3" s="122"/>
      <c r="F3" s="122"/>
      <c r="G3" s="122"/>
      <c r="H3" s="122"/>
      <c r="I3" s="122"/>
      <c r="J3" s="122"/>
      <c r="K3" s="122"/>
      <c r="L3" s="101"/>
      <c r="M3" s="102"/>
      <c r="N3" s="123" t="s">
        <v>216</v>
      </c>
    </row>
    <row r="4" spans="1:14" ht="26.4" x14ac:dyDescent="0.25">
      <c r="A4" s="94" t="s">
        <v>94</v>
      </c>
      <c r="B4" s="109"/>
      <c r="C4" s="110" t="s">
        <v>94</v>
      </c>
      <c r="D4" s="111" t="s">
        <v>382</v>
      </c>
      <c r="E4" s="111" t="s">
        <v>383</v>
      </c>
      <c r="F4" s="111" t="s">
        <v>445</v>
      </c>
      <c r="G4" s="111" t="s">
        <v>384</v>
      </c>
      <c r="H4" s="111" t="s">
        <v>446</v>
      </c>
      <c r="I4" s="111" t="s">
        <v>437</v>
      </c>
      <c r="J4" s="111" t="s">
        <v>385</v>
      </c>
      <c r="K4" s="111" t="s">
        <v>447</v>
      </c>
      <c r="L4" s="95" t="s">
        <v>395</v>
      </c>
      <c r="M4" s="112" t="s">
        <v>448</v>
      </c>
      <c r="N4" s="124"/>
    </row>
    <row r="5" spans="1:14" x14ac:dyDescent="0.25">
      <c r="A5" s="73" t="s">
        <v>465</v>
      </c>
      <c r="B5" s="105">
        <v>25504360.580741145</v>
      </c>
      <c r="C5" s="103" t="s">
        <v>465</v>
      </c>
      <c r="D5" s="96">
        <v>0</v>
      </c>
      <c r="E5" s="96">
        <v>3.530266776230518E-2</v>
      </c>
      <c r="F5" s="96">
        <v>1.422922186742091E-2</v>
      </c>
      <c r="G5" s="96">
        <v>0.10188192755374004</v>
      </c>
      <c r="H5" s="96">
        <v>0.38598496252697978</v>
      </c>
      <c r="I5" s="96">
        <v>0.2753538380642242</v>
      </c>
      <c r="J5" s="96">
        <v>0.18381868977300864</v>
      </c>
      <c r="K5" s="96">
        <v>3.428692452321263E-3</v>
      </c>
      <c r="L5" s="96">
        <v>0</v>
      </c>
      <c r="M5" s="113">
        <v>0.40364287684672195</v>
      </c>
      <c r="N5" s="125" t="s">
        <v>530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D6CB-C465-45F1-80C1-EF99BE21246F}">
  <sheetPr codeName="Sheet3"/>
  <dimension ref="A1:K84"/>
  <sheetViews>
    <sheetView zoomScale="70" zoomScaleNormal="70" workbookViewId="0"/>
  </sheetViews>
  <sheetFormatPr defaultColWidth="8.88671875" defaultRowHeight="13.2" x14ac:dyDescent="0.25"/>
  <cols>
    <col min="1" max="1" width="44.33203125" style="4" bestFit="1" customWidth="1"/>
    <col min="2" max="2" width="8.88671875" style="54" customWidth="1"/>
    <col min="3" max="3" width="32.109375" style="64" bestFit="1" customWidth="1"/>
    <col min="4" max="4" width="134.88671875" style="54" bestFit="1" customWidth="1"/>
    <col min="5" max="6" width="8.88671875" style="4"/>
    <col min="7" max="7" width="22.109375" style="4" bestFit="1" customWidth="1"/>
    <col min="8" max="10" width="8.88671875" style="4"/>
    <col min="11" max="11" width="63" style="53" customWidth="1"/>
    <col min="12" max="16384" width="8.88671875" style="4"/>
  </cols>
  <sheetData>
    <row r="1" spans="1:4" x14ac:dyDescent="0.25">
      <c r="A1" s="33" t="s">
        <v>464</v>
      </c>
      <c r="B1" s="33" t="str">
        <f>'conversion-factors'!B1</f>
        <v>OAS</v>
      </c>
    </row>
    <row r="2" spans="1:4" x14ac:dyDescent="0.25">
      <c r="A2" s="115" t="s">
        <v>452</v>
      </c>
      <c r="B2" s="116"/>
      <c r="C2" s="65"/>
      <c r="D2" s="116"/>
    </row>
    <row r="3" spans="1:4" x14ac:dyDescent="0.25">
      <c r="A3" s="67" t="s">
        <v>433</v>
      </c>
      <c r="B3" s="8"/>
      <c r="C3" s="33" t="s">
        <v>216</v>
      </c>
      <c r="D3" s="71" t="s">
        <v>218</v>
      </c>
    </row>
    <row r="4" spans="1:4" x14ac:dyDescent="0.25">
      <c r="A4" s="36" t="s">
        <v>434</v>
      </c>
      <c r="B4" s="39">
        <v>0.125</v>
      </c>
      <c r="C4" s="3" t="s">
        <v>372</v>
      </c>
      <c r="D4" s="80" t="s">
        <v>238</v>
      </c>
    </row>
    <row r="5" spans="1:4" x14ac:dyDescent="0.25">
      <c r="A5" s="34" t="s">
        <v>466</v>
      </c>
      <c r="B5" s="37"/>
      <c r="C5" s="41" t="s">
        <v>216</v>
      </c>
      <c r="D5" s="42" t="s">
        <v>218</v>
      </c>
    </row>
    <row r="6" spans="1:4" x14ac:dyDescent="0.25">
      <c r="A6" s="36" t="s">
        <v>466</v>
      </c>
      <c r="B6" s="39">
        <v>0.5</v>
      </c>
      <c r="C6" s="3" t="s">
        <v>372</v>
      </c>
      <c r="D6" s="80" t="s">
        <v>467</v>
      </c>
    </row>
    <row r="7" spans="1:4" x14ac:dyDescent="0.25">
      <c r="A7" s="77" t="s">
        <v>388</v>
      </c>
      <c r="B7" s="76"/>
      <c r="C7" s="74"/>
      <c r="D7" s="38"/>
    </row>
    <row r="8" spans="1:4" x14ac:dyDescent="0.25">
      <c r="A8" s="77" t="s">
        <v>89</v>
      </c>
      <c r="B8" s="78">
        <f>SUM(B9:B12)</f>
        <v>1</v>
      </c>
      <c r="C8" s="74"/>
      <c r="D8" s="38"/>
    </row>
    <row r="9" spans="1:4" x14ac:dyDescent="0.25">
      <c r="A9" s="75" t="s">
        <v>389</v>
      </c>
      <c r="B9" s="76">
        <v>0.68</v>
      </c>
      <c r="C9" s="74"/>
      <c r="D9" s="70" t="s">
        <v>227</v>
      </c>
    </row>
    <row r="10" spans="1:4" x14ac:dyDescent="0.25">
      <c r="A10" s="75" t="s">
        <v>390</v>
      </c>
      <c r="B10" s="76">
        <v>0</v>
      </c>
      <c r="C10" s="74"/>
      <c r="D10" s="70" t="s">
        <v>227</v>
      </c>
    </row>
    <row r="11" spans="1:4" x14ac:dyDescent="0.25">
      <c r="A11" s="75" t="s">
        <v>189</v>
      </c>
      <c r="B11" s="76">
        <v>0.22</v>
      </c>
      <c r="C11" s="74"/>
      <c r="D11" s="70" t="s">
        <v>227</v>
      </c>
    </row>
    <row r="12" spans="1:4" x14ac:dyDescent="0.25">
      <c r="A12" s="82" t="s">
        <v>391</v>
      </c>
      <c r="B12" s="83">
        <v>0.1</v>
      </c>
      <c r="C12" s="84"/>
      <c r="D12" s="85" t="s">
        <v>227</v>
      </c>
    </row>
    <row r="13" spans="1:4" x14ac:dyDescent="0.25">
      <c r="A13" s="77" t="s">
        <v>392</v>
      </c>
      <c r="B13" s="78">
        <f>SUM(B14:B17)</f>
        <v>1</v>
      </c>
      <c r="C13" s="74"/>
      <c r="D13" s="70"/>
    </row>
    <row r="14" spans="1:4" x14ac:dyDescent="0.25">
      <c r="A14" s="75" t="s">
        <v>389</v>
      </c>
      <c r="B14" s="76">
        <v>0.08</v>
      </c>
      <c r="C14" s="74"/>
      <c r="D14" s="70" t="s">
        <v>227</v>
      </c>
    </row>
    <row r="15" spans="1:4" x14ac:dyDescent="0.25">
      <c r="A15" s="75" t="s">
        <v>390</v>
      </c>
      <c r="B15" s="76">
        <v>0.62</v>
      </c>
      <c r="C15" s="74"/>
      <c r="D15" s="70" t="s">
        <v>227</v>
      </c>
    </row>
    <row r="16" spans="1:4" x14ac:dyDescent="0.25">
      <c r="A16" s="75" t="s">
        <v>189</v>
      </c>
      <c r="B16" s="76">
        <v>0</v>
      </c>
      <c r="C16" s="74"/>
      <c r="D16" s="70" t="s">
        <v>227</v>
      </c>
    </row>
    <row r="17" spans="1:4" x14ac:dyDescent="0.25">
      <c r="A17" s="82" t="s">
        <v>391</v>
      </c>
      <c r="B17" s="83">
        <v>0.3</v>
      </c>
      <c r="C17" s="84"/>
      <c r="D17" s="85" t="s">
        <v>227</v>
      </c>
    </row>
    <row r="18" spans="1:4" x14ac:dyDescent="0.25">
      <c r="A18" s="77" t="s">
        <v>393</v>
      </c>
      <c r="B18" s="78">
        <f>SUM(B19:B22)</f>
        <v>1</v>
      </c>
      <c r="C18" s="74"/>
      <c r="D18" s="70"/>
    </row>
    <row r="19" spans="1:4" x14ac:dyDescent="0.25">
      <c r="A19" s="75" t="s">
        <v>389</v>
      </c>
      <c r="B19" s="76">
        <v>0.34</v>
      </c>
      <c r="C19" s="74"/>
      <c r="D19" s="70" t="s">
        <v>227</v>
      </c>
    </row>
    <row r="20" spans="1:4" x14ac:dyDescent="0.25">
      <c r="A20" s="75" t="s">
        <v>390</v>
      </c>
      <c r="B20" s="76">
        <v>0.66</v>
      </c>
      <c r="C20" s="74"/>
      <c r="D20" s="70" t="s">
        <v>227</v>
      </c>
    </row>
    <row r="21" spans="1:4" x14ac:dyDescent="0.25">
      <c r="A21" s="75" t="s">
        <v>189</v>
      </c>
      <c r="B21" s="76">
        <v>0</v>
      </c>
      <c r="C21" s="74"/>
      <c r="D21" s="70" t="s">
        <v>227</v>
      </c>
    </row>
    <row r="22" spans="1:4" x14ac:dyDescent="0.25">
      <c r="A22" s="82" t="s">
        <v>391</v>
      </c>
      <c r="B22" s="83">
        <v>0</v>
      </c>
      <c r="C22" s="84"/>
      <c r="D22" s="85" t="s">
        <v>227</v>
      </c>
    </row>
    <row r="23" spans="1:4" x14ac:dyDescent="0.25">
      <c r="A23" s="77" t="s">
        <v>394</v>
      </c>
      <c r="B23" s="78">
        <f>SUM(B24:B27)</f>
        <v>1</v>
      </c>
      <c r="C23" s="74"/>
      <c r="D23" s="70"/>
    </row>
    <row r="24" spans="1:4" x14ac:dyDescent="0.25">
      <c r="A24" s="75" t="s">
        <v>389</v>
      </c>
      <c r="B24" s="76">
        <v>0.56000000000000005</v>
      </c>
      <c r="C24" s="74"/>
      <c r="D24" s="70" t="s">
        <v>227</v>
      </c>
    </row>
    <row r="25" spans="1:4" x14ac:dyDescent="0.25">
      <c r="A25" s="75" t="s">
        <v>390</v>
      </c>
      <c r="B25" s="76">
        <v>0.23</v>
      </c>
      <c r="C25" s="74"/>
      <c r="D25" s="70" t="s">
        <v>227</v>
      </c>
    </row>
    <row r="26" spans="1:4" x14ac:dyDescent="0.25">
      <c r="A26" s="75" t="s">
        <v>189</v>
      </c>
      <c r="B26" s="76">
        <v>0.11</v>
      </c>
      <c r="C26" s="74"/>
      <c r="D26" s="70" t="s">
        <v>227</v>
      </c>
    </row>
    <row r="27" spans="1:4" x14ac:dyDescent="0.25">
      <c r="A27" s="82" t="s">
        <v>391</v>
      </c>
      <c r="B27" s="83">
        <v>0.1</v>
      </c>
      <c r="C27" s="84"/>
      <c r="D27" s="85" t="s">
        <v>227</v>
      </c>
    </row>
    <row r="28" spans="1:4" x14ac:dyDescent="0.25">
      <c r="A28" s="77" t="s">
        <v>395</v>
      </c>
      <c r="B28" s="78">
        <f>SUM(B29:B32)</f>
        <v>1</v>
      </c>
      <c r="C28" s="74"/>
      <c r="D28" s="70"/>
    </row>
    <row r="29" spans="1:4" x14ac:dyDescent="0.25">
      <c r="A29" s="75" t="s">
        <v>389</v>
      </c>
      <c r="B29" s="76">
        <v>0.27</v>
      </c>
      <c r="C29" s="74"/>
      <c r="D29" s="70" t="s">
        <v>227</v>
      </c>
    </row>
    <row r="30" spans="1:4" x14ac:dyDescent="0.25">
      <c r="A30" s="75" t="s">
        <v>390</v>
      </c>
      <c r="B30" s="76">
        <v>0.5</v>
      </c>
      <c r="C30" s="74"/>
      <c r="D30" s="70" t="s">
        <v>227</v>
      </c>
    </row>
    <row r="31" spans="1:4" x14ac:dyDescent="0.25">
      <c r="A31" s="75" t="s">
        <v>189</v>
      </c>
      <c r="B31" s="76">
        <v>0</v>
      </c>
      <c r="C31" s="74"/>
      <c r="D31" s="70" t="s">
        <v>227</v>
      </c>
    </row>
    <row r="32" spans="1:4" x14ac:dyDescent="0.25">
      <c r="A32" s="48" t="s">
        <v>391</v>
      </c>
      <c r="B32" s="49">
        <v>0.23</v>
      </c>
      <c r="C32" s="79"/>
      <c r="D32" s="80" t="s">
        <v>227</v>
      </c>
    </row>
    <row r="33" spans="1:4" x14ac:dyDescent="0.25">
      <c r="A33" s="77" t="s">
        <v>438</v>
      </c>
      <c r="B33" s="76"/>
      <c r="C33" s="76"/>
      <c r="D33" s="70"/>
    </row>
    <row r="34" spans="1:4" x14ac:dyDescent="0.25">
      <c r="A34" s="77" t="s">
        <v>439</v>
      </c>
      <c r="B34" s="76"/>
      <c r="C34" s="76"/>
      <c r="D34" s="70"/>
    </row>
    <row r="35" spans="1:4" x14ac:dyDescent="0.25">
      <c r="A35" s="75" t="s">
        <v>385</v>
      </c>
      <c r="B35" s="76">
        <v>0.3</v>
      </c>
      <c r="C35" s="76" t="s">
        <v>372</v>
      </c>
      <c r="D35" s="70" t="s">
        <v>453</v>
      </c>
    </row>
    <row r="36" spans="1:4" x14ac:dyDescent="0.25">
      <c r="A36" s="75" t="s">
        <v>454</v>
      </c>
      <c r="B36" s="76">
        <f>1-B35</f>
        <v>0.7</v>
      </c>
      <c r="C36" s="76"/>
      <c r="D36" s="70"/>
    </row>
    <row r="37" spans="1:4" x14ac:dyDescent="0.25">
      <c r="A37" s="75" t="s">
        <v>455</v>
      </c>
      <c r="B37" s="76"/>
      <c r="C37" s="76"/>
      <c r="D37" s="70"/>
    </row>
    <row r="38" spans="1:4" x14ac:dyDescent="0.25">
      <c r="A38" s="35" t="s">
        <v>435</v>
      </c>
      <c r="B38" s="76">
        <f>55%*(1/(B36))</f>
        <v>0.78571428571428581</v>
      </c>
      <c r="C38" s="76" t="s">
        <v>536</v>
      </c>
      <c r="D38" s="70"/>
    </row>
    <row r="39" spans="1:4" x14ac:dyDescent="0.25">
      <c r="A39" s="35" t="s">
        <v>397</v>
      </c>
      <c r="B39" s="76">
        <f>5%*(1/(B36))</f>
        <v>7.1428571428571438E-2</v>
      </c>
      <c r="C39" s="76"/>
      <c r="D39" s="70"/>
    </row>
    <row r="40" spans="1:4" x14ac:dyDescent="0.25">
      <c r="A40" s="35" t="s">
        <v>436</v>
      </c>
      <c r="B40" s="76">
        <f>5%*(1/(B36))</f>
        <v>7.1428571428571438E-2</v>
      </c>
      <c r="C40" s="76"/>
      <c r="D40" s="70"/>
    </row>
    <row r="41" spans="1:4" x14ac:dyDescent="0.25">
      <c r="A41" s="35" t="s">
        <v>386</v>
      </c>
      <c r="B41" s="76">
        <f>5%*(1/(B36))</f>
        <v>7.1428571428571438E-2</v>
      </c>
      <c r="C41" s="76"/>
      <c r="D41" s="70"/>
    </row>
    <row r="42" spans="1:4" x14ac:dyDescent="0.25">
      <c r="A42" s="93" t="s">
        <v>437</v>
      </c>
      <c r="B42" s="83">
        <f>0%*(1/(B36))</f>
        <v>0</v>
      </c>
      <c r="C42" s="83"/>
      <c r="D42" s="85"/>
    </row>
    <row r="43" spans="1:4" x14ac:dyDescent="0.25">
      <c r="A43" s="77" t="s">
        <v>117</v>
      </c>
      <c r="B43" s="76"/>
      <c r="C43" s="74"/>
      <c r="D43" s="70"/>
    </row>
    <row r="44" spans="1:4" x14ac:dyDescent="0.25">
      <c r="A44" s="75" t="s">
        <v>385</v>
      </c>
      <c r="B44" s="76">
        <v>0.2</v>
      </c>
      <c r="C44" s="74" t="s">
        <v>372</v>
      </c>
      <c r="D44" s="70" t="s">
        <v>453</v>
      </c>
    </row>
    <row r="45" spans="1:4" x14ac:dyDescent="0.25">
      <c r="A45" s="75" t="s">
        <v>454</v>
      </c>
      <c r="B45" s="76">
        <f>1-B44</f>
        <v>0.8</v>
      </c>
      <c r="C45" s="74"/>
      <c r="D45" s="70"/>
    </row>
    <row r="46" spans="1:4" x14ac:dyDescent="0.25">
      <c r="A46" s="75" t="s">
        <v>455</v>
      </c>
      <c r="B46" s="76"/>
      <c r="C46" s="74"/>
      <c r="D46" s="70"/>
    </row>
    <row r="47" spans="1:4" x14ac:dyDescent="0.25">
      <c r="A47" s="35" t="s">
        <v>435</v>
      </c>
      <c r="B47" s="76">
        <f>65%*(1/(B45))</f>
        <v>0.8125</v>
      </c>
      <c r="C47" s="76" t="s">
        <v>536</v>
      </c>
      <c r="D47" s="70"/>
    </row>
    <row r="48" spans="1:4" x14ac:dyDescent="0.25">
      <c r="A48" s="35" t="s">
        <v>397</v>
      </c>
      <c r="B48" s="76">
        <f>5%*(1/(B45))</f>
        <v>6.25E-2</v>
      </c>
      <c r="C48" s="74"/>
      <c r="D48" s="70"/>
    </row>
    <row r="49" spans="1:4" x14ac:dyDescent="0.25">
      <c r="A49" s="35" t="s">
        <v>436</v>
      </c>
      <c r="B49" s="76">
        <f>5%*(1/(B45))</f>
        <v>6.25E-2</v>
      </c>
      <c r="C49" s="74"/>
      <c r="D49" s="70"/>
    </row>
    <row r="50" spans="1:4" x14ac:dyDescent="0.25">
      <c r="A50" s="35" t="s">
        <v>386</v>
      </c>
      <c r="B50" s="76">
        <f>5%*(1/(B45))</f>
        <v>6.25E-2</v>
      </c>
      <c r="C50" s="74"/>
      <c r="D50" s="70"/>
    </row>
    <row r="51" spans="1:4" x14ac:dyDescent="0.25">
      <c r="A51" s="93" t="s">
        <v>437</v>
      </c>
      <c r="B51" s="83">
        <f>0%*(1/(B45))</f>
        <v>0</v>
      </c>
      <c r="C51" s="83"/>
      <c r="D51" s="85"/>
    </row>
    <row r="52" spans="1:4" x14ac:dyDescent="0.25">
      <c r="A52" s="77" t="s">
        <v>440</v>
      </c>
      <c r="B52" s="76"/>
      <c r="C52" s="74"/>
      <c r="D52" s="70"/>
    </row>
    <row r="53" spans="1:4" x14ac:dyDescent="0.25">
      <c r="A53" s="75" t="s">
        <v>385</v>
      </c>
      <c r="B53" s="76">
        <v>0.05</v>
      </c>
      <c r="C53" s="74" t="s">
        <v>372</v>
      </c>
      <c r="D53" s="70" t="s">
        <v>453</v>
      </c>
    </row>
    <row r="54" spans="1:4" x14ac:dyDescent="0.25">
      <c r="A54" s="75" t="s">
        <v>454</v>
      </c>
      <c r="B54" s="76">
        <f>1-B53</f>
        <v>0.95</v>
      </c>
      <c r="C54" s="74"/>
      <c r="D54" s="70"/>
    </row>
    <row r="55" spans="1:4" x14ac:dyDescent="0.25">
      <c r="A55" s="75" t="s">
        <v>455</v>
      </c>
      <c r="B55" s="76"/>
      <c r="C55" s="74"/>
      <c r="D55" s="70"/>
    </row>
    <row r="56" spans="1:4" x14ac:dyDescent="0.25">
      <c r="A56" s="35" t="s">
        <v>435</v>
      </c>
      <c r="B56" s="76">
        <f>80%*(1/(B54))</f>
        <v>0.84210526315789469</v>
      </c>
      <c r="C56" s="76" t="s">
        <v>536</v>
      </c>
      <c r="D56" s="70"/>
    </row>
    <row r="57" spans="1:4" x14ac:dyDescent="0.25">
      <c r="A57" s="35" t="s">
        <v>397</v>
      </c>
      <c r="B57" s="76">
        <f>5%*(1/(B54))</f>
        <v>5.2631578947368418E-2</v>
      </c>
      <c r="C57" s="74"/>
      <c r="D57" s="70"/>
    </row>
    <row r="58" spans="1:4" x14ac:dyDescent="0.25">
      <c r="A58" s="35" t="s">
        <v>436</v>
      </c>
      <c r="B58" s="76">
        <f>5%*(1/(B54))</f>
        <v>5.2631578947368418E-2</v>
      </c>
      <c r="C58" s="74"/>
      <c r="D58" s="70"/>
    </row>
    <row r="59" spans="1:4" x14ac:dyDescent="0.25">
      <c r="A59" s="35" t="s">
        <v>386</v>
      </c>
      <c r="B59" s="76">
        <f>5%*(1/(B54))</f>
        <v>5.2631578947368418E-2</v>
      </c>
      <c r="C59" s="74"/>
      <c r="D59" s="70"/>
    </row>
    <row r="60" spans="1:4" x14ac:dyDescent="0.25">
      <c r="A60" s="36" t="s">
        <v>437</v>
      </c>
      <c r="B60" s="49">
        <f>0%*(1/(B45))</f>
        <v>0</v>
      </c>
      <c r="C60" s="79"/>
      <c r="D60" s="80"/>
    </row>
    <row r="61" spans="1:4" x14ac:dyDescent="0.25">
      <c r="A61" s="77" t="s">
        <v>533</v>
      </c>
      <c r="B61" s="76"/>
      <c r="C61" s="74"/>
      <c r="D61" s="70"/>
    </row>
    <row r="62" spans="1:4" x14ac:dyDescent="0.25">
      <c r="A62" s="75" t="s">
        <v>449</v>
      </c>
      <c r="B62" s="76">
        <v>0.7</v>
      </c>
      <c r="C62" s="74"/>
      <c r="D62" s="70"/>
    </row>
    <row r="63" spans="1:4" x14ac:dyDescent="0.25">
      <c r="A63" s="75" t="s">
        <v>450</v>
      </c>
      <c r="B63" s="76">
        <v>0.3</v>
      </c>
      <c r="C63" s="74"/>
      <c r="D63" s="70"/>
    </row>
    <row r="64" spans="1:4" x14ac:dyDescent="0.25">
      <c r="A64" s="87" t="s">
        <v>441</v>
      </c>
      <c r="B64" s="88"/>
      <c r="C64" s="89"/>
      <c r="D64" s="90"/>
    </row>
    <row r="65" spans="1:7" ht="12.75" customHeight="1" x14ac:dyDescent="0.25">
      <c r="A65" s="75" t="s">
        <v>442</v>
      </c>
      <c r="B65" s="76">
        <f>VLOOKUP('supporting-percentages'!B1,waste!A3:M5,5,FALSE)+VLOOKUP('supporting-percentages'!B1,waste!A3:M5,7,FALSE)*0.7+VLOOKUP('supporting-percentages'!B1,waste!A3:M5,10,FALSE)</f>
        <v>0.29043870682293182</v>
      </c>
      <c r="C65" s="162" t="s">
        <v>535</v>
      </c>
      <c r="D65" s="70" t="s">
        <v>453</v>
      </c>
      <c r="G65" s="99"/>
    </row>
    <row r="66" spans="1:7" x14ac:dyDescent="0.25">
      <c r="A66" s="35" t="s">
        <v>435</v>
      </c>
      <c r="B66" s="76">
        <f>B65*0.58</f>
        <v>0.16845444995730044</v>
      </c>
      <c r="C66" s="162"/>
      <c r="D66" s="108" t="s">
        <v>462</v>
      </c>
      <c r="G66" s="100"/>
    </row>
    <row r="67" spans="1:7" x14ac:dyDescent="0.25">
      <c r="A67" s="35" t="s">
        <v>531</v>
      </c>
      <c r="B67" s="76">
        <f>B65*0.27</f>
        <v>7.8418450842191595E-2</v>
      </c>
      <c r="C67" s="162"/>
      <c r="D67" s="106"/>
      <c r="G67" s="99"/>
    </row>
    <row r="68" spans="1:7" x14ac:dyDescent="0.25">
      <c r="A68" s="35" t="s">
        <v>397</v>
      </c>
      <c r="B68" s="76">
        <f>B65*0.15</f>
        <v>4.356580602343977E-2</v>
      </c>
      <c r="C68" s="162"/>
      <c r="D68" s="106"/>
    </row>
    <row r="69" spans="1:7" x14ac:dyDescent="0.25">
      <c r="A69" s="35" t="s">
        <v>443</v>
      </c>
      <c r="B69" s="76">
        <f>1-B65</f>
        <v>0.70956129317706818</v>
      </c>
      <c r="C69" s="162"/>
      <c r="D69" s="70"/>
    </row>
    <row r="70" spans="1:7" x14ac:dyDescent="0.25">
      <c r="A70" s="35" t="s">
        <v>436</v>
      </c>
      <c r="B70" s="76">
        <f>VLOOKUP('supporting-percentages'!B1,waste!A3:M5,7,FALSE)*(B69/(VLOOKUP('supporting-percentages'!B1,waste!A3:M5,7,FALSE)+VLOOKUP('supporting-percentages'!B1,waste!A3:M5,13,FALSE)+VLOOKUP('supporting-percentages'!B1,waste!A3:M5,9,FALSE)))</f>
        <v>9.2577089876899027E-2</v>
      </c>
      <c r="C70" s="162"/>
      <c r="D70" s="70"/>
    </row>
    <row r="71" spans="1:7" x14ac:dyDescent="0.25">
      <c r="A71" s="35" t="s">
        <v>386</v>
      </c>
      <c r="B71" s="76">
        <f>VLOOKUP('supporting-percentages'!B1,waste!A3:M5,13,FALSE)*(B69/(VLOOKUP('supporting-percentages'!B1,waste!A3:M5,7,FALSE)+VLOOKUP('supporting-percentages'!B1,waste!A3:M5,13,FALSE)+VLOOKUP('supporting-percentages'!B1,waste!A3:M5,9,FALSE)))</f>
        <v>0.36677832649267833</v>
      </c>
      <c r="C71" s="162"/>
      <c r="D71" s="70"/>
    </row>
    <row r="72" spans="1:7" x14ac:dyDescent="0.25">
      <c r="A72" s="36" t="s">
        <v>437</v>
      </c>
      <c r="B72" s="49">
        <f>VLOOKUP('supporting-percentages'!B1,waste!A3:M5,9,FALSE)*(B69/(VLOOKUP('supporting-percentages'!B1,waste!A3:M5,7,FALSE)+VLOOKUP('supporting-percentages'!B1,waste!A3:M5,13,FALSE)+VLOOKUP('supporting-percentages'!B1,waste!A3:M5,9,FALSE)))</f>
        <v>0.25020587680749085</v>
      </c>
      <c r="C72" s="163"/>
      <c r="D72" s="80"/>
    </row>
    <row r="73" spans="1:7" x14ac:dyDescent="0.25">
      <c r="A73" s="67" t="s">
        <v>430</v>
      </c>
      <c r="B73" s="8"/>
      <c r="C73" s="4"/>
      <c r="D73" s="38"/>
    </row>
    <row r="74" spans="1:7" x14ac:dyDescent="0.25">
      <c r="A74" s="35" t="s">
        <v>396</v>
      </c>
      <c r="B74" s="92">
        <v>0.09</v>
      </c>
      <c r="C74" s="4"/>
      <c r="D74" s="70" t="s">
        <v>227</v>
      </c>
    </row>
    <row r="75" spans="1:7" x14ac:dyDescent="0.25">
      <c r="A75" s="36" t="s">
        <v>431</v>
      </c>
      <c r="B75" s="91">
        <f>1-B74</f>
        <v>0.91</v>
      </c>
      <c r="C75" s="3"/>
      <c r="D75" s="80" t="s">
        <v>227</v>
      </c>
    </row>
    <row r="76" spans="1:7" x14ac:dyDescent="0.25">
      <c r="A76" s="34" t="s">
        <v>432</v>
      </c>
      <c r="B76" s="37"/>
      <c r="C76" s="101"/>
      <c r="D76" s="102"/>
    </row>
    <row r="77" spans="1:7" ht="13.2" customHeight="1" x14ac:dyDescent="0.25">
      <c r="A77" s="75" t="s">
        <v>442</v>
      </c>
      <c r="B77" s="8">
        <f>SUM(B78:B80)</f>
        <v>0.57751210555488397</v>
      </c>
      <c r="C77" s="162" t="s">
        <v>534</v>
      </c>
      <c r="D77" s="70" t="s">
        <v>444</v>
      </c>
    </row>
    <row r="78" spans="1:7" ht="12.75" customHeight="1" x14ac:dyDescent="0.25">
      <c r="A78" s="35" t="s">
        <v>435</v>
      </c>
      <c r="B78" s="8">
        <f>(VLOOKUP(B1,waste!A3:M5,7,FALSE)*B62)*((1-B79)/(((VLOOKUP(B1,waste!A3:M5,7,FALSE)*B62))+(VLOOKUP(B1,waste!A3:M5,5,FALSE)+(VLOOKUP(B1,waste!A3:M5,7,FALSE)*B63)+(VLOOKUP(B1,waste!A3:M5,13,FALSE))+(VLOOKUP(B1,waste!A3:M5,9,FALSE)))))</f>
        <v>4.2463867501878562E-2</v>
      </c>
      <c r="C78" s="162"/>
      <c r="D78" s="108" t="s">
        <v>462</v>
      </c>
    </row>
    <row r="79" spans="1:7" x14ac:dyDescent="0.25">
      <c r="A79" s="35" t="s">
        <v>532</v>
      </c>
      <c r="B79" s="8">
        <f>woodflow!N408/woodflow!N404</f>
        <v>0.51402827837565324</v>
      </c>
      <c r="C79" s="162"/>
      <c r="D79" s="38" t="s">
        <v>234</v>
      </c>
    </row>
    <row r="80" spans="1:7" x14ac:dyDescent="0.25">
      <c r="A80" s="35" t="s">
        <v>397</v>
      </c>
      <c r="B80" s="8">
        <f>(VLOOKUP(B1,waste!A3:M5,5,FALSE))*((1-B79)/(((VLOOKUP(B1,waste!A3:M5,7,FALSE)*B62))+(VLOOKUP(B1,waste!A3:M5,5,FALSE)+(VLOOKUP(B1,waste!A3:M5,7,FALSE)*B63)+(VLOOKUP(B1,waste!A3:M5,13,FALSE))+(VLOOKUP(B1,waste!A3:M5,9,FALSE)))))</f>
        <v>2.101995967735211E-2</v>
      </c>
      <c r="C80" s="162"/>
      <c r="D80" s="70"/>
    </row>
    <row r="81" spans="1:4" x14ac:dyDescent="0.25">
      <c r="A81" s="35" t="s">
        <v>443</v>
      </c>
      <c r="B81" s="8">
        <f>SUM(B82:B84)</f>
        <v>0.42248789444511603</v>
      </c>
      <c r="C81" s="162"/>
      <c r="D81" s="70"/>
    </row>
    <row r="82" spans="1:4" x14ac:dyDescent="0.25">
      <c r="A82" s="35" t="s">
        <v>436</v>
      </c>
      <c r="B82" s="8">
        <f>(VLOOKUP(B1,waste!A3:M5,7,FALSE)*B63)*((1-B79)/(((VLOOKUP(B1,waste!A3:M5,7,FALSE)*B62))+(VLOOKUP(B1,waste!A3:M5,5,FALSE)+(VLOOKUP(B1,waste!A3:M5,7,FALSE)*B63)+(VLOOKUP(B1,waste!A3:M5,13,FALSE))+(VLOOKUP(B1,waste!A3:M5,9,FALSE)))))</f>
        <v>1.8198800357947957E-2</v>
      </c>
      <c r="C82" s="162"/>
      <c r="D82" s="70"/>
    </row>
    <row r="83" spans="1:4" x14ac:dyDescent="0.25">
      <c r="A83" s="35" t="s">
        <v>386</v>
      </c>
      <c r="B83" s="8">
        <f>(VLOOKUP(B1,waste!A3:M5,13,FALSE))*((1-B79)/(((VLOOKUP(B1,waste!A3:M5,7,FALSE)*B62))+(VLOOKUP(B1,waste!A3:M5,5,FALSE)+(VLOOKUP(B1,waste!A3:M5,7,FALSE)*B63)+(VLOOKUP(B1,waste!A3:M5,13,FALSE))+(VLOOKUP(B1,waste!A3:M5,9,FALSE)))))</f>
        <v>0.24033755897700118</v>
      </c>
      <c r="C83" s="162"/>
      <c r="D83" s="38"/>
    </row>
    <row r="84" spans="1:4" x14ac:dyDescent="0.25">
      <c r="A84" s="36" t="s">
        <v>437</v>
      </c>
      <c r="B84" s="39">
        <f>(VLOOKUP(B1,waste!A3:M5,9,FALSE))*((1-B79)/(((VLOOKUP(B1,waste!A3:M5,7,FALSE)*B62))+(VLOOKUP(B1,waste!A3:M5,5,FALSE)+(VLOOKUP(B1,waste!A3:M5,7,FALSE)*B63)+(VLOOKUP(B1,waste!A3:M5,13,FALSE))+(VLOOKUP(B1,waste!A3:M5,9,FALSE)))))</f>
        <v>0.16395153511016691</v>
      </c>
      <c r="C84" s="163"/>
      <c r="D84" s="40"/>
    </row>
  </sheetData>
  <mergeCells count="2">
    <mergeCell ref="C77:C84"/>
    <mergeCell ref="C65:C72"/>
  </mergeCells>
  <phoneticPr fontId="1" type="noConversion"/>
  <hyperlinks>
    <hyperlink ref="D9:D32" r:id="rId1" display="https://doi.org/10.1111/jiec.12613" xr:uid="{17194AE8-2F9B-4EA1-9520-E2670C3A165B}"/>
    <hyperlink ref="D74" r:id="rId2" xr:uid="{569F67F0-1503-4047-AFDE-3AFC9CE9F3F1}"/>
    <hyperlink ref="D4" r:id="rId3" xr:uid="{37D2078C-CEF5-4036-ACEE-14070D1EAE5E}"/>
    <hyperlink ref="D75" r:id="rId4" xr:uid="{216FFFFE-87EE-428F-AA2B-03CF3FDCD0C1}"/>
    <hyperlink ref="D77" r:id="rId5" display="https://doi.org/10.1111/jiec.12613" xr:uid="{CAA8C45F-8C37-45D1-87A7-81EF55FFFA23}"/>
    <hyperlink ref="D66" r:id="rId6" xr:uid="{7A0FA059-7DCD-4D6A-BB2F-5D2333682F44}"/>
    <hyperlink ref="D78" r:id="rId7" xr:uid="{29935096-4A53-4C11-BFE3-C273351E1C41}"/>
  </hyperlinks>
  <pageMargins left="0.7" right="0.7" top="0.75" bottom="0.75" header="0.3" footer="0.3"/>
  <pageSetup orientation="portrait" horizontalDpi="1200" verticalDpi="120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FD4D-1172-4140-95D0-A529173832FF}">
  <sheetPr codeName="Sheet5"/>
  <dimension ref="A1:R167"/>
  <sheetViews>
    <sheetView zoomScale="70" zoomScaleNormal="70" workbookViewId="0"/>
  </sheetViews>
  <sheetFormatPr defaultColWidth="8.88671875" defaultRowHeight="14.4" x14ac:dyDescent="0.3"/>
  <cols>
    <col min="1" max="1" width="15.6640625" customWidth="1"/>
    <col min="2" max="2" width="9.109375"/>
    <col min="3" max="3" width="13" style="4" bestFit="1" customWidth="1"/>
    <col min="4" max="4" width="7.88671875" style="4" bestFit="1" customWidth="1"/>
    <col min="5" max="5" width="16.33203125" style="4" bestFit="1" customWidth="1"/>
    <col min="6" max="6" width="16.33203125" style="4" customWidth="1"/>
    <col min="7" max="7" width="13.6640625" style="4" customWidth="1"/>
    <col min="8" max="8" width="29.6640625" style="4" customWidth="1"/>
    <col min="9" max="9" width="12.88671875" style="4" bestFit="1" customWidth="1"/>
    <col min="10" max="10" width="12.88671875" style="4" customWidth="1"/>
    <col min="11" max="11" width="7.6640625" style="4" customWidth="1"/>
    <col min="12" max="12" width="16.44140625" style="4" bestFit="1" customWidth="1"/>
    <col min="13" max="13" width="7.6640625" style="4" bestFit="1" customWidth="1"/>
    <col min="14" max="14" width="21" style="4" customWidth="1"/>
    <col min="15" max="15" width="20" style="4" bestFit="1" customWidth="1"/>
    <col min="16" max="16" width="20" customWidth="1"/>
    <col min="17" max="17" width="23.5546875" style="4" bestFit="1" customWidth="1"/>
    <col min="18" max="18" width="21.5546875" style="4" bestFit="1" customWidth="1"/>
    <col min="19" max="19" width="26.6640625" style="4" customWidth="1"/>
    <col min="20" max="20" width="13.33203125" style="4" customWidth="1"/>
    <col min="21" max="21" width="12.44140625" style="4" bestFit="1" customWidth="1"/>
    <col min="22" max="16384" width="8.88671875" style="4"/>
  </cols>
  <sheetData>
    <row r="1" spans="1:18" s="5" customFormat="1" ht="13.2" x14ac:dyDescent="0.25">
      <c r="A1" s="7" t="s">
        <v>176</v>
      </c>
      <c r="B1" s="7" t="s">
        <v>175</v>
      </c>
      <c r="C1" s="7" t="s">
        <v>400</v>
      </c>
      <c r="D1" s="7" t="s">
        <v>94</v>
      </c>
      <c r="E1" s="7" t="s">
        <v>174</v>
      </c>
      <c r="F1" s="7" t="s">
        <v>173</v>
      </c>
      <c r="G1" s="7" t="s">
        <v>172</v>
      </c>
      <c r="H1" s="7" t="s">
        <v>171</v>
      </c>
      <c r="I1" s="7" t="s">
        <v>170</v>
      </c>
      <c r="J1" s="7" t="s">
        <v>169</v>
      </c>
      <c r="K1" s="7" t="s">
        <v>168</v>
      </c>
      <c r="L1" s="7" t="s">
        <v>167</v>
      </c>
      <c r="M1" s="7" t="s">
        <v>166</v>
      </c>
      <c r="N1" s="7" t="s">
        <v>165</v>
      </c>
      <c r="O1" s="7" t="s">
        <v>90</v>
      </c>
      <c r="P1" s="7" t="s">
        <v>164</v>
      </c>
      <c r="Q1" s="7" t="s">
        <v>537</v>
      </c>
      <c r="R1" s="7" t="s">
        <v>177</v>
      </c>
    </row>
    <row r="2" spans="1:18" ht="13.2" x14ac:dyDescent="0.25">
      <c r="A2" s="4" t="s">
        <v>129</v>
      </c>
      <c r="B2" s="4" t="s">
        <v>128</v>
      </c>
      <c r="C2" s="4" t="s">
        <v>465</v>
      </c>
      <c r="D2" s="4" t="s">
        <v>465</v>
      </c>
      <c r="E2" s="4">
        <v>5516</v>
      </c>
      <c r="F2" s="4" t="s">
        <v>131</v>
      </c>
      <c r="G2" s="4">
        <v>1627</v>
      </c>
      <c r="H2" s="4" t="s">
        <v>124</v>
      </c>
      <c r="I2" s="4">
        <v>2021</v>
      </c>
      <c r="J2" s="4">
        <v>2021</v>
      </c>
      <c r="K2" s="4" t="s">
        <v>146</v>
      </c>
      <c r="L2" s="6">
        <v>7365045</v>
      </c>
      <c r="O2" s="10">
        <f>'conversion-factors'!E4</f>
        <v>0.42725000000000002</v>
      </c>
      <c r="P2" s="6">
        <f t="shared" ref="P2:P5" si="0">L2*O2</f>
        <v>3146715.4762500003</v>
      </c>
      <c r="Q2" s="9">
        <f>faostatdata[[#This Row],[Value '[odmt']]]*(10^-6)</f>
        <v>3.1467154762500003</v>
      </c>
      <c r="R2" s="4" t="str">
        <f t="shared" ref="R2:R7" si="1">CONCATENATE("(",E2,",",G2,")")</f>
        <v>(5516,1627)</v>
      </c>
    </row>
    <row r="3" spans="1:18" ht="13.2" x14ac:dyDescent="0.25">
      <c r="A3" s="4" t="s">
        <v>129</v>
      </c>
      <c r="B3" s="4" t="s">
        <v>128</v>
      </c>
      <c r="C3" s="4" t="s">
        <v>465</v>
      </c>
      <c r="D3" s="4" t="s">
        <v>465</v>
      </c>
      <c r="E3" s="4">
        <v>5616</v>
      </c>
      <c r="F3" s="4" t="s">
        <v>130</v>
      </c>
      <c r="G3" s="4">
        <v>1627</v>
      </c>
      <c r="H3" s="4" t="s">
        <v>124</v>
      </c>
      <c r="I3" s="4">
        <v>2021</v>
      </c>
      <c r="J3" s="4">
        <v>2021</v>
      </c>
      <c r="K3" s="4" t="s">
        <v>146</v>
      </c>
      <c r="L3" s="6">
        <v>644.38</v>
      </c>
      <c r="O3" s="10">
        <f>O2</f>
        <v>0.42725000000000002</v>
      </c>
      <c r="P3" s="6">
        <f>L3*O3*'supporting-percentages'!$B$6</f>
        <v>137.6556775</v>
      </c>
      <c r="Q3" s="9">
        <f>faostatdata[[#This Row],[Value '[odmt']]]*(10^-6)</f>
        <v>1.3765567749999999E-4</v>
      </c>
      <c r="R3" s="4" t="str">
        <f t="shared" si="1"/>
        <v>(5616,1627)</v>
      </c>
    </row>
    <row r="4" spans="1:18" ht="13.2" x14ac:dyDescent="0.25">
      <c r="A4" s="4" t="s">
        <v>129</v>
      </c>
      <c r="B4" s="4" t="s">
        <v>128</v>
      </c>
      <c r="C4" s="4" t="s">
        <v>465</v>
      </c>
      <c r="D4" s="4" t="s">
        <v>465</v>
      </c>
      <c r="E4" s="4">
        <v>5916</v>
      </c>
      <c r="F4" s="4" t="s">
        <v>127</v>
      </c>
      <c r="G4" s="4">
        <v>1627</v>
      </c>
      <c r="H4" s="4" t="s">
        <v>124</v>
      </c>
      <c r="I4" s="4">
        <v>2021</v>
      </c>
      <c r="J4" s="4">
        <v>2021</v>
      </c>
      <c r="K4" s="4" t="s">
        <v>146</v>
      </c>
      <c r="L4" s="6">
        <v>2991.7599999999998</v>
      </c>
      <c r="O4" s="10">
        <f>O3</f>
        <v>0.42725000000000002</v>
      </c>
      <c r="P4" s="6">
        <f>L4*O4*'supporting-percentages'!$B$6</f>
        <v>639.11473000000001</v>
      </c>
      <c r="Q4" s="9">
        <f>faostatdata[[#This Row],[Value '[odmt']]]*(10^-6)</f>
        <v>6.3911472999999999E-4</v>
      </c>
      <c r="R4" s="4" t="str">
        <f t="shared" si="1"/>
        <v>(5916,1627)</v>
      </c>
    </row>
    <row r="5" spans="1:18" ht="13.2" x14ac:dyDescent="0.25">
      <c r="A5" s="4" t="s">
        <v>129</v>
      </c>
      <c r="B5" s="4" t="s">
        <v>128</v>
      </c>
      <c r="C5" s="4" t="s">
        <v>465</v>
      </c>
      <c r="D5" s="4" t="s">
        <v>465</v>
      </c>
      <c r="E5" s="4">
        <v>5516</v>
      </c>
      <c r="F5" s="4" t="s">
        <v>131</v>
      </c>
      <c r="G5" s="4">
        <v>1628</v>
      </c>
      <c r="H5" s="4" t="s">
        <v>123</v>
      </c>
      <c r="I5" s="4">
        <v>2021</v>
      </c>
      <c r="J5" s="4">
        <v>2021</v>
      </c>
      <c r="K5" s="4" t="s">
        <v>146</v>
      </c>
      <c r="L5" s="6">
        <v>224385072</v>
      </c>
      <c r="O5" s="11">
        <f>'conversion-factors'!E5</f>
        <v>0.8</v>
      </c>
      <c r="P5" s="6">
        <f t="shared" si="0"/>
        <v>179508057.60000002</v>
      </c>
      <c r="Q5" s="9">
        <f>faostatdata[[#This Row],[Value '[odmt']]]*(10^-6)</f>
        <v>179.50805760000003</v>
      </c>
      <c r="R5" s="4" t="str">
        <f t="shared" si="1"/>
        <v>(5516,1628)</v>
      </c>
    </row>
    <row r="6" spans="1:18" ht="13.2" x14ac:dyDescent="0.25">
      <c r="A6" s="4" t="s">
        <v>129</v>
      </c>
      <c r="B6" s="4" t="s">
        <v>128</v>
      </c>
      <c r="C6" s="4" t="s">
        <v>465</v>
      </c>
      <c r="D6" s="4" t="s">
        <v>465</v>
      </c>
      <c r="E6" s="4">
        <v>5616</v>
      </c>
      <c r="F6" s="4" t="s">
        <v>130</v>
      </c>
      <c r="G6" s="4">
        <v>1628</v>
      </c>
      <c r="H6" s="4" t="s">
        <v>123</v>
      </c>
      <c r="I6" s="4">
        <v>2021</v>
      </c>
      <c r="J6" s="4">
        <v>2021</v>
      </c>
      <c r="K6" s="4" t="s">
        <v>146</v>
      </c>
      <c r="L6" s="6">
        <v>2398.34</v>
      </c>
      <c r="O6" s="11">
        <f>O5</f>
        <v>0.8</v>
      </c>
      <c r="P6" s="6">
        <f>L6*O6*'supporting-percentages'!$B$6</f>
        <v>959.33600000000013</v>
      </c>
      <c r="Q6" s="9">
        <f>faostatdata[[#This Row],[Value '[odmt']]]*(10^-6)</f>
        <v>9.5933600000000009E-4</v>
      </c>
      <c r="R6" s="4" t="str">
        <f t="shared" si="1"/>
        <v>(5616,1628)</v>
      </c>
    </row>
    <row r="7" spans="1:18" ht="13.2" x14ac:dyDescent="0.25">
      <c r="A7" s="4" t="s">
        <v>129</v>
      </c>
      <c r="B7" s="4" t="s">
        <v>128</v>
      </c>
      <c r="C7" s="4" t="s">
        <v>465</v>
      </c>
      <c r="D7" s="4" t="s">
        <v>465</v>
      </c>
      <c r="E7" s="4">
        <v>5916</v>
      </c>
      <c r="F7" s="4" t="s">
        <v>127</v>
      </c>
      <c r="G7" s="4">
        <v>1628</v>
      </c>
      <c r="H7" s="4" t="s">
        <v>123</v>
      </c>
      <c r="I7" s="4">
        <v>2021</v>
      </c>
      <c r="J7" s="4">
        <v>2021</v>
      </c>
      <c r="K7" s="4" t="s">
        <v>146</v>
      </c>
      <c r="L7" s="6">
        <v>15420.33</v>
      </c>
      <c r="O7" s="11">
        <f>O6</f>
        <v>0.8</v>
      </c>
      <c r="P7" s="6">
        <f>L7*O7*'supporting-percentages'!$B$6</f>
        <v>6168.1320000000005</v>
      </c>
      <c r="Q7" s="9">
        <f>faostatdata[[#This Row],[Value '[odmt']]]*(10^-6)</f>
        <v>6.1681320000000006E-3</v>
      </c>
      <c r="R7" s="4" t="str">
        <f t="shared" si="1"/>
        <v>(5916,1628)</v>
      </c>
    </row>
    <row r="8" spans="1:18" ht="13.2" x14ac:dyDescent="0.25">
      <c r="A8" s="4" t="s">
        <v>129</v>
      </c>
      <c r="B8" s="4" t="s">
        <v>128</v>
      </c>
      <c r="C8" s="4" t="s">
        <v>465</v>
      </c>
      <c r="D8" s="4" t="s">
        <v>465</v>
      </c>
      <c r="E8" s="4">
        <v>5616</v>
      </c>
      <c r="F8" s="4" t="s">
        <v>130</v>
      </c>
      <c r="G8" s="4">
        <v>1629</v>
      </c>
      <c r="H8" s="4" t="s">
        <v>163</v>
      </c>
      <c r="I8" s="4">
        <v>2021</v>
      </c>
      <c r="J8" s="4">
        <v>2021</v>
      </c>
      <c r="L8" s="6">
        <v>0</v>
      </c>
      <c r="O8" s="10"/>
      <c r="P8" s="6"/>
      <c r="Q8" s="9"/>
    </row>
    <row r="9" spans="1:18" ht="13.2" x14ac:dyDescent="0.25">
      <c r="A9" s="4" t="s">
        <v>129</v>
      </c>
      <c r="B9" s="4" t="s">
        <v>128</v>
      </c>
      <c r="C9" s="4" t="s">
        <v>465</v>
      </c>
      <c r="D9" s="4" t="s">
        <v>465</v>
      </c>
      <c r="E9" s="4">
        <v>5916</v>
      </c>
      <c r="F9" s="4" t="s">
        <v>127</v>
      </c>
      <c r="G9" s="4">
        <v>1629</v>
      </c>
      <c r="H9" s="4" t="s">
        <v>163</v>
      </c>
      <c r="I9" s="4">
        <v>2021</v>
      </c>
      <c r="J9" s="4">
        <v>2021</v>
      </c>
      <c r="L9" s="6">
        <v>0</v>
      </c>
      <c r="O9" s="10"/>
      <c r="P9" s="6"/>
      <c r="Q9" s="9"/>
    </row>
    <row r="10" spans="1:18" ht="13.2" x14ac:dyDescent="0.25">
      <c r="A10" s="4" t="s">
        <v>129</v>
      </c>
      <c r="B10" s="4" t="s">
        <v>128</v>
      </c>
      <c r="C10" s="4" t="s">
        <v>465</v>
      </c>
      <c r="D10" s="4" t="s">
        <v>465</v>
      </c>
      <c r="E10" s="4">
        <v>5616</v>
      </c>
      <c r="F10" s="4" t="s">
        <v>130</v>
      </c>
      <c r="G10" s="4">
        <v>1651</v>
      </c>
      <c r="H10" s="4" t="s">
        <v>162</v>
      </c>
      <c r="I10" s="4">
        <v>2021</v>
      </c>
      <c r="J10" s="4">
        <v>2021</v>
      </c>
      <c r="K10" s="4" t="s">
        <v>146</v>
      </c>
      <c r="L10" s="6">
        <v>3590414</v>
      </c>
      <c r="O10" s="12">
        <f>'conversion-factors'!E6</f>
        <v>0.41499999999999998</v>
      </c>
      <c r="P10" s="6">
        <f>L10*O10*'supporting-percentages'!$B$6</f>
        <v>745010.90499999991</v>
      </c>
      <c r="Q10" s="9">
        <f>faostatdata[[#This Row],[Value '[odmt']]]*(10^-6)</f>
        <v>0.74501090499999989</v>
      </c>
      <c r="R10" s="4" t="str">
        <f t="shared" ref="R10:R16" si="2">CONCATENATE("(",E10,",",G10,")")</f>
        <v>(5616,1651)</v>
      </c>
    </row>
    <row r="11" spans="1:18" ht="13.2" x14ac:dyDescent="0.25">
      <c r="A11" s="4" t="s">
        <v>129</v>
      </c>
      <c r="B11" s="4" t="s">
        <v>128</v>
      </c>
      <c r="C11" s="4" t="s">
        <v>465</v>
      </c>
      <c r="D11" s="4" t="s">
        <v>465</v>
      </c>
      <c r="E11" s="4">
        <v>5916</v>
      </c>
      <c r="F11" s="4" t="s">
        <v>127</v>
      </c>
      <c r="G11" s="4">
        <v>1651</v>
      </c>
      <c r="H11" s="4" t="s">
        <v>162</v>
      </c>
      <c r="I11" s="4">
        <v>2021</v>
      </c>
      <c r="J11" s="4">
        <v>2021</v>
      </c>
      <c r="K11" s="4" t="s">
        <v>146</v>
      </c>
      <c r="L11" s="6">
        <v>79985</v>
      </c>
      <c r="O11" s="12">
        <f>O10</f>
        <v>0.41499999999999998</v>
      </c>
      <c r="P11" s="6">
        <f>L11*O11*'supporting-percentages'!$B$6</f>
        <v>16596.887500000001</v>
      </c>
      <c r="Q11" s="9">
        <f>faostatdata[[#This Row],[Value '[odmt']]]*(10^-6)</f>
        <v>1.6596887500000001E-2</v>
      </c>
      <c r="R11" s="4" t="str">
        <f t="shared" si="2"/>
        <v>(5916,1651)</v>
      </c>
    </row>
    <row r="12" spans="1:18" ht="13.2" x14ac:dyDescent="0.25">
      <c r="A12" s="4" t="s">
        <v>129</v>
      </c>
      <c r="B12" s="4" t="s">
        <v>128</v>
      </c>
      <c r="C12" s="4" t="s">
        <v>465</v>
      </c>
      <c r="D12" s="4" t="s">
        <v>465</v>
      </c>
      <c r="E12" s="4">
        <v>5616</v>
      </c>
      <c r="F12" s="4" t="s">
        <v>130</v>
      </c>
      <c r="G12" s="4">
        <v>1657</v>
      </c>
      <c r="H12" s="4" t="s">
        <v>161</v>
      </c>
      <c r="I12" s="4">
        <v>2021</v>
      </c>
      <c r="J12" s="4">
        <v>2021</v>
      </c>
      <c r="K12" s="4" t="s">
        <v>146</v>
      </c>
      <c r="L12" s="6">
        <v>1371853</v>
      </c>
      <c r="O12" s="11">
        <f>'conversion-factors'!E7</f>
        <v>0.55300000000000005</v>
      </c>
      <c r="P12" s="6">
        <f>L12*O12*'supporting-percentages'!$B$6</f>
        <v>379317.35450000002</v>
      </c>
      <c r="Q12" s="9">
        <f>faostatdata[[#This Row],[Value '[odmt']]]*(10^-6)</f>
        <v>0.37931735449999998</v>
      </c>
      <c r="R12" s="4" t="str">
        <f t="shared" si="2"/>
        <v>(5616,1657)</v>
      </c>
    </row>
    <row r="13" spans="1:18" ht="13.2" x14ac:dyDescent="0.25">
      <c r="A13" s="4" t="s">
        <v>129</v>
      </c>
      <c r="B13" s="4" t="s">
        <v>128</v>
      </c>
      <c r="C13" s="4" t="s">
        <v>465</v>
      </c>
      <c r="D13" s="4" t="s">
        <v>465</v>
      </c>
      <c r="E13" s="4">
        <v>5916</v>
      </c>
      <c r="F13" s="4" t="s">
        <v>127</v>
      </c>
      <c r="G13" s="4">
        <v>1657</v>
      </c>
      <c r="H13" s="4" t="s">
        <v>161</v>
      </c>
      <c r="I13" s="4">
        <v>2021</v>
      </c>
      <c r="J13" s="4">
        <v>2021</v>
      </c>
      <c r="K13" s="4" t="s">
        <v>146</v>
      </c>
      <c r="L13" s="6">
        <v>5439751</v>
      </c>
      <c r="O13" s="11">
        <f>O12</f>
        <v>0.55300000000000005</v>
      </c>
      <c r="P13" s="6">
        <f>L13*O13*'supporting-percentages'!$B$6</f>
        <v>1504091.1515000002</v>
      </c>
      <c r="Q13" s="9">
        <f>faostatdata[[#This Row],[Value '[odmt']]]*(10^-6)</f>
        <v>1.5040911515000002</v>
      </c>
      <c r="R13" s="4" t="str">
        <f t="shared" si="2"/>
        <v>(5916,1657)</v>
      </c>
    </row>
    <row r="14" spans="1:18" ht="13.2" x14ac:dyDescent="0.25">
      <c r="A14" s="4" t="s">
        <v>129</v>
      </c>
      <c r="B14" s="4" t="s">
        <v>128</v>
      </c>
      <c r="C14" s="4" t="s">
        <v>465</v>
      </c>
      <c r="D14" s="4" t="s">
        <v>465</v>
      </c>
      <c r="E14" s="4">
        <v>5616</v>
      </c>
      <c r="F14" s="4" t="s">
        <v>130</v>
      </c>
      <c r="G14" s="4">
        <v>1670</v>
      </c>
      <c r="H14" s="4" t="s">
        <v>160</v>
      </c>
      <c r="I14" s="4">
        <v>2021</v>
      </c>
      <c r="J14" s="4">
        <v>2021</v>
      </c>
      <c r="K14" s="4" t="s">
        <v>146</v>
      </c>
      <c r="L14" s="6">
        <v>1563182</v>
      </c>
      <c r="O14" s="11">
        <f>O13</f>
        <v>0.55300000000000005</v>
      </c>
      <c r="P14" s="6">
        <f>L14*O14*'supporting-percentages'!$B$6</f>
        <v>432219.82300000003</v>
      </c>
      <c r="Q14" s="9">
        <f>faostatdata[[#This Row],[Value '[odmt']]]*(10^-6)</f>
        <v>0.432219823</v>
      </c>
      <c r="R14" s="4" t="str">
        <f t="shared" si="2"/>
        <v>(5616,1670)</v>
      </c>
    </row>
    <row r="15" spans="1:18" ht="13.2" x14ac:dyDescent="0.25">
      <c r="A15" s="4" t="s">
        <v>129</v>
      </c>
      <c r="B15" s="4" t="s">
        <v>128</v>
      </c>
      <c r="C15" s="4" t="s">
        <v>465</v>
      </c>
      <c r="D15" s="4" t="s">
        <v>465</v>
      </c>
      <c r="E15" s="4">
        <v>5916</v>
      </c>
      <c r="F15" s="4" t="s">
        <v>127</v>
      </c>
      <c r="G15" s="4">
        <v>1670</v>
      </c>
      <c r="H15" s="4" t="s">
        <v>160</v>
      </c>
      <c r="I15" s="4">
        <v>2021</v>
      </c>
      <c r="J15" s="4">
        <v>2021</v>
      </c>
      <c r="K15" s="4" t="s">
        <v>146</v>
      </c>
      <c r="L15" s="6">
        <v>1313</v>
      </c>
      <c r="O15" s="11">
        <f>O14</f>
        <v>0.55300000000000005</v>
      </c>
      <c r="P15" s="6">
        <f>L15*O15*'supporting-percentages'!$B$6</f>
        <v>363.04450000000003</v>
      </c>
      <c r="Q15" s="9">
        <f>faostatdata[[#This Row],[Value '[odmt']]]*(10^-6)</f>
        <v>3.6304450000000004E-4</v>
      </c>
      <c r="R15" s="4" t="str">
        <f t="shared" si="2"/>
        <v>(5916,1670)</v>
      </c>
    </row>
    <row r="16" spans="1:18" ht="13.2" x14ac:dyDescent="0.25">
      <c r="A16" s="4" t="s">
        <v>129</v>
      </c>
      <c r="B16" s="4" t="s">
        <v>128</v>
      </c>
      <c r="C16" s="4" t="s">
        <v>465</v>
      </c>
      <c r="D16" s="4" t="s">
        <v>465</v>
      </c>
      <c r="E16" s="4">
        <v>5516</v>
      </c>
      <c r="F16" s="4" t="s">
        <v>131</v>
      </c>
      <c r="G16" s="4">
        <v>1601</v>
      </c>
      <c r="H16" s="4" t="s">
        <v>121</v>
      </c>
      <c r="I16" s="4">
        <v>2021</v>
      </c>
      <c r="J16" s="4">
        <v>2021</v>
      </c>
      <c r="K16" s="4" t="s">
        <v>146</v>
      </c>
      <c r="L16" s="6">
        <v>5493240</v>
      </c>
      <c r="O16" s="12">
        <f>'conversion-factors'!E8</f>
        <v>0.42</v>
      </c>
      <c r="P16" s="6">
        <f t="shared" ref="P16:P23" si="3">L16*O16</f>
        <v>2307160.7999999998</v>
      </c>
      <c r="Q16" s="9">
        <f>faostatdata[[#This Row],[Value '[odmt']]]*(10^-6)</f>
        <v>2.3071607999999997</v>
      </c>
      <c r="R16" s="4" t="str">
        <f t="shared" si="2"/>
        <v>(5516,1601)</v>
      </c>
    </row>
    <row r="17" spans="1:18" ht="13.2" x14ac:dyDescent="0.25">
      <c r="A17" s="4" t="s">
        <v>129</v>
      </c>
      <c r="B17" s="4" t="s">
        <v>128</v>
      </c>
      <c r="C17" s="4" t="s">
        <v>465</v>
      </c>
      <c r="D17" s="4" t="s">
        <v>465</v>
      </c>
      <c r="E17" s="4">
        <v>5616</v>
      </c>
      <c r="F17" s="4" t="s">
        <v>130</v>
      </c>
      <c r="G17" s="4">
        <v>1601</v>
      </c>
      <c r="H17" s="4" t="s">
        <v>121</v>
      </c>
      <c r="I17" s="4">
        <v>2021</v>
      </c>
      <c r="J17" s="4">
        <v>2021</v>
      </c>
      <c r="L17" s="6">
        <v>0</v>
      </c>
      <c r="O17" s="12"/>
      <c r="P17" s="6"/>
      <c r="Q17" s="9"/>
    </row>
    <row r="18" spans="1:18" ht="13.2" x14ac:dyDescent="0.25">
      <c r="A18" s="4" t="s">
        <v>129</v>
      </c>
      <c r="B18" s="4" t="s">
        <v>128</v>
      </c>
      <c r="C18" s="4" t="s">
        <v>465</v>
      </c>
      <c r="D18" s="4" t="s">
        <v>465</v>
      </c>
      <c r="E18" s="4">
        <v>5916</v>
      </c>
      <c r="F18" s="4" t="s">
        <v>127</v>
      </c>
      <c r="G18" s="4">
        <v>1601</v>
      </c>
      <c r="H18" s="4" t="s">
        <v>121</v>
      </c>
      <c r="I18" s="4">
        <v>2021</v>
      </c>
      <c r="J18" s="4">
        <v>2021</v>
      </c>
      <c r="L18" s="6">
        <v>0</v>
      </c>
      <c r="O18" s="12"/>
      <c r="P18" s="6"/>
      <c r="Q18" s="9"/>
    </row>
    <row r="19" spans="1:18" ht="13.2" x14ac:dyDescent="0.25">
      <c r="A19" s="4" t="s">
        <v>129</v>
      </c>
      <c r="B19" s="4" t="s">
        <v>128</v>
      </c>
      <c r="C19" s="4" t="s">
        <v>465</v>
      </c>
      <c r="D19" s="4" t="s">
        <v>465</v>
      </c>
      <c r="E19" s="4">
        <v>5516</v>
      </c>
      <c r="F19" s="4" t="s">
        <v>131</v>
      </c>
      <c r="G19" s="4">
        <v>1604</v>
      </c>
      <c r="H19" s="4" t="s">
        <v>120</v>
      </c>
      <c r="I19" s="4">
        <v>2021</v>
      </c>
      <c r="J19" s="4">
        <v>2021</v>
      </c>
      <c r="K19" s="4" t="s">
        <v>146</v>
      </c>
      <c r="L19" s="6">
        <v>82158025</v>
      </c>
      <c r="O19" s="11">
        <f>'conversion-factors'!E9</f>
        <v>0.61299999999999999</v>
      </c>
      <c r="P19" s="6">
        <f t="shared" si="3"/>
        <v>50362869.324999996</v>
      </c>
      <c r="Q19" s="9">
        <f>faostatdata[[#This Row],[Value '[odmt']]]*(10^-6)</f>
        <v>50.362869324999991</v>
      </c>
      <c r="R19" s="4" t="str">
        <f>CONCATENATE("(",E19,",",G19,")")</f>
        <v>(5516,1604)</v>
      </c>
    </row>
    <row r="20" spans="1:18" ht="13.2" x14ac:dyDescent="0.25">
      <c r="A20" s="4" t="s">
        <v>129</v>
      </c>
      <c r="B20" s="4" t="s">
        <v>128</v>
      </c>
      <c r="C20" s="4" t="s">
        <v>465</v>
      </c>
      <c r="D20" s="4" t="s">
        <v>465</v>
      </c>
      <c r="E20" s="4">
        <v>5616</v>
      </c>
      <c r="F20" s="4" t="s">
        <v>130</v>
      </c>
      <c r="G20" s="4">
        <v>1604</v>
      </c>
      <c r="H20" s="4" t="s">
        <v>120</v>
      </c>
      <c r="I20" s="4">
        <v>2021</v>
      </c>
      <c r="J20" s="4">
        <v>2021</v>
      </c>
      <c r="L20" s="6">
        <v>0</v>
      </c>
      <c r="O20" s="11"/>
      <c r="P20" s="6"/>
      <c r="Q20" s="9"/>
    </row>
    <row r="21" spans="1:18" ht="13.2" x14ac:dyDescent="0.25">
      <c r="A21" s="4" t="s">
        <v>129</v>
      </c>
      <c r="B21" s="4" t="s">
        <v>128</v>
      </c>
      <c r="C21" s="4" t="s">
        <v>465</v>
      </c>
      <c r="D21" s="4" t="s">
        <v>465</v>
      </c>
      <c r="E21" s="4">
        <v>5916</v>
      </c>
      <c r="F21" s="4" t="s">
        <v>127</v>
      </c>
      <c r="G21" s="4">
        <v>1604</v>
      </c>
      <c r="H21" s="4" t="s">
        <v>120</v>
      </c>
      <c r="I21" s="4">
        <v>2021</v>
      </c>
      <c r="J21" s="4">
        <v>2021</v>
      </c>
      <c r="L21" s="6">
        <v>0</v>
      </c>
      <c r="O21" s="11"/>
      <c r="P21" s="6"/>
      <c r="Q21" s="9"/>
    </row>
    <row r="22" spans="1:18" ht="13.2" x14ac:dyDescent="0.25">
      <c r="A22" s="4" t="s">
        <v>129</v>
      </c>
      <c r="B22" s="4" t="s">
        <v>128</v>
      </c>
      <c r="C22" s="4" t="s">
        <v>465</v>
      </c>
      <c r="D22" s="4" t="s">
        <v>465</v>
      </c>
      <c r="E22" s="4">
        <v>5516</v>
      </c>
      <c r="F22" s="4" t="s">
        <v>131</v>
      </c>
      <c r="G22" s="4">
        <v>1602</v>
      </c>
      <c r="H22" s="4" t="s">
        <v>159</v>
      </c>
      <c r="I22" s="4">
        <v>2021</v>
      </c>
      <c r="J22" s="4">
        <v>2021</v>
      </c>
      <c r="K22" s="4" t="s">
        <v>146</v>
      </c>
      <c r="L22" s="6">
        <v>1675000</v>
      </c>
      <c r="O22" s="12">
        <f>'conversion-factors'!E10</f>
        <v>0.41</v>
      </c>
      <c r="P22" s="6">
        <f t="shared" si="3"/>
        <v>686750</v>
      </c>
      <c r="Q22" s="9">
        <f>faostatdata[[#This Row],[Value '[odmt']]]*(10^-6)</f>
        <v>0.68674999999999997</v>
      </c>
      <c r="R22" s="4" t="str">
        <f>CONCATENATE("(",E22,",",G22,")")</f>
        <v>(5516,1602)</v>
      </c>
    </row>
    <row r="23" spans="1:18" ht="13.2" x14ac:dyDescent="0.25">
      <c r="A23" s="4" t="s">
        <v>129</v>
      </c>
      <c r="B23" s="4" t="s">
        <v>128</v>
      </c>
      <c r="C23" s="4" t="s">
        <v>465</v>
      </c>
      <c r="D23" s="4" t="s">
        <v>465</v>
      </c>
      <c r="E23" s="4">
        <v>5516</v>
      </c>
      <c r="F23" s="4" t="s">
        <v>131</v>
      </c>
      <c r="G23" s="4">
        <v>1603</v>
      </c>
      <c r="H23" s="4" t="s">
        <v>158</v>
      </c>
      <c r="I23" s="4">
        <v>2021</v>
      </c>
      <c r="J23" s="4">
        <v>2021</v>
      </c>
      <c r="K23" s="4" t="s">
        <v>146</v>
      </c>
      <c r="L23" s="6">
        <v>76059101</v>
      </c>
      <c r="O23" s="11">
        <f>'conversion-factors'!E11</f>
        <v>0.49299999999999999</v>
      </c>
      <c r="P23" s="6">
        <f t="shared" si="3"/>
        <v>37497136.792999998</v>
      </c>
      <c r="Q23" s="9">
        <f>faostatdata[[#This Row],[Value '[odmt']]]*(10^-6)</f>
        <v>37.497136792999996</v>
      </c>
      <c r="R23" s="4" t="str">
        <f>CONCATENATE("(",E23,",",G23,")")</f>
        <v>(5516,1603)</v>
      </c>
    </row>
    <row r="24" spans="1:18" ht="13.2" x14ac:dyDescent="0.25">
      <c r="A24" s="4" t="s">
        <v>129</v>
      </c>
      <c r="B24" s="4" t="s">
        <v>128</v>
      </c>
      <c r="C24" s="4" t="s">
        <v>465</v>
      </c>
      <c r="D24" s="4" t="s">
        <v>465</v>
      </c>
      <c r="E24" s="4">
        <v>5516</v>
      </c>
      <c r="F24" s="4" t="s">
        <v>131</v>
      </c>
      <c r="G24" s="4">
        <v>1614</v>
      </c>
      <c r="H24" s="4" t="s">
        <v>157</v>
      </c>
      <c r="I24" s="4">
        <v>2021</v>
      </c>
      <c r="J24" s="4">
        <v>2021</v>
      </c>
      <c r="L24" s="6">
        <v>0</v>
      </c>
      <c r="O24" s="10"/>
      <c r="P24" s="6"/>
      <c r="Q24" s="9"/>
    </row>
    <row r="25" spans="1:18" ht="13.2" x14ac:dyDescent="0.25">
      <c r="A25" s="4" t="s">
        <v>129</v>
      </c>
      <c r="B25" s="4" t="s">
        <v>128</v>
      </c>
      <c r="C25" s="4" t="s">
        <v>465</v>
      </c>
      <c r="D25" s="4" t="s">
        <v>465</v>
      </c>
      <c r="E25" s="4">
        <v>5616</v>
      </c>
      <c r="F25" s="4" t="s">
        <v>130</v>
      </c>
      <c r="G25" s="4">
        <v>1614</v>
      </c>
      <c r="H25" s="4" t="s">
        <v>157</v>
      </c>
      <c r="I25" s="4">
        <v>2021</v>
      </c>
      <c r="J25" s="4">
        <v>2021</v>
      </c>
      <c r="L25" s="6">
        <v>0</v>
      </c>
      <c r="O25" s="10"/>
      <c r="P25" s="6"/>
      <c r="Q25" s="9"/>
    </row>
    <row r="26" spans="1:18" ht="13.2" x14ac:dyDescent="0.25">
      <c r="A26" s="4" t="s">
        <v>129</v>
      </c>
      <c r="B26" s="4" t="s">
        <v>128</v>
      </c>
      <c r="C26" s="4" t="s">
        <v>465</v>
      </c>
      <c r="D26" s="4" t="s">
        <v>465</v>
      </c>
      <c r="E26" s="4">
        <v>5916</v>
      </c>
      <c r="F26" s="4" t="s">
        <v>127</v>
      </c>
      <c r="G26" s="4">
        <v>1614</v>
      </c>
      <c r="H26" s="4" t="s">
        <v>157</v>
      </c>
      <c r="I26" s="4">
        <v>2021</v>
      </c>
      <c r="J26" s="4">
        <v>2021</v>
      </c>
      <c r="L26" s="6">
        <v>0</v>
      </c>
      <c r="O26" s="10"/>
      <c r="P26" s="6"/>
      <c r="Q26" s="9"/>
    </row>
    <row r="27" spans="1:18" ht="13.2" x14ac:dyDescent="0.25">
      <c r="A27" s="4" t="s">
        <v>129</v>
      </c>
      <c r="B27" s="4" t="s">
        <v>128</v>
      </c>
      <c r="C27" s="4" t="s">
        <v>465</v>
      </c>
      <c r="D27" s="4" t="s">
        <v>465</v>
      </c>
      <c r="E27" s="4">
        <v>5516</v>
      </c>
      <c r="F27" s="4" t="s">
        <v>131</v>
      </c>
      <c r="G27" s="4">
        <v>1608</v>
      </c>
      <c r="H27" s="4" t="s">
        <v>156</v>
      </c>
      <c r="I27" s="4">
        <v>2021</v>
      </c>
      <c r="J27" s="4">
        <v>2021</v>
      </c>
      <c r="L27" s="6">
        <v>0</v>
      </c>
      <c r="O27" s="10"/>
      <c r="P27" s="6"/>
      <c r="Q27" s="9"/>
    </row>
    <row r="28" spans="1:18" ht="13.2" x14ac:dyDescent="0.25">
      <c r="A28" s="4" t="s">
        <v>129</v>
      </c>
      <c r="B28" s="4" t="s">
        <v>128</v>
      </c>
      <c r="C28" s="4" t="s">
        <v>465</v>
      </c>
      <c r="D28" s="4" t="s">
        <v>465</v>
      </c>
      <c r="E28" s="4">
        <v>5516</v>
      </c>
      <c r="F28" s="4" t="s">
        <v>131</v>
      </c>
      <c r="G28" s="4">
        <v>1611</v>
      </c>
      <c r="H28" s="4" t="s">
        <v>155</v>
      </c>
      <c r="I28" s="4">
        <v>2021</v>
      </c>
      <c r="J28" s="4">
        <v>2021</v>
      </c>
      <c r="L28" s="6">
        <v>0</v>
      </c>
      <c r="O28" s="10"/>
      <c r="P28" s="6"/>
      <c r="Q28" s="9"/>
    </row>
    <row r="29" spans="1:18" ht="13.2" x14ac:dyDescent="0.25">
      <c r="A29" s="4" t="s">
        <v>129</v>
      </c>
      <c r="B29" s="4" t="s">
        <v>128</v>
      </c>
      <c r="C29" s="4" t="s">
        <v>465</v>
      </c>
      <c r="D29" s="4" t="s">
        <v>465</v>
      </c>
      <c r="E29" s="4">
        <v>5516</v>
      </c>
      <c r="F29" s="4" t="s">
        <v>131</v>
      </c>
      <c r="G29" s="4">
        <v>1623</v>
      </c>
      <c r="H29" s="4" t="s">
        <v>154</v>
      </c>
      <c r="I29" s="4">
        <v>2021</v>
      </c>
      <c r="J29" s="4">
        <v>2021</v>
      </c>
      <c r="K29" s="4" t="s">
        <v>146</v>
      </c>
      <c r="L29" s="6">
        <v>1480000</v>
      </c>
      <c r="O29" s="12">
        <f>'conversion-factors'!E12</f>
        <v>0.41499999999999998</v>
      </c>
      <c r="P29" s="6">
        <f>L29*O29</f>
        <v>614200</v>
      </c>
      <c r="Q29" s="9">
        <f>faostatdata[[#This Row],[Value '[odmt']]]*(10^-6)</f>
        <v>0.61419999999999997</v>
      </c>
      <c r="R29" s="4" t="str">
        <f>CONCATENATE("(",E29,",",G29,")")</f>
        <v>(5516,1623)</v>
      </c>
    </row>
    <row r="30" spans="1:18" ht="13.2" x14ac:dyDescent="0.25">
      <c r="A30" s="4" t="s">
        <v>129</v>
      </c>
      <c r="B30" s="4" t="s">
        <v>128</v>
      </c>
      <c r="C30" s="4" t="s">
        <v>465</v>
      </c>
      <c r="D30" s="4" t="s">
        <v>465</v>
      </c>
      <c r="E30" s="4">
        <v>5516</v>
      </c>
      <c r="F30" s="4" t="s">
        <v>131</v>
      </c>
      <c r="G30" s="4">
        <v>1626</v>
      </c>
      <c r="H30" s="4" t="s">
        <v>153</v>
      </c>
      <c r="I30" s="4">
        <v>2021</v>
      </c>
      <c r="J30" s="4">
        <v>2021</v>
      </c>
      <c r="K30" s="4" t="s">
        <v>146</v>
      </c>
      <c r="L30" s="6">
        <v>20643420</v>
      </c>
      <c r="O30" s="11">
        <f>'conversion-factors'!E13</f>
        <v>0.55300000000000005</v>
      </c>
      <c r="P30" s="6">
        <f>L30*O30</f>
        <v>11415811.260000002</v>
      </c>
      <c r="Q30" s="9">
        <f>faostatdata[[#This Row],[Value '[odmt']]]*(10^-6)</f>
        <v>11.415811260000002</v>
      </c>
      <c r="R30" s="4" t="str">
        <f>CONCATENATE("(",E30,",",G30,")")</f>
        <v>(5516,1626)</v>
      </c>
    </row>
    <row r="31" spans="1:18" ht="13.2" x14ac:dyDescent="0.25">
      <c r="A31" s="4" t="s">
        <v>129</v>
      </c>
      <c r="B31" s="4" t="s">
        <v>128</v>
      </c>
      <c r="C31" s="4" t="s">
        <v>465</v>
      </c>
      <c r="D31" s="4" t="s">
        <v>465</v>
      </c>
      <c r="E31" s="4">
        <v>5616</v>
      </c>
      <c r="F31" s="4" t="s">
        <v>130</v>
      </c>
      <c r="G31" s="4">
        <v>1625</v>
      </c>
      <c r="H31" s="4" t="s">
        <v>152</v>
      </c>
      <c r="I31" s="4">
        <v>2021</v>
      </c>
      <c r="J31" s="4">
        <v>2021</v>
      </c>
      <c r="L31" s="6">
        <v>0</v>
      </c>
      <c r="O31" s="10"/>
      <c r="P31" s="6"/>
      <c r="Q31" s="9"/>
    </row>
    <row r="32" spans="1:18" ht="13.2" x14ac:dyDescent="0.25">
      <c r="A32" s="4" t="s">
        <v>129</v>
      </c>
      <c r="B32" s="4" t="s">
        <v>128</v>
      </c>
      <c r="C32" s="4" t="s">
        <v>465</v>
      </c>
      <c r="D32" s="4" t="s">
        <v>465</v>
      </c>
      <c r="E32" s="4">
        <v>5916</v>
      </c>
      <c r="F32" s="4" t="s">
        <v>127</v>
      </c>
      <c r="G32" s="4">
        <v>1625</v>
      </c>
      <c r="H32" s="4" t="s">
        <v>152</v>
      </c>
      <c r="I32" s="4">
        <v>2021</v>
      </c>
      <c r="J32" s="4">
        <v>2021</v>
      </c>
      <c r="L32" s="6">
        <v>0</v>
      </c>
      <c r="O32" s="10"/>
      <c r="P32" s="6"/>
      <c r="Q32" s="9"/>
    </row>
    <row r="33" spans="1:18" ht="13.2" x14ac:dyDescent="0.25">
      <c r="A33" s="4" t="s">
        <v>129</v>
      </c>
      <c r="B33" s="4" t="s">
        <v>128</v>
      </c>
      <c r="C33" s="4" t="s">
        <v>465</v>
      </c>
      <c r="D33" s="4" t="s">
        <v>465</v>
      </c>
      <c r="E33" s="4">
        <v>5510</v>
      </c>
      <c r="F33" s="4" t="s">
        <v>131</v>
      </c>
      <c r="G33" s="4">
        <v>1630</v>
      </c>
      <c r="H33" s="4" t="s">
        <v>119</v>
      </c>
      <c r="I33" s="4">
        <v>2021</v>
      </c>
      <c r="J33" s="4">
        <v>2021</v>
      </c>
      <c r="K33" s="4" t="s">
        <v>346</v>
      </c>
      <c r="L33" s="6">
        <v>4372936</v>
      </c>
      <c r="O33" s="11">
        <f>'conversion-factors'!E15</f>
        <v>0.96499999999999997</v>
      </c>
      <c r="P33" s="6">
        <f t="shared" ref="P33:P42" si="4">L33*O33</f>
        <v>4219883.24</v>
      </c>
      <c r="Q33" s="9">
        <f>faostatdata[[#This Row],[Value '[odmt']]]*(10^-6)</f>
        <v>4.2198832399999997</v>
      </c>
      <c r="R33" s="4" t="str">
        <f t="shared" ref="R33:R62" si="5">CONCATENATE("(",E33,",",G33,")")</f>
        <v>(5510,1630)</v>
      </c>
    </row>
    <row r="34" spans="1:18" ht="13.2" x14ac:dyDescent="0.25">
      <c r="A34" s="4" t="s">
        <v>129</v>
      </c>
      <c r="B34" s="4" t="s">
        <v>128</v>
      </c>
      <c r="C34" s="4" t="s">
        <v>465</v>
      </c>
      <c r="D34" s="4" t="s">
        <v>465</v>
      </c>
      <c r="E34" s="4">
        <v>5510</v>
      </c>
      <c r="F34" s="4" t="s">
        <v>131</v>
      </c>
      <c r="G34" s="4">
        <v>1694</v>
      </c>
      <c r="H34" s="4" t="s">
        <v>355</v>
      </c>
      <c r="I34" s="4">
        <v>2021</v>
      </c>
      <c r="J34" s="4">
        <v>2021</v>
      </c>
      <c r="K34" s="4" t="s">
        <v>346</v>
      </c>
      <c r="L34" s="6">
        <v>355276</v>
      </c>
      <c r="O34" s="11">
        <f>'conversion-factors'!E23</f>
        <v>0.92500000000000004</v>
      </c>
      <c r="P34" s="6">
        <f t="shared" si="4"/>
        <v>328630.3</v>
      </c>
      <c r="Q34" s="9">
        <f>faostatdata[[#This Row],[Value '[odmt']]]*(10^-6)</f>
        <v>0.32863029999999999</v>
      </c>
      <c r="R34" s="4" t="str">
        <f t="shared" si="5"/>
        <v>(5510,1694)</v>
      </c>
    </row>
    <row r="35" spans="1:18" ht="13.2" x14ac:dyDescent="0.25">
      <c r="A35" s="4" t="s">
        <v>129</v>
      </c>
      <c r="B35" s="4" t="s">
        <v>128</v>
      </c>
      <c r="C35" s="4" t="s">
        <v>465</v>
      </c>
      <c r="D35" s="4" t="s">
        <v>465</v>
      </c>
      <c r="E35" s="4">
        <v>5610</v>
      </c>
      <c r="F35" s="4" t="s">
        <v>130</v>
      </c>
      <c r="G35" s="4">
        <v>1630</v>
      </c>
      <c r="H35" s="4" t="s">
        <v>119</v>
      </c>
      <c r="I35" s="4">
        <v>2021</v>
      </c>
      <c r="J35" s="4">
        <v>2021</v>
      </c>
      <c r="K35" s="4" t="s">
        <v>346</v>
      </c>
      <c r="L35" s="6">
        <v>372950.48</v>
      </c>
      <c r="O35" s="11">
        <f>O33</f>
        <v>0.96499999999999997</v>
      </c>
      <c r="P35" s="6">
        <f>L35*O35*'supporting-percentages'!$B$6</f>
        <v>179948.6066</v>
      </c>
      <c r="Q35" s="9">
        <f>faostatdata[[#This Row],[Value '[odmt']]]*(10^-6)</f>
        <v>0.17994860659999998</v>
      </c>
      <c r="R35" s="4" t="str">
        <f t="shared" si="5"/>
        <v>(5610,1630)</v>
      </c>
    </row>
    <row r="36" spans="1:18" ht="13.2" x14ac:dyDescent="0.25">
      <c r="A36" s="4" t="s">
        <v>129</v>
      </c>
      <c r="B36" s="4" t="s">
        <v>128</v>
      </c>
      <c r="C36" s="4" t="s">
        <v>465</v>
      </c>
      <c r="D36" s="4" t="s">
        <v>465</v>
      </c>
      <c r="E36" s="4">
        <v>5610</v>
      </c>
      <c r="F36" s="4" t="s">
        <v>130</v>
      </c>
      <c r="G36" s="4">
        <v>1694</v>
      </c>
      <c r="H36" s="4" t="s">
        <v>355</v>
      </c>
      <c r="I36" s="4">
        <v>2021</v>
      </c>
      <c r="J36" s="4">
        <v>2021</v>
      </c>
      <c r="K36" s="4" t="s">
        <v>346</v>
      </c>
      <c r="L36" s="6">
        <v>280820.96999999997</v>
      </c>
      <c r="O36" s="11">
        <f>O34</f>
        <v>0.92500000000000004</v>
      </c>
      <c r="P36" s="6">
        <f>L36*O36*'supporting-percentages'!$B$6</f>
        <v>129879.69862499999</v>
      </c>
      <c r="Q36" s="9">
        <f>faostatdata[[#This Row],[Value '[odmt']]]*(10^-6)</f>
        <v>0.12987969862499998</v>
      </c>
      <c r="R36" s="4" t="str">
        <f t="shared" si="5"/>
        <v>(5610,1694)</v>
      </c>
    </row>
    <row r="37" spans="1:18" ht="13.2" x14ac:dyDescent="0.25">
      <c r="A37" s="4" t="s">
        <v>129</v>
      </c>
      <c r="B37" s="4" t="s">
        <v>128</v>
      </c>
      <c r="C37" s="4" t="s">
        <v>465</v>
      </c>
      <c r="D37" s="4" t="s">
        <v>465</v>
      </c>
      <c r="E37" s="4">
        <v>5910</v>
      </c>
      <c r="F37" s="4" t="s">
        <v>127</v>
      </c>
      <c r="G37" s="4">
        <v>1630</v>
      </c>
      <c r="H37" s="4" t="s">
        <v>119</v>
      </c>
      <c r="I37" s="4">
        <v>2021</v>
      </c>
      <c r="J37" s="4">
        <v>2021</v>
      </c>
      <c r="K37" s="4" t="s">
        <v>346</v>
      </c>
      <c r="L37" s="6">
        <v>985417.31</v>
      </c>
      <c r="O37" s="11">
        <f>O33</f>
        <v>0.96499999999999997</v>
      </c>
      <c r="P37" s="6">
        <f>L37*O37*'supporting-percentages'!$B$6</f>
        <v>475463.852075</v>
      </c>
      <c r="Q37" s="9">
        <f>faostatdata[[#This Row],[Value '[odmt']]]*(10^-6)</f>
        <v>0.47546385207499997</v>
      </c>
      <c r="R37" s="4" t="str">
        <f t="shared" si="5"/>
        <v>(5910,1630)</v>
      </c>
    </row>
    <row r="38" spans="1:18" ht="13.2" x14ac:dyDescent="0.25">
      <c r="A38" s="4" t="s">
        <v>129</v>
      </c>
      <c r="B38" s="4" t="s">
        <v>128</v>
      </c>
      <c r="C38" s="4" t="s">
        <v>465</v>
      </c>
      <c r="D38" s="4" t="s">
        <v>465</v>
      </c>
      <c r="E38" s="4">
        <v>5910</v>
      </c>
      <c r="F38" s="4" t="s">
        <v>127</v>
      </c>
      <c r="G38" s="4">
        <v>1694</v>
      </c>
      <c r="H38" s="4" t="s">
        <v>355</v>
      </c>
      <c r="I38" s="4">
        <v>2021</v>
      </c>
      <c r="J38" s="4">
        <v>2021</v>
      </c>
      <c r="K38" s="4" t="s">
        <v>346</v>
      </c>
      <c r="L38" s="6">
        <v>232606.31</v>
      </c>
      <c r="O38" s="11">
        <f>O36</f>
        <v>0.92500000000000004</v>
      </c>
      <c r="P38" s="6">
        <f>L38*O38*'supporting-percentages'!$B$6</f>
        <v>107580.41837500001</v>
      </c>
      <c r="Q38" s="9">
        <f>faostatdata[[#This Row],[Value '[odmt']]]*(10^-6)</f>
        <v>0.107580418375</v>
      </c>
      <c r="R38" s="4" t="str">
        <f t="shared" si="5"/>
        <v>(5910,1694)</v>
      </c>
    </row>
    <row r="39" spans="1:18" ht="13.2" x14ac:dyDescent="0.25">
      <c r="A39" s="4" t="s">
        <v>129</v>
      </c>
      <c r="B39" s="4" t="s">
        <v>128</v>
      </c>
      <c r="C39" s="4" t="s">
        <v>465</v>
      </c>
      <c r="D39" s="4" t="s">
        <v>465</v>
      </c>
      <c r="E39" s="4">
        <v>5516</v>
      </c>
      <c r="F39" s="4" t="s">
        <v>131</v>
      </c>
      <c r="G39" s="4">
        <v>1619</v>
      </c>
      <c r="H39" s="4" t="s">
        <v>93</v>
      </c>
      <c r="I39" s="4">
        <v>2021</v>
      </c>
      <c r="J39" s="4">
        <v>2021</v>
      </c>
      <c r="K39" s="4" t="s">
        <v>146</v>
      </c>
      <c r="L39" s="6">
        <v>20694491</v>
      </c>
      <c r="O39" s="11">
        <f>'conversion-factors'!E17</f>
        <v>0.41152263374485593</v>
      </c>
      <c r="P39" s="6">
        <f t="shared" si="4"/>
        <v>8516251.4403292164</v>
      </c>
      <c r="Q39" s="9">
        <f>faostatdata[[#This Row],[Value '[odmt']]]*(10^-6)</f>
        <v>8.5162514403292153</v>
      </c>
      <c r="R39" s="4" t="str">
        <f t="shared" si="5"/>
        <v>(5516,1619)</v>
      </c>
    </row>
    <row r="40" spans="1:18" ht="13.2" x14ac:dyDescent="0.25">
      <c r="A40" s="4" t="s">
        <v>129</v>
      </c>
      <c r="B40" s="4" t="s">
        <v>128</v>
      </c>
      <c r="C40" s="4" t="s">
        <v>465</v>
      </c>
      <c r="D40" s="4" t="s">
        <v>465</v>
      </c>
      <c r="E40" s="4">
        <v>5616</v>
      </c>
      <c r="F40" s="4" t="s">
        <v>130</v>
      </c>
      <c r="G40" s="4">
        <v>1619</v>
      </c>
      <c r="H40" s="4" t="s">
        <v>93</v>
      </c>
      <c r="I40" s="4">
        <v>2021</v>
      </c>
      <c r="J40" s="4">
        <v>2021</v>
      </c>
      <c r="K40" s="4" t="s">
        <v>146</v>
      </c>
      <c r="L40" s="6">
        <v>1220297.0700000003</v>
      </c>
      <c r="O40" s="11">
        <f>O39</f>
        <v>0.41152263374485593</v>
      </c>
      <c r="P40" s="6">
        <f>L40*O40*'supporting-percentages'!$B$6</f>
        <v>251089.93209876548</v>
      </c>
      <c r="Q40" s="9">
        <f>faostatdata[[#This Row],[Value '[odmt']]]*(10^-6)</f>
        <v>0.25108993209876546</v>
      </c>
      <c r="R40" s="4" t="str">
        <f t="shared" si="5"/>
        <v>(5616,1619)</v>
      </c>
    </row>
    <row r="41" spans="1:18" ht="13.2" x14ac:dyDescent="0.25">
      <c r="A41" s="4" t="s">
        <v>129</v>
      </c>
      <c r="B41" s="4" t="s">
        <v>128</v>
      </c>
      <c r="C41" s="4" t="s">
        <v>465</v>
      </c>
      <c r="D41" s="4" t="s">
        <v>465</v>
      </c>
      <c r="E41" s="4">
        <v>5916</v>
      </c>
      <c r="F41" s="4" t="s">
        <v>127</v>
      </c>
      <c r="G41" s="4">
        <v>1619</v>
      </c>
      <c r="H41" s="4" t="s">
        <v>93</v>
      </c>
      <c r="I41" s="4">
        <v>2021</v>
      </c>
      <c r="J41" s="4">
        <v>2021</v>
      </c>
      <c r="K41" s="4" t="s">
        <v>146</v>
      </c>
      <c r="L41" s="6">
        <v>30398151.469999999</v>
      </c>
      <c r="O41" s="11">
        <f>O40</f>
        <v>0.41152263374485593</v>
      </c>
      <c r="P41" s="6">
        <f>L41*O41*'supporting-percentages'!$B$6</f>
        <v>6254763.6769547313</v>
      </c>
      <c r="Q41" s="9">
        <f>faostatdata[[#This Row],[Value '[odmt']]]*(10^-6)</f>
        <v>6.254763676954731</v>
      </c>
      <c r="R41" s="4" t="str">
        <f t="shared" si="5"/>
        <v>(5916,1619)</v>
      </c>
    </row>
    <row r="42" spans="1:18" ht="13.2" x14ac:dyDescent="0.25">
      <c r="A42" s="4" t="s">
        <v>129</v>
      </c>
      <c r="B42" s="4" t="s">
        <v>128</v>
      </c>
      <c r="C42" s="4" t="s">
        <v>465</v>
      </c>
      <c r="D42" s="4" t="s">
        <v>465</v>
      </c>
      <c r="E42" s="4">
        <v>5516</v>
      </c>
      <c r="F42" s="4" t="s">
        <v>131</v>
      </c>
      <c r="G42" s="4">
        <v>1620</v>
      </c>
      <c r="H42" s="4" t="s">
        <v>117</v>
      </c>
      <c r="I42" s="4">
        <v>2021</v>
      </c>
      <c r="J42" s="4">
        <v>2021</v>
      </c>
      <c r="K42" s="4" t="s">
        <v>146</v>
      </c>
      <c r="L42" s="6">
        <v>8600300</v>
      </c>
      <c r="O42" s="10">
        <f>'conversion-factors'!E18</f>
        <v>0.41067761806981518</v>
      </c>
      <c r="P42" s="6">
        <f t="shared" si="4"/>
        <v>3531950.7186858314</v>
      </c>
      <c r="Q42" s="9">
        <f>faostatdata[[#This Row],[Value '[odmt']]]*(10^-6)</f>
        <v>3.5319507186858314</v>
      </c>
      <c r="R42" s="4" t="str">
        <f t="shared" si="5"/>
        <v>(5516,1620)</v>
      </c>
    </row>
    <row r="43" spans="1:18" ht="13.2" x14ac:dyDescent="0.25">
      <c r="A43" s="4" t="s">
        <v>129</v>
      </c>
      <c r="B43" s="4" t="s">
        <v>128</v>
      </c>
      <c r="C43" s="4" t="s">
        <v>465</v>
      </c>
      <c r="D43" s="4" t="s">
        <v>465</v>
      </c>
      <c r="E43" s="4">
        <v>5616</v>
      </c>
      <c r="F43" s="4" t="s">
        <v>130</v>
      </c>
      <c r="G43" s="4">
        <v>1620</v>
      </c>
      <c r="H43" s="4" t="s">
        <v>117</v>
      </c>
      <c r="I43" s="4">
        <v>2021</v>
      </c>
      <c r="J43" s="4">
        <v>2021</v>
      </c>
      <c r="K43" s="4" t="s">
        <v>146</v>
      </c>
      <c r="L43" s="6">
        <v>77217.13</v>
      </c>
      <c r="O43" s="10">
        <f>O42</f>
        <v>0.41067761806981518</v>
      </c>
      <c r="P43" s="6">
        <f>L43*O43*'supporting-percentages'!$B$6</f>
        <v>15855.673511293635</v>
      </c>
      <c r="Q43" s="9">
        <f>faostatdata[[#This Row],[Value '[odmt']]]*(10^-6)</f>
        <v>1.5855673511293633E-2</v>
      </c>
      <c r="R43" s="4" t="str">
        <f t="shared" si="5"/>
        <v>(5616,1620)</v>
      </c>
    </row>
    <row r="44" spans="1:18" ht="13.2" x14ac:dyDescent="0.25">
      <c r="A44" s="4" t="s">
        <v>129</v>
      </c>
      <c r="B44" s="4" t="s">
        <v>128</v>
      </c>
      <c r="C44" s="4" t="s">
        <v>465</v>
      </c>
      <c r="D44" s="4" t="s">
        <v>465</v>
      </c>
      <c r="E44" s="4">
        <v>5916</v>
      </c>
      <c r="F44" s="4" t="s">
        <v>127</v>
      </c>
      <c r="G44" s="4">
        <v>1620</v>
      </c>
      <c r="H44" s="4" t="s">
        <v>117</v>
      </c>
      <c r="I44" s="4">
        <v>2021</v>
      </c>
      <c r="J44" s="4">
        <v>2021</v>
      </c>
      <c r="K44" s="4" t="s">
        <v>146</v>
      </c>
      <c r="L44" s="6">
        <v>70074.75</v>
      </c>
      <c r="O44" s="10">
        <f>O43</f>
        <v>0.41067761806981518</v>
      </c>
      <c r="P44" s="6">
        <f>L44*O44*'supporting-percentages'!$B$6</f>
        <v>14389.06570841889</v>
      </c>
      <c r="Q44" s="9">
        <f>faostatdata[[#This Row],[Value '[odmt']]]*(10^-6)</f>
        <v>1.4389065708418889E-2</v>
      </c>
      <c r="R44" s="4" t="str">
        <f t="shared" si="5"/>
        <v>(5916,1620)</v>
      </c>
    </row>
    <row r="45" spans="1:18" ht="13.2" x14ac:dyDescent="0.25">
      <c r="A45" s="4" t="s">
        <v>129</v>
      </c>
      <c r="B45" s="4" t="s">
        <v>128</v>
      </c>
      <c r="C45" s="4" t="s">
        <v>465</v>
      </c>
      <c r="D45" s="4" t="s">
        <v>465</v>
      </c>
      <c r="E45" s="4">
        <v>5510</v>
      </c>
      <c r="F45" s="4" t="s">
        <v>131</v>
      </c>
      <c r="G45" s="4">
        <v>1600</v>
      </c>
      <c r="H45" s="4" t="s">
        <v>151</v>
      </c>
      <c r="I45" s="4">
        <v>2021</v>
      </c>
      <c r="J45" s="4">
        <v>2021</v>
      </c>
      <c r="L45" s="6">
        <v>1687000</v>
      </c>
      <c r="O45" s="11">
        <f>'conversion-factors'!E20</f>
        <v>0.77500000000000002</v>
      </c>
      <c r="P45" s="6">
        <f t="shared" ref="P45:P60" si="6">L45*O45</f>
        <v>1307425</v>
      </c>
      <c r="Q45" s="9">
        <f>faostatdata[[#This Row],[Value '[odmt']]]*(10^-6)</f>
        <v>1.3074249999999998</v>
      </c>
      <c r="R45" s="4" t="str">
        <f t="shared" si="5"/>
        <v>(5510,1600)</v>
      </c>
    </row>
    <row r="46" spans="1:18" ht="13.2" x14ac:dyDescent="0.25">
      <c r="A46" s="4" t="s">
        <v>129</v>
      </c>
      <c r="B46" s="4" t="s">
        <v>128</v>
      </c>
      <c r="C46" s="4" t="s">
        <v>465</v>
      </c>
      <c r="D46" s="4" t="s">
        <v>465</v>
      </c>
      <c r="E46" s="4">
        <v>5610</v>
      </c>
      <c r="F46" s="4" t="s">
        <v>130</v>
      </c>
      <c r="G46" s="4">
        <v>1600</v>
      </c>
      <c r="H46" s="4" t="s">
        <v>151</v>
      </c>
      <c r="I46" s="4">
        <v>2021</v>
      </c>
      <c r="J46" s="4">
        <v>2021</v>
      </c>
      <c r="K46" s="4" t="s">
        <v>346</v>
      </c>
      <c r="L46" s="6">
        <v>0</v>
      </c>
      <c r="O46" s="11">
        <f>O45</f>
        <v>0.77500000000000002</v>
      </c>
      <c r="P46" s="6">
        <f>L46*O46*'supporting-percentages'!$B$6</f>
        <v>0</v>
      </c>
      <c r="Q46" s="9">
        <f>faostatdata[[#This Row],[Value '[odmt']]]*(10^-6)</f>
        <v>0</v>
      </c>
      <c r="R46" s="4" t="str">
        <f t="shared" si="5"/>
        <v>(5610,1600)</v>
      </c>
    </row>
    <row r="47" spans="1:18" ht="13.2" x14ac:dyDescent="0.25">
      <c r="A47" s="4" t="s">
        <v>129</v>
      </c>
      <c r="B47" s="4" t="s">
        <v>128</v>
      </c>
      <c r="C47" s="4" t="s">
        <v>465</v>
      </c>
      <c r="D47" s="4" t="s">
        <v>465</v>
      </c>
      <c r="E47" s="4">
        <v>5910</v>
      </c>
      <c r="F47" s="4" t="s">
        <v>127</v>
      </c>
      <c r="G47" s="4">
        <v>1600</v>
      </c>
      <c r="H47" s="4" t="s">
        <v>151</v>
      </c>
      <c r="I47" s="4">
        <v>2021</v>
      </c>
      <c r="J47" s="4">
        <v>2021</v>
      </c>
      <c r="L47" s="6">
        <v>0</v>
      </c>
      <c r="O47" s="11">
        <f>O46</f>
        <v>0.77500000000000002</v>
      </c>
      <c r="P47" s="6">
        <f>L47*O47*'supporting-percentages'!$B$6</f>
        <v>0</v>
      </c>
      <c r="Q47" s="9">
        <f>faostatdata[[#This Row],[Value '[odmt']]]*(10^-6)</f>
        <v>0</v>
      </c>
      <c r="R47" s="4" t="str">
        <f t="shared" si="5"/>
        <v>(5910,1600)</v>
      </c>
    </row>
    <row r="48" spans="1:18" ht="13.2" x14ac:dyDescent="0.25">
      <c r="A48" s="4" t="s">
        <v>129</v>
      </c>
      <c r="B48" s="4" t="s">
        <v>128</v>
      </c>
      <c r="C48" s="4" t="s">
        <v>465</v>
      </c>
      <c r="D48" s="4" t="s">
        <v>465</v>
      </c>
      <c r="E48" s="4">
        <v>5510</v>
      </c>
      <c r="F48" s="4" t="s">
        <v>131</v>
      </c>
      <c r="G48" s="4">
        <v>1693</v>
      </c>
      <c r="H48" s="4" t="s">
        <v>116</v>
      </c>
      <c r="I48" s="4">
        <v>2021</v>
      </c>
      <c r="J48" s="4">
        <v>2021</v>
      </c>
      <c r="K48" s="4" t="s">
        <v>346</v>
      </c>
      <c r="L48" s="6">
        <v>4932200</v>
      </c>
      <c r="O48" s="11">
        <f>'conversion-factors'!E22</f>
        <v>0.92500000000000004</v>
      </c>
      <c r="P48" s="6">
        <f t="shared" si="6"/>
        <v>4562285</v>
      </c>
      <c r="Q48" s="9">
        <f>faostatdata[[#This Row],[Value '[odmt']]]*(10^-6)</f>
        <v>4.5622850000000001</v>
      </c>
      <c r="R48" s="4" t="str">
        <f t="shared" si="5"/>
        <v>(5510,1693)</v>
      </c>
    </row>
    <row r="49" spans="1:18" ht="13.2" x14ac:dyDescent="0.25">
      <c r="A49" s="4" t="s">
        <v>129</v>
      </c>
      <c r="B49" s="4" t="s">
        <v>128</v>
      </c>
      <c r="C49" s="4" t="s">
        <v>465</v>
      </c>
      <c r="D49" s="4" t="s">
        <v>465</v>
      </c>
      <c r="E49" s="4">
        <v>5610</v>
      </c>
      <c r="F49" s="4" t="s">
        <v>130</v>
      </c>
      <c r="G49" s="4">
        <v>1693</v>
      </c>
      <c r="H49" s="4" t="s">
        <v>116</v>
      </c>
      <c r="I49" s="4">
        <v>2021</v>
      </c>
      <c r="J49" s="4">
        <v>2021</v>
      </c>
      <c r="K49" s="4" t="s">
        <v>346</v>
      </c>
      <c r="L49" s="6">
        <v>3387005.17</v>
      </c>
      <c r="O49" s="11">
        <f>O48</f>
        <v>0.92500000000000004</v>
      </c>
      <c r="P49" s="6">
        <f>L49*O49*'supporting-percentages'!$B$6</f>
        <v>1566489.8911250001</v>
      </c>
      <c r="Q49" s="9">
        <f>faostatdata[[#This Row],[Value '[odmt']]]*(10^-6)</f>
        <v>1.566489891125</v>
      </c>
      <c r="R49" s="4" t="str">
        <f t="shared" si="5"/>
        <v>(5610,1693)</v>
      </c>
    </row>
    <row r="50" spans="1:18" ht="13.2" x14ac:dyDescent="0.25">
      <c r="A50" s="4" t="s">
        <v>129</v>
      </c>
      <c r="B50" s="4" t="s">
        <v>128</v>
      </c>
      <c r="C50" s="4" t="s">
        <v>465</v>
      </c>
      <c r="D50" s="4" t="s">
        <v>465</v>
      </c>
      <c r="E50" s="4">
        <v>5910</v>
      </c>
      <c r="F50" s="4" t="s">
        <v>127</v>
      </c>
      <c r="G50" s="4">
        <v>1693</v>
      </c>
      <c r="H50" s="4" t="s">
        <v>116</v>
      </c>
      <c r="I50" s="4">
        <v>2021</v>
      </c>
      <c r="J50" s="4">
        <v>2021</v>
      </c>
      <c r="K50" s="4" t="s">
        <v>346</v>
      </c>
      <c r="L50" s="6">
        <v>4464617.5599999996</v>
      </c>
      <c r="O50" s="11">
        <f>O49</f>
        <v>0.92500000000000004</v>
      </c>
      <c r="P50" s="6">
        <f>L50*O50*'supporting-percentages'!$B$6</f>
        <v>2064885.6214999999</v>
      </c>
      <c r="Q50" s="9">
        <f>faostatdata[[#This Row],[Value '[odmt']]]*(10^-6)</f>
        <v>2.0648856214999998</v>
      </c>
      <c r="R50" s="4" t="str">
        <f t="shared" si="5"/>
        <v>(5910,1693)</v>
      </c>
    </row>
    <row r="51" spans="1:18" ht="13.2" x14ac:dyDescent="0.25">
      <c r="A51" s="4" t="s">
        <v>129</v>
      </c>
      <c r="B51" s="4" t="s">
        <v>128</v>
      </c>
      <c r="C51" s="4" t="s">
        <v>465</v>
      </c>
      <c r="D51" s="4" t="s">
        <v>465</v>
      </c>
      <c r="E51" s="4">
        <v>5516</v>
      </c>
      <c r="F51" s="4" t="s">
        <v>131</v>
      </c>
      <c r="G51" s="4">
        <v>1632</v>
      </c>
      <c r="H51" s="4" t="s">
        <v>112</v>
      </c>
      <c r="I51" s="4">
        <v>2021</v>
      </c>
      <c r="J51" s="4">
        <v>2021</v>
      </c>
      <c r="K51" s="4" t="s">
        <v>146</v>
      </c>
      <c r="L51" s="6">
        <v>2940733</v>
      </c>
      <c r="O51" s="10">
        <f>'conversion-factors'!E25</f>
        <v>0.48650000000000004</v>
      </c>
      <c r="P51" s="6">
        <f t="shared" si="6"/>
        <v>1430666.6045000001</v>
      </c>
      <c r="Q51" s="9">
        <f>faostatdata[[#This Row],[Value '[odmt']]]*(10^-6)</f>
        <v>1.4306666045</v>
      </c>
      <c r="R51" s="4" t="str">
        <f t="shared" si="5"/>
        <v>(5516,1632)</v>
      </c>
    </row>
    <row r="52" spans="1:18" ht="13.2" x14ac:dyDescent="0.25">
      <c r="A52" s="4" t="s">
        <v>129</v>
      </c>
      <c r="B52" s="4" t="s">
        <v>128</v>
      </c>
      <c r="C52" s="4" t="s">
        <v>465</v>
      </c>
      <c r="D52" s="4" t="s">
        <v>465</v>
      </c>
      <c r="E52" s="4">
        <v>5616</v>
      </c>
      <c r="F52" s="4" t="s">
        <v>130</v>
      </c>
      <c r="G52" s="4">
        <v>1632</v>
      </c>
      <c r="H52" s="4" t="s">
        <v>112</v>
      </c>
      <c r="I52" s="4">
        <v>2021</v>
      </c>
      <c r="J52" s="4">
        <v>2021</v>
      </c>
      <c r="K52" s="4" t="s">
        <v>146</v>
      </c>
      <c r="L52" s="6">
        <v>5066897</v>
      </c>
      <c r="O52" s="10">
        <f>O51</f>
        <v>0.48650000000000004</v>
      </c>
      <c r="P52" s="6">
        <f>L52*O52*'supporting-percentages'!$B$6</f>
        <v>1232522.6952500001</v>
      </c>
      <c r="Q52" s="9">
        <f>faostatdata[[#This Row],[Value '[odmt']]]*(10^-6)</f>
        <v>1.2325226952500001</v>
      </c>
      <c r="R52" s="4" t="str">
        <f t="shared" si="5"/>
        <v>(5616,1632)</v>
      </c>
    </row>
    <row r="53" spans="1:18" ht="13.2" x14ac:dyDescent="0.25">
      <c r="A53" s="4" t="s">
        <v>129</v>
      </c>
      <c r="B53" s="4" t="s">
        <v>128</v>
      </c>
      <c r="C53" s="4" t="s">
        <v>465</v>
      </c>
      <c r="D53" s="4" t="s">
        <v>465</v>
      </c>
      <c r="E53" s="4">
        <v>5916</v>
      </c>
      <c r="F53" s="4" t="s">
        <v>127</v>
      </c>
      <c r="G53" s="4">
        <v>1632</v>
      </c>
      <c r="H53" s="4" t="s">
        <v>112</v>
      </c>
      <c r="I53" s="4">
        <v>2021</v>
      </c>
      <c r="J53" s="4">
        <v>2021</v>
      </c>
      <c r="K53" s="4" t="s">
        <v>146</v>
      </c>
      <c r="L53" s="6">
        <v>72601</v>
      </c>
      <c r="O53" s="10">
        <f>O52</f>
        <v>0.48650000000000004</v>
      </c>
      <c r="P53" s="6">
        <f>L53*O53*'supporting-percentages'!$B$6</f>
        <v>17660.19325</v>
      </c>
      <c r="Q53" s="9">
        <f>faostatdata[[#This Row],[Value '[odmt']]]*(10^-6)</f>
        <v>1.7660193250000001E-2</v>
      </c>
      <c r="R53" s="4" t="str">
        <f t="shared" si="5"/>
        <v>(5916,1632)</v>
      </c>
    </row>
    <row r="54" spans="1:18" ht="13.2" x14ac:dyDescent="0.25">
      <c r="A54" s="4" t="s">
        <v>129</v>
      </c>
      <c r="B54" s="4" t="s">
        <v>128</v>
      </c>
      <c r="C54" s="4" t="s">
        <v>465</v>
      </c>
      <c r="D54" s="4" t="s">
        <v>465</v>
      </c>
      <c r="E54" s="4">
        <v>5516</v>
      </c>
      <c r="F54" s="4" t="s">
        <v>131</v>
      </c>
      <c r="G54" s="4">
        <v>1633</v>
      </c>
      <c r="H54" s="4" t="s">
        <v>111</v>
      </c>
      <c r="I54" s="4">
        <v>2021</v>
      </c>
      <c r="J54" s="4">
        <v>2021</v>
      </c>
      <c r="K54" s="4" t="s">
        <v>146</v>
      </c>
      <c r="L54" s="6">
        <v>20469453</v>
      </c>
      <c r="O54" s="11">
        <f>'conversion-factors'!E26</f>
        <v>0.63874999999999993</v>
      </c>
      <c r="P54" s="6">
        <f t="shared" si="6"/>
        <v>13074863.103749998</v>
      </c>
      <c r="Q54" s="9">
        <f>faostatdata[[#This Row],[Value '[odmt']]]*(10^-6)</f>
        <v>13.074863103749998</v>
      </c>
      <c r="R54" s="4" t="str">
        <f t="shared" si="5"/>
        <v>(5516,1633)</v>
      </c>
    </row>
    <row r="55" spans="1:18" ht="13.2" x14ac:dyDescent="0.25">
      <c r="A55" s="4" t="s">
        <v>129</v>
      </c>
      <c r="B55" s="4" t="s">
        <v>128</v>
      </c>
      <c r="C55" s="4" t="s">
        <v>465</v>
      </c>
      <c r="D55" s="4" t="s">
        <v>465</v>
      </c>
      <c r="E55" s="4">
        <v>5616</v>
      </c>
      <c r="F55" s="4" t="s">
        <v>130</v>
      </c>
      <c r="G55" s="4">
        <v>1633</v>
      </c>
      <c r="H55" s="4" t="s">
        <v>111</v>
      </c>
      <c r="I55" s="4">
        <v>2021</v>
      </c>
      <c r="J55" s="4">
        <v>2021</v>
      </c>
      <c r="K55" s="4" t="s">
        <v>146</v>
      </c>
      <c r="L55" s="6">
        <v>2287908</v>
      </c>
      <c r="O55" s="11">
        <f>O54</f>
        <v>0.63874999999999993</v>
      </c>
      <c r="P55" s="6">
        <f>L55*O55*'supporting-percentages'!$B$6</f>
        <v>730700.61749999993</v>
      </c>
      <c r="Q55" s="9">
        <f>faostatdata[[#This Row],[Value '[odmt']]]*(10^-6)</f>
        <v>0.73070061749999993</v>
      </c>
      <c r="R55" s="4" t="str">
        <f t="shared" si="5"/>
        <v>(5616,1633)</v>
      </c>
    </row>
    <row r="56" spans="1:18" ht="13.2" x14ac:dyDescent="0.25">
      <c r="A56" s="4" t="s">
        <v>129</v>
      </c>
      <c r="B56" s="4" t="s">
        <v>128</v>
      </c>
      <c r="C56" s="4" t="s">
        <v>465</v>
      </c>
      <c r="D56" s="4" t="s">
        <v>465</v>
      </c>
      <c r="E56" s="4">
        <v>5916</v>
      </c>
      <c r="F56" s="4" t="s">
        <v>127</v>
      </c>
      <c r="G56" s="4">
        <v>1633</v>
      </c>
      <c r="H56" s="4" t="s">
        <v>111</v>
      </c>
      <c r="I56" s="4">
        <v>2021</v>
      </c>
      <c r="J56" s="4">
        <v>2021</v>
      </c>
      <c r="K56" s="4" t="s">
        <v>146</v>
      </c>
      <c r="L56" s="6">
        <v>6998425</v>
      </c>
      <c r="O56" s="11">
        <f>O55</f>
        <v>0.63874999999999993</v>
      </c>
      <c r="P56" s="6">
        <f>L56*O56*'supporting-percentages'!$B$6</f>
        <v>2235121.9843749995</v>
      </c>
      <c r="Q56" s="9">
        <f>faostatdata[[#This Row],[Value '[odmt']]]*(10^-6)</f>
        <v>2.2351219843749996</v>
      </c>
      <c r="R56" s="4" t="str">
        <f t="shared" si="5"/>
        <v>(5916,1633)</v>
      </c>
    </row>
    <row r="57" spans="1:18" ht="13.2" x14ac:dyDescent="0.25">
      <c r="A57" s="4" t="s">
        <v>129</v>
      </c>
      <c r="B57" s="4" t="s">
        <v>128</v>
      </c>
      <c r="C57" s="4" t="s">
        <v>465</v>
      </c>
      <c r="D57" s="4" t="s">
        <v>465</v>
      </c>
      <c r="E57" s="4">
        <v>5516</v>
      </c>
      <c r="F57" s="4" t="s">
        <v>131</v>
      </c>
      <c r="G57" s="4">
        <v>1634</v>
      </c>
      <c r="H57" s="4" t="s">
        <v>110</v>
      </c>
      <c r="I57" s="4">
        <v>2021</v>
      </c>
      <c r="J57" s="4">
        <v>2021</v>
      </c>
      <c r="K57" s="4" t="s">
        <v>146</v>
      </c>
      <c r="L57" s="6">
        <v>6301486</v>
      </c>
      <c r="O57" s="11">
        <f>'conversion-factors'!E28</f>
        <v>0.57150000000000001</v>
      </c>
      <c r="P57" s="6">
        <f t="shared" si="6"/>
        <v>3601299.2489999998</v>
      </c>
      <c r="Q57" s="9">
        <f>faostatdata[[#This Row],[Value '[odmt']]]*(10^-6)</f>
        <v>3.6012992489999998</v>
      </c>
      <c r="R57" s="4" t="str">
        <f t="shared" si="5"/>
        <v>(5516,1634)</v>
      </c>
    </row>
    <row r="58" spans="1:18" ht="13.2" x14ac:dyDescent="0.25">
      <c r="A58" s="4" t="s">
        <v>129</v>
      </c>
      <c r="B58" s="4" t="s">
        <v>128</v>
      </c>
      <c r="C58" s="4" t="s">
        <v>465</v>
      </c>
      <c r="D58" s="4" t="s">
        <v>465</v>
      </c>
      <c r="E58" s="4">
        <v>5616</v>
      </c>
      <c r="F58" s="4" t="s">
        <v>130</v>
      </c>
      <c r="G58" s="4">
        <v>1634</v>
      </c>
      <c r="H58" s="4" t="s">
        <v>110</v>
      </c>
      <c r="I58" s="4">
        <v>2021</v>
      </c>
      <c r="J58" s="4">
        <v>2021</v>
      </c>
      <c r="K58" s="4" t="s">
        <v>146</v>
      </c>
      <c r="L58" s="6">
        <v>796347</v>
      </c>
      <c r="O58" s="11">
        <f>O57</f>
        <v>0.57150000000000001</v>
      </c>
      <c r="P58" s="6">
        <f>L58*O58*'supporting-percentages'!$B$6</f>
        <v>227556.15525000001</v>
      </c>
      <c r="Q58" s="9">
        <f>faostatdata[[#This Row],[Value '[odmt']]]*(10^-6)</f>
        <v>0.22755615525</v>
      </c>
      <c r="R58" s="4" t="str">
        <f t="shared" si="5"/>
        <v>(5616,1634)</v>
      </c>
    </row>
    <row r="59" spans="1:18" ht="13.2" x14ac:dyDescent="0.25">
      <c r="A59" s="4" t="s">
        <v>129</v>
      </c>
      <c r="B59" s="4" t="s">
        <v>128</v>
      </c>
      <c r="C59" s="4" t="s">
        <v>465</v>
      </c>
      <c r="D59" s="4" t="s">
        <v>465</v>
      </c>
      <c r="E59" s="4">
        <v>5916</v>
      </c>
      <c r="F59" s="4" t="s">
        <v>127</v>
      </c>
      <c r="G59" s="4">
        <v>1634</v>
      </c>
      <c r="H59" s="4" t="s">
        <v>110</v>
      </c>
      <c r="I59" s="4">
        <v>2021</v>
      </c>
      <c r="J59" s="4">
        <v>2021</v>
      </c>
      <c r="K59" s="4" t="s">
        <v>146</v>
      </c>
      <c r="L59" s="6">
        <v>3243623</v>
      </c>
      <c r="O59" s="11">
        <f>O58</f>
        <v>0.57150000000000001</v>
      </c>
      <c r="P59" s="6">
        <f>L59*O59*'supporting-percentages'!$B$6</f>
        <v>926865.27225000004</v>
      </c>
      <c r="Q59" s="9">
        <f>faostatdata[[#This Row],[Value '[odmt']]]*(10^-6)</f>
        <v>0.92686527225000004</v>
      </c>
      <c r="R59" s="4" t="str">
        <f t="shared" si="5"/>
        <v>(5916,1634)</v>
      </c>
    </row>
    <row r="60" spans="1:18" ht="13.2" x14ac:dyDescent="0.25">
      <c r="A60" s="4" t="s">
        <v>129</v>
      </c>
      <c r="B60" s="4" t="s">
        <v>128</v>
      </c>
      <c r="C60" s="4" t="s">
        <v>465</v>
      </c>
      <c r="D60" s="4" t="s">
        <v>465</v>
      </c>
      <c r="E60" s="4">
        <v>5516</v>
      </c>
      <c r="F60" s="4" t="s">
        <v>131</v>
      </c>
      <c r="G60" s="4">
        <v>1640</v>
      </c>
      <c r="H60" s="4" t="s">
        <v>106</v>
      </c>
      <c r="I60" s="4">
        <v>2021</v>
      </c>
      <c r="J60" s="4">
        <v>2021</v>
      </c>
      <c r="K60" s="4" t="s">
        <v>146</v>
      </c>
      <c r="L60" s="6">
        <v>10286107</v>
      </c>
      <c r="O60" s="11">
        <f>'conversion-factors'!E30</f>
        <v>0.57150000000000001</v>
      </c>
      <c r="P60" s="6">
        <f t="shared" si="6"/>
        <v>5878510.1505000005</v>
      </c>
      <c r="Q60" s="9">
        <f>faostatdata[[#This Row],[Value '[odmt']]]*(10^-6)</f>
        <v>5.8785101505000004</v>
      </c>
      <c r="R60" s="4" t="str">
        <f t="shared" si="5"/>
        <v>(5516,1640)</v>
      </c>
    </row>
    <row r="61" spans="1:18" ht="13.2" x14ac:dyDescent="0.25">
      <c r="A61" s="4" t="s">
        <v>129</v>
      </c>
      <c r="B61" s="4" t="s">
        <v>128</v>
      </c>
      <c r="C61" s="4" t="s">
        <v>465</v>
      </c>
      <c r="D61" s="4" t="s">
        <v>465</v>
      </c>
      <c r="E61" s="4">
        <v>5616</v>
      </c>
      <c r="F61" s="4" t="s">
        <v>130</v>
      </c>
      <c r="G61" s="4">
        <v>1640</v>
      </c>
      <c r="H61" s="4" t="s">
        <v>106</v>
      </c>
      <c r="I61" s="4">
        <v>2021</v>
      </c>
      <c r="J61" s="4">
        <v>2021</v>
      </c>
      <c r="K61" s="4" t="s">
        <v>146</v>
      </c>
      <c r="L61" s="6">
        <v>5133520</v>
      </c>
      <c r="O61" s="11">
        <f>O60</f>
        <v>0.57150000000000001</v>
      </c>
      <c r="P61" s="6">
        <f>L61*O61*'supporting-percentages'!$B$6</f>
        <v>1466903.34</v>
      </c>
      <c r="Q61" s="9">
        <f>faostatdata[[#This Row],[Value '[odmt']]]*(10^-6)</f>
        <v>1.46690334</v>
      </c>
      <c r="R61" s="4" t="str">
        <f t="shared" si="5"/>
        <v>(5616,1640)</v>
      </c>
    </row>
    <row r="62" spans="1:18" ht="13.2" x14ac:dyDescent="0.25">
      <c r="A62" s="4" t="s">
        <v>129</v>
      </c>
      <c r="B62" s="4" t="s">
        <v>128</v>
      </c>
      <c r="C62" s="4" t="s">
        <v>465</v>
      </c>
      <c r="D62" s="4" t="s">
        <v>465</v>
      </c>
      <c r="E62" s="4">
        <v>5916</v>
      </c>
      <c r="F62" s="4" t="s">
        <v>127</v>
      </c>
      <c r="G62" s="4">
        <v>1640</v>
      </c>
      <c r="H62" s="4" t="s">
        <v>106</v>
      </c>
      <c r="I62" s="4">
        <v>2021</v>
      </c>
      <c r="J62" s="4">
        <v>2021</v>
      </c>
      <c r="K62" s="4" t="s">
        <v>146</v>
      </c>
      <c r="L62" s="6">
        <v>7042966</v>
      </c>
      <c r="O62" s="11">
        <f>O61</f>
        <v>0.57150000000000001</v>
      </c>
      <c r="P62" s="6">
        <f>L62*O62*'supporting-percentages'!$B$6</f>
        <v>2012527.5345000001</v>
      </c>
      <c r="Q62" s="9">
        <f>faostatdata[[#This Row],[Value '[odmt']]]*(10^-6)</f>
        <v>2.0125275344999998</v>
      </c>
      <c r="R62" s="4" t="str">
        <f t="shared" si="5"/>
        <v>(5916,1640)</v>
      </c>
    </row>
    <row r="63" spans="1:18" ht="13.2" x14ac:dyDescent="0.25">
      <c r="A63" s="4" t="s">
        <v>129</v>
      </c>
      <c r="B63" s="4" t="s">
        <v>128</v>
      </c>
      <c r="C63" s="4" t="s">
        <v>465</v>
      </c>
      <c r="D63" s="4" t="s">
        <v>465</v>
      </c>
      <c r="E63" s="4">
        <v>5516</v>
      </c>
      <c r="F63" s="4" t="s">
        <v>131</v>
      </c>
      <c r="G63" s="4">
        <v>1646</v>
      </c>
      <c r="H63" s="4" t="s">
        <v>150</v>
      </c>
      <c r="I63" s="4">
        <v>2021</v>
      </c>
      <c r="J63" s="4">
        <v>2021</v>
      </c>
      <c r="L63" s="6">
        <v>0</v>
      </c>
      <c r="O63" s="10"/>
      <c r="P63" s="6"/>
      <c r="Q63" s="9"/>
    </row>
    <row r="64" spans="1:18" ht="13.2" x14ac:dyDescent="0.25">
      <c r="A64" s="4" t="s">
        <v>129</v>
      </c>
      <c r="B64" s="4" t="s">
        <v>128</v>
      </c>
      <c r="C64" s="4" t="s">
        <v>465</v>
      </c>
      <c r="D64" s="4" t="s">
        <v>465</v>
      </c>
      <c r="E64" s="4">
        <v>5616</v>
      </c>
      <c r="F64" s="4" t="s">
        <v>130</v>
      </c>
      <c r="G64" s="4">
        <v>1646</v>
      </c>
      <c r="H64" s="4" t="s">
        <v>150</v>
      </c>
      <c r="I64" s="4">
        <v>2021</v>
      </c>
      <c r="J64" s="4">
        <v>2021</v>
      </c>
      <c r="L64" s="6">
        <v>0</v>
      </c>
      <c r="O64" s="10"/>
      <c r="P64" s="6"/>
      <c r="Q64" s="9"/>
    </row>
    <row r="65" spans="1:18" ht="13.2" x14ac:dyDescent="0.25">
      <c r="A65" s="4" t="s">
        <v>129</v>
      </c>
      <c r="B65" s="4" t="s">
        <v>128</v>
      </c>
      <c r="C65" s="4" t="s">
        <v>465</v>
      </c>
      <c r="D65" s="4" t="s">
        <v>465</v>
      </c>
      <c r="E65" s="4">
        <v>5916</v>
      </c>
      <c r="F65" s="4" t="s">
        <v>127</v>
      </c>
      <c r="G65" s="4">
        <v>1646</v>
      </c>
      <c r="H65" s="4" t="s">
        <v>150</v>
      </c>
      <c r="I65" s="4">
        <v>2021</v>
      </c>
      <c r="J65" s="4">
        <v>2021</v>
      </c>
      <c r="L65" s="6">
        <v>0</v>
      </c>
      <c r="O65" s="10"/>
      <c r="P65" s="6"/>
      <c r="Q65" s="9"/>
    </row>
    <row r="66" spans="1:18" ht="13.2" x14ac:dyDescent="0.25">
      <c r="A66" s="4" t="s">
        <v>129</v>
      </c>
      <c r="B66" s="4" t="s">
        <v>128</v>
      </c>
      <c r="C66" s="4" t="s">
        <v>465</v>
      </c>
      <c r="D66" s="4" t="s">
        <v>465</v>
      </c>
      <c r="E66" s="4">
        <v>5516</v>
      </c>
      <c r="F66" s="4" t="s">
        <v>131</v>
      </c>
      <c r="G66" s="4">
        <v>1697</v>
      </c>
      <c r="H66" s="4" t="s">
        <v>105</v>
      </c>
      <c r="I66" s="4">
        <v>2021</v>
      </c>
      <c r="J66" s="4">
        <v>2021</v>
      </c>
      <c r="K66" s="4" t="s">
        <v>146</v>
      </c>
      <c r="L66" s="6">
        <v>5005200</v>
      </c>
      <c r="O66" s="11">
        <f>'conversion-factors'!E31</f>
        <v>0.56726571428571437</v>
      </c>
      <c r="P66" s="6">
        <f t="shared" ref="P66:P78" si="7">L66*O66</f>
        <v>2839278.3531428576</v>
      </c>
      <c r="Q66" s="9">
        <f>faostatdata[[#This Row],[Value '[odmt']]]*(10^-6)</f>
        <v>2.8392783531428574</v>
      </c>
      <c r="R66" s="4" t="str">
        <f t="shared" ref="R66:R80" si="8">CONCATENATE("(",E66,",",G66,")")</f>
        <v>(5516,1697)</v>
      </c>
    </row>
    <row r="67" spans="1:18" ht="13.2" x14ac:dyDescent="0.25">
      <c r="A67" s="4" t="s">
        <v>129</v>
      </c>
      <c r="B67" s="4" t="s">
        <v>128</v>
      </c>
      <c r="C67" s="4" t="s">
        <v>465</v>
      </c>
      <c r="D67" s="4" t="s">
        <v>465</v>
      </c>
      <c r="E67" s="4">
        <v>5616</v>
      </c>
      <c r="F67" s="4" t="s">
        <v>130</v>
      </c>
      <c r="G67" s="4">
        <v>1697</v>
      </c>
      <c r="H67" s="4" t="s">
        <v>105</v>
      </c>
      <c r="I67" s="4">
        <v>2021</v>
      </c>
      <c r="J67" s="4">
        <v>2021</v>
      </c>
      <c r="K67" s="4" t="s">
        <v>146</v>
      </c>
      <c r="L67" s="6">
        <v>2512361.1300000004</v>
      </c>
      <c r="O67" s="11">
        <f>O66</f>
        <v>0.56726571428571437</v>
      </c>
      <c r="P67" s="6">
        <f>L67*O67*'supporting-percentages'!$B$6</f>
        <v>712588.16547655733</v>
      </c>
      <c r="Q67" s="9">
        <f>faostatdata[[#This Row],[Value '[odmt']]]*(10^-6)</f>
        <v>0.71258816547655734</v>
      </c>
      <c r="R67" s="4" t="str">
        <f t="shared" si="8"/>
        <v>(5616,1697)</v>
      </c>
    </row>
    <row r="68" spans="1:18" ht="13.2" x14ac:dyDescent="0.25">
      <c r="A68" s="4" t="s">
        <v>129</v>
      </c>
      <c r="B68" s="4" t="s">
        <v>128</v>
      </c>
      <c r="C68" s="4" t="s">
        <v>465</v>
      </c>
      <c r="D68" s="4" t="s">
        <v>465</v>
      </c>
      <c r="E68" s="4">
        <v>5916</v>
      </c>
      <c r="F68" s="4" t="s">
        <v>127</v>
      </c>
      <c r="G68" s="4">
        <v>1697</v>
      </c>
      <c r="H68" s="4" t="s">
        <v>105</v>
      </c>
      <c r="I68" s="4">
        <v>2021</v>
      </c>
      <c r="J68" s="4">
        <v>2021</v>
      </c>
      <c r="K68" s="4" t="s">
        <v>146</v>
      </c>
      <c r="L68" s="6">
        <v>3422179.86</v>
      </c>
      <c r="O68" s="11">
        <f>O67</f>
        <v>0.56726571428571437</v>
      </c>
      <c r="P68" s="6">
        <f>L68*O68*'supporting-percentages'!$B$6</f>
        <v>970642.651348543</v>
      </c>
      <c r="Q68" s="9">
        <f>faostatdata[[#This Row],[Value '[odmt']]]*(10^-6)</f>
        <v>0.970642651348543</v>
      </c>
      <c r="R68" s="4" t="str">
        <f t="shared" si="8"/>
        <v>(5916,1697)</v>
      </c>
    </row>
    <row r="69" spans="1:18" ht="13.2" x14ac:dyDescent="0.25">
      <c r="A69" s="4" t="s">
        <v>129</v>
      </c>
      <c r="B69" s="4" t="s">
        <v>128</v>
      </c>
      <c r="C69" s="4" t="s">
        <v>465</v>
      </c>
      <c r="D69" s="4" t="s">
        <v>465</v>
      </c>
      <c r="E69" s="4">
        <v>5516</v>
      </c>
      <c r="F69" s="4" t="s">
        <v>131</v>
      </c>
      <c r="G69" s="4">
        <v>1606</v>
      </c>
      <c r="H69" s="4" t="s">
        <v>104</v>
      </c>
      <c r="I69" s="4">
        <v>2021</v>
      </c>
      <c r="J69" s="4">
        <v>2021</v>
      </c>
      <c r="K69" s="4" t="s">
        <v>146</v>
      </c>
      <c r="L69" s="6">
        <v>0</v>
      </c>
      <c r="O69" s="11">
        <f>'conversion-factors'!E32</f>
        <v>0.57827142857142866</v>
      </c>
      <c r="P69" s="6">
        <f t="shared" si="7"/>
        <v>0</v>
      </c>
      <c r="Q69" s="9">
        <f>faostatdata[[#This Row],[Value '[odmt']]]*(10^-6)</f>
        <v>0</v>
      </c>
      <c r="R69" s="4" t="str">
        <f t="shared" si="8"/>
        <v>(5516,1606)</v>
      </c>
    </row>
    <row r="70" spans="1:18" ht="13.2" x14ac:dyDescent="0.25">
      <c r="A70" s="4" t="s">
        <v>129</v>
      </c>
      <c r="B70" s="4" t="s">
        <v>128</v>
      </c>
      <c r="C70" s="4" t="s">
        <v>465</v>
      </c>
      <c r="D70" s="4" t="s">
        <v>465</v>
      </c>
      <c r="E70" s="4">
        <v>5616</v>
      </c>
      <c r="F70" s="4" t="s">
        <v>130</v>
      </c>
      <c r="G70" s="4">
        <v>1606</v>
      </c>
      <c r="H70" s="4" t="s">
        <v>104</v>
      </c>
      <c r="I70" s="4">
        <v>2021</v>
      </c>
      <c r="J70" s="4">
        <v>2021</v>
      </c>
      <c r="K70" s="4" t="s">
        <v>146</v>
      </c>
      <c r="L70" s="6">
        <v>310393.88</v>
      </c>
      <c r="O70" s="11">
        <f>O69</f>
        <v>0.57827142857142866</v>
      </c>
      <c r="P70" s="6">
        <f>L70*O70*'supporting-percentages'!$B$6</f>
        <v>89745.956203714304</v>
      </c>
      <c r="Q70" s="9">
        <f>faostatdata[[#This Row],[Value '[odmt']]]*(10^-6)</f>
        <v>8.9745956203714297E-2</v>
      </c>
      <c r="R70" s="4" t="str">
        <f t="shared" si="8"/>
        <v>(5616,1606)</v>
      </c>
    </row>
    <row r="71" spans="1:18" ht="13.2" x14ac:dyDescent="0.25">
      <c r="A71" s="4" t="s">
        <v>129</v>
      </c>
      <c r="B71" s="4" t="s">
        <v>128</v>
      </c>
      <c r="C71" s="4" t="s">
        <v>465</v>
      </c>
      <c r="D71" s="4" t="s">
        <v>465</v>
      </c>
      <c r="E71" s="4">
        <v>5916</v>
      </c>
      <c r="F71" s="4" t="s">
        <v>127</v>
      </c>
      <c r="G71" s="4">
        <v>1606</v>
      </c>
      <c r="H71" s="4" t="s">
        <v>104</v>
      </c>
      <c r="I71" s="4">
        <v>2021</v>
      </c>
      <c r="J71" s="4">
        <v>2021</v>
      </c>
      <c r="K71" s="4" t="s">
        <v>146</v>
      </c>
      <c r="L71" s="6">
        <v>138984.22</v>
      </c>
      <c r="O71" s="11">
        <f>O70</f>
        <v>0.57827142857142866</v>
      </c>
      <c r="P71" s="6">
        <f>L71*O71*'supporting-percentages'!$B$6</f>
        <v>40185.301724142861</v>
      </c>
      <c r="Q71" s="9">
        <f>faostatdata[[#This Row],[Value '[odmt']]]*(10^-6)</f>
        <v>4.0185301724142856E-2</v>
      </c>
      <c r="R71" s="4" t="str">
        <f t="shared" si="8"/>
        <v>(5916,1606)</v>
      </c>
    </row>
    <row r="72" spans="1:18" ht="13.2" x14ac:dyDescent="0.25">
      <c r="A72" s="4" t="s">
        <v>129</v>
      </c>
      <c r="B72" s="4" t="s">
        <v>128</v>
      </c>
      <c r="C72" s="4" t="s">
        <v>465</v>
      </c>
      <c r="D72" s="4" t="s">
        <v>465</v>
      </c>
      <c r="E72" s="4">
        <v>5516</v>
      </c>
      <c r="F72" s="4" t="s">
        <v>131</v>
      </c>
      <c r="G72" s="4">
        <v>1647</v>
      </c>
      <c r="H72" s="4" t="s">
        <v>149</v>
      </c>
      <c r="I72" s="4">
        <v>2021</v>
      </c>
      <c r="J72" s="4">
        <v>2021</v>
      </c>
      <c r="K72" s="4" t="s">
        <v>146</v>
      </c>
      <c r="L72" s="6">
        <v>420822</v>
      </c>
      <c r="O72" s="11">
        <f>'conversion-factors'!E33</f>
        <v>0.77400000000000002</v>
      </c>
      <c r="P72" s="6">
        <f t="shared" si="7"/>
        <v>325716.228</v>
      </c>
      <c r="Q72" s="9">
        <f>faostatdata[[#This Row],[Value '[odmt']]]*(10^-6)</f>
        <v>0.325716228</v>
      </c>
      <c r="R72" s="4" t="str">
        <f t="shared" si="8"/>
        <v>(5516,1647)</v>
      </c>
    </row>
    <row r="73" spans="1:18" ht="13.2" x14ac:dyDescent="0.25">
      <c r="A73" s="4" t="s">
        <v>129</v>
      </c>
      <c r="B73" s="4" t="s">
        <v>128</v>
      </c>
      <c r="C73" s="4" t="s">
        <v>465</v>
      </c>
      <c r="D73" s="4" t="s">
        <v>465</v>
      </c>
      <c r="E73" s="4">
        <v>5616</v>
      </c>
      <c r="F73" s="4" t="s">
        <v>130</v>
      </c>
      <c r="G73" s="4">
        <v>1647</v>
      </c>
      <c r="H73" s="4" t="s">
        <v>149</v>
      </c>
      <c r="I73" s="4">
        <v>2021</v>
      </c>
      <c r="J73" s="4">
        <v>2021</v>
      </c>
      <c r="K73" s="4" t="s">
        <v>146</v>
      </c>
      <c r="L73" s="6">
        <v>137735.13</v>
      </c>
      <c r="O73" s="11">
        <f>O72</f>
        <v>0.77400000000000002</v>
      </c>
      <c r="P73" s="6">
        <f>L73*O73*'supporting-percentages'!$B$6</f>
        <v>53303.495310000006</v>
      </c>
      <c r="Q73" s="9">
        <f>faostatdata[[#This Row],[Value '[odmt']]]*(10^-6)</f>
        <v>5.3303495310000004E-2</v>
      </c>
      <c r="R73" s="4" t="str">
        <f t="shared" si="8"/>
        <v>(5616,1647)</v>
      </c>
    </row>
    <row r="74" spans="1:18" ht="13.2" x14ac:dyDescent="0.25">
      <c r="A74" s="4" t="s">
        <v>129</v>
      </c>
      <c r="B74" s="4" t="s">
        <v>128</v>
      </c>
      <c r="C74" s="4" t="s">
        <v>465</v>
      </c>
      <c r="D74" s="4" t="s">
        <v>465</v>
      </c>
      <c r="E74" s="4">
        <v>5916</v>
      </c>
      <c r="F74" s="4" t="s">
        <v>127</v>
      </c>
      <c r="G74" s="4">
        <v>1647</v>
      </c>
      <c r="H74" s="4" t="s">
        <v>149</v>
      </c>
      <c r="I74" s="4">
        <v>2021</v>
      </c>
      <c r="J74" s="4">
        <v>2021</v>
      </c>
      <c r="K74" s="4" t="s">
        <v>146</v>
      </c>
      <c r="L74" s="6">
        <v>153187.21</v>
      </c>
      <c r="O74" s="11">
        <f>O73</f>
        <v>0.77400000000000002</v>
      </c>
      <c r="P74" s="6">
        <f>L74*O74*'supporting-percentages'!$B$6</f>
        <v>59283.450270000001</v>
      </c>
      <c r="Q74" s="9">
        <f>faostatdata[[#This Row],[Value '[odmt']]]*(10^-6)</f>
        <v>5.9283450269999996E-2</v>
      </c>
      <c r="R74" s="4" t="str">
        <f t="shared" si="8"/>
        <v>(5916,1647)</v>
      </c>
    </row>
    <row r="75" spans="1:18" ht="13.2" x14ac:dyDescent="0.25">
      <c r="A75" s="4" t="s">
        <v>129</v>
      </c>
      <c r="B75" s="4" t="s">
        <v>128</v>
      </c>
      <c r="C75" s="4" t="s">
        <v>465</v>
      </c>
      <c r="D75" s="4" t="s">
        <v>465</v>
      </c>
      <c r="E75" s="4">
        <v>5516</v>
      </c>
      <c r="F75" s="4" t="s">
        <v>131</v>
      </c>
      <c r="G75" s="4">
        <v>1648</v>
      </c>
      <c r="H75" s="4" t="s">
        <v>148</v>
      </c>
      <c r="I75" s="4">
        <v>2021</v>
      </c>
      <c r="J75" s="4">
        <v>2021</v>
      </c>
      <c r="K75" s="4" t="s">
        <v>146</v>
      </c>
      <c r="L75" s="6">
        <v>7912000</v>
      </c>
      <c r="O75" s="11">
        <f>'conversion-factors'!E34</f>
        <v>0.60589285714285712</v>
      </c>
      <c r="P75" s="6">
        <f t="shared" si="7"/>
        <v>4793824.2857142854</v>
      </c>
      <c r="Q75" s="9">
        <f>faostatdata[[#This Row],[Value '[odmt']]]*(10^-6)</f>
        <v>4.793824285714285</v>
      </c>
      <c r="R75" s="4" t="str">
        <f t="shared" si="8"/>
        <v>(5516,1648)</v>
      </c>
    </row>
    <row r="76" spans="1:18" ht="13.2" x14ac:dyDescent="0.25">
      <c r="A76" s="4" t="s">
        <v>129</v>
      </c>
      <c r="B76" s="4" t="s">
        <v>128</v>
      </c>
      <c r="C76" s="4" t="s">
        <v>465</v>
      </c>
      <c r="D76" s="4" t="s">
        <v>465</v>
      </c>
      <c r="E76" s="4">
        <v>5616</v>
      </c>
      <c r="F76" s="4" t="s">
        <v>130</v>
      </c>
      <c r="G76" s="4">
        <v>1648</v>
      </c>
      <c r="H76" s="4" t="s">
        <v>148</v>
      </c>
      <c r="I76" s="4">
        <v>2021</v>
      </c>
      <c r="J76" s="4">
        <v>2021</v>
      </c>
      <c r="K76" s="4" t="s">
        <v>146</v>
      </c>
      <c r="L76" s="6">
        <v>1171561.0699999998</v>
      </c>
      <c r="O76" s="11">
        <f>O75</f>
        <v>0.60589285714285712</v>
      </c>
      <c r="P76" s="6">
        <f>L76*O76*'supporting-percentages'!$B$6</f>
        <v>354920.24200982135</v>
      </c>
      <c r="Q76" s="9">
        <f>faostatdata[[#This Row],[Value '[odmt']]]*(10^-6)</f>
        <v>0.35492024200982131</v>
      </c>
      <c r="R76" s="4" t="str">
        <f t="shared" si="8"/>
        <v>(5616,1648)</v>
      </c>
    </row>
    <row r="77" spans="1:18" ht="13.2" x14ac:dyDescent="0.25">
      <c r="A77" s="4" t="s">
        <v>129</v>
      </c>
      <c r="B77" s="4" t="s">
        <v>128</v>
      </c>
      <c r="C77" s="4" t="s">
        <v>465</v>
      </c>
      <c r="D77" s="4" t="s">
        <v>465</v>
      </c>
      <c r="E77" s="4">
        <v>5916</v>
      </c>
      <c r="F77" s="4" t="s">
        <v>127</v>
      </c>
      <c r="G77" s="4">
        <v>1648</v>
      </c>
      <c r="H77" s="4" t="s">
        <v>148</v>
      </c>
      <c r="I77" s="4">
        <v>2021</v>
      </c>
      <c r="J77" s="4">
        <v>2021</v>
      </c>
      <c r="K77" s="4" t="s">
        <v>146</v>
      </c>
      <c r="L77" s="6">
        <v>4093765.3200000003</v>
      </c>
      <c r="O77" s="11">
        <f>O76</f>
        <v>0.60589285714285712</v>
      </c>
      <c r="P77" s="6">
        <f>L77*O77*'supporting-percentages'!$B$6</f>
        <v>1240191.5831035716</v>
      </c>
      <c r="Q77" s="9">
        <f>faostatdata[[#This Row],[Value '[odmt']]]*(10^-6)</f>
        <v>1.2401915831035715</v>
      </c>
      <c r="R77" s="4" t="str">
        <f t="shared" si="8"/>
        <v>(5916,1648)</v>
      </c>
    </row>
    <row r="78" spans="1:18" ht="13.2" x14ac:dyDescent="0.25">
      <c r="A78" s="4" t="s">
        <v>129</v>
      </c>
      <c r="B78" s="4" t="s">
        <v>128</v>
      </c>
      <c r="C78" s="4" t="s">
        <v>465</v>
      </c>
      <c r="D78" s="4" t="s">
        <v>465</v>
      </c>
      <c r="E78" s="4">
        <v>5516</v>
      </c>
      <c r="F78" s="4" t="s">
        <v>131</v>
      </c>
      <c r="G78" s="4">
        <v>1650</v>
      </c>
      <c r="H78" s="4" t="s">
        <v>147</v>
      </c>
      <c r="I78" s="4">
        <v>2021</v>
      </c>
      <c r="J78" s="4">
        <v>2021</v>
      </c>
      <c r="K78" s="4" t="s">
        <v>146</v>
      </c>
      <c r="L78" s="6">
        <v>514640</v>
      </c>
      <c r="O78" s="11">
        <f>'conversion-factors'!E35</f>
        <v>0.24401250000000002</v>
      </c>
      <c r="P78" s="6">
        <f t="shared" si="7"/>
        <v>125578.59300000001</v>
      </c>
      <c r="Q78" s="9">
        <f>faostatdata[[#This Row],[Value '[odmt']]]*(10^-6)</f>
        <v>0.12557859300000002</v>
      </c>
      <c r="R78" s="4" t="str">
        <f t="shared" si="8"/>
        <v>(5516,1650)</v>
      </c>
    </row>
    <row r="79" spans="1:18" ht="13.2" x14ac:dyDescent="0.25">
      <c r="A79" s="4" t="s">
        <v>129</v>
      </c>
      <c r="B79" s="4" t="s">
        <v>128</v>
      </c>
      <c r="C79" s="4" t="s">
        <v>465</v>
      </c>
      <c r="D79" s="4" t="s">
        <v>465</v>
      </c>
      <c r="E79" s="4">
        <v>5616</v>
      </c>
      <c r="F79" s="4" t="s">
        <v>130</v>
      </c>
      <c r="G79" s="4">
        <v>1650</v>
      </c>
      <c r="H79" s="4" t="s">
        <v>147</v>
      </c>
      <c r="I79" s="4">
        <v>2021</v>
      </c>
      <c r="J79" s="4">
        <v>2021</v>
      </c>
      <c r="K79" s="4" t="s">
        <v>146</v>
      </c>
      <c r="L79" s="6">
        <v>223332.01000000004</v>
      </c>
      <c r="O79" s="11">
        <f>O78</f>
        <v>0.24401250000000002</v>
      </c>
      <c r="P79" s="6">
        <f>L79*O79*'supporting-percentages'!$B$6</f>
        <v>27247.901045062506</v>
      </c>
      <c r="Q79" s="9">
        <f>faostatdata[[#This Row],[Value '[odmt']]]*(10^-6)</f>
        <v>2.7247901045062504E-2</v>
      </c>
      <c r="R79" s="4" t="str">
        <f t="shared" si="8"/>
        <v>(5616,1650)</v>
      </c>
    </row>
    <row r="80" spans="1:18" ht="13.2" x14ac:dyDescent="0.25">
      <c r="A80" s="4" t="s">
        <v>129</v>
      </c>
      <c r="B80" s="4" t="s">
        <v>128</v>
      </c>
      <c r="C80" s="4" t="s">
        <v>465</v>
      </c>
      <c r="D80" s="4" t="s">
        <v>465</v>
      </c>
      <c r="E80" s="4">
        <v>5916</v>
      </c>
      <c r="F80" s="4" t="s">
        <v>127</v>
      </c>
      <c r="G80" s="4">
        <v>1650</v>
      </c>
      <c r="H80" s="4" t="s">
        <v>147</v>
      </c>
      <c r="I80" s="4">
        <v>2021</v>
      </c>
      <c r="J80" s="4">
        <v>2021</v>
      </c>
      <c r="K80" s="4" t="s">
        <v>146</v>
      </c>
      <c r="L80" s="6">
        <v>690475.03</v>
      </c>
      <c r="O80" s="11">
        <f>O79</f>
        <v>0.24401250000000002</v>
      </c>
      <c r="P80" s="6">
        <f>L80*O80*'supporting-percentages'!$B$6</f>
        <v>84242.269128937507</v>
      </c>
      <c r="Q80" s="9">
        <f>faostatdata[[#This Row],[Value '[odmt']]]*(10^-6)</f>
        <v>8.4242269128937508E-2</v>
      </c>
      <c r="R80" s="4" t="str">
        <f t="shared" si="8"/>
        <v>(5916,1650)</v>
      </c>
    </row>
    <row r="81" spans="1:18" ht="13.2" x14ac:dyDescent="0.25">
      <c r="A81" s="4" t="s">
        <v>129</v>
      </c>
      <c r="B81" s="4" t="s">
        <v>128</v>
      </c>
      <c r="C81" s="4" t="s">
        <v>465</v>
      </c>
      <c r="D81" s="4" t="s">
        <v>465</v>
      </c>
      <c r="E81" s="4">
        <v>5516</v>
      </c>
      <c r="F81" s="4" t="s">
        <v>131</v>
      </c>
      <c r="G81" s="4">
        <v>1649</v>
      </c>
      <c r="H81" s="4" t="s">
        <v>145</v>
      </c>
      <c r="I81" s="4">
        <v>2021</v>
      </c>
      <c r="J81" s="4">
        <v>2021</v>
      </c>
      <c r="L81" s="6">
        <v>0</v>
      </c>
      <c r="O81" s="10"/>
      <c r="P81" s="6"/>
      <c r="Q81" s="9"/>
    </row>
    <row r="82" spans="1:18" ht="13.2" x14ac:dyDescent="0.25">
      <c r="A82" s="4" t="s">
        <v>129</v>
      </c>
      <c r="B82" s="4" t="s">
        <v>128</v>
      </c>
      <c r="C82" s="4" t="s">
        <v>465</v>
      </c>
      <c r="D82" s="4" t="s">
        <v>465</v>
      </c>
      <c r="E82" s="4">
        <v>5616</v>
      </c>
      <c r="F82" s="4" t="s">
        <v>130</v>
      </c>
      <c r="G82" s="4">
        <v>1649</v>
      </c>
      <c r="H82" s="4" t="s">
        <v>145</v>
      </c>
      <c r="I82" s="4">
        <v>2021</v>
      </c>
      <c r="J82" s="4">
        <v>2021</v>
      </c>
      <c r="L82" s="6">
        <v>0</v>
      </c>
      <c r="O82" s="10"/>
      <c r="P82" s="6"/>
      <c r="Q82" s="9"/>
    </row>
    <row r="83" spans="1:18" ht="13.2" x14ac:dyDescent="0.25">
      <c r="A83" s="4" t="s">
        <v>129</v>
      </c>
      <c r="B83" s="4" t="s">
        <v>128</v>
      </c>
      <c r="C83" s="4" t="s">
        <v>465</v>
      </c>
      <c r="D83" s="4" t="s">
        <v>465</v>
      </c>
      <c r="E83" s="4">
        <v>5916</v>
      </c>
      <c r="F83" s="4" t="s">
        <v>127</v>
      </c>
      <c r="G83" s="4">
        <v>1649</v>
      </c>
      <c r="H83" s="4" t="s">
        <v>145</v>
      </c>
      <c r="I83" s="4">
        <v>2021</v>
      </c>
      <c r="J83" s="4">
        <v>2021</v>
      </c>
      <c r="L83" s="6">
        <v>0</v>
      </c>
      <c r="O83" s="10"/>
      <c r="P83" s="6"/>
      <c r="Q83" s="9"/>
    </row>
    <row r="84" spans="1:18" ht="13.2" x14ac:dyDescent="0.25">
      <c r="A84" s="4" t="s">
        <v>129</v>
      </c>
      <c r="B84" s="4" t="s">
        <v>128</v>
      </c>
      <c r="C84" s="4" t="s">
        <v>465</v>
      </c>
      <c r="D84" s="4" t="s">
        <v>465</v>
      </c>
      <c r="E84" s="4">
        <v>5510</v>
      </c>
      <c r="F84" s="4" t="s">
        <v>131</v>
      </c>
      <c r="G84" s="4">
        <v>1685</v>
      </c>
      <c r="H84" s="4" t="s">
        <v>99</v>
      </c>
      <c r="I84" s="4">
        <v>2021</v>
      </c>
      <c r="J84" s="4">
        <v>2021</v>
      </c>
      <c r="K84" s="4" t="s">
        <v>346</v>
      </c>
      <c r="L84" s="6">
        <v>807000</v>
      </c>
      <c r="O84" s="11">
        <f>'conversion-factors'!E37</f>
        <v>0.9</v>
      </c>
      <c r="P84" s="6">
        <f t="shared" ref="P84:P114" si="9">L84*O84</f>
        <v>726300</v>
      </c>
      <c r="Q84" s="9">
        <f>faostatdata[[#This Row],[Value '[odmt']]]*(10^-6)</f>
        <v>0.72629999999999995</v>
      </c>
      <c r="R84" s="4" t="str">
        <f>CONCATENATE("(",E84,",",G84,")")</f>
        <v>(5510,1685)</v>
      </c>
    </row>
    <row r="85" spans="1:18" ht="13.2" x14ac:dyDescent="0.25">
      <c r="A85" s="4" t="s">
        <v>129</v>
      </c>
      <c r="B85" s="4" t="s">
        <v>128</v>
      </c>
      <c r="C85" s="4" t="s">
        <v>465</v>
      </c>
      <c r="D85" s="4" t="s">
        <v>465</v>
      </c>
      <c r="E85" s="4">
        <v>5610</v>
      </c>
      <c r="F85" s="4" t="s">
        <v>130</v>
      </c>
      <c r="G85" s="4">
        <v>1685</v>
      </c>
      <c r="H85" s="4" t="s">
        <v>99</v>
      </c>
      <c r="I85" s="4">
        <v>2021</v>
      </c>
      <c r="J85" s="4">
        <v>2021</v>
      </c>
      <c r="K85" s="4" t="s">
        <v>346</v>
      </c>
      <c r="L85" s="6">
        <v>573458.13</v>
      </c>
      <c r="O85" s="11">
        <f>O84</f>
        <v>0.9</v>
      </c>
      <c r="P85" s="6">
        <f>L85*O85*'supporting-percentages'!$B$6</f>
        <v>258056.15850000002</v>
      </c>
      <c r="Q85" s="9">
        <f>faostatdata[[#This Row],[Value '[odmt']]]*(10^-6)</f>
        <v>0.25805615850000002</v>
      </c>
      <c r="R85" s="4" t="str">
        <f>CONCATENATE("(",E85,",",G85,")")</f>
        <v>(5610,1685)</v>
      </c>
    </row>
    <row r="86" spans="1:18" ht="13.2" x14ac:dyDescent="0.25">
      <c r="A86" s="4" t="s">
        <v>129</v>
      </c>
      <c r="B86" s="4" t="s">
        <v>128</v>
      </c>
      <c r="C86" s="4" t="s">
        <v>465</v>
      </c>
      <c r="D86" s="4" t="s">
        <v>465</v>
      </c>
      <c r="E86" s="4">
        <v>5910</v>
      </c>
      <c r="F86" s="4" t="s">
        <v>127</v>
      </c>
      <c r="G86" s="4">
        <v>1685</v>
      </c>
      <c r="H86" s="4" t="s">
        <v>99</v>
      </c>
      <c r="I86" s="4">
        <v>2021</v>
      </c>
      <c r="J86" s="4">
        <v>2021</v>
      </c>
      <c r="K86" s="4" t="s">
        <v>346</v>
      </c>
      <c r="L86" s="6">
        <v>36269.74</v>
      </c>
      <c r="O86" s="11">
        <f>O85</f>
        <v>0.9</v>
      </c>
      <c r="P86" s="6">
        <f>L86*O86*'supporting-percentages'!$B$6</f>
        <v>16321.383</v>
      </c>
      <c r="Q86" s="9">
        <f>faostatdata[[#This Row],[Value '[odmt']]]*(10^-6)</f>
        <v>1.6321382999999998E-2</v>
      </c>
      <c r="R86" s="4" t="str">
        <f>CONCATENATE("(",E86,",",G86,")")</f>
        <v>(5910,1685)</v>
      </c>
    </row>
    <row r="87" spans="1:18" ht="13.2" x14ac:dyDescent="0.25">
      <c r="A87" s="4" t="s">
        <v>129</v>
      </c>
      <c r="B87" s="4" t="s">
        <v>128</v>
      </c>
      <c r="C87" s="4" t="s">
        <v>465</v>
      </c>
      <c r="D87" s="4" t="s">
        <v>465</v>
      </c>
      <c r="E87" s="4">
        <v>5510</v>
      </c>
      <c r="F87" s="4" t="s">
        <v>131</v>
      </c>
      <c r="G87" s="4">
        <v>1654</v>
      </c>
      <c r="H87" s="4" t="s">
        <v>144</v>
      </c>
      <c r="I87" s="4">
        <v>2021</v>
      </c>
      <c r="J87" s="4">
        <v>2021</v>
      </c>
      <c r="L87" s="6">
        <v>0</v>
      </c>
      <c r="O87" s="11"/>
      <c r="P87" s="6"/>
      <c r="Q87" s="9"/>
    </row>
    <row r="88" spans="1:18" ht="13.2" x14ac:dyDescent="0.25">
      <c r="A88" s="4" t="s">
        <v>129</v>
      </c>
      <c r="B88" s="4" t="s">
        <v>128</v>
      </c>
      <c r="C88" s="4" t="s">
        <v>465</v>
      </c>
      <c r="D88" s="4" t="s">
        <v>465</v>
      </c>
      <c r="E88" s="4">
        <v>5610</v>
      </c>
      <c r="F88" s="4" t="s">
        <v>130</v>
      </c>
      <c r="G88" s="4">
        <v>1654</v>
      </c>
      <c r="H88" s="4" t="s">
        <v>144</v>
      </c>
      <c r="I88" s="4">
        <v>2021</v>
      </c>
      <c r="J88" s="4">
        <v>2021</v>
      </c>
      <c r="L88" s="6">
        <v>0</v>
      </c>
      <c r="O88" s="11"/>
      <c r="P88" s="6"/>
      <c r="Q88" s="9"/>
    </row>
    <row r="89" spans="1:18" ht="13.2" x14ac:dyDescent="0.25">
      <c r="A89" s="4" t="s">
        <v>129</v>
      </c>
      <c r="B89" s="4" t="s">
        <v>128</v>
      </c>
      <c r="C89" s="4" t="s">
        <v>465</v>
      </c>
      <c r="D89" s="4" t="s">
        <v>465</v>
      </c>
      <c r="E89" s="4">
        <v>5910</v>
      </c>
      <c r="F89" s="4" t="s">
        <v>127</v>
      </c>
      <c r="G89" s="4">
        <v>1654</v>
      </c>
      <c r="H89" s="4" t="s">
        <v>144</v>
      </c>
      <c r="I89" s="4">
        <v>2021</v>
      </c>
      <c r="J89" s="4">
        <v>2021</v>
      </c>
      <c r="L89" s="6">
        <v>0</v>
      </c>
      <c r="O89" s="11"/>
      <c r="P89" s="6"/>
      <c r="Q89" s="9"/>
    </row>
    <row r="90" spans="1:18" ht="13.2" x14ac:dyDescent="0.25">
      <c r="A90" s="4" t="s">
        <v>129</v>
      </c>
      <c r="B90" s="4" t="s">
        <v>128</v>
      </c>
      <c r="C90" s="4" t="s">
        <v>465</v>
      </c>
      <c r="D90" s="4" t="s">
        <v>465</v>
      </c>
      <c r="E90" s="4">
        <v>5510</v>
      </c>
      <c r="F90" s="4" t="s">
        <v>131</v>
      </c>
      <c r="G90" s="4">
        <v>1655</v>
      </c>
      <c r="H90" s="4" t="s">
        <v>143</v>
      </c>
      <c r="I90" s="4">
        <v>2021</v>
      </c>
      <c r="J90" s="4">
        <v>2021</v>
      </c>
      <c r="L90" s="6">
        <v>0</v>
      </c>
      <c r="O90" s="11"/>
      <c r="P90" s="6"/>
      <c r="Q90" s="9"/>
    </row>
    <row r="91" spans="1:18" ht="13.2" x14ac:dyDescent="0.25">
      <c r="A91" s="4" t="s">
        <v>129</v>
      </c>
      <c r="B91" s="4" t="s">
        <v>128</v>
      </c>
      <c r="C91" s="4" t="s">
        <v>465</v>
      </c>
      <c r="D91" s="4" t="s">
        <v>465</v>
      </c>
      <c r="E91" s="4">
        <v>5610</v>
      </c>
      <c r="F91" s="4" t="s">
        <v>130</v>
      </c>
      <c r="G91" s="4">
        <v>1655</v>
      </c>
      <c r="H91" s="4" t="s">
        <v>143</v>
      </c>
      <c r="I91" s="4">
        <v>2021</v>
      </c>
      <c r="J91" s="4">
        <v>2021</v>
      </c>
      <c r="L91" s="6">
        <v>0</v>
      </c>
      <c r="O91" s="11"/>
      <c r="P91" s="6"/>
      <c r="Q91" s="9"/>
    </row>
    <row r="92" spans="1:18" ht="13.2" x14ac:dyDescent="0.25">
      <c r="A92" s="4" t="s">
        <v>129</v>
      </c>
      <c r="B92" s="4" t="s">
        <v>128</v>
      </c>
      <c r="C92" s="4" t="s">
        <v>465</v>
      </c>
      <c r="D92" s="4" t="s">
        <v>465</v>
      </c>
      <c r="E92" s="4">
        <v>5910</v>
      </c>
      <c r="F92" s="4" t="s">
        <v>127</v>
      </c>
      <c r="G92" s="4">
        <v>1655</v>
      </c>
      <c r="H92" s="4" t="s">
        <v>143</v>
      </c>
      <c r="I92" s="4">
        <v>2021</v>
      </c>
      <c r="J92" s="4">
        <v>2021</v>
      </c>
      <c r="L92" s="6">
        <v>0</v>
      </c>
      <c r="O92" s="11"/>
      <c r="P92" s="6"/>
      <c r="Q92" s="9"/>
    </row>
    <row r="93" spans="1:18" ht="13.2" x14ac:dyDescent="0.25">
      <c r="A93" s="4" t="s">
        <v>129</v>
      </c>
      <c r="B93" s="4" t="s">
        <v>128</v>
      </c>
      <c r="C93" s="4" t="s">
        <v>465</v>
      </c>
      <c r="D93" s="4" t="s">
        <v>465</v>
      </c>
      <c r="E93" s="4">
        <v>5510</v>
      </c>
      <c r="F93" s="4" t="s">
        <v>131</v>
      </c>
      <c r="G93" s="4">
        <v>1656</v>
      </c>
      <c r="H93" s="4" t="s">
        <v>98</v>
      </c>
      <c r="I93" s="4">
        <v>2021</v>
      </c>
      <c r="J93" s="4">
        <v>2021</v>
      </c>
      <c r="K93" s="4" t="s">
        <v>346</v>
      </c>
      <c r="L93" s="6">
        <v>10522183</v>
      </c>
      <c r="O93" s="11">
        <f>'conversion-factors'!E38</f>
        <v>0.9</v>
      </c>
      <c r="P93" s="6">
        <f t="shared" si="9"/>
        <v>9469964.7000000011</v>
      </c>
      <c r="Q93" s="9">
        <f>faostatdata[[#This Row],[Value '[odmt']]]*(10^-6)</f>
        <v>9.4699647000000002</v>
      </c>
      <c r="R93" s="4" t="str">
        <f>CONCATENATE("(",E93,",",G93,")")</f>
        <v>(5510,1656)</v>
      </c>
    </row>
    <row r="94" spans="1:18" ht="13.2" x14ac:dyDescent="0.25">
      <c r="A94" s="4" t="s">
        <v>129</v>
      </c>
      <c r="B94" s="4" t="s">
        <v>128</v>
      </c>
      <c r="C94" s="4" t="s">
        <v>465</v>
      </c>
      <c r="D94" s="4" t="s">
        <v>465</v>
      </c>
      <c r="E94" s="4">
        <v>5610</v>
      </c>
      <c r="F94" s="4" t="s">
        <v>130</v>
      </c>
      <c r="G94" s="4">
        <v>1656</v>
      </c>
      <c r="H94" s="4" t="s">
        <v>98</v>
      </c>
      <c r="I94" s="4">
        <v>2021</v>
      </c>
      <c r="J94" s="4">
        <v>2021</v>
      </c>
      <c r="K94" s="4" t="s">
        <v>346</v>
      </c>
      <c r="L94" s="6">
        <v>4312834.97</v>
      </c>
      <c r="O94" s="11">
        <f>O93</f>
        <v>0.9</v>
      </c>
      <c r="P94" s="6">
        <f>L94*O94*'supporting-percentages'!$B$6</f>
        <v>1940775.7364999999</v>
      </c>
      <c r="Q94" s="9">
        <f>faostatdata[[#This Row],[Value '[odmt']]]*(10^-6)</f>
        <v>1.9407757364999998</v>
      </c>
      <c r="R94" s="4" t="str">
        <f>CONCATENATE("(",E94,",",G94,")")</f>
        <v>(5610,1656)</v>
      </c>
    </row>
    <row r="95" spans="1:18" ht="13.2" x14ac:dyDescent="0.25">
      <c r="A95" s="4" t="s">
        <v>129</v>
      </c>
      <c r="B95" s="4" t="s">
        <v>128</v>
      </c>
      <c r="C95" s="4" t="s">
        <v>465</v>
      </c>
      <c r="D95" s="4" t="s">
        <v>465</v>
      </c>
      <c r="E95" s="4">
        <v>5910</v>
      </c>
      <c r="F95" s="4" t="s">
        <v>127</v>
      </c>
      <c r="G95" s="4">
        <v>1656</v>
      </c>
      <c r="H95" s="4" t="s">
        <v>98</v>
      </c>
      <c r="I95" s="4">
        <v>2021</v>
      </c>
      <c r="J95" s="4">
        <v>2021</v>
      </c>
      <c r="K95" s="4" t="s">
        <v>346</v>
      </c>
      <c r="L95" s="6">
        <v>5412802.3000000007</v>
      </c>
      <c r="O95" s="11">
        <f t="shared" ref="O95" si="10">O94</f>
        <v>0.9</v>
      </c>
      <c r="P95" s="6">
        <f>L95*O95*'supporting-percentages'!$B$6</f>
        <v>2435761.0350000006</v>
      </c>
      <c r="Q95" s="9">
        <f>faostatdata[[#This Row],[Value '[odmt']]]*(10^-6)</f>
        <v>2.4357610350000005</v>
      </c>
      <c r="R95" s="4" t="str">
        <f>CONCATENATE("(",E95,",",G95,")")</f>
        <v>(5910,1656)</v>
      </c>
    </row>
    <row r="96" spans="1:18" ht="13.2" x14ac:dyDescent="0.25">
      <c r="A96" s="4" t="s">
        <v>129</v>
      </c>
      <c r="B96" s="4" t="s">
        <v>128</v>
      </c>
      <c r="C96" s="4" t="s">
        <v>465</v>
      </c>
      <c r="D96" s="4" t="s">
        <v>465</v>
      </c>
      <c r="E96" s="4">
        <v>5510</v>
      </c>
      <c r="F96" s="4" t="s">
        <v>131</v>
      </c>
      <c r="G96" s="4">
        <v>1662</v>
      </c>
      <c r="H96" s="4" t="s">
        <v>142</v>
      </c>
      <c r="I96" s="4">
        <v>2021</v>
      </c>
      <c r="J96" s="4">
        <v>2021</v>
      </c>
      <c r="K96" s="4" t="s">
        <v>346</v>
      </c>
      <c r="L96" s="6">
        <v>58000</v>
      </c>
      <c r="O96" s="11"/>
      <c r="P96" s="6"/>
      <c r="Q96" s="9"/>
    </row>
    <row r="97" spans="1:18" ht="13.2" x14ac:dyDescent="0.25">
      <c r="A97" s="4" t="s">
        <v>129</v>
      </c>
      <c r="B97" s="4" t="s">
        <v>128</v>
      </c>
      <c r="C97" s="4" t="s">
        <v>465</v>
      </c>
      <c r="D97" s="4" t="s">
        <v>465</v>
      </c>
      <c r="E97" s="4">
        <v>5610</v>
      </c>
      <c r="F97" s="4" t="s">
        <v>130</v>
      </c>
      <c r="G97" s="4">
        <v>1662</v>
      </c>
      <c r="H97" s="4" t="s">
        <v>142</v>
      </c>
      <c r="I97" s="4">
        <v>2021</v>
      </c>
      <c r="J97" s="4">
        <v>2021</v>
      </c>
      <c r="K97" s="4" t="s">
        <v>346</v>
      </c>
      <c r="L97" s="6">
        <v>581549.92000000004</v>
      </c>
      <c r="O97" s="11"/>
      <c r="P97" s="6"/>
      <c r="Q97" s="9"/>
    </row>
    <row r="98" spans="1:18" ht="13.2" x14ac:dyDescent="0.25">
      <c r="A98" s="4" t="s">
        <v>129</v>
      </c>
      <c r="B98" s="4" t="s">
        <v>128</v>
      </c>
      <c r="C98" s="4" t="s">
        <v>465</v>
      </c>
      <c r="D98" s="4" t="s">
        <v>465</v>
      </c>
      <c r="E98" s="4">
        <v>5910</v>
      </c>
      <c r="F98" s="4" t="s">
        <v>127</v>
      </c>
      <c r="G98" s="4">
        <v>1662</v>
      </c>
      <c r="H98" s="4" t="s">
        <v>142</v>
      </c>
      <c r="I98" s="4">
        <v>2021</v>
      </c>
      <c r="J98" s="4">
        <v>2021</v>
      </c>
      <c r="K98" s="4" t="s">
        <v>346</v>
      </c>
      <c r="L98" s="6">
        <v>18686.03</v>
      </c>
      <c r="O98" s="11"/>
      <c r="P98" s="6"/>
      <c r="Q98" s="9"/>
    </row>
    <row r="99" spans="1:18" ht="13.2" x14ac:dyDescent="0.25">
      <c r="A99" s="4" t="s">
        <v>129</v>
      </c>
      <c r="B99" s="4" t="s">
        <v>128</v>
      </c>
      <c r="C99" s="4" t="s">
        <v>465</v>
      </c>
      <c r="D99" s="4" t="s">
        <v>465</v>
      </c>
      <c r="E99" s="4">
        <v>5510</v>
      </c>
      <c r="F99" s="4" t="s">
        <v>131</v>
      </c>
      <c r="G99" s="4">
        <v>1663</v>
      </c>
      <c r="H99" s="4" t="s">
        <v>141</v>
      </c>
      <c r="I99" s="4">
        <v>2021</v>
      </c>
      <c r="J99" s="4">
        <v>2021</v>
      </c>
      <c r="K99" s="4" t="s">
        <v>346</v>
      </c>
      <c r="L99" s="6">
        <v>10332183</v>
      </c>
      <c r="O99" s="11"/>
      <c r="P99" s="6"/>
      <c r="Q99" s="9"/>
    </row>
    <row r="100" spans="1:18" ht="13.2" x14ac:dyDescent="0.25">
      <c r="A100" s="4" t="s">
        <v>129</v>
      </c>
      <c r="B100" s="4" t="s">
        <v>128</v>
      </c>
      <c r="C100" s="4" t="s">
        <v>465</v>
      </c>
      <c r="D100" s="4" t="s">
        <v>465</v>
      </c>
      <c r="E100" s="4">
        <v>5610</v>
      </c>
      <c r="F100" s="4" t="s">
        <v>130</v>
      </c>
      <c r="G100" s="4">
        <v>1663</v>
      </c>
      <c r="H100" s="4" t="s">
        <v>141</v>
      </c>
      <c r="I100" s="4">
        <v>2021</v>
      </c>
      <c r="J100" s="4">
        <v>2021</v>
      </c>
      <c r="K100" s="4" t="s">
        <v>346</v>
      </c>
      <c r="L100" s="6">
        <v>3672012.5600000005</v>
      </c>
      <c r="O100" s="11"/>
      <c r="P100" s="6"/>
      <c r="Q100" s="9"/>
    </row>
    <row r="101" spans="1:18" ht="13.2" x14ac:dyDescent="0.25">
      <c r="A101" s="4" t="s">
        <v>129</v>
      </c>
      <c r="B101" s="4" t="s">
        <v>128</v>
      </c>
      <c r="C101" s="4" t="s">
        <v>465</v>
      </c>
      <c r="D101" s="4" t="s">
        <v>465</v>
      </c>
      <c r="E101" s="4">
        <v>5910</v>
      </c>
      <c r="F101" s="4" t="s">
        <v>127</v>
      </c>
      <c r="G101" s="4">
        <v>1663</v>
      </c>
      <c r="H101" s="4" t="s">
        <v>141</v>
      </c>
      <c r="I101" s="4">
        <v>2021</v>
      </c>
      <c r="J101" s="4">
        <v>2021</v>
      </c>
      <c r="K101" s="4" t="s">
        <v>346</v>
      </c>
      <c r="L101" s="6">
        <v>5386658.7000000002</v>
      </c>
      <c r="O101" s="11"/>
      <c r="P101" s="6"/>
      <c r="Q101" s="9"/>
    </row>
    <row r="102" spans="1:18" ht="13.2" x14ac:dyDescent="0.25">
      <c r="A102" s="4" t="s">
        <v>129</v>
      </c>
      <c r="B102" s="4" t="s">
        <v>128</v>
      </c>
      <c r="C102" s="4" t="s">
        <v>465</v>
      </c>
      <c r="D102" s="4" t="s">
        <v>465</v>
      </c>
      <c r="E102" s="4">
        <v>5510</v>
      </c>
      <c r="F102" s="4" t="s">
        <v>131</v>
      </c>
      <c r="G102" s="4">
        <v>1686</v>
      </c>
      <c r="H102" s="4" t="s">
        <v>140</v>
      </c>
      <c r="I102" s="4">
        <v>2021</v>
      </c>
      <c r="J102" s="4">
        <v>2021</v>
      </c>
      <c r="K102" s="4" t="s">
        <v>346</v>
      </c>
      <c r="L102" s="6">
        <v>132000</v>
      </c>
      <c r="O102" s="11"/>
      <c r="P102" s="6"/>
      <c r="Q102" s="9"/>
    </row>
    <row r="103" spans="1:18" ht="13.2" x14ac:dyDescent="0.25">
      <c r="A103" s="4" t="s">
        <v>129</v>
      </c>
      <c r="B103" s="4" t="s">
        <v>128</v>
      </c>
      <c r="C103" s="4" t="s">
        <v>465</v>
      </c>
      <c r="D103" s="4" t="s">
        <v>465</v>
      </c>
      <c r="E103" s="4">
        <v>5610</v>
      </c>
      <c r="F103" s="4" t="s">
        <v>130</v>
      </c>
      <c r="G103" s="4">
        <v>1686</v>
      </c>
      <c r="H103" s="4" t="s">
        <v>140</v>
      </c>
      <c r="I103" s="4">
        <v>2021</v>
      </c>
      <c r="J103" s="4">
        <v>2021</v>
      </c>
      <c r="K103" s="4" t="s">
        <v>346</v>
      </c>
      <c r="L103" s="6">
        <v>59271.509999999995</v>
      </c>
      <c r="O103" s="11"/>
      <c r="P103" s="6"/>
      <c r="Q103" s="9"/>
    </row>
    <row r="104" spans="1:18" ht="13.2" x14ac:dyDescent="0.25">
      <c r="A104" s="4" t="s">
        <v>129</v>
      </c>
      <c r="B104" s="4" t="s">
        <v>128</v>
      </c>
      <c r="C104" s="4" t="s">
        <v>465</v>
      </c>
      <c r="D104" s="4" t="s">
        <v>465</v>
      </c>
      <c r="E104" s="4">
        <v>5910</v>
      </c>
      <c r="F104" s="4" t="s">
        <v>127</v>
      </c>
      <c r="G104" s="4">
        <v>1686</v>
      </c>
      <c r="H104" s="4" t="s">
        <v>140</v>
      </c>
      <c r="I104" s="4">
        <v>2021</v>
      </c>
      <c r="J104" s="4">
        <v>2021</v>
      </c>
      <c r="K104" s="4" t="s">
        <v>346</v>
      </c>
      <c r="L104" s="6">
        <v>7383.57</v>
      </c>
      <c r="O104" s="11"/>
      <c r="P104" s="6"/>
      <c r="Q104" s="9"/>
    </row>
    <row r="105" spans="1:18" ht="13.2" x14ac:dyDescent="0.25">
      <c r="A105" s="4" t="s">
        <v>129</v>
      </c>
      <c r="B105" s="4" t="s">
        <v>128</v>
      </c>
      <c r="C105" s="4" t="s">
        <v>465</v>
      </c>
      <c r="D105" s="4" t="s">
        <v>465</v>
      </c>
      <c r="E105" s="4">
        <v>5510</v>
      </c>
      <c r="F105" s="4" t="s">
        <v>131</v>
      </c>
      <c r="G105" s="4">
        <v>1660</v>
      </c>
      <c r="H105" s="4" t="s">
        <v>139</v>
      </c>
      <c r="I105" s="4">
        <v>2021</v>
      </c>
      <c r="J105" s="4">
        <v>2021</v>
      </c>
      <c r="L105" s="6">
        <v>0</v>
      </c>
      <c r="O105" s="11"/>
      <c r="P105" s="6"/>
      <c r="Q105" s="9"/>
    </row>
    <row r="106" spans="1:18" ht="13.2" x14ac:dyDescent="0.25">
      <c r="A106" s="4" t="s">
        <v>129</v>
      </c>
      <c r="B106" s="4" t="s">
        <v>128</v>
      </c>
      <c r="C106" s="4" t="s">
        <v>465</v>
      </c>
      <c r="D106" s="4" t="s">
        <v>465</v>
      </c>
      <c r="E106" s="4">
        <v>5610</v>
      </c>
      <c r="F106" s="4" t="s">
        <v>130</v>
      </c>
      <c r="G106" s="4">
        <v>1660</v>
      </c>
      <c r="H106" s="4" t="s">
        <v>139</v>
      </c>
      <c r="I106" s="4">
        <v>2021</v>
      </c>
      <c r="J106" s="4">
        <v>2021</v>
      </c>
      <c r="L106" s="6">
        <v>0</v>
      </c>
      <c r="O106" s="11"/>
      <c r="P106" s="6"/>
      <c r="Q106" s="9"/>
    </row>
    <row r="107" spans="1:18" ht="13.2" x14ac:dyDescent="0.25">
      <c r="A107" s="4" t="s">
        <v>129</v>
      </c>
      <c r="B107" s="4" t="s">
        <v>128</v>
      </c>
      <c r="C107" s="4" t="s">
        <v>465</v>
      </c>
      <c r="D107" s="4" t="s">
        <v>465</v>
      </c>
      <c r="E107" s="4">
        <v>5910</v>
      </c>
      <c r="F107" s="4" t="s">
        <v>127</v>
      </c>
      <c r="G107" s="4">
        <v>1660</v>
      </c>
      <c r="H107" s="4" t="s">
        <v>139</v>
      </c>
      <c r="I107" s="4">
        <v>2021</v>
      </c>
      <c r="J107" s="4">
        <v>2021</v>
      </c>
      <c r="L107" s="6">
        <v>0</v>
      </c>
      <c r="O107" s="11"/>
      <c r="P107" s="6"/>
      <c r="Q107" s="9"/>
    </row>
    <row r="108" spans="1:18" ht="13.2" x14ac:dyDescent="0.25">
      <c r="A108" s="4" t="s">
        <v>129</v>
      </c>
      <c r="B108" s="4" t="s">
        <v>128</v>
      </c>
      <c r="C108" s="4" t="s">
        <v>465</v>
      </c>
      <c r="D108" s="4" t="s">
        <v>465</v>
      </c>
      <c r="E108" s="4">
        <v>5510</v>
      </c>
      <c r="F108" s="4" t="s">
        <v>131</v>
      </c>
      <c r="G108" s="4">
        <v>1661</v>
      </c>
      <c r="H108" s="4" t="s">
        <v>138</v>
      </c>
      <c r="I108" s="4">
        <v>2021</v>
      </c>
      <c r="J108" s="4">
        <v>2021</v>
      </c>
      <c r="L108" s="6">
        <v>0</v>
      </c>
      <c r="O108" s="11"/>
      <c r="P108" s="6"/>
      <c r="Q108" s="9"/>
    </row>
    <row r="109" spans="1:18" ht="13.2" x14ac:dyDescent="0.25">
      <c r="A109" s="4" t="s">
        <v>129</v>
      </c>
      <c r="B109" s="4" t="s">
        <v>128</v>
      </c>
      <c r="C109" s="4" t="s">
        <v>465</v>
      </c>
      <c r="D109" s="4" t="s">
        <v>465</v>
      </c>
      <c r="E109" s="4">
        <v>5610</v>
      </c>
      <c r="F109" s="4" t="s">
        <v>130</v>
      </c>
      <c r="G109" s="4">
        <v>1661</v>
      </c>
      <c r="H109" s="4" t="s">
        <v>138</v>
      </c>
      <c r="I109" s="4">
        <v>2021</v>
      </c>
      <c r="J109" s="4">
        <v>2021</v>
      </c>
      <c r="L109" s="6">
        <v>0</v>
      </c>
      <c r="O109" s="11"/>
      <c r="P109" s="6"/>
      <c r="Q109" s="9"/>
    </row>
    <row r="110" spans="1:18" ht="13.2" x14ac:dyDescent="0.25">
      <c r="A110" s="4" t="s">
        <v>129</v>
      </c>
      <c r="B110" s="4" t="s">
        <v>128</v>
      </c>
      <c r="C110" s="4" t="s">
        <v>465</v>
      </c>
      <c r="D110" s="4" t="s">
        <v>465</v>
      </c>
      <c r="E110" s="4">
        <v>5910</v>
      </c>
      <c r="F110" s="4" t="s">
        <v>127</v>
      </c>
      <c r="G110" s="4">
        <v>1661</v>
      </c>
      <c r="H110" s="4" t="s">
        <v>138</v>
      </c>
      <c r="I110" s="4">
        <v>2021</v>
      </c>
      <c r="J110" s="4">
        <v>2021</v>
      </c>
      <c r="L110" s="6">
        <v>0</v>
      </c>
      <c r="O110" s="11"/>
      <c r="P110" s="6"/>
      <c r="Q110" s="9"/>
    </row>
    <row r="111" spans="1:18" ht="13.2" x14ac:dyDescent="0.25">
      <c r="A111" s="4" t="s">
        <v>129</v>
      </c>
      <c r="B111" s="4" t="s">
        <v>128</v>
      </c>
      <c r="C111" s="4" t="s">
        <v>465</v>
      </c>
      <c r="D111" s="4" t="s">
        <v>465</v>
      </c>
      <c r="E111" s="4">
        <v>5510</v>
      </c>
      <c r="F111" s="4" t="s">
        <v>131</v>
      </c>
      <c r="G111" s="4">
        <v>1667</v>
      </c>
      <c r="H111" s="4" t="s">
        <v>97</v>
      </c>
      <c r="I111" s="4">
        <v>2021</v>
      </c>
      <c r="J111" s="4">
        <v>2021</v>
      </c>
      <c r="K111" s="4" t="s">
        <v>346</v>
      </c>
      <c r="L111" s="6">
        <v>1676000</v>
      </c>
      <c r="O111" s="11">
        <f>'conversion-factors'!E39</f>
        <v>0.9</v>
      </c>
      <c r="P111" s="6">
        <f t="shared" si="9"/>
        <v>1508400</v>
      </c>
      <c r="Q111" s="9">
        <f>faostatdata[[#This Row],[Value '[odmt']]]*(10^-6)</f>
        <v>1.5084</v>
      </c>
      <c r="R111" s="4" t="str">
        <f t="shared" ref="R111:R128" si="11">CONCATENATE("(",E111,",",G111,")")</f>
        <v>(5510,1667)</v>
      </c>
    </row>
    <row r="112" spans="1:18" ht="13.2" x14ac:dyDescent="0.25">
      <c r="A112" s="4" t="s">
        <v>129</v>
      </c>
      <c r="B112" s="4" t="s">
        <v>128</v>
      </c>
      <c r="C112" s="4" t="s">
        <v>465</v>
      </c>
      <c r="D112" s="4" t="s">
        <v>465</v>
      </c>
      <c r="E112" s="4">
        <v>5610</v>
      </c>
      <c r="F112" s="4" t="s">
        <v>130</v>
      </c>
      <c r="G112" s="4">
        <v>1667</v>
      </c>
      <c r="H112" s="4" t="s">
        <v>97</v>
      </c>
      <c r="I112" s="4">
        <v>2021</v>
      </c>
      <c r="J112" s="4">
        <v>2021</v>
      </c>
      <c r="K112" s="4" t="s">
        <v>346</v>
      </c>
      <c r="L112" s="6">
        <v>1229099.48</v>
      </c>
      <c r="O112" s="11">
        <f>O111</f>
        <v>0.9</v>
      </c>
      <c r="P112" s="6">
        <f>L112*O112*'supporting-percentages'!$B$6</f>
        <v>553094.76600000006</v>
      </c>
      <c r="Q112" s="9">
        <f>faostatdata[[#This Row],[Value '[odmt']]]*(10^-6)</f>
        <v>0.55309476600000007</v>
      </c>
      <c r="R112" s="4" t="str">
        <f t="shared" si="11"/>
        <v>(5610,1667)</v>
      </c>
    </row>
    <row r="113" spans="1:18" ht="13.2" x14ac:dyDescent="0.25">
      <c r="A113" s="4" t="s">
        <v>129</v>
      </c>
      <c r="B113" s="4" t="s">
        <v>128</v>
      </c>
      <c r="C113" s="4" t="s">
        <v>465</v>
      </c>
      <c r="D113" s="4" t="s">
        <v>465</v>
      </c>
      <c r="E113" s="4">
        <v>5910</v>
      </c>
      <c r="F113" s="4" t="s">
        <v>127</v>
      </c>
      <c r="G113" s="4">
        <v>1667</v>
      </c>
      <c r="H113" s="4" t="s">
        <v>97</v>
      </c>
      <c r="I113" s="4">
        <v>2021</v>
      </c>
      <c r="J113" s="4">
        <v>2021</v>
      </c>
      <c r="K113" s="4" t="s">
        <v>346</v>
      </c>
      <c r="L113" s="6">
        <v>1998902.63</v>
      </c>
      <c r="O113" s="11">
        <f>O112</f>
        <v>0.9</v>
      </c>
      <c r="P113" s="6">
        <f>L113*O113*'supporting-percentages'!$B$6</f>
        <v>899506.18349999993</v>
      </c>
      <c r="Q113" s="9">
        <f>faostatdata[[#This Row],[Value '[odmt']]]*(10^-6)</f>
        <v>0.89950618349999989</v>
      </c>
      <c r="R113" s="4" t="str">
        <f t="shared" si="11"/>
        <v>(5910,1667)</v>
      </c>
    </row>
    <row r="114" spans="1:18" ht="13.2" x14ac:dyDescent="0.25">
      <c r="A114" s="4" t="s">
        <v>129</v>
      </c>
      <c r="B114" s="4" t="s">
        <v>128</v>
      </c>
      <c r="C114" s="4" t="s">
        <v>465</v>
      </c>
      <c r="D114" s="4" t="s">
        <v>465</v>
      </c>
      <c r="E114" s="4">
        <v>5510</v>
      </c>
      <c r="F114" s="4" t="s">
        <v>131</v>
      </c>
      <c r="G114" s="4">
        <v>1668</v>
      </c>
      <c r="H114" s="4" t="s">
        <v>96</v>
      </c>
      <c r="I114" s="4">
        <v>2021</v>
      </c>
      <c r="J114" s="4">
        <v>2021</v>
      </c>
      <c r="K114" s="4" t="s">
        <v>346</v>
      </c>
      <c r="L114" s="6">
        <v>818500</v>
      </c>
      <c r="O114" s="11">
        <f>'conversion-factors'!E40</f>
        <v>0.9</v>
      </c>
      <c r="P114" s="6">
        <f t="shared" si="9"/>
        <v>736650</v>
      </c>
      <c r="Q114" s="9">
        <f>faostatdata[[#This Row],[Value '[odmt']]]*(10^-6)</f>
        <v>0.73664999999999992</v>
      </c>
      <c r="R114" s="4" t="str">
        <f t="shared" si="11"/>
        <v>(5510,1668)</v>
      </c>
    </row>
    <row r="115" spans="1:18" ht="13.2" x14ac:dyDescent="0.25">
      <c r="A115" s="4" t="s">
        <v>129</v>
      </c>
      <c r="B115" s="4" t="s">
        <v>128</v>
      </c>
      <c r="C115" s="4" t="s">
        <v>465</v>
      </c>
      <c r="D115" s="4" t="s">
        <v>465</v>
      </c>
      <c r="E115" s="4">
        <v>5610</v>
      </c>
      <c r="F115" s="4" t="s">
        <v>130</v>
      </c>
      <c r="G115" s="4">
        <v>1668</v>
      </c>
      <c r="H115" s="4" t="s">
        <v>96</v>
      </c>
      <c r="I115" s="4">
        <v>2021</v>
      </c>
      <c r="J115" s="4">
        <v>2021</v>
      </c>
      <c r="K115" s="4" t="s">
        <v>346</v>
      </c>
      <c r="L115" s="6">
        <v>54377.87</v>
      </c>
      <c r="O115" s="11">
        <f>O114</f>
        <v>0.9</v>
      </c>
      <c r="P115" s="6">
        <f>L115*O115*'supporting-percentages'!$B$6</f>
        <v>24470.041500000003</v>
      </c>
      <c r="Q115" s="9">
        <f>faostatdata[[#This Row],[Value '[odmt']]]*(10^-6)</f>
        <v>2.4470041500000001E-2</v>
      </c>
      <c r="R115" s="4" t="str">
        <f t="shared" si="11"/>
        <v>(5610,1668)</v>
      </c>
    </row>
    <row r="116" spans="1:18" ht="13.2" x14ac:dyDescent="0.25">
      <c r="A116" s="4" t="s">
        <v>129</v>
      </c>
      <c r="B116" s="4" t="s">
        <v>128</v>
      </c>
      <c r="C116" s="4" t="s">
        <v>465</v>
      </c>
      <c r="D116" s="4" t="s">
        <v>465</v>
      </c>
      <c r="E116" s="4">
        <v>5910</v>
      </c>
      <c r="F116" s="4" t="s">
        <v>127</v>
      </c>
      <c r="G116" s="4">
        <v>1668</v>
      </c>
      <c r="H116" s="4" t="s">
        <v>96</v>
      </c>
      <c r="I116" s="4">
        <v>2021</v>
      </c>
      <c r="J116" s="4">
        <v>2021</v>
      </c>
      <c r="K116" s="4" t="s">
        <v>346</v>
      </c>
      <c r="L116" s="6">
        <v>60390.59</v>
      </c>
      <c r="O116" s="11">
        <f>O115</f>
        <v>0.9</v>
      </c>
      <c r="P116" s="6">
        <f>L116*O116*'supporting-percentages'!$B$6</f>
        <v>27175.765499999998</v>
      </c>
      <c r="Q116" s="9">
        <f>faostatdata[[#This Row],[Value '[odmt']]]*(10^-6)</f>
        <v>2.7175765499999997E-2</v>
      </c>
      <c r="R116" s="4" t="str">
        <f t="shared" si="11"/>
        <v>(5910,1668)</v>
      </c>
    </row>
    <row r="117" spans="1:18" ht="13.2" x14ac:dyDescent="0.25">
      <c r="A117" s="4" t="s">
        <v>129</v>
      </c>
      <c r="B117" s="4" t="s">
        <v>128</v>
      </c>
      <c r="C117" s="4" t="s">
        <v>465</v>
      </c>
      <c r="D117" s="4" t="s">
        <v>465</v>
      </c>
      <c r="E117" s="4">
        <v>5510</v>
      </c>
      <c r="F117" s="4" t="s">
        <v>131</v>
      </c>
      <c r="G117" s="4">
        <v>1609</v>
      </c>
      <c r="H117" s="4" t="s">
        <v>95</v>
      </c>
      <c r="I117" s="4">
        <v>2021</v>
      </c>
      <c r="J117" s="4">
        <v>2021</v>
      </c>
      <c r="L117" s="6">
        <v>0</v>
      </c>
      <c r="O117" s="11">
        <f>'conversion-factors'!E41</f>
        <v>0.9</v>
      </c>
      <c r="P117" s="6">
        <f t="shared" ref="P117:P141" si="12">L117*O117</f>
        <v>0</v>
      </c>
      <c r="Q117" s="9">
        <f>faostatdata[[#This Row],[Value '[odmt']]]*(10^-6)</f>
        <v>0</v>
      </c>
      <c r="R117" s="4" t="str">
        <f t="shared" si="11"/>
        <v>(5510,1609)</v>
      </c>
    </row>
    <row r="118" spans="1:18" ht="13.2" x14ac:dyDescent="0.25">
      <c r="A118" s="4" t="s">
        <v>129</v>
      </c>
      <c r="B118" s="4" t="s">
        <v>128</v>
      </c>
      <c r="C118" s="4" t="s">
        <v>465</v>
      </c>
      <c r="D118" s="4" t="s">
        <v>465</v>
      </c>
      <c r="E118" s="4">
        <v>5610</v>
      </c>
      <c r="F118" s="4" t="s">
        <v>130</v>
      </c>
      <c r="G118" s="4">
        <v>1609</v>
      </c>
      <c r="H118" s="4" t="s">
        <v>95</v>
      </c>
      <c r="I118" s="4">
        <v>2021</v>
      </c>
      <c r="J118" s="4">
        <v>2021</v>
      </c>
      <c r="K118" s="4" t="s">
        <v>346</v>
      </c>
      <c r="L118" s="6">
        <v>101965.92</v>
      </c>
      <c r="O118" s="11">
        <f>O117</f>
        <v>0.9</v>
      </c>
      <c r="P118" s="6">
        <f>L118*O118*'supporting-percentages'!$B$6</f>
        <v>45884.663999999997</v>
      </c>
      <c r="Q118" s="9">
        <f>faostatdata[[#This Row],[Value '[odmt']]]*(10^-6)</f>
        <v>4.5884663999999992E-2</v>
      </c>
      <c r="R118" s="4" t="str">
        <f t="shared" si="11"/>
        <v>(5610,1609)</v>
      </c>
    </row>
    <row r="119" spans="1:18" ht="13.2" x14ac:dyDescent="0.25">
      <c r="A119" s="4" t="s">
        <v>129</v>
      </c>
      <c r="B119" s="4" t="s">
        <v>128</v>
      </c>
      <c r="C119" s="4" t="s">
        <v>465</v>
      </c>
      <c r="D119" s="4" t="s">
        <v>465</v>
      </c>
      <c r="E119" s="4">
        <v>5910</v>
      </c>
      <c r="F119" s="4" t="s">
        <v>127</v>
      </c>
      <c r="G119" s="4">
        <v>1609</v>
      </c>
      <c r="H119" s="4" t="s">
        <v>95</v>
      </c>
      <c r="I119" s="4">
        <v>2021</v>
      </c>
      <c r="J119" s="4">
        <v>2021</v>
      </c>
      <c r="K119" s="4" t="s">
        <v>346</v>
      </c>
      <c r="L119" s="6">
        <v>2347967.16</v>
      </c>
      <c r="O119" s="11">
        <f>O118</f>
        <v>0.9</v>
      </c>
      <c r="P119" s="6">
        <f>L119*O119*'supporting-percentages'!$B$6</f>
        <v>1056585.2220000001</v>
      </c>
      <c r="Q119" s="9">
        <f>faostatdata[[#This Row],[Value '[odmt']]]*(10^-6)</f>
        <v>1.056585222</v>
      </c>
      <c r="R119" s="4" t="str">
        <f t="shared" si="11"/>
        <v>(5910,1609)</v>
      </c>
    </row>
    <row r="120" spans="1:18" ht="13.2" x14ac:dyDescent="0.25">
      <c r="A120" s="4" t="s">
        <v>129</v>
      </c>
      <c r="B120" s="4" t="s">
        <v>128</v>
      </c>
      <c r="C120" s="4" t="s">
        <v>465</v>
      </c>
      <c r="D120" s="4" t="s">
        <v>465</v>
      </c>
      <c r="E120" s="4">
        <v>5510</v>
      </c>
      <c r="F120" s="4" t="s">
        <v>131</v>
      </c>
      <c r="G120" s="4">
        <v>1669</v>
      </c>
      <c r="H120" s="4" t="s">
        <v>137</v>
      </c>
      <c r="I120" s="4">
        <v>2021</v>
      </c>
      <c r="J120" s="4">
        <v>2021</v>
      </c>
      <c r="K120" s="4" t="s">
        <v>346</v>
      </c>
      <c r="L120" s="6">
        <v>19104092</v>
      </c>
      <c r="O120" s="10">
        <f>'conversion-factors'!E43</f>
        <v>0.875</v>
      </c>
      <c r="P120" s="6">
        <f t="shared" si="12"/>
        <v>16716080.5</v>
      </c>
      <c r="Q120" s="9">
        <f>faostatdata[[#This Row],[Value '[odmt']]]*(10^-6)</f>
        <v>16.7160805</v>
      </c>
      <c r="R120" s="4" t="str">
        <f t="shared" si="11"/>
        <v>(5510,1669)</v>
      </c>
    </row>
    <row r="121" spans="1:18" ht="13.2" x14ac:dyDescent="0.25">
      <c r="A121" s="4" t="s">
        <v>129</v>
      </c>
      <c r="B121" s="4" t="s">
        <v>128</v>
      </c>
      <c r="C121" s="4" t="s">
        <v>465</v>
      </c>
      <c r="D121" s="4" t="s">
        <v>465</v>
      </c>
      <c r="E121" s="4">
        <v>5610</v>
      </c>
      <c r="F121" s="4" t="s">
        <v>130</v>
      </c>
      <c r="G121" s="4">
        <v>1669</v>
      </c>
      <c r="H121" s="4" t="s">
        <v>137</v>
      </c>
      <c r="I121" s="4">
        <v>2021</v>
      </c>
      <c r="J121" s="4">
        <v>2021</v>
      </c>
      <c r="K121" s="4" t="s">
        <v>346</v>
      </c>
      <c r="L121" s="6">
        <v>13954181.059999999</v>
      </c>
      <c r="O121" s="10">
        <f>O120</f>
        <v>0.875</v>
      </c>
      <c r="P121" s="6">
        <f>L121*O121*'supporting-percentages'!$B$6</f>
        <v>6104954.2137499992</v>
      </c>
      <c r="Q121" s="9">
        <f>faostatdata[[#This Row],[Value '[odmt']]]*(10^-6)</f>
        <v>6.1049542137499992</v>
      </c>
      <c r="R121" s="4" t="str">
        <f t="shared" si="11"/>
        <v>(5610,1669)</v>
      </c>
    </row>
    <row r="122" spans="1:18" ht="13.2" x14ac:dyDescent="0.25">
      <c r="A122" s="4" t="s">
        <v>129</v>
      </c>
      <c r="B122" s="4" t="s">
        <v>128</v>
      </c>
      <c r="C122" s="4" t="s">
        <v>465</v>
      </c>
      <c r="D122" s="4" t="s">
        <v>465</v>
      </c>
      <c r="E122" s="4">
        <v>5910</v>
      </c>
      <c r="F122" s="4" t="s">
        <v>127</v>
      </c>
      <c r="G122" s="4">
        <v>1669</v>
      </c>
      <c r="H122" s="4" t="s">
        <v>137</v>
      </c>
      <c r="I122" s="4">
        <v>2021</v>
      </c>
      <c r="J122" s="4">
        <v>2021</v>
      </c>
      <c r="K122" s="4" t="s">
        <v>346</v>
      </c>
      <c r="L122" s="6">
        <v>1208095.0999999999</v>
      </c>
      <c r="O122" s="10">
        <f>O121</f>
        <v>0.875</v>
      </c>
      <c r="P122" s="6">
        <f>L122*O122*'supporting-percentages'!$B$6</f>
        <v>528541.60624999995</v>
      </c>
      <c r="Q122" s="9">
        <f>faostatdata[[#This Row],[Value '[odmt']]]*(10^-6)</f>
        <v>0.52854160624999991</v>
      </c>
      <c r="R122" s="4" t="str">
        <f t="shared" si="11"/>
        <v>(5910,1669)</v>
      </c>
    </row>
    <row r="123" spans="1:18" ht="13.2" x14ac:dyDescent="0.25">
      <c r="A123" s="4" t="s">
        <v>129</v>
      </c>
      <c r="B123" s="4" t="s">
        <v>128</v>
      </c>
      <c r="C123" s="4" t="s">
        <v>465</v>
      </c>
      <c r="D123" s="4" t="s">
        <v>465</v>
      </c>
      <c r="E123" s="4">
        <v>5510</v>
      </c>
      <c r="F123" s="4" t="s">
        <v>131</v>
      </c>
      <c r="G123" s="4">
        <v>1671</v>
      </c>
      <c r="H123" s="4" t="s">
        <v>89</v>
      </c>
      <c r="I123" s="4">
        <v>2021</v>
      </c>
      <c r="J123" s="4">
        <v>2021</v>
      </c>
      <c r="K123" s="4" t="s">
        <v>346</v>
      </c>
      <c r="L123" s="6">
        <v>1380491</v>
      </c>
      <c r="O123" s="10">
        <f>'conversion-factors'!E44</f>
        <v>0.95</v>
      </c>
      <c r="P123" s="6">
        <f t="shared" si="12"/>
        <v>1311466.45</v>
      </c>
      <c r="Q123" s="9">
        <f>faostatdata[[#This Row],[Value '[odmt']]]*(10^-6)</f>
        <v>1.31146645</v>
      </c>
      <c r="R123" s="4" t="str">
        <f t="shared" si="11"/>
        <v>(5510,1671)</v>
      </c>
    </row>
    <row r="124" spans="1:18" ht="13.2" x14ac:dyDescent="0.25">
      <c r="A124" s="4" t="s">
        <v>129</v>
      </c>
      <c r="B124" s="4" t="s">
        <v>128</v>
      </c>
      <c r="C124" s="4" t="s">
        <v>465</v>
      </c>
      <c r="D124" s="4" t="s">
        <v>465</v>
      </c>
      <c r="E124" s="4">
        <v>5610</v>
      </c>
      <c r="F124" s="4" t="s">
        <v>130</v>
      </c>
      <c r="G124" s="4">
        <v>1671</v>
      </c>
      <c r="H124" s="4" t="s">
        <v>89</v>
      </c>
      <c r="I124" s="4">
        <v>2021</v>
      </c>
      <c r="J124" s="4">
        <v>2021</v>
      </c>
      <c r="K124" s="4" t="s">
        <v>346</v>
      </c>
      <c r="L124" s="6">
        <v>247946.19</v>
      </c>
      <c r="O124" s="10">
        <f>O123</f>
        <v>0.95</v>
      </c>
      <c r="P124" s="6">
        <f>L124*O124*'supporting-percentages'!$B$6</f>
        <v>117774.44025</v>
      </c>
      <c r="Q124" s="9">
        <f>faostatdata[[#This Row],[Value '[odmt']]]*(10^-6)</f>
        <v>0.11777444025</v>
      </c>
      <c r="R124" s="4" t="str">
        <f t="shared" si="11"/>
        <v>(5610,1671)</v>
      </c>
    </row>
    <row r="125" spans="1:18" ht="13.2" x14ac:dyDescent="0.25">
      <c r="A125" s="4" t="s">
        <v>129</v>
      </c>
      <c r="B125" s="4" t="s">
        <v>128</v>
      </c>
      <c r="C125" s="4" t="s">
        <v>465</v>
      </c>
      <c r="D125" s="4" t="s">
        <v>465</v>
      </c>
      <c r="E125" s="4">
        <v>5910</v>
      </c>
      <c r="F125" s="4" t="s">
        <v>127</v>
      </c>
      <c r="G125" s="4">
        <v>1671</v>
      </c>
      <c r="H125" s="4" t="s">
        <v>89</v>
      </c>
      <c r="I125" s="4">
        <v>2021</v>
      </c>
      <c r="J125" s="4">
        <v>2021</v>
      </c>
      <c r="K125" s="4" t="s">
        <v>346</v>
      </c>
      <c r="L125" s="6">
        <v>137419.41</v>
      </c>
      <c r="O125" s="10">
        <f>O124</f>
        <v>0.95</v>
      </c>
      <c r="P125" s="6">
        <f>L125*O125*'supporting-percentages'!$B$6</f>
        <v>65274.219749999997</v>
      </c>
      <c r="Q125" s="9">
        <f>faostatdata[[#This Row],[Value '[odmt']]]*(10^-6)</f>
        <v>6.5274219749999987E-2</v>
      </c>
      <c r="R125" s="4" t="str">
        <f t="shared" si="11"/>
        <v>(5910,1671)</v>
      </c>
    </row>
    <row r="126" spans="1:18" ht="13.2" x14ac:dyDescent="0.25">
      <c r="A126" s="4" t="s">
        <v>129</v>
      </c>
      <c r="B126" s="4" t="s">
        <v>128</v>
      </c>
      <c r="C126" s="4" t="s">
        <v>465</v>
      </c>
      <c r="D126" s="4" t="s">
        <v>465</v>
      </c>
      <c r="E126" s="4">
        <v>5510</v>
      </c>
      <c r="F126" s="4" t="s">
        <v>131</v>
      </c>
      <c r="G126" s="4">
        <v>1674</v>
      </c>
      <c r="H126" s="4" t="s">
        <v>88</v>
      </c>
      <c r="I126" s="4">
        <v>2021</v>
      </c>
      <c r="J126" s="4">
        <v>2021</v>
      </c>
      <c r="K126" s="4" t="s">
        <v>346</v>
      </c>
      <c r="L126" s="6">
        <v>8653000</v>
      </c>
      <c r="O126" s="10">
        <f>'conversion-factors'!E45</f>
        <v>0.95</v>
      </c>
      <c r="P126" s="6">
        <f t="shared" si="12"/>
        <v>8220350</v>
      </c>
      <c r="Q126" s="9">
        <f>faostatdata[[#This Row],[Value '[odmt']]]*(10^-6)</f>
        <v>8.2203499999999998</v>
      </c>
      <c r="R126" s="4" t="str">
        <f t="shared" si="11"/>
        <v>(5510,1674)</v>
      </c>
    </row>
    <row r="127" spans="1:18" ht="13.2" x14ac:dyDescent="0.25">
      <c r="A127" s="4" t="s">
        <v>129</v>
      </c>
      <c r="B127" s="4" t="s">
        <v>128</v>
      </c>
      <c r="C127" s="4" t="s">
        <v>465</v>
      </c>
      <c r="D127" s="4" t="s">
        <v>465</v>
      </c>
      <c r="E127" s="4">
        <v>5610</v>
      </c>
      <c r="F127" s="4" t="s">
        <v>130</v>
      </c>
      <c r="G127" s="4">
        <v>1674</v>
      </c>
      <c r="H127" s="4" t="s">
        <v>88</v>
      </c>
      <c r="I127" s="4">
        <v>2021</v>
      </c>
      <c r="J127" s="4">
        <v>2021</v>
      </c>
      <c r="K127" s="4" t="s">
        <v>346</v>
      </c>
      <c r="L127" s="6">
        <v>3980150.91</v>
      </c>
      <c r="O127" s="10">
        <f>O126</f>
        <v>0.95</v>
      </c>
      <c r="P127" s="6">
        <f>L127*O127*'supporting-percentages'!$B$6</f>
        <v>1890571.6822500001</v>
      </c>
      <c r="Q127" s="9">
        <f>faostatdata[[#This Row],[Value '[odmt']]]*(10^-6)</f>
        <v>1.8905716822500001</v>
      </c>
      <c r="R127" s="4" t="str">
        <f t="shared" si="11"/>
        <v>(5610,1674)</v>
      </c>
    </row>
    <row r="128" spans="1:18" ht="13.2" x14ac:dyDescent="0.25">
      <c r="A128" s="4" t="s">
        <v>129</v>
      </c>
      <c r="B128" s="4" t="s">
        <v>128</v>
      </c>
      <c r="C128" s="4" t="s">
        <v>465</v>
      </c>
      <c r="D128" s="4" t="s">
        <v>465</v>
      </c>
      <c r="E128" s="4">
        <v>5910</v>
      </c>
      <c r="F128" s="4" t="s">
        <v>127</v>
      </c>
      <c r="G128" s="4">
        <v>1674</v>
      </c>
      <c r="H128" s="4" t="s">
        <v>88</v>
      </c>
      <c r="I128" s="4">
        <v>2021</v>
      </c>
      <c r="J128" s="4">
        <v>2021</v>
      </c>
      <c r="K128" s="4" t="s">
        <v>346</v>
      </c>
      <c r="L128" s="6">
        <v>5730019.46</v>
      </c>
      <c r="O128" s="10">
        <f>O127</f>
        <v>0.95</v>
      </c>
      <c r="P128" s="6">
        <f>L128*O128*'supporting-percentages'!$B$6</f>
        <v>2721759.2434999999</v>
      </c>
      <c r="Q128" s="9">
        <f>faostatdata[[#This Row],[Value '[odmt']]]*(10^-6)</f>
        <v>2.7217592434999998</v>
      </c>
      <c r="R128" s="4" t="str">
        <f t="shared" si="11"/>
        <v>(5910,1674)</v>
      </c>
    </row>
    <row r="129" spans="1:18" ht="13.2" x14ac:dyDescent="0.25">
      <c r="A129" s="4" t="s">
        <v>129</v>
      </c>
      <c r="B129" s="4" t="s">
        <v>128</v>
      </c>
      <c r="C129" s="4" t="s">
        <v>465</v>
      </c>
      <c r="D129" s="4" t="s">
        <v>465</v>
      </c>
      <c r="E129" s="4">
        <v>5510</v>
      </c>
      <c r="F129" s="4" t="s">
        <v>131</v>
      </c>
      <c r="G129" s="4">
        <v>1612</v>
      </c>
      <c r="H129" s="4" t="s">
        <v>136</v>
      </c>
      <c r="I129" s="4">
        <v>2021</v>
      </c>
      <c r="J129" s="4">
        <v>2021</v>
      </c>
      <c r="K129" s="4" t="s">
        <v>346</v>
      </c>
      <c r="L129" s="6">
        <v>563000</v>
      </c>
      <c r="O129" s="10"/>
      <c r="P129" s="6"/>
      <c r="Q129" s="9"/>
    </row>
    <row r="130" spans="1:18" ht="13.2" x14ac:dyDescent="0.25">
      <c r="A130" s="4" t="s">
        <v>129</v>
      </c>
      <c r="B130" s="4" t="s">
        <v>128</v>
      </c>
      <c r="C130" s="4" t="s">
        <v>465</v>
      </c>
      <c r="D130" s="4" t="s">
        <v>465</v>
      </c>
      <c r="E130" s="4">
        <v>5610</v>
      </c>
      <c r="F130" s="4" t="s">
        <v>130</v>
      </c>
      <c r="G130" s="4">
        <v>1612</v>
      </c>
      <c r="H130" s="4" t="s">
        <v>136</v>
      </c>
      <c r="I130" s="4">
        <v>2021</v>
      </c>
      <c r="J130" s="4">
        <v>2021</v>
      </c>
      <c r="K130" s="4" t="s">
        <v>346</v>
      </c>
      <c r="L130" s="6">
        <v>150338.85999999999</v>
      </c>
      <c r="O130" s="10"/>
      <c r="P130" s="6"/>
      <c r="Q130" s="9"/>
    </row>
    <row r="131" spans="1:18" ht="13.2" x14ac:dyDescent="0.25">
      <c r="A131" s="4" t="s">
        <v>129</v>
      </c>
      <c r="B131" s="4" t="s">
        <v>128</v>
      </c>
      <c r="C131" s="4" t="s">
        <v>465</v>
      </c>
      <c r="D131" s="4" t="s">
        <v>465</v>
      </c>
      <c r="E131" s="4">
        <v>5910</v>
      </c>
      <c r="F131" s="4" t="s">
        <v>127</v>
      </c>
      <c r="G131" s="4">
        <v>1612</v>
      </c>
      <c r="H131" s="4" t="s">
        <v>136</v>
      </c>
      <c r="I131" s="4">
        <v>2021</v>
      </c>
      <c r="J131" s="4">
        <v>2021</v>
      </c>
      <c r="K131" s="4" t="s">
        <v>346</v>
      </c>
      <c r="L131" s="6">
        <v>15595.83</v>
      </c>
      <c r="O131" s="10"/>
      <c r="P131" s="6"/>
      <c r="Q131" s="9"/>
    </row>
    <row r="132" spans="1:18" ht="13.2" x14ac:dyDescent="0.25">
      <c r="A132" s="4" t="s">
        <v>129</v>
      </c>
      <c r="B132" s="4" t="s">
        <v>128</v>
      </c>
      <c r="C132" s="4" t="s">
        <v>465</v>
      </c>
      <c r="D132" s="4" t="s">
        <v>465</v>
      </c>
      <c r="E132" s="4">
        <v>5510</v>
      </c>
      <c r="F132" s="4" t="s">
        <v>131</v>
      </c>
      <c r="G132" s="4">
        <v>1615</v>
      </c>
      <c r="H132" s="4" t="s">
        <v>135</v>
      </c>
      <c r="I132" s="4">
        <v>2021</v>
      </c>
      <c r="J132" s="4">
        <v>2021</v>
      </c>
      <c r="K132" s="4" t="s">
        <v>346</v>
      </c>
      <c r="L132" s="6">
        <v>4701000</v>
      </c>
      <c r="O132" s="10"/>
      <c r="P132" s="6"/>
      <c r="Q132" s="9"/>
    </row>
    <row r="133" spans="1:18" ht="13.2" x14ac:dyDescent="0.25">
      <c r="A133" s="4" t="s">
        <v>129</v>
      </c>
      <c r="B133" s="4" t="s">
        <v>128</v>
      </c>
      <c r="C133" s="4" t="s">
        <v>465</v>
      </c>
      <c r="D133" s="4" t="s">
        <v>465</v>
      </c>
      <c r="E133" s="4">
        <v>5610</v>
      </c>
      <c r="F133" s="4" t="s">
        <v>130</v>
      </c>
      <c r="G133" s="4">
        <v>1615</v>
      </c>
      <c r="H133" s="4" t="s">
        <v>135</v>
      </c>
      <c r="I133" s="4">
        <v>2021</v>
      </c>
      <c r="J133" s="4">
        <v>2021</v>
      </c>
      <c r="K133" s="4" t="s">
        <v>346</v>
      </c>
      <c r="L133" s="6">
        <v>2342330.35</v>
      </c>
      <c r="O133" s="10"/>
      <c r="P133" s="6"/>
      <c r="Q133" s="9"/>
    </row>
    <row r="134" spans="1:18" ht="13.2" x14ac:dyDescent="0.25">
      <c r="A134" s="4" t="s">
        <v>129</v>
      </c>
      <c r="B134" s="4" t="s">
        <v>128</v>
      </c>
      <c r="C134" s="4" t="s">
        <v>465</v>
      </c>
      <c r="D134" s="4" t="s">
        <v>465</v>
      </c>
      <c r="E134" s="4">
        <v>5910</v>
      </c>
      <c r="F134" s="4" t="s">
        <v>127</v>
      </c>
      <c r="G134" s="4">
        <v>1615</v>
      </c>
      <c r="H134" s="4" t="s">
        <v>135</v>
      </c>
      <c r="I134" s="4">
        <v>2021</v>
      </c>
      <c r="J134" s="4">
        <v>2021</v>
      </c>
      <c r="K134" s="4" t="s">
        <v>346</v>
      </c>
      <c r="L134" s="6">
        <v>4269164.75</v>
      </c>
      <c r="O134" s="10"/>
      <c r="P134" s="6"/>
      <c r="Q134" s="9"/>
    </row>
    <row r="135" spans="1:18" ht="13.2" x14ac:dyDescent="0.25">
      <c r="A135" s="4" t="s">
        <v>129</v>
      </c>
      <c r="B135" s="4" t="s">
        <v>128</v>
      </c>
      <c r="C135" s="4" t="s">
        <v>465</v>
      </c>
      <c r="D135" s="4" t="s">
        <v>465</v>
      </c>
      <c r="E135" s="4">
        <v>5510</v>
      </c>
      <c r="F135" s="4" t="s">
        <v>131</v>
      </c>
      <c r="G135" s="4">
        <v>1616</v>
      </c>
      <c r="H135" s="4" t="s">
        <v>134</v>
      </c>
      <c r="I135" s="4">
        <v>2021</v>
      </c>
      <c r="J135" s="4">
        <v>2021</v>
      </c>
      <c r="K135" s="4" t="s">
        <v>346</v>
      </c>
      <c r="L135" s="6">
        <v>3359000</v>
      </c>
      <c r="O135" s="10"/>
      <c r="P135" s="6"/>
      <c r="Q135" s="9"/>
    </row>
    <row r="136" spans="1:18" ht="13.2" x14ac:dyDescent="0.25">
      <c r="A136" s="4" t="s">
        <v>129</v>
      </c>
      <c r="B136" s="4" t="s">
        <v>128</v>
      </c>
      <c r="C136" s="4" t="s">
        <v>465</v>
      </c>
      <c r="D136" s="4" t="s">
        <v>465</v>
      </c>
      <c r="E136" s="4">
        <v>5610</v>
      </c>
      <c r="F136" s="4" t="s">
        <v>130</v>
      </c>
      <c r="G136" s="4">
        <v>1616</v>
      </c>
      <c r="H136" s="4" t="s">
        <v>134</v>
      </c>
      <c r="I136" s="4">
        <v>2021</v>
      </c>
      <c r="J136" s="4">
        <v>2021</v>
      </c>
      <c r="K136" s="4" t="s">
        <v>346</v>
      </c>
      <c r="L136" s="6">
        <v>1487251.7</v>
      </c>
      <c r="O136" s="10"/>
      <c r="P136" s="6"/>
      <c r="Q136" s="9"/>
    </row>
    <row r="137" spans="1:18" ht="13.2" x14ac:dyDescent="0.25">
      <c r="A137" s="4" t="s">
        <v>129</v>
      </c>
      <c r="B137" s="4" t="s">
        <v>128</v>
      </c>
      <c r="C137" s="4" t="s">
        <v>465</v>
      </c>
      <c r="D137" s="4" t="s">
        <v>465</v>
      </c>
      <c r="E137" s="4">
        <v>5910</v>
      </c>
      <c r="F137" s="4" t="s">
        <v>127</v>
      </c>
      <c r="G137" s="4">
        <v>1616</v>
      </c>
      <c r="H137" s="4" t="s">
        <v>134</v>
      </c>
      <c r="I137" s="4">
        <v>2021</v>
      </c>
      <c r="J137" s="4">
        <v>2021</v>
      </c>
      <c r="K137" s="4" t="s">
        <v>346</v>
      </c>
      <c r="L137" s="6">
        <v>1445258.87</v>
      </c>
      <c r="O137" s="10"/>
      <c r="P137" s="6"/>
      <c r="Q137" s="9"/>
    </row>
    <row r="138" spans="1:18" ht="13.2" x14ac:dyDescent="0.25">
      <c r="A138" s="4" t="s">
        <v>129</v>
      </c>
      <c r="B138" s="4" t="s">
        <v>128</v>
      </c>
      <c r="C138" s="4" t="s">
        <v>465</v>
      </c>
      <c r="D138" s="4" t="s">
        <v>465</v>
      </c>
      <c r="E138" s="4">
        <v>5510</v>
      </c>
      <c r="F138" s="4" t="s">
        <v>131</v>
      </c>
      <c r="G138" s="4">
        <v>1675</v>
      </c>
      <c r="H138" s="4" t="s">
        <v>87</v>
      </c>
      <c r="I138" s="4">
        <v>2021</v>
      </c>
      <c r="J138" s="4">
        <v>2021</v>
      </c>
      <c r="K138" s="4" t="s">
        <v>346</v>
      </c>
      <c r="L138" s="6">
        <v>24010378</v>
      </c>
      <c r="O138" s="10"/>
      <c r="P138" s="6"/>
      <c r="Q138" s="9"/>
    </row>
    <row r="139" spans="1:18" ht="13.2" x14ac:dyDescent="0.25">
      <c r="A139" s="4" t="s">
        <v>129</v>
      </c>
      <c r="B139" s="4" t="s">
        <v>128</v>
      </c>
      <c r="C139" s="4" t="s">
        <v>465</v>
      </c>
      <c r="D139" s="4" t="s">
        <v>465</v>
      </c>
      <c r="E139" s="4">
        <v>5610</v>
      </c>
      <c r="F139" s="4" t="s">
        <v>130</v>
      </c>
      <c r="G139" s="4">
        <v>1675</v>
      </c>
      <c r="H139" s="4" t="s">
        <v>87</v>
      </c>
      <c r="I139" s="4">
        <v>2021</v>
      </c>
      <c r="J139" s="4">
        <v>2021</v>
      </c>
      <c r="K139" s="4" t="s">
        <v>346</v>
      </c>
      <c r="L139" s="6">
        <v>7203299.1899999995</v>
      </c>
      <c r="O139" s="10"/>
      <c r="P139" s="6"/>
      <c r="Q139" s="9"/>
    </row>
    <row r="140" spans="1:18" ht="13.2" x14ac:dyDescent="0.25">
      <c r="A140" s="4" t="s">
        <v>129</v>
      </c>
      <c r="B140" s="4" t="s">
        <v>128</v>
      </c>
      <c r="C140" s="4" t="s">
        <v>465</v>
      </c>
      <c r="D140" s="4" t="s">
        <v>465</v>
      </c>
      <c r="E140" s="4">
        <v>5910</v>
      </c>
      <c r="F140" s="4" t="s">
        <v>127</v>
      </c>
      <c r="G140" s="4">
        <v>1675</v>
      </c>
      <c r="H140" s="4" t="s">
        <v>87</v>
      </c>
      <c r="I140" s="4">
        <v>2021</v>
      </c>
      <c r="J140" s="4">
        <v>2021</v>
      </c>
      <c r="K140" s="4" t="s">
        <v>346</v>
      </c>
      <c r="L140" s="6">
        <v>6078955.4200000009</v>
      </c>
      <c r="O140" s="10"/>
      <c r="P140" s="6"/>
      <c r="Q140" s="9"/>
    </row>
    <row r="141" spans="1:18" ht="13.2" x14ac:dyDescent="0.25">
      <c r="A141" s="4" t="s">
        <v>129</v>
      </c>
      <c r="B141" s="4" t="s">
        <v>128</v>
      </c>
      <c r="C141" s="4" t="s">
        <v>465</v>
      </c>
      <c r="D141" s="4" t="s">
        <v>465</v>
      </c>
      <c r="E141" s="4">
        <v>5510</v>
      </c>
      <c r="F141" s="4" t="s">
        <v>131</v>
      </c>
      <c r="G141" s="4">
        <v>1676</v>
      </c>
      <c r="H141" s="4" t="s">
        <v>86</v>
      </c>
      <c r="I141" s="4">
        <v>2021</v>
      </c>
      <c r="J141" s="4">
        <v>2021</v>
      </c>
      <c r="K141" s="4" t="s">
        <v>346</v>
      </c>
      <c r="L141" s="6">
        <v>2039712</v>
      </c>
      <c r="O141" s="10">
        <f>'conversion-factors'!E47</f>
        <v>0.95</v>
      </c>
      <c r="P141" s="6">
        <f t="shared" si="12"/>
        <v>1937726.4</v>
      </c>
      <c r="Q141" s="9">
        <f>faostatdata[[#This Row],[Value '[odmt']]]*(10^-6)</f>
        <v>1.9377263999999998</v>
      </c>
      <c r="R141" s="4" t="str">
        <f t="shared" ref="R141:R143" si="13">CONCATENATE("(",E141,",",G141,")")</f>
        <v>(5510,1676)</v>
      </c>
    </row>
    <row r="142" spans="1:18" ht="13.2" x14ac:dyDescent="0.25">
      <c r="A142" s="4" t="s">
        <v>129</v>
      </c>
      <c r="B142" s="4" t="s">
        <v>128</v>
      </c>
      <c r="C142" s="4" t="s">
        <v>465</v>
      </c>
      <c r="D142" s="4" t="s">
        <v>465</v>
      </c>
      <c r="E142" s="4">
        <v>5610</v>
      </c>
      <c r="F142" s="4" t="s">
        <v>130</v>
      </c>
      <c r="G142" s="4">
        <v>1676</v>
      </c>
      <c r="H142" s="4" t="s">
        <v>86</v>
      </c>
      <c r="I142" s="4">
        <v>2021</v>
      </c>
      <c r="J142" s="4">
        <v>2021</v>
      </c>
      <c r="K142" s="4" t="s">
        <v>346</v>
      </c>
      <c r="L142" s="6">
        <v>351404.51</v>
      </c>
      <c r="O142" s="10">
        <f>O141</f>
        <v>0.95</v>
      </c>
      <c r="P142" s="6">
        <f>L142*O142*'supporting-percentages'!$B$6</f>
        <v>166917.14225</v>
      </c>
      <c r="Q142" s="9">
        <f>faostatdata[[#This Row],[Value '[odmt']]]*(10^-6)</f>
        <v>0.16691714224999998</v>
      </c>
      <c r="R142" s="4" t="str">
        <f t="shared" si="13"/>
        <v>(5610,1676)</v>
      </c>
    </row>
    <row r="143" spans="1:18" ht="13.2" x14ac:dyDescent="0.25">
      <c r="A143" s="4" t="s">
        <v>129</v>
      </c>
      <c r="B143" s="4" t="s">
        <v>128</v>
      </c>
      <c r="C143" s="4" t="s">
        <v>465</v>
      </c>
      <c r="D143" s="4" t="s">
        <v>465</v>
      </c>
      <c r="E143" s="4">
        <v>5910</v>
      </c>
      <c r="F143" s="4" t="s">
        <v>127</v>
      </c>
      <c r="G143" s="4">
        <v>1676</v>
      </c>
      <c r="H143" s="4" t="s">
        <v>86</v>
      </c>
      <c r="I143" s="4">
        <v>2021</v>
      </c>
      <c r="J143" s="4">
        <v>2021</v>
      </c>
      <c r="K143" s="4" t="s">
        <v>346</v>
      </c>
      <c r="L143" s="6">
        <v>665697.87</v>
      </c>
      <c r="O143" s="10">
        <f>O142</f>
        <v>0.95</v>
      </c>
      <c r="P143" s="6">
        <f>L143*O143*'supporting-percentages'!$B$6</f>
        <v>316206.48824999999</v>
      </c>
      <c r="Q143" s="9">
        <f>faostatdata[[#This Row],[Value '[odmt']]]*(10^-6)</f>
        <v>0.31620648824999997</v>
      </c>
      <c r="R143" s="4" t="str">
        <f t="shared" si="13"/>
        <v>(5910,1676)</v>
      </c>
    </row>
    <row r="144" spans="1:18" ht="13.2" x14ac:dyDescent="0.25">
      <c r="A144" s="4" t="s">
        <v>129</v>
      </c>
      <c r="B144" s="4" t="s">
        <v>128</v>
      </c>
      <c r="C144" s="4" t="s">
        <v>465</v>
      </c>
      <c r="D144" s="4" t="s">
        <v>465</v>
      </c>
      <c r="E144" s="4">
        <v>5510</v>
      </c>
      <c r="F144" s="4" t="s">
        <v>131</v>
      </c>
      <c r="G144" s="4">
        <v>1681</v>
      </c>
      <c r="H144" s="4" t="s">
        <v>133</v>
      </c>
      <c r="I144" s="4">
        <v>2021</v>
      </c>
      <c r="J144" s="4">
        <v>2021</v>
      </c>
      <c r="L144" s="6">
        <v>0</v>
      </c>
      <c r="O144" s="10"/>
      <c r="P144" s="6"/>
      <c r="Q144" s="9"/>
    </row>
    <row r="145" spans="1:18" ht="13.2" x14ac:dyDescent="0.25">
      <c r="A145" s="4" t="s">
        <v>129</v>
      </c>
      <c r="B145" s="4" t="s">
        <v>128</v>
      </c>
      <c r="C145" s="4" t="s">
        <v>465</v>
      </c>
      <c r="D145" s="4" t="s">
        <v>465</v>
      </c>
      <c r="E145" s="4">
        <v>5610</v>
      </c>
      <c r="F145" s="4" t="s">
        <v>130</v>
      </c>
      <c r="G145" s="4">
        <v>1681</v>
      </c>
      <c r="H145" s="4" t="s">
        <v>133</v>
      </c>
      <c r="I145" s="4">
        <v>2021</v>
      </c>
      <c r="J145" s="4">
        <v>2021</v>
      </c>
      <c r="L145" s="6">
        <v>0</v>
      </c>
      <c r="O145" s="10"/>
      <c r="P145" s="6"/>
      <c r="Q145" s="9"/>
    </row>
    <row r="146" spans="1:18" ht="13.2" x14ac:dyDescent="0.25">
      <c r="A146" s="4" t="s">
        <v>129</v>
      </c>
      <c r="B146" s="4" t="s">
        <v>128</v>
      </c>
      <c r="C146" s="4" t="s">
        <v>465</v>
      </c>
      <c r="D146" s="4" t="s">
        <v>465</v>
      </c>
      <c r="E146" s="4">
        <v>5910</v>
      </c>
      <c r="F146" s="4" t="s">
        <v>127</v>
      </c>
      <c r="G146" s="4">
        <v>1681</v>
      </c>
      <c r="H146" s="4" t="s">
        <v>133</v>
      </c>
      <c r="I146" s="4">
        <v>2021</v>
      </c>
      <c r="J146" s="4">
        <v>2021</v>
      </c>
      <c r="L146" s="6">
        <v>0</v>
      </c>
      <c r="O146" s="10"/>
      <c r="P146" s="6"/>
      <c r="Q146" s="9"/>
    </row>
    <row r="147" spans="1:18" ht="13.2" x14ac:dyDescent="0.25">
      <c r="A147" s="4" t="s">
        <v>129</v>
      </c>
      <c r="B147" s="4" t="s">
        <v>128</v>
      </c>
      <c r="C147" s="4" t="s">
        <v>465</v>
      </c>
      <c r="D147" s="4" t="s">
        <v>465</v>
      </c>
      <c r="E147" s="4">
        <v>5510</v>
      </c>
      <c r="F147" s="4" t="s">
        <v>131</v>
      </c>
      <c r="G147" s="4">
        <v>1617</v>
      </c>
      <c r="H147" s="4" t="s">
        <v>85</v>
      </c>
      <c r="I147" s="4">
        <v>2021</v>
      </c>
      <c r="J147" s="4">
        <v>2021</v>
      </c>
      <c r="K147" s="4" t="s">
        <v>346</v>
      </c>
      <c r="L147" s="6">
        <v>14590500</v>
      </c>
      <c r="O147" s="10">
        <f>'conversion-factors'!E48</f>
        <v>0.95</v>
      </c>
      <c r="P147" s="6">
        <f t="shared" ref="P147:P159" si="14">L147*O147</f>
        <v>13860975</v>
      </c>
      <c r="Q147" s="9">
        <f>faostatdata[[#This Row],[Value '[odmt']]]*(10^-6)</f>
        <v>13.860975</v>
      </c>
      <c r="R147" s="4" t="str">
        <f t="shared" ref="R147:R161" si="15">CONCATENATE("(",E147,",",G147,")")</f>
        <v>(5510,1617)</v>
      </c>
    </row>
    <row r="148" spans="1:18" ht="13.2" x14ac:dyDescent="0.25">
      <c r="A148" s="4" t="s">
        <v>129</v>
      </c>
      <c r="B148" s="4" t="s">
        <v>128</v>
      </c>
      <c r="C148" s="4" t="s">
        <v>465</v>
      </c>
      <c r="D148" s="4" t="s">
        <v>465</v>
      </c>
      <c r="E148" s="4">
        <v>5610</v>
      </c>
      <c r="F148" s="4" t="s">
        <v>130</v>
      </c>
      <c r="G148" s="4">
        <v>1617</v>
      </c>
      <c r="H148" s="4" t="s">
        <v>85</v>
      </c>
      <c r="I148" s="4">
        <v>2021</v>
      </c>
      <c r="J148" s="4">
        <v>2021</v>
      </c>
      <c r="K148" s="4" t="s">
        <v>346</v>
      </c>
      <c r="L148" s="6">
        <v>2691366.7399999998</v>
      </c>
      <c r="O148" s="10">
        <f>O147</f>
        <v>0.95</v>
      </c>
      <c r="P148" s="6">
        <f>L148*O148*'supporting-percentages'!$B$6</f>
        <v>1278399.2014999997</v>
      </c>
      <c r="Q148" s="9">
        <f>faostatdata[[#This Row],[Value '[odmt']]]*(10^-6)</f>
        <v>1.2783992014999996</v>
      </c>
      <c r="R148" s="4" t="str">
        <f t="shared" si="15"/>
        <v>(5610,1617)</v>
      </c>
    </row>
    <row r="149" spans="1:18" ht="13.2" x14ac:dyDescent="0.25">
      <c r="A149" s="4" t="s">
        <v>129</v>
      </c>
      <c r="B149" s="4" t="s">
        <v>128</v>
      </c>
      <c r="C149" s="4" t="s">
        <v>465</v>
      </c>
      <c r="D149" s="4" t="s">
        <v>465</v>
      </c>
      <c r="E149" s="4">
        <v>5910</v>
      </c>
      <c r="F149" s="4" t="s">
        <v>127</v>
      </c>
      <c r="G149" s="4">
        <v>1617</v>
      </c>
      <c r="H149" s="4" t="s">
        <v>85</v>
      </c>
      <c r="I149" s="4">
        <v>2021</v>
      </c>
      <c r="J149" s="4">
        <v>2021</v>
      </c>
      <c r="K149" s="4" t="s">
        <v>346</v>
      </c>
      <c r="L149" s="6">
        <v>3504823.53</v>
      </c>
      <c r="O149" s="10">
        <f>O148</f>
        <v>0.95</v>
      </c>
      <c r="P149" s="6">
        <f>L149*O149*'supporting-percentages'!$B$6</f>
        <v>1664791.1767499999</v>
      </c>
      <c r="Q149" s="9">
        <f>faostatdata[[#This Row],[Value '[odmt']]]*(10^-6)</f>
        <v>1.6647911767499999</v>
      </c>
      <c r="R149" s="4" t="str">
        <f t="shared" si="15"/>
        <v>(5910,1617)</v>
      </c>
    </row>
    <row r="150" spans="1:18" ht="13.2" x14ac:dyDescent="0.25">
      <c r="A150" s="4" t="s">
        <v>129</v>
      </c>
      <c r="B150" s="4" t="s">
        <v>128</v>
      </c>
      <c r="C150" s="4" t="s">
        <v>465</v>
      </c>
      <c r="D150" s="4" t="s">
        <v>465</v>
      </c>
      <c r="E150" s="4">
        <v>5510</v>
      </c>
      <c r="F150" s="4" t="s">
        <v>131</v>
      </c>
      <c r="G150" s="4">
        <v>1618</v>
      </c>
      <c r="H150" s="4" t="s">
        <v>84</v>
      </c>
      <c r="I150" s="4">
        <v>2021</v>
      </c>
      <c r="J150" s="4">
        <v>2021</v>
      </c>
      <c r="K150" s="4" t="s">
        <v>346</v>
      </c>
      <c r="L150" s="6">
        <v>4558000</v>
      </c>
      <c r="O150" s="10">
        <f>'conversion-factors'!E49</f>
        <v>0.95</v>
      </c>
      <c r="P150" s="6">
        <f t="shared" si="14"/>
        <v>4330100</v>
      </c>
      <c r="Q150" s="9">
        <f>faostatdata[[#This Row],[Value '[odmt']]]*(10^-6)</f>
        <v>4.3300999999999998</v>
      </c>
      <c r="R150" s="4" t="str">
        <f t="shared" si="15"/>
        <v>(5510,1618)</v>
      </c>
    </row>
    <row r="151" spans="1:18" ht="13.2" x14ac:dyDescent="0.25">
      <c r="A151" s="4" t="s">
        <v>129</v>
      </c>
      <c r="B151" s="4" t="s">
        <v>128</v>
      </c>
      <c r="C151" s="4" t="s">
        <v>465</v>
      </c>
      <c r="D151" s="4" t="s">
        <v>465</v>
      </c>
      <c r="E151" s="4">
        <v>5610</v>
      </c>
      <c r="F151" s="4" t="s">
        <v>130</v>
      </c>
      <c r="G151" s="4">
        <v>1618</v>
      </c>
      <c r="H151" s="4" t="s">
        <v>84</v>
      </c>
      <c r="I151" s="4">
        <v>2021</v>
      </c>
      <c r="J151" s="4">
        <v>2021</v>
      </c>
      <c r="K151" s="4" t="s">
        <v>346</v>
      </c>
      <c r="L151" s="6">
        <v>2694209.4099999997</v>
      </c>
      <c r="O151" s="10">
        <f>O150</f>
        <v>0.95</v>
      </c>
      <c r="P151" s="6">
        <f>L151*O151*'supporting-percentages'!$B$6</f>
        <v>1279749.4697499997</v>
      </c>
      <c r="Q151" s="9">
        <f>faostatdata[[#This Row],[Value '[odmt']]]*(10^-6)</f>
        <v>1.2797494697499996</v>
      </c>
      <c r="R151" s="4" t="str">
        <f t="shared" si="15"/>
        <v>(5610,1618)</v>
      </c>
    </row>
    <row r="152" spans="1:18" ht="13.2" x14ac:dyDescent="0.25">
      <c r="A152" s="4" t="s">
        <v>129</v>
      </c>
      <c r="B152" s="4" t="s">
        <v>128</v>
      </c>
      <c r="C152" s="4" t="s">
        <v>465</v>
      </c>
      <c r="D152" s="4" t="s">
        <v>465</v>
      </c>
      <c r="E152" s="4">
        <v>5910</v>
      </c>
      <c r="F152" s="4" t="s">
        <v>127</v>
      </c>
      <c r="G152" s="4">
        <v>1618</v>
      </c>
      <c r="H152" s="4" t="s">
        <v>84</v>
      </c>
      <c r="I152" s="4">
        <v>2021</v>
      </c>
      <c r="J152" s="4">
        <v>2021</v>
      </c>
      <c r="K152" s="4" t="s">
        <v>346</v>
      </c>
      <c r="L152" s="6">
        <v>1211273.29</v>
      </c>
      <c r="O152" s="10">
        <f>O151</f>
        <v>0.95</v>
      </c>
      <c r="P152" s="6">
        <f>L152*O152*'supporting-percentages'!$B$6</f>
        <v>575354.81275000004</v>
      </c>
      <c r="Q152" s="9">
        <f>faostatdata[[#This Row],[Value '[odmt']]]*(10^-6)</f>
        <v>0.57535481275</v>
      </c>
      <c r="R152" s="4" t="str">
        <f t="shared" si="15"/>
        <v>(5910,1618)</v>
      </c>
    </row>
    <row r="153" spans="1:18" ht="13.2" x14ac:dyDescent="0.25">
      <c r="A153" s="4" t="s">
        <v>129</v>
      </c>
      <c r="B153" s="4" t="s">
        <v>128</v>
      </c>
      <c r="C153" s="4" t="s">
        <v>465</v>
      </c>
      <c r="D153" s="4" t="s">
        <v>465</v>
      </c>
      <c r="E153" s="4">
        <v>5510</v>
      </c>
      <c r="F153" s="4" t="s">
        <v>131</v>
      </c>
      <c r="G153" s="4">
        <v>1621</v>
      </c>
      <c r="H153" s="4" t="s">
        <v>132</v>
      </c>
      <c r="I153" s="4">
        <v>2021</v>
      </c>
      <c r="J153" s="4">
        <v>2021</v>
      </c>
      <c r="K153" s="4" t="s">
        <v>346</v>
      </c>
      <c r="L153" s="6">
        <v>421180</v>
      </c>
      <c r="O153" s="10">
        <f>'conversion-factors'!E50</f>
        <v>0.95</v>
      </c>
      <c r="P153" s="6">
        <f t="shared" si="14"/>
        <v>400121</v>
      </c>
      <c r="Q153" s="9">
        <f>faostatdata[[#This Row],[Value '[odmt']]]*(10^-6)</f>
        <v>0.400121</v>
      </c>
      <c r="R153" s="4" t="str">
        <f t="shared" si="15"/>
        <v>(5510,1621)</v>
      </c>
    </row>
    <row r="154" spans="1:18" ht="13.2" x14ac:dyDescent="0.25">
      <c r="A154" s="4" t="s">
        <v>129</v>
      </c>
      <c r="B154" s="4" t="s">
        <v>128</v>
      </c>
      <c r="C154" s="4" t="s">
        <v>465</v>
      </c>
      <c r="D154" s="4" t="s">
        <v>465</v>
      </c>
      <c r="E154" s="4">
        <v>5610</v>
      </c>
      <c r="F154" s="4" t="s">
        <v>130</v>
      </c>
      <c r="G154" s="4">
        <v>1621</v>
      </c>
      <c r="H154" s="4" t="s">
        <v>132</v>
      </c>
      <c r="I154" s="4">
        <v>2021</v>
      </c>
      <c r="J154" s="4">
        <v>2021</v>
      </c>
      <c r="K154" s="4" t="s">
        <v>346</v>
      </c>
      <c r="L154" s="6">
        <v>1046858.63</v>
      </c>
      <c r="O154" s="10">
        <f>O153</f>
        <v>0.95</v>
      </c>
      <c r="P154" s="6">
        <f>L154*O154*'supporting-percentages'!$B$6</f>
        <v>497257.84924999997</v>
      </c>
      <c r="Q154" s="9">
        <f>faostatdata[[#This Row],[Value '[odmt']]]*(10^-6)</f>
        <v>0.49725784924999994</v>
      </c>
      <c r="R154" s="4" t="str">
        <f t="shared" si="15"/>
        <v>(5610,1621)</v>
      </c>
    </row>
    <row r="155" spans="1:18" ht="13.2" x14ac:dyDescent="0.25">
      <c r="A155" s="4" t="s">
        <v>129</v>
      </c>
      <c r="B155" s="4" t="s">
        <v>128</v>
      </c>
      <c r="C155" s="4" t="s">
        <v>465</v>
      </c>
      <c r="D155" s="4" t="s">
        <v>465</v>
      </c>
      <c r="E155" s="4">
        <v>5910</v>
      </c>
      <c r="F155" s="4" t="s">
        <v>127</v>
      </c>
      <c r="G155" s="4">
        <v>1621</v>
      </c>
      <c r="H155" s="4" t="s">
        <v>132</v>
      </c>
      <c r="I155" s="4">
        <v>2021</v>
      </c>
      <c r="J155" s="4">
        <v>2021</v>
      </c>
      <c r="K155" s="4" t="s">
        <v>346</v>
      </c>
      <c r="L155" s="6">
        <v>455251.02999999997</v>
      </c>
      <c r="O155" s="10">
        <f>O154</f>
        <v>0.95</v>
      </c>
      <c r="P155" s="6">
        <f>L155*O155*'supporting-percentages'!$B$6</f>
        <v>216244.23924999998</v>
      </c>
      <c r="Q155" s="9">
        <f>faostatdata[[#This Row],[Value '[odmt']]]*(10^-6)</f>
        <v>0.21624423924999997</v>
      </c>
      <c r="R155" s="4" t="str">
        <f t="shared" si="15"/>
        <v>(5910,1621)</v>
      </c>
    </row>
    <row r="156" spans="1:18" ht="13.2" x14ac:dyDescent="0.25">
      <c r="A156" s="4" t="s">
        <v>129</v>
      </c>
      <c r="B156" s="4" t="s">
        <v>128</v>
      </c>
      <c r="C156" s="4" t="s">
        <v>465</v>
      </c>
      <c r="D156" s="4" t="s">
        <v>465</v>
      </c>
      <c r="E156" s="4">
        <v>5510</v>
      </c>
      <c r="F156" s="4" t="s">
        <v>131</v>
      </c>
      <c r="G156" s="4">
        <v>1622</v>
      </c>
      <c r="H156" s="4" t="s">
        <v>83</v>
      </c>
      <c r="I156" s="4">
        <v>2021</v>
      </c>
      <c r="J156" s="4">
        <v>2021</v>
      </c>
      <c r="K156" s="4" t="s">
        <v>346</v>
      </c>
      <c r="L156" s="6">
        <v>1158000</v>
      </c>
      <c r="O156" s="10">
        <f>'conversion-factors'!E51</f>
        <v>0.95</v>
      </c>
      <c r="P156" s="6">
        <f t="shared" si="14"/>
        <v>1100100</v>
      </c>
      <c r="Q156" s="9">
        <f>faostatdata[[#This Row],[Value '[odmt']]]*(10^-6)</f>
        <v>1.1000999999999999</v>
      </c>
      <c r="R156" s="4" t="str">
        <f t="shared" si="15"/>
        <v>(5510,1622)</v>
      </c>
    </row>
    <row r="157" spans="1:18" ht="13.2" x14ac:dyDescent="0.25">
      <c r="A157" s="4" t="s">
        <v>129</v>
      </c>
      <c r="B157" s="4" t="s">
        <v>128</v>
      </c>
      <c r="C157" s="4" t="s">
        <v>465</v>
      </c>
      <c r="D157" s="4" t="s">
        <v>465</v>
      </c>
      <c r="E157" s="4">
        <v>5610</v>
      </c>
      <c r="F157" s="4" t="s">
        <v>130</v>
      </c>
      <c r="G157" s="4">
        <v>1622</v>
      </c>
      <c r="H157" s="4" t="s">
        <v>83</v>
      </c>
      <c r="I157" s="4">
        <v>2021</v>
      </c>
      <c r="J157" s="4">
        <v>2021</v>
      </c>
      <c r="K157" s="4" t="s">
        <v>346</v>
      </c>
      <c r="L157" s="6">
        <v>188055.08000000002</v>
      </c>
      <c r="O157" s="10">
        <f>O156</f>
        <v>0.95</v>
      </c>
      <c r="P157" s="6">
        <f>L157*O157*'supporting-percentages'!$B$6</f>
        <v>89326.163</v>
      </c>
      <c r="Q157" s="9">
        <f>faostatdata[[#This Row],[Value '[odmt']]]*(10^-6)</f>
        <v>8.9326163E-2</v>
      </c>
      <c r="R157" s="4" t="str">
        <f t="shared" si="15"/>
        <v>(5610,1622)</v>
      </c>
    </row>
    <row r="158" spans="1:18" ht="13.2" x14ac:dyDescent="0.25">
      <c r="A158" s="4" t="s">
        <v>129</v>
      </c>
      <c r="B158" s="4" t="s">
        <v>128</v>
      </c>
      <c r="C158" s="4" t="s">
        <v>465</v>
      </c>
      <c r="D158" s="4" t="s">
        <v>465</v>
      </c>
      <c r="E158" s="4">
        <v>5910</v>
      </c>
      <c r="F158" s="4" t="s">
        <v>127</v>
      </c>
      <c r="G158" s="4">
        <v>1622</v>
      </c>
      <c r="H158" s="4" t="s">
        <v>83</v>
      </c>
      <c r="I158" s="4">
        <v>2021</v>
      </c>
      <c r="J158" s="4">
        <v>2021</v>
      </c>
      <c r="K158" s="4" t="s">
        <v>346</v>
      </c>
      <c r="L158" s="6">
        <v>117803.46</v>
      </c>
      <c r="O158" s="10">
        <f>O157</f>
        <v>0.95</v>
      </c>
      <c r="P158" s="6">
        <f>L158*O158*'supporting-percentages'!$B$6</f>
        <v>55956.643499999998</v>
      </c>
      <c r="Q158" s="9">
        <f>faostatdata[[#This Row],[Value '[odmt']]]*(10^-6)</f>
        <v>5.5956643499999993E-2</v>
      </c>
      <c r="R158" s="4" t="str">
        <f t="shared" si="15"/>
        <v>(5910,1622)</v>
      </c>
    </row>
    <row r="159" spans="1:18" ht="13.2" x14ac:dyDescent="0.25">
      <c r="A159" s="4" t="s">
        <v>129</v>
      </c>
      <c r="B159" s="4" t="s">
        <v>128</v>
      </c>
      <c r="C159" s="4" t="s">
        <v>465</v>
      </c>
      <c r="D159" s="4" t="s">
        <v>465</v>
      </c>
      <c r="E159" s="4">
        <v>5510</v>
      </c>
      <c r="F159" s="4" t="s">
        <v>131</v>
      </c>
      <c r="G159" s="4">
        <v>1683</v>
      </c>
      <c r="H159" s="4" t="s">
        <v>126</v>
      </c>
      <c r="I159" s="4">
        <v>2021</v>
      </c>
      <c r="J159" s="4">
        <v>2021</v>
      </c>
      <c r="K159" s="4" t="s">
        <v>346</v>
      </c>
      <c r="L159" s="6">
        <v>1242986</v>
      </c>
      <c r="O159" s="10">
        <f>'conversion-factors'!E52</f>
        <v>0.95</v>
      </c>
      <c r="P159" s="6">
        <f t="shared" si="14"/>
        <v>1180836.7</v>
      </c>
      <c r="Q159" s="9">
        <f>faostatdata[[#This Row],[Value '[odmt']]]*(10^-6)</f>
        <v>1.1808367</v>
      </c>
      <c r="R159" s="4" t="str">
        <f t="shared" si="15"/>
        <v>(5510,1683)</v>
      </c>
    </row>
    <row r="160" spans="1:18" ht="13.2" x14ac:dyDescent="0.25">
      <c r="A160" s="4" t="s">
        <v>129</v>
      </c>
      <c r="B160" s="4" t="s">
        <v>128</v>
      </c>
      <c r="C160" s="4" t="s">
        <v>465</v>
      </c>
      <c r="D160" s="4" t="s">
        <v>465</v>
      </c>
      <c r="E160" s="4">
        <v>5610</v>
      </c>
      <c r="F160" s="4" t="s">
        <v>130</v>
      </c>
      <c r="G160" s="4">
        <v>1683</v>
      </c>
      <c r="H160" s="4" t="s">
        <v>126</v>
      </c>
      <c r="I160" s="4">
        <v>2021</v>
      </c>
      <c r="J160" s="4">
        <v>2021</v>
      </c>
      <c r="K160" s="4" t="s">
        <v>346</v>
      </c>
      <c r="L160" s="6">
        <v>231342.82</v>
      </c>
      <c r="O160" s="10">
        <f>O159</f>
        <v>0.95</v>
      </c>
      <c r="P160" s="6">
        <f>L160*O160*'supporting-percentages'!$B$6</f>
        <v>109887.8395</v>
      </c>
      <c r="Q160" s="9">
        <f>faostatdata[[#This Row],[Value '[odmt']]]*(10^-6)</f>
        <v>0.1098878395</v>
      </c>
      <c r="R160" s="4" t="str">
        <f t="shared" si="15"/>
        <v>(5610,1683)</v>
      </c>
    </row>
    <row r="161" spans="1:18" ht="13.2" x14ac:dyDescent="0.25">
      <c r="A161" s="4" t="s">
        <v>129</v>
      </c>
      <c r="B161" s="4" t="s">
        <v>128</v>
      </c>
      <c r="C161" s="4" t="s">
        <v>465</v>
      </c>
      <c r="D161" s="4" t="s">
        <v>465</v>
      </c>
      <c r="E161" s="4">
        <v>5910</v>
      </c>
      <c r="F161" s="4" t="s">
        <v>127</v>
      </c>
      <c r="G161" s="4">
        <v>1683</v>
      </c>
      <c r="H161" s="4" t="s">
        <v>126</v>
      </c>
      <c r="I161" s="4">
        <v>2021</v>
      </c>
      <c r="J161" s="4">
        <v>2021</v>
      </c>
      <c r="K161" s="4" t="s">
        <v>346</v>
      </c>
      <c r="L161" s="6">
        <v>124106.26999999999</v>
      </c>
      <c r="O161" s="10">
        <f>O160</f>
        <v>0.95</v>
      </c>
      <c r="P161" s="6">
        <f>L161*O161*'supporting-percentages'!$B$6</f>
        <v>58950.478249999993</v>
      </c>
      <c r="Q161" s="9">
        <f>faostatdata[[#This Row],[Value '[odmt']]]*(10^-6)</f>
        <v>5.8950478249999994E-2</v>
      </c>
      <c r="R161" s="4" t="str">
        <f t="shared" si="15"/>
        <v>(5910,1683)</v>
      </c>
    </row>
    <row r="164" spans="1:18" x14ac:dyDescent="0.3">
      <c r="L164" s="6"/>
      <c r="M164" s="6"/>
      <c r="N164" s="6"/>
      <c r="O164" s="6"/>
      <c r="P164" s="6"/>
    </row>
    <row r="165" spans="1:18" x14ac:dyDescent="0.3">
      <c r="L165" s="6"/>
      <c r="M165" s="6"/>
      <c r="N165" s="6"/>
      <c r="O165" s="6"/>
      <c r="P165" s="6"/>
    </row>
    <row r="166" spans="1:18" x14ac:dyDescent="0.3">
      <c r="L166" s="6"/>
      <c r="M166" s="6"/>
      <c r="N166" s="6"/>
      <c r="O166" s="6"/>
      <c r="P166" s="6"/>
    </row>
    <row r="167" spans="1:18" x14ac:dyDescent="0.3">
      <c r="L167" s="6"/>
      <c r="M167" s="6"/>
      <c r="N167" s="6"/>
      <c r="O167" s="6"/>
      <c r="P167" s="6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EBC2-261B-4F85-AB89-28BAA7C46D50}">
  <dimension ref="A1:B91"/>
  <sheetViews>
    <sheetView showGridLines="0" zoomScale="70" zoomScaleNormal="70" workbookViewId="0"/>
  </sheetViews>
  <sheetFormatPr defaultRowHeight="9.6" x14ac:dyDescent="0.2"/>
  <cols>
    <col min="1" max="1" width="80.21875" style="151" bestFit="1" customWidth="1"/>
    <col min="2" max="2" width="58.88671875" style="147" bestFit="1" customWidth="1"/>
    <col min="3" max="16384" width="8.88671875" style="147"/>
  </cols>
  <sheetData>
    <row r="1" spans="1:2" ht="13.2" x14ac:dyDescent="0.25">
      <c r="A1" s="146" t="s">
        <v>558</v>
      </c>
      <c r="B1" s="33" t="s">
        <v>559</v>
      </c>
    </row>
    <row r="2" spans="1:2" ht="13.2" x14ac:dyDescent="0.25">
      <c r="A2" s="54" t="s">
        <v>560</v>
      </c>
      <c r="B2" s="4" t="s">
        <v>541</v>
      </c>
    </row>
    <row r="3" spans="1:2" ht="13.2" x14ac:dyDescent="0.25">
      <c r="A3" s="64" t="s">
        <v>561</v>
      </c>
      <c r="B3" s="4" t="s">
        <v>542</v>
      </c>
    </row>
    <row r="4" spans="1:2" ht="13.2" x14ac:dyDescent="0.25">
      <c r="A4" s="64" t="s">
        <v>562</v>
      </c>
      <c r="B4" s="4" t="s">
        <v>543</v>
      </c>
    </row>
    <row r="5" spans="1:2" ht="13.2" x14ac:dyDescent="0.25">
      <c r="A5" s="64" t="s">
        <v>563</v>
      </c>
      <c r="B5" s="4" t="s">
        <v>544</v>
      </c>
    </row>
    <row r="6" spans="1:2" ht="13.2" x14ac:dyDescent="0.25">
      <c r="A6" s="2" t="s">
        <v>564</v>
      </c>
      <c r="B6" s="4" t="s">
        <v>545</v>
      </c>
    </row>
    <row r="7" spans="1:2" ht="13.2" x14ac:dyDescent="0.25">
      <c r="A7" s="54" t="s">
        <v>565</v>
      </c>
      <c r="B7" s="4" t="s">
        <v>211</v>
      </c>
    </row>
    <row r="8" spans="1:2" ht="13.2" x14ac:dyDescent="0.25">
      <c r="A8" s="64" t="s">
        <v>566</v>
      </c>
      <c r="B8" s="4" t="s">
        <v>61</v>
      </c>
    </row>
    <row r="9" spans="1:2" ht="13.2" x14ac:dyDescent="0.25">
      <c r="A9" s="148" t="s">
        <v>567</v>
      </c>
      <c r="B9" s="4" t="s">
        <v>265</v>
      </c>
    </row>
    <row r="10" spans="1:2" ht="13.2" x14ac:dyDescent="0.25">
      <c r="A10" s="148" t="s">
        <v>568</v>
      </c>
      <c r="B10" s="4" t="s">
        <v>266</v>
      </c>
    </row>
    <row r="11" spans="1:2" ht="13.2" x14ac:dyDescent="0.25">
      <c r="A11" s="148" t="s">
        <v>569</v>
      </c>
      <c r="B11" s="4" t="s">
        <v>350</v>
      </c>
    </row>
    <row r="12" spans="1:2" ht="13.2" x14ac:dyDescent="0.25">
      <c r="A12" s="148" t="s">
        <v>570</v>
      </c>
      <c r="B12" s="4" t="s">
        <v>351</v>
      </c>
    </row>
    <row r="13" spans="1:2" ht="13.2" x14ac:dyDescent="0.25">
      <c r="A13" s="149" t="s">
        <v>571</v>
      </c>
      <c r="B13" s="4" t="s">
        <v>62</v>
      </c>
    </row>
    <row r="14" spans="1:2" ht="13.2" x14ac:dyDescent="0.25">
      <c r="A14" s="150" t="s">
        <v>572</v>
      </c>
      <c r="B14" s="4" t="s">
        <v>267</v>
      </c>
    </row>
    <row r="15" spans="1:2" ht="13.2" x14ac:dyDescent="0.25">
      <c r="A15" s="150" t="s">
        <v>573</v>
      </c>
      <c r="B15" s="4" t="s">
        <v>268</v>
      </c>
    </row>
    <row r="16" spans="1:2" ht="13.2" x14ac:dyDescent="0.25">
      <c r="A16" s="149" t="s">
        <v>574</v>
      </c>
      <c r="B16" s="4" t="s">
        <v>63</v>
      </c>
    </row>
    <row r="17" spans="1:2" ht="13.2" x14ac:dyDescent="0.25">
      <c r="A17" s="150" t="s">
        <v>575</v>
      </c>
      <c r="B17" s="4" t="s">
        <v>270</v>
      </c>
    </row>
    <row r="18" spans="1:2" ht="13.2" x14ac:dyDescent="0.25">
      <c r="A18" s="150" t="s">
        <v>576</v>
      </c>
      <c r="B18" s="4" t="s">
        <v>271</v>
      </c>
    </row>
    <row r="19" spans="1:2" ht="13.2" x14ac:dyDescent="0.25">
      <c r="A19" s="149" t="s">
        <v>577</v>
      </c>
      <c r="B19" s="4" t="s">
        <v>64</v>
      </c>
    </row>
    <row r="20" spans="1:2" ht="13.2" x14ac:dyDescent="0.25">
      <c r="A20" s="150" t="s">
        <v>578</v>
      </c>
      <c r="B20" s="4" t="s">
        <v>272</v>
      </c>
    </row>
    <row r="21" spans="1:2" ht="13.2" x14ac:dyDescent="0.25">
      <c r="A21" s="150" t="s">
        <v>579</v>
      </c>
      <c r="B21" s="4" t="s">
        <v>273</v>
      </c>
    </row>
    <row r="22" spans="1:2" ht="13.2" x14ac:dyDescent="0.25">
      <c r="A22" s="54" t="s">
        <v>580</v>
      </c>
      <c r="B22" s="4" t="s">
        <v>212</v>
      </c>
    </row>
    <row r="23" spans="1:2" ht="13.2" x14ac:dyDescent="0.25">
      <c r="A23" s="54" t="s">
        <v>581</v>
      </c>
      <c r="B23" s="4" t="s">
        <v>66</v>
      </c>
    </row>
    <row r="24" spans="1:2" ht="13.2" x14ac:dyDescent="0.25">
      <c r="A24" s="64" t="s">
        <v>119</v>
      </c>
      <c r="B24" s="4" t="s">
        <v>55</v>
      </c>
    </row>
    <row r="25" spans="1:2" ht="13.2" x14ac:dyDescent="0.25">
      <c r="A25" s="64" t="s">
        <v>582</v>
      </c>
      <c r="B25" s="4" t="s">
        <v>179</v>
      </c>
    </row>
    <row r="26" spans="1:2" ht="13.2" x14ac:dyDescent="0.25">
      <c r="A26" s="54" t="s">
        <v>583</v>
      </c>
      <c r="B26" s="4" t="s">
        <v>65</v>
      </c>
    </row>
    <row r="27" spans="1:2" ht="13.2" x14ac:dyDescent="0.25">
      <c r="A27" s="64" t="s">
        <v>93</v>
      </c>
      <c r="B27" s="4" t="s">
        <v>53</v>
      </c>
    </row>
    <row r="28" spans="1:2" ht="13.2" x14ac:dyDescent="0.25">
      <c r="A28" s="64" t="s">
        <v>117</v>
      </c>
      <c r="B28" s="4" t="s">
        <v>54</v>
      </c>
    </row>
    <row r="29" spans="1:2" ht="13.2" x14ac:dyDescent="0.25">
      <c r="A29" s="54" t="s">
        <v>259</v>
      </c>
      <c r="B29" s="4" t="s">
        <v>47</v>
      </c>
    </row>
    <row r="30" spans="1:2" ht="13.2" x14ac:dyDescent="0.25">
      <c r="A30" s="54" t="s">
        <v>114</v>
      </c>
      <c r="B30" s="4" t="s">
        <v>48</v>
      </c>
    </row>
    <row r="31" spans="1:2" ht="13.2" x14ac:dyDescent="0.25">
      <c r="A31" s="64" t="s">
        <v>584</v>
      </c>
      <c r="B31" s="4" t="s">
        <v>274</v>
      </c>
    </row>
    <row r="32" spans="1:2" ht="13.2" x14ac:dyDescent="0.25">
      <c r="A32" s="64" t="s">
        <v>585</v>
      </c>
      <c r="B32" s="4" t="s">
        <v>275</v>
      </c>
    </row>
    <row r="33" spans="1:2" ht="13.2" x14ac:dyDescent="0.25">
      <c r="A33" s="54" t="s">
        <v>586</v>
      </c>
      <c r="B33" s="4" t="s">
        <v>49</v>
      </c>
    </row>
    <row r="34" spans="1:2" ht="13.2" x14ac:dyDescent="0.25">
      <c r="A34" s="54" t="s">
        <v>109</v>
      </c>
      <c r="B34" s="4" t="s">
        <v>52</v>
      </c>
    </row>
    <row r="35" spans="1:2" ht="13.2" x14ac:dyDescent="0.25">
      <c r="A35" s="64" t="s">
        <v>106</v>
      </c>
      <c r="B35" s="4" t="s">
        <v>44</v>
      </c>
    </row>
    <row r="36" spans="1:2" ht="13.2" x14ac:dyDescent="0.25">
      <c r="A36" s="64" t="s">
        <v>105</v>
      </c>
      <c r="B36" s="4" t="s">
        <v>45</v>
      </c>
    </row>
    <row r="37" spans="1:2" ht="13.2" x14ac:dyDescent="0.25">
      <c r="A37" s="64" t="s">
        <v>587</v>
      </c>
      <c r="B37" s="4" t="s">
        <v>76</v>
      </c>
    </row>
    <row r="38" spans="1:2" ht="13.2" x14ac:dyDescent="0.25">
      <c r="A38" s="64" t="s">
        <v>588</v>
      </c>
      <c r="B38" s="4" t="s">
        <v>281</v>
      </c>
    </row>
    <row r="39" spans="1:2" ht="13.2" x14ac:dyDescent="0.25">
      <c r="A39" s="148" t="s">
        <v>589</v>
      </c>
      <c r="B39" s="4" t="s">
        <v>180</v>
      </c>
    </row>
    <row r="40" spans="1:2" ht="13.2" x14ac:dyDescent="0.25">
      <c r="A40" s="148" t="s">
        <v>590</v>
      </c>
      <c r="B40" s="4" t="s">
        <v>209</v>
      </c>
    </row>
    <row r="41" spans="1:2" ht="13.2" x14ac:dyDescent="0.25">
      <c r="A41" s="148" t="s">
        <v>591</v>
      </c>
      <c r="B41" s="4" t="s">
        <v>75</v>
      </c>
    </row>
    <row r="42" spans="1:2" ht="13.2" x14ac:dyDescent="0.25">
      <c r="A42" s="54" t="s">
        <v>592</v>
      </c>
      <c r="B42" s="4" t="s">
        <v>42</v>
      </c>
    </row>
    <row r="43" spans="1:2" ht="13.2" x14ac:dyDescent="0.25">
      <c r="A43" s="64" t="s">
        <v>189</v>
      </c>
      <c r="B43" s="4" t="s">
        <v>70</v>
      </c>
    </row>
    <row r="44" spans="1:2" ht="13.2" x14ac:dyDescent="0.25">
      <c r="A44" s="64" t="s">
        <v>390</v>
      </c>
      <c r="B44" s="4" t="s">
        <v>71</v>
      </c>
    </row>
    <row r="45" spans="1:2" ht="13.2" x14ac:dyDescent="0.25">
      <c r="A45" s="64" t="s">
        <v>191</v>
      </c>
      <c r="B45" s="4" t="s">
        <v>72</v>
      </c>
    </row>
    <row r="46" spans="1:2" ht="13.2" x14ac:dyDescent="0.25">
      <c r="A46" s="64" t="s">
        <v>192</v>
      </c>
      <c r="B46" s="4" t="s">
        <v>77</v>
      </c>
    </row>
    <row r="47" spans="1:2" ht="13.2" x14ac:dyDescent="0.25">
      <c r="A47" s="54" t="s">
        <v>593</v>
      </c>
      <c r="B47" s="4" t="s">
        <v>43</v>
      </c>
    </row>
    <row r="48" spans="1:2" ht="13.2" x14ac:dyDescent="0.25">
      <c r="A48" s="54" t="s">
        <v>222</v>
      </c>
      <c r="B48" s="4" t="s">
        <v>50</v>
      </c>
    </row>
    <row r="49" spans="1:2" ht="13.2" x14ac:dyDescent="0.25">
      <c r="A49" s="64" t="s">
        <v>89</v>
      </c>
      <c r="B49" s="4" t="s">
        <v>78</v>
      </c>
    </row>
    <row r="50" spans="1:2" ht="13.2" x14ac:dyDescent="0.25">
      <c r="A50" s="64" t="s">
        <v>594</v>
      </c>
      <c r="B50" s="4" t="s">
        <v>79</v>
      </c>
    </row>
    <row r="51" spans="1:2" ht="13.2" x14ac:dyDescent="0.25">
      <c r="A51" s="64" t="s">
        <v>595</v>
      </c>
      <c r="B51" s="4" t="s">
        <v>67</v>
      </c>
    </row>
    <row r="52" spans="1:2" ht="13.2" x14ac:dyDescent="0.25">
      <c r="A52" s="64" t="s">
        <v>596</v>
      </c>
      <c r="B52" s="4" t="s">
        <v>68</v>
      </c>
    </row>
    <row r="53" spans="1:2" ht="13.2" x14ac:dyDescent="0.25">
      <c r="A53" s="64" t="s">
        <v>87</v>
      </c>
      <c r="B53" s="4" t="s">
        <v>69</v>
      </c>
    </row>
    <row r="54" spans="1:2" ht="13.2" x14ac:dyDescent="0.25">
      <c r="A54" s="54" t="s">
        <v>597</v>
      </c>
      <c r="B54" s="4" t="s">
        <v>51</v>
      </c>
    </row>
    <row r="55" spans="1:2" ht="13.2" x14ac:dyDescent="0.25">
      <c r="A55" s="64" t="s">
        <v>598</v>
      </c>
      <c r="B55" s="4" t="s">
        <v>36</v>
      </c>
    </row>
    <row r="56" spans="1:2" ht="13.2" x14ac:dyDescent="0.25">
      <c r="A56" s="64" t="s">
        <v>599</v>
      </c>
      <c r="B56" s="4" t="s">
        <v>37</v>
      </c>
    </row>
    <row r="57" spans="1:2" ht="13.2" x14ac:dyDescent="0.25">
      <c r="A57" s="64" t="s">
        <v>600</v>
      </c>
      <c r="B57" s="4" t="s">
        <v>282</v>
      </c>
    </row>
    <row r="58" spans="1:2" ht="13.2" x14ac:dyDescent="0.25">
      <c r="A58" s="148" t="s">
        <v>412</v>
      </c>
      <c r="B58" s="4" t="s">
        <v>39</v>
      </c>
    </row>
    <row r="59" spans="1:2" ht="13.2" x14ac:dyDescent="0.25">
      <c r="A59" s="148" t="s">
        <v>601</v>
      </c>
      <c r="B59" s="4" t="s">
        <v>40</v>
      </c>
    </row>
    <row r="60" spans="1:2" ht="13.2" x14ac:dyDescent="0.25">
      <c r="A60" s="64" t="s">
        <v>602</v>
      </c>
      <c r="B60" s="4" t="s">
        <v>41</v>
      </c>
    </row>
    <row r="61" spans="1:2" ht="13.2" x14ac:dyDescent="0.25">
      <c r="A61" s="64" t="s">
        <v>603</v>
      </c>
      <c r="B61" s="4" t="s">
        <v>38</v>
      </c>
    </row>
    <row r="62" spans="1:2" ht="13.2" x14ac:dyDescent="0.25">
      <c r="A62" s="54" t="s">
        <v>604</v>
      </c>
      <c r="B62" s="4" t="s">
        <v>59</v>
      </c>
    </row>
    <row r="63" spans="1:2" ht="13.2" x14ac:dyDescent="0.25">
      <c r="A63" s="64" t="s">
        <v>605</v>
      </c>
      <c r="B63" s="4" t="s">
        <v>409</v>
      </c>
    </row>
    <row r="64" spans="1:2" ht="13.2" x14ac:dyDescent="0.25">
      <c r="A64" s="64" t="s">
        <v>606</v>
      </c>
      <c r="B64" s="4" t="s">
        <v>31</v>
      </c>
    </row>
    <row r="65" spans="1:2" ht="13.2" x14ac:dyDescent="0.25">
      <c r="A65" s="64" t="s">
        <v>607</v>
      </c>
      <c r="B65" s="4" t="s">
        <v>32</v>
      </c>
    </row>
    <row r="66" spans="1:2" ht="13.2" x14ac:dyDescent="0.25">
      <c r="A66" s="64" t="s">
        <v>608</v>
      </c>
      <c r="B66" s="4" t="s">
        <v>33</v>
      </c>
    </row>
    <row r="67" spans="1:2" ht="13.2" x14ac:dyDescent="0.25">
      <c r="A67" s="64" t="s">
        <v>609</v>
      </c>
      <c r="B67" s="4" t="s">
        <v>34</v>
      </c>
    </row>
    <row r="68" spans="1:2" ht="13.2" x14ac:dyDescent="0.25">
      <c r="A68" s="64" t="s">
        <v>610</v>
      </c>
      <c r="B68" s="4" t="s">
        <v>35</v>
      </c>
    </row>
    <row r="69" spans="1:2" ht="13.2" x14ac:dyDescent="0.25">
      <c r="A69" s="64" t="s">
        <v>611</v>
      </c>
      <c r="B69" s="4" t="s">
        <v>57</v>
      </c>
    </row>
    <row r="70" spans="1:2" ht="13.2" x14ac:dyDescent="0.25">
      <c r="A70" s="54" t="s">
        <v>612</v>
      </c>
      <c r="B70" s="4" t="s">
        <v>58</v>
      </c>
    </row>
    <row r="71" spans="1:2" ht="13.2" x14ac:dyDescent="0.25">
      <c r="A71" s="64" t="s">
        <v>613</v>
      </c>
      <c r="B71" s="4" t="s">
        <v>29</v>
      </c>
    </row>
    <row r="72" spans="1:2" ht="13.2" x14ac:dyDescent="0.25">
      <c r="A72" s="64" t="s">
        <v>614</v>
      </c>
      <c r="B72" s="4" t="s">
        <v>73</v>
      </c>
    </row>
    <row r="73" spans="1:2" ht="13.2" x14ac:dyDescent="0.25">
      <c r="A73" s="64" t="s">
        <v>615</v>
      </c>
      <c r="B73" s="4" t="s">
        <v>30</v>
      </c>
    </row>
    <row r="74" spans="1:2" ht="13.2" x14ac:dyDescent="0.25">
      <c r="A74" s="64" t="s">
        <v>616</v>
      </c>
      <c r="B74" s="4" t="s">
        <v>80</v>
      </c>
    </row>
    <row r="75" spans="1:2" ht="13.2" x14ac:dyDescent="0.25">
      <c r="A75" s="64" t="s">
        <v>617</v>
      </c>
      <c r="B75" s="4" t="s">
        <v>242</v>
      </c>
    </row>
    <row r="76" spans="1:2" ht="13.2" x14ac:dyDescent="0.25">
      <c r="A76" s="64" t="s">
        <v>183</v>
      </c>
      <c r="B76" s="4" t="s">
        <v>74</v>
      </c>
    </row>
    <row r="77" spans="1:2" ht="13.2" x14ac:dyDescent="0.25">
      <c r="A77" s="54" t="s">
        <v>627</v>
      </c>
      <c r="B77" s="4" t="s">
        <v>60</v>
      </c>
    </row>
    <row r="78" spans="1:2" ht="13.2" x14ac:dyDescent="0.25">
      <c r="A78" s="64" t="s">
        <v>618</v>
      </c>
      <c r="B78" s="4" t="s">
        <v>378</v>
      </c>
    </row>
    <row r="79" spans="1:2" ht="13.2" x14ac:dyDescent="0.25">
      <c r="A79" s="64" t="s">
        <v>619</v>
      </c>
      <c r="B79" s="4" t="s">
        <v>379</v>
      </c>
    </row>
    <row r="80" spans="1:2" ht="13.2" x14ac:dyDescent="0.25">
      <c r="A80" s="54" t="s">
        <v>454</v>
      </c>
      <c r="B80" s="4" t="s">
        <v>357</v>
      </c>
    </row>
    <row r="81" spans="1:2" ht="13.2" x14ac:dyDescent="0.25">
      <c r="A81" s="64" t="s">
        <v>442</v>
      </c>
      <c r="B81" s="4" t="s">
        <v>399</v>
      </c>
    </row>
    <row r="82" spans="1:2" ht="13.2" x14ac:dyDescent="0.25">
      <c r="A82" s="148" t="s">
        <v>435</v>
      </c>
      <c r="B82" s="4" t="s">
        <v>358</v>
      </c>
    </row>
    <row r="83" spans="1:2" ht="13.2" x14ac:dyDescent="0.25">
      <c r="A83" s="148" t="s">
        <v>620</v>
      </c>
      <c r="B83" s="4" t="s">
        <v>539</v>
      </c>
    </row>
    <row r="84" spans="1:2" ht="13.2" x14ac:dyDescent="0.25">
      <c r="A84" s="148" t="s">
        <v>621</v>
      </c>
      <c r="B84" s="4" t="s">
        <v>540</v>
      </c>
    </row>
    <row r="85" spans="1:2" ht="13.2" x14ac:dyDescent="0.25">
      <c r="A85" s="148" t="s">
        <v>397</v>
      </c>
      <c r="B85" s="4" t="s">
        <v>398</v>
      </c>
    </row>
    <row r="86" spans="1:2" ht="13.2" x14ac:dyDescent="0.25">
      <c r="A86" s="64" t="s">
        <v>443</v>
      </c>
      <c r="B86" s="4" t="s">
        <v>404</v>
      </c>
    </row>
    <row r="87" spans="1:2" ht="13.2" x14ac:dyDescent="0.25">
      <c r="A87" s="148" t="s">
        <v>436</v>
      </c>
      <c r="B87" s="4" t="s">
        <v>407</v>
      </c>
    </row>
    <row r="88" spans="1:2" ht="13.2" x14ac:dyDescent="0.25">
      <c r="A88" s="148" t="s">
        <v>386</v>
      </c>
      <c r="B88" s="4" t="s">
        <v>359</v>
      </c>
    </row>
    <row r="89" spans="1:2" ht="13.2" x14ac:dyDescent="0.25">
      <c r="A89" s="148" t="s">
        <v>437</v>
      </c>
      <c r="B89" s="4" t="s">
        <v>380</v>
      </c>
    </row>
    <row r="90" spans="1:2" ht="13.2" x14ac:dyDescent="0.25">
      <c r="A90" s="54" t="s">
        <v>622</v>
      </c>
      <c r="B90" s="4" t="s">
        <v>342</v>
      </c>
    </row>
    <row r="91" spans="1:2" ht="13.2" x14ac:dyDescent="0.25">
      <c r="A91" s="54" t="s">
        <v>623</v>
      </c>
      <c r="B91" s="4" t="s">
        <v>343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C7FD-FC2B-4F69-A33E-C0F0503A502D}">
  <sheetPr codeName="Sheet6"/>
  <dimension ref="A1:P110"/>
  <sheetViews>
    <sheetView zoomScale="70" zoomScaleNormal="70" workbookViewId="0"/>
  </sheetViews>
  <sheetFormatPr defaultColWidth="8.88671875" defaultRowHeight="14.4" x14ac:dyDescent="0.3"/>
  <cols>
    <col min="1" max="1" width="39.88671875" style="15" customWidth="1"/>
    <col min="2" max="2" width="14.88671875" style="15" customWidth="1"/>
    <col min="3" max="3" width="16" style="15" bestFit="1" customWidth="1"/>
    <col min="4" max="4" width="7" style="15" customWidth="1"/>
    <col min="5" max="5" width="10.44140625" style="15" bestFit="1" customWidth="1"/>
    <col min="6" max="6" width="16.33203125" style="15" customWidth="1"/>
    <col min="7" max="7" width="16.33203125" style="1" bestFit="1" customWidth="1"/>
    <col min="8" max="8" width="15.109375" style="1" bestFit="1" customWidth="1"/>
    <col min="9" max="9" width="23.6640625" style="1" bestFit="1" customWidth="1"/>
    <col min="10" max="10" width="21.109375" style="50" bestFit="1" customWidth="1"/>
    <col min="11" max="11" width="11.6640625" style="15" bestFit="1" customWidth="1"/>
    <col min="12" max="12" width="31.33203125" style="15" bestFit="1" customWidth="1"/>
    <col min="13" max="13" width="20.6640625" style="15" customWidth="1"/>
    <col min="14" max="14" width="8.88671875" style="15"/>
    <col min="15" max="15" width="11.44140625" style="15" bestFit="1" customWidth="1"/>
    <col min="16" max="16" width="10.5546875" style="15" bestFit="1" customWidth="1"/>
    <col min="17" max="16384" width="8.88671875" style="15"/>
  </cols>
  <sheetData>
    <row r="1" spans="1:13" x14ac:dyDescent="0.3">
      <c r="A1" s="5" t="s">
        <v>4</v>
      </c>
      <c r="B1" s="5" t="s">
        <v>0</v>
      </c>
      <c r="C1" s="5" t="s">
        <v>233</v>
      </c>
      <c r="D1" s="5" t="s">
        <v>1</v>
      </c>
      <c r="E1" s="5" t="s">
        <v>2</v>
      </c>
      <c r="F1" s="5" t="s">
        <v>5</v>
      </c>
      <c r="G1" s="126" t="s">
        <v>6</v>
      </c>
      <c r="H1" s="126" t="s">
        <v>7</v>
      </c>
      <c r="I1" s="126" t="s">
        <v>8</v>
      </c>
      <c r="J1" s="127" t="s">
        <v>538</v>
      </c>
      <c r="K1" s="5" t="s">
        <v>214</v>
      </c>
      <c r="L1" s="5" t="s">
        <v>216</v>
      </c>
      <c r="M1" s="5" t="s">
        <v>218</v>
      </c>
    </row>
    <row r="2" spans="1:13" x14ac:dyDescent="0.3">
      <c r="A2" s="5" t="s">
        <v>541</v>
      </c>
      <c r="B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-321.23103891103125</v>
      </c>
      <c r="C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" s="5">
        <v>2021</v>
      </c>
      <c r="E2" s="5" t="str">
        <f>faostatdata[[#This Row],[Area Code]]</f>
        <v>OAS</v>
      </c>
      <c r="F2" s="128" t="s">
        <v>18</v>
      </c>
      <c r="G2" s="129" t="s">
        <v>269</v>
      </c>
      <c r="H2" s="130" t="s">
        <v>18</v>
      </c>
      <c r="I2" s="130" t="s">
        <v>210</v>
      </c>
      <c r="J2" s="131">
        <f>(SUM(woodflow!N2:N23)+woodflow!N26+woodflow!N31+woodflow!N36+woodflow!N41)*-1</f>
        <v>-321.23103891103125</v>
      </c>
      <c r="K2" s="126" t="s">
        <v>556</v>
      </c>
      <c r="L2" s="126" t="s">
        <v>239</v>
      </c>
      <c r="M2" s="5"/>
    </row>
    <row r="3" spans="1:13" x14ac:dyDescent="0.3">
      <c r="A3" s="5" t="s">
        <v>542</v>
      </c>
      <c r="B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-6.7548262762500002</v>
      </c>
      <c r="C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" s="5">
        <v>2021</v>
      </c>
      <c r="E3" s="5" t="str">
        <f>$E$2</f>
        <v>OAS</v>
      </c>
      <c r="F3" s="128" t="s">
        <v>18</v>
      </c>
      <c r="G3" s="130" t="s">
        <v>269</v>
      </c>
      <c r="H3" s="130" t="s">
        <v>269</v>
      </c>
      <c r="I3" s="126" t="s">
        <v>3</v>
      </c>
      <c r="J3" s="131">
        <f>('faostat-data'!Q2+'faostat-data'!Q16+'faostat-data'!Q22+'faostat-data'!Q29)*-1</f>
        <v>-6.7548262762500002</v>
      </c>
      <c r="K3" s="126" t="s">
        <v>556</v>
      </c>
      <c r="L3" s="5"/>
      <c r="M3" s="5" t="s">
        <v>234</v>
      </c>
    </row>
    <row r="4" spans="1:13" x14ac:dyDescent="0.3">
      <c r="A4" s="5" t="s">
        <v>543</v>
      </c>
      <c r="B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-278.78387497800003</v>
      </c>
      <c r="C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" s="5">
        <v>2021</v>
      </c>
      <c r="E4" s="5" t="str">
        <f t="shared" ref="E4:E67" si="0">$E$2</f>
        <v>OAS</v>
      </c>
      <c r="F4" s="128" t="s">
        <v>18</v>
      </c>
      <c r="G4" s="130" t="s">
        <v>18</v>
      </c>
      <c r="H4" s="130" t="s">
        <v>269</v>
      </c>
      <c r="I4" s="126" t="s">
        <v>3</v>
      </c>
      <c r="J4" s="131">
        <f>('faostat-data'!Q5+'faostat-data'!Q19+'faostat-data'!Q23+'faostat-data'!Q30)*-1</f>
        <v>-278.78387497800003</v>
      </c>
      <c r="K4" s="126" t="s">
        <v>556</v>
      </c>
      <c r="L4" s="5"/>
      <c r="M4" s="5" t="s">
        <v>234</v>
      </c>
    </row>
    <row r="5" spans="1:13" x14ac:dyDescent="0.3">
      <c r="A5" s="5" t="s">
        <v>544</v>
      </c>
      <c r="B5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5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-35.692337656781248</v>
      </c>
      <c r="D5" s="5">
        <v>2021</v>
      </c>
      <c r="E5" s="5" t="str">
        <f t="shared" si="0"/>
        <v>OAS</v>
      </c>
      <c r="F5" s="128" t="s">
        <v>18</v>
      </c>
      <c r="G5" s="130" t="s">
        <v>276</v>
      </c>
      <c r="H5" s="130" t="s">
        <v>269</v>
      </c>
      <c r="I5" s="126" t="s">
        <v>3</v>
      </c>
      <c r="J5" s="131">
        <f>(woodflow!N26+woodflow!N31+woodflow!N36+woodflow!N41)*-1</f>
        <v>-35.692337656781248</v>
      </c>
      <c r="K5" s="126" t="s">
        <v>549</v>
      </c>
      <c r="L5" s="126" t="s">
        <v>239</v>
      </c>
      <c r="M5" s="5"/>
    </row>
    <row r="6" spans="1:13" x14ac:dyDescent="0.3">
      <c r="A6" s="5"/>
      <c r="B6" s="5"/>
      <c r="C6" s="5"/>
      <c r="D6" s="5"/>
      <c r="E6" s="5"/>
      <c r="F6" s="128"/>
      <c r="G6" s="126"/>
      <c r="H6" s="126"/>
      <c r="I6" s="126"/>
      <c r="J6" s="131"/>
      <c r="K6" s="126"/>
      <c r="L6" s="5"/>
      <c r="M6" s="5"/>
    </row>
    <row r="7" spans="1:13" x14ac:dyDescent="0.3">
      <c r="A7" s="5" t="s">
        <v>545</v>
      </c>
      <c r="B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" s="5">
        <v>2021</v>
      </c>
      <c r="E7" s="5" t="str">
        <f t="shared" si="0"/>
        <v>OAS</v>
      </c>
      <c r="F7" s="128" t="s">
        <v>18</v>
      </c>
      <c r="G7" s="130" t="s">
        <v>277</v>
      </c>
      <c r="H7" s="130" t="s">
        <v>269</v>
      </c>
      <c r="I7" s="126" t="s">
        <v>3</v>
      </c>
      <c r="J7" s="131">
        <f>woodflow!N46*-1</f>
        <v>0</v>
      </c>
      <c r="K7" s="126" t="s">
        <v>556</v>
      </c>
      <c r="L7" s="126" t="s">
        <v>239</v>
      </c>
      <c r="M7" s="132"/>
    </row>
    <row r="8" spans="1:13" x14ac:dyDescent="0.3">
      <c r="A8" s="5"/>
      <c r="B8" s="5"/>
      <c r="C8" s="5"/>
      <c r="D8" s="5"/>
      <c r="E8" s="5"/>
      <c r="F8" s="128"/>
      <c r="G8" s="126"/>
      <c r="H8" s="126"/>
      <c r="I8" s="126"/>
      <c r="J8" s="131"/>
      <c r="K8" s="126"/>
      <c r="L8" s="5"/>
      <c r="M8" s="5"/>
    </row>
    <row r="9" spans="1:13" x14ac:dyDescent="0.3">
      <c r="A9" s="5" t="s">
        <v>211</v>
      </c>
      <c r="B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" s="5">
        <v>2021</v>
      </c>
      <c r="E9" s="5" t="str">
        <f t="shared" si="0"/>
        <v>OAS</v>
      </c>
      <c r="F9" s="128" t="s">
        <v>18</v>
      </c>
      <c r="G9" s="130" t="s">
        <v>18</v>
      </c>
      <c r="H9" s="126" t="s">
        <v>18</v>
      </c>
      <c r="I9" s="130" t="s">
        <v>338</v>
      </c>
      <c r="J9" s="131">
        <v>0</v>
      </c>
      <c r="K9" s="126" t="s">
        <v>235</v>
      </c>
      <c r="L9" s="5"/>
      <c r="M9" s="5"/>
    </row>
    <row r="10" spans="1:13" x14ac:dyDescent="0.3">
      <c r="A10" s="5" t="s">
        <v>61</v>
      </c>
      <c r="B1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" s="5">
        <v>2021</v>
      </c>
      <c r="E10" s="5" t="str">
        <f t="shared" si="0"/>
        <v>OAS</v>
      </c>
      <c r="F10" s="128" t="s">
        <v>18</v>
      </c>
      <c r="G10" s="130" t="s">
        <v>276</v>
      </c>
      <c r="H10" s="130" t="s">
        <v>18</v>
      </c>
      <c r="I10" s="130" t="s">
        <v>334</v>
      </c>
      <c r="J10" s="131">
        <v>0</v>
      </c>
      <c r="K10" s="126" t="s">
        <v>235</v>
      </c>
      <c r="L10" s="5"/>
      <c r="M10" s="5"/>
    </row>
    <row r="11" spans="1:13" x14ac:dyDescent="0.3">
      <c r="A11" s="5" t="s">
        <v>265</v>
      </c>
      <c r="B1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1" s="5">
        <v>2021</v>
      </c>
      <c r="E11" s="5" t="str">
        <f t="shared" si="0"/>
        <v>OAS</v>
      </c>
      <c r="F11" s="128" t="s">
        <v>18</v>
      </c>
      <c r="G11" s="130" t="s">
        <v>278</v>
      </c>
      <c r="H11" s="130" t="s">
        <v>269</v>
      </c>
      <c r="I11" s="126" t="s">
        <v>3</v>
      </c>
      <c r="J11" s="131">
        <v>0</v>
      </c>
      <c r="K11" s="126" t="s">
        <v>235</v>
      </c>
      <c r="L11" s="5"/>
      <c r="M11" s="5"/>
    </row>
    <row r="12" spans="1:13" x14ac:dyDescent="0.3">
      <c r="A12" s="5" t="s">
        <v>266</v>
      </c>
      <c r="B1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2" s="5">
        <v>2021</v>
      </c>
      <c r="E12" s="5" t="str">
        <f t="shared" si="0"/>
        <v>OAS</v>
      </c>
      <c r="F12" s="128" t="s">
        <v>18</v>
      </c>
      <c r="G12" s="130" t="s">
        <v>279</v>
      </c>
      <c r="H12" s="130" t="s">
        <v>269</v>
      </c>
      <c r="I12" s="126" t="s">
        <v>3</v>
      </c>
      <c r="J12" s="131">
        <v>0</v>
      </c>
      <c r="K12" s="126" t="s">
        <v>235</v>
      </c>
      <c r="L12" s="5"/>
      <c r="M12" s="5"/>
    </row>
    <row r="13" spans="1:13" x14ac:dyDescent="0.3">
      <c r="A13" s="5" t="s">
        <v>350</v>
      </c>
      <c r="B1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3" s="5">
        <v>2021</v>
      </c>
      <c r="E13" s="5" t="str">
        <f t="shared" si="0"/>
        <v>OAS</v>
      </c>
      <c r="F13" s="128" t="s">
        <v>18</v>
      </c>
      <c r="G13" s="130" t="s">
        <v>277</v>
      </c>
      <c r="H13" s="130" t="s">
        <v>18</v>
      </c>
      <c r="I13" s="130" t="s">
        <v>352</v>
      </c>
      <c r="J13" s="131">
        <v>0</v>
      </c>
      <c r="K13" s="126" t="s">
        <v>235</v>
      </c>
      <c r="L13" s="5"/>
      <c r="M13" s="5"/>
    </row>
    <row r="14" spans="1:13" x14ac:dyDescent="0.3">
      <c r="A14" s="5" t="s">
        <v>351</v>
      </c>
      <c r="B1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4" s="5">
        <v>2021</v>
      </c>
      <c r="E14" s="5" t="str">
        <f t="shared" si="0"/>
        <v>OAS</v>
      </c>
      <c r="F14" s="128" t="s">
        <v>18</v>
      </c>
      <c r="G14" s="130" t="s">
        <v>278</v>
      </c>
      <c r="H14" s="130" t="s">
        <v>18</v>
      </c>
      <c r="I14" s="130" t="s">
        <v>353</v>
      </c>
      <c r="J14" s="131">
        <v>0</v>
      </c>
      <c r="K14" s="126" t="s">
        <v>235</v>
      </c>
      <c r="L14" s="5"/>
      <c r="M14" s="5"/>
    </row>
    <row r="15" spans="1:13" x14ac:dyDescent="0.3">
      <c r="A15" s="5" t="s">
        <v>62</v>
      </c>
      <c r="B1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5" s="5">
        <v>2021</v>
      </c>
      <c r="E15" s="5" t="str">
        <f t="shared" si="0"/>
        <v>OAS</v>
      </c>
      <c r="F15" s="128" t="s">
        <v>18</v>
      </c>
      <c r="G15" s="130" t="s">
        <v>279</v>
      </c>
      <c r="H15" s="130" t="s">
        <v>18</v>
      </c>
      <c r="I15" s="130" t="s">
        <v>335</v>
      </c>
      <c r="J15" s="131">
        <v>0</v>
      </c>
      <c r="K15" s="126" t="s">
        <v>235</v>
      </c>
      <c r="L15" s="5"/>
      <c r="M15" s="5"/>
    </row>
    <row r="16" spans="1:13" x14ac:dyDescent="0.3">
      <c r="A16" s="5" t="s">
        <v>267</v>
      </c>
      <c r="B1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6" s="5">
        <v>2021</v>
      </c>
      <c r="E16" s="5" t="str">
        <f t="shared" si="0"/>
        <v>OAS</v>
      </c>
      <c r="F16" s="128" t="s">
        <v>18</v>
      </c>
      <c r="G16" s="130" t="s">
        <v>280</v>
      </c>
      <c r="H16" s="130" t="s">
        <v>269</v>
      </c>
      <c r="I16" s="126" t="s">
        <v>3</v>
      </c>
      <c r="J16" s="131">
        <v>0</v>
      </c>
      <c r="K16" s="126" t="s">
        <v>235</v>
      </c>
      <c r="L16" s="5"/>
      <c r="M16" s="5"/>
    </row>
    <row r="17" spans="1:13" x14ac:dyDescent="0.3">
      <c r="A17" s="5" t="s">
        <v>268</v>
      </c>
      <c r="B1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7" s="5">
        <v>2021</v>
      </c>
      <c r="E17" s="5" t="str">
        <f t="shared" si="0"/>
        <v>OAS</v>
      </c>
      <c r="F17" s="128" t="s">
        <v>18</v>
      </c>
      <c r="G17" s="130" t="s">
        <v>283</v>
      </c>
      <c r="H17" s="130" t="s">
        <v>269</v>
      </c>
      <c r="I17" s="126" t="s">
        <v>3</v>
      </c>
      <c r="J17" s="131">
        <v>0</v>
      </c>
      <c r="K17" s="126" t="s">
        <v>235</v>
      </c>
      <c r="L17" s="5"/>
      <c r="M17" s="5"/>
    </row>
    <row r="18" spans="1:13" x14ac:dyDescent="0.3">
      <c r="A18" s="5" t="s">
        <v>63</v>
      </c>
      <c r="B1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8" s="5">
        <v>2021</v>
      </c>
      <c r="E18" s="5" t="str">
        <f t="shared" si="0"/>
        <v>OAS</v>
      </c>
      <c r="F18" s="128" t="s">
        <v>18</v>
      </c>
      <c r="G18" s="130" t="s">
        <v>280</v>
      </c>
      <c r="H18" s="130" t="s">
        <v>18</v>
      </c>
      <c r="I18" s="130" t="s">
        <v>336</v>
      </c>
      <c r="J18" s="131">
        <v>0</v>
      </c>
      <c r="K18" s="126" t="s">
        <v>235</v>
      </c>
      <c r="L18" s="5"/>
      <c r="M18" s="5"/>
    </row>
    <row r="19" spans="1:13" x14ac:dyDescent="0.3">
      <c r="A19" s="5" t="s">
        <v>270</v>
      </c>
      <c r="B1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9" s="5">
        <v>2021</v>
      </c>
      <c r="E19" s="5" t="str">
        <f t="shared" si="0"/>
        <v>OAS</v>
      </c>
      <c r="F19" s="128" t="s">
        <v>18</v>
      </c>
      <c r="G19" s="130" t="s">
        <v>284</v>
      </c>
      <c r="H19" s="130" t="s">
        <v>269</v>
      </c>
      <c r="I19" s="126" t="s">
        <v>3</v>
      </c>
      <c r="J19" s="131">
        <v>0</v>
      </c>
      <c r="K19" s="126" t="s">
        <v>235</v>
      </c>
      <c r="L19" s="5"/>
      <c r="M19" s="5"/>
    </row>
    <row r="20" spans="1:13" x14ac:dyDescent="0.3">
      <c r="A20" s="5" t="s">
        <v>271</v>
      </c>
      <c r="B2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0" s="5">
        <v>2021</v>
      </c>
      <c r="E20" s="5" t="str">
        <f t="shared" si="0"/>
        <v>OAS</v>
      </c>
      <c r="F20" s="128" t="s">
        <v>18</v>
      </c>
      <c r="G20" s="130" t="s">
        <v>285</v>
      </c>
      <c r="H20" s="130" t="s">
        <v>269</v>
      </c>
      <c r="I20" s="126" t="s">
        <v>3</v>
      </c>
      <c r="J20" s="131">
        <v>0</v>
      </c>
      <c r="K20" s="126" t="s">
        <v>235</v>
      </c>
      <c r="L20" s="5"/>
      <c r="M20" s="5"/>
    </row>
    <row r="21" spans="1:13" x14ac:dyDescent="0.3">
      <c r="A21" s="5" t="s">
        <v>64</v>
      </c>
      <c r="B2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1" s="5">
        <v>2021</v>
      </c>
      <c r="E21" s="5" t="str">
        <f t="shared" si="0"/>
        <v>OAS</v>
      </c>
      <c r="F21" s="128" t="s">
        <v>18</v>
      </c>
      <c r="G21" s="130" t="s">
        <v>283</v>
      </c>
      <c r="H21" s="130" t="s">
        <v>18</v>
      </c>
      <c r="I21" s="130" t="s">
        <v>337</v>
      </c>
      <c r="J21" s="131">
        <v>0</v>
      </c>
      <c r="K21" s="126" t="s">
        <v>235</v>
      </c>
      <c r="L21" s="5"/>
      <c r="M21" s="5"/>
    </row>
    <row r="22" spans="1:13" x14ac:dyDescent="0.3">
      <c r="A22" s="5" t="s">
        <v>272</v>
      </c>
      <c r="B2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2" s="5">
        <v>2021</v>
      </c>
      <c r="E22" s="5" t="str">
        <f t="shared" si="0"/>
        <v>OAS</v>
      </c>
      <c r="F22" s="128" t="s">
        <v>18</v>
      </c>
      <c r="G22" s="130" t="s">
        <v>286</v>
      </c>
      <c r="H22" s="130" t="s">
        <v>269</v>
      </c>
      <c r="I22" s="126" t="s">
        <v>3</v>
      </c>
      <c r="J22" s="131">
        <v>0</v>
      </c>
      <c r="K22" s="126" t="s">
        <v>235</v>
      </c>
      <c r="L22" s="5"/>
      <c r="M22" s="5"/>
    </row>
    <row r="23" spans="1:13" x14ac:dyDescent="0.3">
      <c r="A23" s="5" t="s">
        <v>273</v>
      </c>
      <c r="B2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3" s="5">
        <v>2021</v>
      </c>
      <c r="E23" s="5" t="str">
        <f t="shared" si="0"/>
        <v>OAS</v>
      </c>
      <c r="F23" s="128" t="s">
        <v>18</v>
      </c>
      <c r="G23" s="130" t="s">
        <v>287</v>
      </c>
      <c r="H23" s="130" t="s">
        <v>269</v>
      </c>
      <c r="I23" s="126" t="s">
        <v>3</v>
      </c>
      <c r="J23" s="131">
        <v>0</v>
      </c>
      <c r="K23" s="126" t="s">
        <v>235</v>
      </c>
      <c r="L23" s="5"/>
      <c r="M23" s="5"/>
    </row>
    <row r="24" spans="1:13" x14ac:dyDescent="0.3">
      <c r="A24" s="5"/>
      <c r="B24" s="5"/>
      <c r="C24" s="5"/>
      <c r="D24" s="5"/>
      <c r="E24" s="5"/>
      <c r="F24" s="128"/>
      <c r="G24" s="126"/>
      <c r="H24" s="126"/>
      <c r="I24" s="126"/>
      <c r="J24" s="131"/>
      <c r="K24" s="126"/>
      <c r="L24" s="5"/>
      <c r="M24" s="5"/>
    </row>
    <row r="25" spans="1:13" x14ac:dyDescent="0.3">
      <c r="A25" s="5" t="s">
        <v>212</v>
      </c>
      <c r="B2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5" s="5">
        <v>2021</v>
      </c>
      <c r="E25" s="5" t="str">
        <f t="shared" si="0"/>
        <v>OAS</v>
      </c>
      <c r="F25" s="128" t="s">
        <v>18</v>
      </c>
      <c r="G25" s="130" t="s">
        <v>288</v>
      </c>
      <c r="H25" s="130" t="s">
        <v>269</v>
      </c>
      <c r="I25" s="126" t="s">
        <v>3</v>
      </c>
      <c r="J25" s="131">
        <v>0</v>
      </c>
      <c r="K25" s="126" t="s">
        <v>235</v>
      </c>
      <c r="L25" s="5"/>
      <c r="M25" s="5"/>
    </row>
    <row r="26" spans="1:13" x14ac:dyDescent="0.3">
      <c r="A26" s="5"/>
      <c r="B26" s="5"/>
      <c r="C26" s="5"/>
      <c r="D26" s="5"/>
      <c r="E26" s="5"/>
      <c r="F26" s="128"/>
      <c r="G26" s="126"/>
      <c r="H26" s="126"/>
      <c r="I26" s="126"/>
      <c r="J26" s="131"/>
      <c r="K26" s="126"/>
      <c r="L26" s="5"/>
      <c r="M26" s="5"/>
    </row>
    <row r="27" spans="1:13" x14ac:dyDescent="0.3">
      <c r="A27" s="5" t="s">
        <v>66</v>
      </c>
      <c r="B2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7" s="5">
        <v>2021</v>
      </c>
      <c r="E27" s="5" t="str">
        <f t="shared" si="0"/>
        <v>OAS</v>
      </c>
      <c r="F27" s="128" t="s">
        <v>18</v>
      </c>
      <c r="G27" s="130" t="s">
        <v>284</v>
      </c>
      <c r="H27" s="130" t="s">
        <v>18</v>
      </c>
      <c r="I27" s="130" t="s">
        <v>236</v>
      </c>
      <c r="J27" s="131">
        <v>0</v>
      </c>
      <c r="K27" s="126" t="s">
        <v>235</v>
      </c>
      <c r="L27" s="5"/>
      <c r="M27" s="5"/>
    </row>
    <row r="28" spans="1:13" x14ac:dyDescent="0.3">
      <c r="A28" s="5" t="s">
        <v>55</v>
      </c>
      <c r="B2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8" s="5">
        <v>2021</v>
      </c>
      <c r="E28" s="5" t="str">
        <f t="shared" si="0"/>
        <v>OAS</v>
      </c>
      <c r="F28" s="128" t="s">
        <v>18</v>
      </c>
      <c r="G28" s="130" t="s">
        <v>289</v>
      </c>
      <c r="H28" s="130" t="s">
        <v>269</v>
      </c>
      <c r="I28" s="126" t="s">
        <v>3</v>
      </c>
      <c r="J28" s="131">
        <v>0</v>
      </c>
      <c r="K28" s="126" t="s">
        <v>235</v>
      </c>
      <c r="L28" s="5"/>
      <c r="M28" s="5"/>
    </row>
    <row r="29" spans="1:13" x14ac:dyDescent="0.3">
      <c r="A29" s="5" t="s">
        <v>179</v>
      </c>
      <c r="B2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9" s="5">
        <v>2021</v>
      </c>
      <c r="E29" s="5" t="str">
        <f t="shared" si="0"/>
        <v>OAS</v>
      </c>
      <c r="F29" s="128" t="s">
        <v>18</v>
      </c>
      <c r="G29" s="130" t="s">
        <v>290</v>
      </c>
      <c r="H29" s="130" t="s">
        <v>269</v>
      </c>
      <c r="I29" s="126" t="s">
        <v>3</v>
      </c>
      <c r="J29" s="131">
        <v>0</v>
      </c>
      <c r="K29" s="126" t="s">
        <v>235</v>
      </c>
      <c r="L29" s="5"/>
      <c r="M29" s="5"/>
    </row>
    <row r="30" spans="1:13" x14ac:dyDescent="0.3">
      <c r="A30" s="5"/>
      <c r="B30" s="5"/>
      <c r="C30" s="5"/>
      <c r="D30" s="5"/>
      <c r="E30" s="5"/>
      <c r="F30" s="128"/>
      <c r="G30" s="126"/>
      <c r="H30" s="126"/>
      <c r="I30" s="126"/>
      <c r="J30" s="131"/>
      <c r="K30" s="126"/>
      <c r="L30" s="5"/>
      <c r="M30" s="5"/>
    </row>
    <row r="31" spans="1:13" x14ac:dyDescent="0.3">
      <c r="A31" s="5" t="s">
        <v>65</v>
      </c>
      <c r="B3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1" s="5">
        <v>2021</v>
      </c>
      <c r="E31" s="5" t="str">
        <f t="shared" si="0"/>
        <v>OAS</v>
      </c>
      <c r="F31" s="128" t="s">
        <v>18</v>
      </c>
      <c r="G31" s="130" t="s">
        <v>285</v>
      </c>
      <c r="H31" s="130" t="s">
        <v>18</v>
      </c>
      <c r="I31" s="130" t="s">
        <v>341</v>
      </c>
      <c r="J31" s="131">
        <v>0</v>
      </c>
      <c r="K31" s="126" t="s">
        <v>235</v>
      </c>
      <c r="L31" s="5"/>
      <c r="M31" s="5"/>
    </row>
    <row r="32" spans="1:13" x14ac:dyDescent="0.3">
      <c r="A32" s="5" t="s">
        <v>53</v>
      </c>
      <c r="B3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2" s="5">
        <v>2021</v>
      </c>
      <c r="E32" s="5" t="str">
        <f t="shared" si="0"/>
        <v>OAS</v>
      </c>
      <c r="F32" s="128" t="s">
        <v>18</v>
      </c>
      <c r="G32" s="130" t="s">
        <v>291</v>
      </c>
      <c r="H32" s="130" t="s">
        <v>269</v>
      </c>
      <c r="I32" s="126" t="s">
        <v>3</v>
      </c>
      <c r="J32" s="131">
        <v>0</v>
      </c>
      <c r="K32" s="126" t="s">
        <v>235</v>
      </c>
      <c r="L32" s="5"/>
      <c r="M32" s="5"/>
    </row>
    <row r="33" spans="1:13" x14ac:dyDescent="0.3">
      <c r="A33" s="5" t="s">
        <v>54</v>
      </c>
      <c r="B3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3" s="5">
        <v>2021</v>
      </c>
      <c r="E33" s="5" t="str">
        <f t="shared" si="0"/>
        <v>OAS</v>
      </c>
      <c r="F33" s="128" t="s">
        <v>18</v>
      </c>
      <c r="G33" s="130" t="s">
        <v>292</v>
      </c>
      <c r="H33" s="130" t="s">
        <v>269</v>
      </c>
      <c r="I33" s="126" t="s">
        <v>3</v>
      </c>
      <c r="J33" s="131">
        <v>0</v>
      </c>
      <c r="K33" s="126" t="s">
        <v>235</v>
      </c>
      <c r="L33" s="5"/>
      <c r="M33" s="5"/>
    </row>
    <row r="34" spans="1:13" x14ac:dyDescent="0.3">
      <c r="A34" s="5"/>
      <c r="B34" s="5"/>
      <c r="C34" s="5"/>
      <c r="D34" s="5"/>
      <c r="E34" s="5"/>
      <c r="F34" s="128"/>
      <c r="G34" s="126"/>
      <c r="H34" s="126"/>
      <c r="I34" s="126"/>
      <c r="J34" s="131"/>
      <c r="K34" s="126"/>
      <c r="L34" s="5"/>
      <c r="M34" s="5"/>
    </row>
    <row r="35" spans="1:13" x14ac:dyDescent="0.3">
      <c r="A35" s="5" t="s">
        <v>47</v>
      </c>
      <c r="B3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5" s="5">
        <v>2021</v>
      </c>
      <c r="E35" s="5" t="str">
        <f t="shared" si="0"/>
        <v>OAS</v>
      </c>
      <c r="F35" s="128" t="s">
        <v>18</v>
      </c>
      <c r="G35" s="130" t="s">
        <v>293</v>
      </c>
      <c r="H35" s="130" t="s">
        <v>269</v>
      </c>
      <c r="I35" s="126" t="s">
        <v>3</v>
      </c>
      <c r="J35" s="131">
        <v>0</v>
      </c>
      <c r="K35" s="126" t="s">
        <v>235</v>
      </c>
      <c r="L35" s="5"/>
      <c r="M35" s="5"/>
    </row>
    <row r="36" spans="1:13" x14ac:dyDescent="0.3">
      <c r="A36" s="5"/>
      <c r="B36" s="5"/>
      <c r="C36" s="5"/>
      <c r="D36" s="5"/>
      <c r="E36" s="5"/>
      <c r="F36" s="128"/>
      <c r="G36" s="126"/>
      <c r="H36" s="126"/>
      <c r="I36" s="126"/>
      <c r="J36" s="131"/>
      <c r="K36" s="126"/>
      <c r="L36" s="5"/>
      <c r="M36" s="5"/>
    </row>
    <row r="37" spans="1:13" x14ac:dyDescent="0.3">
      <c r="A37" s="5" t="s">
        <v>48</v>
      </c>
      <c r="B3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7" s="5">
        <v>2021</v>
      </c>
      <c r="E37" s="5" t="str">
        <f t="shared" si="0"/>
        <v>OAS</v>
      </c>
      <c r="F37" s="128" t="s">
        <v>18</v>
      </c>
      <c r="G37" s="130" t="s">
        <v>286</v>
      </c>
      <c r="H37" s="130" t="s">
        <v>18</v>
      </c>
      <c r="I37" s="130" t="s">
        <v>362</v>
      </c>
      <c r="J37" s="131">
        <v>0</v>
      </c>
      <c r="K37" s="126" t="s">
        <v>235</v>
      </c>
      <c r="L37" s="5"/>
      <c r="M37" s="5"/>
    </row>
    <row r="38" spans="1:13" x14ac:dyDescent="0.3">
      <c r="A38" s="5" t="s">
        <v>274</v>
      </c>
      <c r="B3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8" s="5">
        <v>2021</v>
      </c>
      <c r="E38" s="5" t="str">
        <f t="shared" si="0"/>
        <v>OAS</v>
      </c>
      <c r="F38" s="128" t="s">
        <v>18</v>
      </c>
      <c r="G38" s="130" t="s">
        <v>294</v>
      </c>
      <c r="H38" s="130" t="s">
        <v>269</v>
      </c>
      <c r="I38" s="126" t="s">
        <v>3</v>
      </c>
      <c r="J38" s="131">
        <v>0</v>
      </c>
      <c r="K38" s="126" t="s">
        <v>235</v>
      </c>
      <c r="L38" s="5"/>
      <c r="M38" s="5"/>
    </row>
    <row r="39" spans="1:13" x14ac:dyDescent="0.3">
      <c r="A39" s="5" t="s">
        <v>275</v>
      </c>
      <c r="B3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9" s="5">
        <v>2021</v>
      </c>
      <c r="E39" s="5" t="str">
        <f t="shared" si="0"/>
        <v>OAS</v>
      </c>
      <c r="F39" s="128" t="s">
        <v>18</v>
      </c>
      <c r="G39" s="130" t="s">
        <v>295</v>
      </c>
      <c r="H39" s="130" t="s">
        <v>269</v>
      </c>
      <c r="I39" s="126" t="s">
        <v>3</v>
      </c>
      <c r="J39" s="131">
        <v>0</v>
      </c>
      <c r="K39" s="126" t="s">
        <v>235</v>
      </c>
      <c r="L39" s="5"/>
      <c r="M39" s="5"/>
    </row>
    <row r="40" spans="1:13" x14ac:dyDescent="0.3">
      <c r="A40" s="5"/>
      <c r="B40" s="5"/>
      <c r="C40" s="5"/>
      <c r="D40" s="5"/>
      <c r="E40" s="5"/>
      <c r="F40" s="128"/>
      <c r="G40" s="126"/>
      <c r="H40" s="126"/>
      <c r="I40" s="126"/>
      <c r="J40" s="131"/>
      <c r="K40" s="126"/>
      <c r="L40" s="5"/>
      <c r="M40" s="5"/>
    </row>
    <row r="41" spans="1:13" x14ac:dyDescent="0.3">
      <c r="A41" s="5" t="s">
        <v>49</v>
      </c>
      <c r="B4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1" s="5">
        <v>2021</v>
      </c>
      <c r="E41" s="5" t="str">
        <f t="shared" si="0"/>
        <v>OAS</v>
      </c>
      <c r="F41" s="128" t="s">
        <v>18</v>
      </c>
      <c r="G41" s="130" t="s">
        <v>296</v>
      </c>
      <c r="H41" s="130" t="s">
        <v>269</v>
      </c>
      <c r="I41" s="126" t="s">
        <v>3</v>
      </c>
      <c r="J41" s="131">
        <v>0</v>
      </c>
      <c r="K41" s="126" t="s">
        <v>235</v>
      </c>
      <c r="L41" s="5"/>
      <c r="M41" s="5"/>
    </row>
    <row r="42" spans="1:13" x14ac:dyDescent="0.3">
      <c r="A42" s="5"/>
      <c r="B42" s="5"/>
      <c r="C42" s="5"/>
      <c r="D42" s="5"/>
      <c r="E42" s="5"/>
      <c r="F42" s="128"/>
      <c r="G42" s="126"/>
      <c r="H42" s="126"/>
      <c r="I42" s="126"/>
      <c r="J42" s="131"/>
      <c r="K42" s="126"/>
      <c r="L42" s="5"/>
      <c r="M42" s="5"/>
    </row>
    <row r="43" spans="1:13" x14ac:dyDescent="0.3">
      <c r="A43" s="5" t="s">
        <v>52</v>
      </c>
      <c r="B4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3" s="5">
        <v>2021</v>
      </c>
      <c r="E43" s="5" t="str">
        <f t="shared" si="0"/>
        <v>OAS</v>
      </c>
      <c r="F43" s="128" t="s">
        <v>18</v>
      </c>
      <c r="G43" s="130" t="s">
        <v>287</v>
      </c>
      <c r="H43" s="130" t="s">
        <v>18</v>
      </c>
      <c r="I43" s="130" t="s">
        <v>363</v>
      </c>
      <c r="J43" s="131">
        <v>0</v>
      </c>
      <c r="K43" s="126" t="s">
        <v>235</v>
      </c>
      <c r="L43" s="5"/>
      <c r="M43" s="5"/>
    </row>
    <row r="44" spans="1:13" x14ac:dyDescent="0.3">
      <c r="A44" s="5" t="s">
        <v>44</v>
      </c>
      <c r="B4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4" s="5">
        <v>2021</v>
      </c>
      <c r="E44" s="5" t="str">
        <f t="shared" si="0"/>
        <v>OAS</v>
      </c>
      <c r="F44" s="128" t="s">
        <v>18</v>
      </c>
      <c r="G44" s="130" t="s">
        <v>297</v>
      </c>
      <c r="H44" s="130" t="s">
        <v>269</v>
      </c>
      <c r="I44" s="126" t="s">
        <v>3</v>
      </c>
      <c r="J44" s="131">
        <v>0</v>
      </c>
      <c r="K44" s="126" t="s">
        <v>235</v>
      </c>
      <c r="L44" s="5"/>
      <c r="M44" s="5"/>
    </row>
    <row r="45" spans="1:13" x14ac:dyDescent="0.3">
      <c r="A45" s="5" t="s">
        <v>45</v>
      </c>
      <c r="B4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5" s="5">
        <v>2021</v>
      </c>
      <c r="E45" s="5" t="str">
        <f t="shared" si="0"/>
        <v>OAS</v>
      </c>
      <c r="F45" s="128" t="s">
        <v>18</v>
      </c>
      <c r="G45" s="130" t="s">
        <v>298</v>
      </c>
      <c r="H45" s="130" t="s">
        <v>269</v>
      </c>
      <c r="I45" s="126" t="s">
        <v>3</v>
      </c>
      <c r="J45" s="131">
        <v>0</v>
      </c>
      <c r="K45" s="126" t="s">
        <v>235</v>
      </c>
      <c r="L45" s="5"/>
      <c r="M45" s="5"/>
    </row>
    <row r="46" spans="1:13" x14ac:dyDescent="0.3">
      <c r="A46" s="5" t="s">
        <v>76</v>
      </c>
      <c r="B4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6" s="5">
        <v>2021</v>
      </c>
      <c r="E46" s="5" t="str">
        <f t="shared" si="0"/>
        <v>OAS</v>
      </c>
      <c r="F46" s="128" t="s">
        <v>18</v>
      </c>
      <c r="G46" s="130" t="s">
        <v>299</v>
      </c>
      <c r="H46" s="130" t="s">
        <v>269</v>
      </c>
      <c r="I46" s="126" t="s">
        <v>3</v>
      </c>
      <c r="J46" s="131">
        <v>0</v>
      </c>
      <c r="K46" s="126" t="s">
        <v>235</v>
      </c>
      <c r="L46" s="5"/>
      <c r="M46" s="5"/>
    </row>
    <row r="47" spans="1:13" x14ac:dyDescent="0.3">
      <c r="A47" s="5" t="s">
        <v>281</v>
      </c>
      <c r="B4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7" s="5">
        <v>2021</v>
      </c>
      <c r="E47" s="5" t="str">
        <f t="shared" si="0"/>
        <v>OAS</v>
      </c>
      <c r="F47" s="128" t="s">
        <v>18</v>
      </c>
      <c r="G47" s="130" t="s">
        <v>288</v>
      </c>
      <c r="H47" s="130" t="s">
        <v>18</v>
      </c>
      <c r="I47" s="130" t="s">
        <v>364</v>
      </c>
      <c r="J47" s="131">
        <v>0</v>
      </c>
      <c r="K47" s="126" t="s">
        <v>235</v>
      </c>
      <c r="L47" s="5"/>
      <c r="M47" s="5"/>
    </row>
    <row r="48" spans="1:13" x14ac:dyDescent="0.3">
      <c r="A48" s="5" t="s">
        <v>180</v>
      </c>
      <c r="B4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8" s="5">
        <v>2021</v>
      </c>
      <c r="E48" s="5" t="str">
        <f t="shared" si="0"/>
        <v>OAS</v>
      </c>
      <c r="F48" s="128" t="s">
        <v>18</v>
      </c>
      <c r="G48" s="130" t="s">
        <v>300</v>
      </c>
      <c r="H48" s="130" t="s">
        <v>269</v>
      </c>
      <c r="I48" s="126" t="s">
        <v>3</v>
      </c>
      <c r="J48" s="131">
        <v>0</v>
      </c>
      <c r="K48" s="126" t="s">
        <v>235</v>
      </c>
      <c r="L48" s="5"/>
      <c r="M48" s="5"/>
    </row>
    <row r="49" spans="1:13" x14ac:dyDescent="0.3">
      <c r="A49" s="5" t="s">
        <v>209</v>
      </c>
      <c r="B4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9" s="5">
        <v>2021</v>
      </c>
      <c r="E49" s="5" t="str">
        <f t="shared" si="0"/>
        <v>OAS</v>
      </c>
      <c r="F49" s="128" t="s">
        <v>18</v>
      </c>
      <c r="G49" s="130" t="s">
        <v>301</v>
      </c>
      <c r="H49" s="130" t="s">
        <v>269</v>
      </c>
      <c r="I49" s="126" t="s">
        <v>3</v>
      </c>
      <c r="J49" s="131">
        <v>0</v>
      </c>
      <c r="K49" s="126" t="s">
        <v>235</v>
      </c>
      <c r="L49" s="5"/>
      <c r="M49" s="5"/>
    </row>
    <row r="50" spans="1:13" x14ac:dyDescent="0.3">
      <c r="A50" s="5" t="s">
        <v>75</v>
      </c>
      <c r="B5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0" s="5">
        <v>2021</v>
      </c>
      <c r="E50" s="5" t="str">
        <f t="shared" si="0"/>
        <v>OAS</v>
      </c>
      <c r="F50" s="128" t="s">
        <v>18</v>
      </c>
      <c r="G50" s="130" t="s">
        <v>302</v>
      </c>
      <c r="H50" s="130" t="s">
        <v>269</v>
      </c>
      <c r="I50" s="126" t="s">
        <v>3</v>
      </c>
      <c r="J50" s="131">
        <v>0</v>
      </c>
      <c r="K50" s="126" t="s">
        <v>235</v>
      </c>
      <c r="L50" s="5"/>
      <c r="M50" s="5"/>
    </row>
    <row r="51" spans="1:13" x14ac:dyDescent="0.3">
      <c r="A51" s="5"/>
      <c r="B51" s="5"/>
      <c r="C51" s="5"/>
      <c r="D51" s="5"/>
      <c r="E51" s="5"/>
      <c r="F51" s="128"/>
      <c r="G51" s="126"/>
      <c r="H51" s="126"/>
      <c r="I51" s="126"/>
      <c r="J51" s="131"/>
      <c r="K51" s="126"/>
      <c r="L51" s="5"/>
      <c r="M51" s="5"/>
    </row>
    <row r="52" spans="1:13" x14ac:dyDescent="0.3">
      <c r="A52" s="5" t="s">
        <v>42</v>
      </c>
      <c r="B5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2" s="5">
        <v>2021</v>
      </c>
      <c r="E52" s="5" t="str">
        <f t="shared" si="0"/>
        <v>OAS</v>
      </c>
      <c r="F52" s="128" t="s">
        <v>18</v>
      </c>
      <c r="G52" s="130" t="s">
        <v>289</v>
      </c>
      <c r="H52" s="130" t="s">
        <v>18</v>
      </c>
      <c r="I52" s="130" t="s">
        <v>365</v>
      </c>
      <c r="J52" s="131">
        <v>0</v>
      </c>
      <c r="K52" s="126" t="s">
        <v>235</v>
      </c>
      <c r="L52" s="5"/>
      <c r="M52" s="5"/>
    </row>
    <row r="53" spans="1:13" x14ac:dyDescent="0.3">
      <c r="A53" s="5" t="s">
        <v>70</v>
      </c>
      <c r="B5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3" s="5">
        <v>2021</v>
      </c>
      <c r="E53" s="5" t="str">
        <f t="shared" si="0"/>
        <v>OAS</v>
      </c>
      <c r="F53" s="128" t="s">
        <v>18</v>
      </c>
      <c r="G53" s="130" t="s">
        <v>303</v>
      </c>
      <c r="H53" s="130" t="s">
        <v>269</v>
      </c>
      <c r="I53" s="126" t="s">
        <v>3</v>
      </c>
      <c r="J53" s="131">
        <v>0</v>
      </c>
      <c r="K53" s="126" t="s">
        <v>235</v>
      </c>
      <c r="L53" s="5"/>
      <c r="M53" s="5"/>
    </row>
    <row r="54" spans="1:13" x14ac:dyDescent="0.3">
      <c r="A54" s="5" t="s">
        <v>71</v>
      </c>
      <c r="B5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4" s="5">
        <v>2021</v>
      </c>
      <c r="E54" s="5" t="str">
        <f t="shared" si="0"/>
        <v>OAS</v>
      </c>
      <c r="F54" s="128" t="s">
        <v>18</v>
      </c>
      <c r="G54" s="130" t="s">
        <v>304</v>
      </c>
      <c r="H54" s="130" t="s">
        <v>269</v>
      </c>
      <c r="I54" s="126" t="s">
        <v>3</v>
      </c>
      <c r="J54" s="131">
        <v>0</v>
      </c>
      <c r="K54" s="126" t="s">
        <v>235</v>
      </c>
      <c r="L54" s="5"/>
      <c r="M54" s="5"/>
    </row>
    <row r="55" spans="1:13" x14ac:dyDescent="0.3">
      <c r="A55" s="5" t="s">
        <v>72</v>
      </c>
      <c r="B5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5" s="5">
        <v>2021</v>
      </c>
      <c r="E55" s="5" t="str">
        <f t="shared" si="0"/>
        <v>OAS</v>
      </c>
      <c r="F55" s="128" t="s">
        <v>18</v>
      </c>
      <c r="G55" s="130" t="s">
        <v>305</v>
      </c>
      <c r="H55" s="130" t="s">
        <v>269</v>
      </c>
      <c r="I55" s="126" t="s">
        <v>3</v>
      </c>
      <c r="J55" s="131">
        <v>0</v>
      </c>
      <c r="K55" s="126" t="s">
        <v>235</v>
      </c>
      <c r="L55" s="5"/>
      <c r="M55" s="5"/>
    </row>
    <row r="56" spans="1:13" x14ac:dyDescent="0.3">
      <c r="A56" s="5" t="s">
        <v>77</v>
      </c>
      <c r="B5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6" s="5">
        <v>2021</v>
      </c>
      <c r="E56" s="5" t="str">
        <f t="shared" si="0"/>
        <v>OAS</v>
      </c>
      <c r="F56" s="128" t="s">
        <v>18</v>
      </c>
      <c r="G56" s="130" t="s">
        <v>306</v>
      </c>
      <c r="H56" s="130" t="s">
        <v>269</v>
      </c>
      <c r="I56" s="126" t="s">
        <v>3</v>
      </c>
      <c r="J56" s="131">
        <v>0</v>
      </c>
      <c r="K56" s="126" t="s">
        <v>235</v>
      </c>
      <c r="L56" s="5"/>
      <c r="M56" s="5"/>
    </row>
    <row r="57" spans="1:13" x14ac:dyDescent="0.3">
      <c r="A57" s="5"/>
      <c r="B57" s="5"/>
      <c r="C57" s="5"/>
      <c r="D57" s="5"/>
      <c r="E57" s="5"/>
      <c r="F57" s="128"/>
      <c r="G57" s="126"/>
      <c r="H57" s="126"/>
      <c r="I57" s="126"/>
      <c r="J57" s="131"/>
      <c r="K57" s="126"/>
      <c r="L57" s="5"/>
      <c r="M57" s="5"/>
    </row>
    <row r="58" spans="1:13" x14ac:dyDescent="0.3">
      <c r="A58" s="5" t="s">
        <v>43</v>
      </c>
      <c r="B5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-5.0953096040000005</v>
      </c>
      <c r="C5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8" s="5">
        <v>2021</v>
      </c>
      <c r="E58" s="5" t="str">
        <f t="shared" si="0"/>
        <v>OAS</v>
      </c>
      <c r="F58" s="128" t="s">
        <v>18</v>
      </c>
      <c r="G58" s="130" t="s">
        <v>307</v>
      </c>
      <c r="H58" s="130" t="s">
        <v>269</v>
      </c>
      <c r="I58" s="126" t="s">
        <v>3</v>
      </c>
      <c r="J58" s="131">
        <f>(woodflow!N296+'faostat-data'!Q116-'faostat-data'!Q115)*(-1)</f>
        <v>-5.0953096040000005</v>
      </c>
      <c r="K58" s="126" t="s">
        <v>556</v>
      </c>
      <c r="L58" s="126" t="s">
        <v>239</v>
      </c>
      <c r="M58" s="5"/>
    </row>
    <row r="59" spans="1:13" x14ac:dyDescent="0.3">
      <c r="A59" s="5"/>
      <c r="B59" s="5"/>
      <c r="C59" s="5"/>
      <c r="D59" s="5"/>
      <c r="E59" s="5"/>
      <c r="F59" s="128"/>
      <c r="G59" s="126"/>
      <c r="H59" s="126"/>
      <c r="I59" s="126"/>
      <c r="J59" s="131"/>
      <c r="K59" s="126"/>
      <c r="L59" s="5"/>
      <c r="M59" s="5"/>
    </row>
    <row r="60" spans="1:13" x14ac:dyDescent="0.3">
      <c r="A60" s="5" t="s">
        <v>50</v>
      </c>
      <c r="B6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0" s="5">
        <v>2021</v>
      </c>
      <c r="E60" s="5" t="str">
        <f t="shared" si="0"/>
        <v>OAS</v>
      </c>
      <c r="F60" s="128" t="s">
        <v>18</v>
      </c>
      <c r="G60" s="130" t="s">
        <v>290</v>
      </c>
      <c r="H60" s="130" t="s">
        <v>18</v>
      </c>
      <c r="I60" s="130" t="s">
        <v>366</v>
      </c>
      <c r="J60" s="131">
        <v>0</v>
      </c>
      <c r="K60" s="126" t="s">
        <v>235</v>
      </c>
      <c r="L60" s="5"/>
      <c r="M60" s="5"/>
    </row>
    <row r="61" spans="1:13" x14ac:dyDescent="0.3">
      <c r="A61" s="5" t="s">
        <v>78</v>
      </c>
      <c r="B6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1" s="5">
        <v>2021</v>
      </c>
      <c r="E61" s="5" t="str">
        <f t="shared" si="0"/>
        <v>OAS</v>
      </c>
      <c r="F61" s="128" t="s">
        <v>18</v>
      </c>
      <c r="G61" s="130" t="s">
        <v>308</v>
      </c>
      <c r="H61" s="130" t="s">
        <v>269</v>
      </c>
      <c r="I61" s="126" t="s">
        <v>3</v>
      </c>
      <c r="J61" s="131">
        <v>0</v>
      </c>
      <c r="K61" s="126" t="s">
        <v>235</v>
      </c>
      <c r="L61" s="5"/>
      <c r="M61" s="5"/>
    </row>
    <row r="62" spans="1:13" x14ac:dyDescent="0.3">
      <c r="A62" s="5" t="s">
        <v>79</v>
      </c>
      <c r="B6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2" s="5">
        <v>2021</v>
      </c>
      <c r="E62" s="5" t="str">
        <f t="shared" si="0"/>
        <v>OAS</v>
      </c>
      <c r="F62" s="128" t="s">
        <v>18</v>
      </c>
      <c r="G62" s="130" t="s">
        <v>309</v>
      </c>
      <c r="H62" s="130" t="s">
        <v>269</v>
      </c>
      <c r="I62" s="126" t="s">
        <v>3</v>
      </c>
      <c r="J62" s="131">
        <v>0</v>
      </c>
      <c r="K62" s="126" t="s">
        <v>235</v>
      </c>
      <c r="L62" s="5"/>
      <c r="M62" s="5"/>
    </row>
    <row r="63" spans="1:13" x14ac:dyDescent="0.3">
      <c r="A63" s="5" t="s">
        <v>67</v>
      </c>
      <c r="B6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3" s="5">
        <v>2021</v>
      </c>
      <c r="E63" s="5" t="str">
        <f>$E$2</f>
        <v>OAS</v>
      </c>
      <c r="F63" s="128" t="s">
        <v>18</v>
      </c>
      <c r="G63" s="130" t="s">
        <v>310</v>
      </c>
      <c r="H63" s="130" t="s">
        <v>269</v>
      </c>
      <c r="I63" s="126" t="s">
        <v>3</v>
      </c>
      <c r="J63" s="131">
        <v>0</v>
      </c>
      <c r="K63" s="126" t="s">
        <v>235</v>
      </c>
      <c r="L63" s="5"/>
      <c r="M63" s="5"/>
    </row>
    <row r="64" spans="1:13" x14ac:dyDescent="0.3">
      <c r="A64" s="5" t="s">
        <v>68</v>
      </c>
      <c r="B6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4" s="5">
        <v>2021</v>
      </c>
      <c r="E64" s="5" t="str">
        <f t="shared" si="0"/>
        <v>OAS</v>
      </c>
      <c r="F64" s="128" t="s">
        <v>18</v>
      </c>
      <c r="G64" s="130" t="s">
        <v>311</v>
      </c>
      <c r="H64" s="130" t="s">
        <v>269</v>
      </c>
      <c r="I64" s="126" t="s">
        <v>3</v>
      </c>
      <c r="J64" s="131">
        <v>0</v>
      </c>
      <c r="K64" s="126" t="s">
        <v>235</v>
      </c>
      <c r="L64" s="5"/>
      <c r="M64" s="5"/>
    </row>
    <row r="65" spans="1:16" x14ac:dyDescent="0.3">
      <c r="A65" s="5" t="s">
        <v>69</v>
      </c>
      <c r="B6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5" s="5">
        <v>2021</v>
      </c>
      <c r="E65" s="5" t="str">
        <f t="shared" si="0"/>
        <v>OAS</v>
      </c>
      <c r="F65" s="128" t="s">
        <v>18</v>
      </c>
      <c r="G65" s="130" t="s">
        <v>312</v>
      </c>
      <c r="H65" s="130" t="s">
        <v>269</v>
      </c>
      <c r="I65" s="126" t="s">
        <v>3</v>
      </c>
      <c r="J65" s="131">
        <v>0</v>
      </c>
      <c r="K65" s="126" t="s">
        <v>235</v>
      </c>
      <c r="L65" s="5"/>
      <c r="M65" s="5"/>
    </row>
    <row r="66" spans="1:16" x14ac:dyDescent="0.3">
      <c r="A66" s="5"/>
      <c r="B66" s="5"/>
      <c r="C66" s="5"/>
      <c r="D66" s="5"/>
      <c r="E66" s="5"/>
      <c r="F66" s="128"/>
      <c r="G66" s="126"/>
      <c r="H66" s="126"/>
      <c r="I66" s="126"/>
      <c r="J66" s="131"/>
      <c r="K66" s="126"/>
      <c r="L66" s="5"/>
      <c r="M66" s="5"/>
    </row>
    <row r="67" spans="1:16" x14ac:dyDescent="0.3">
      <c r="A67" s="5" t="s">
        <v>51</v>
      </c>
      <c r="B6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7" s="5">
        <v>2021</v>
      </c>
      <c r="E67" s="5" t="str">
        <f t="shared" si="0"/>
        <v>OAS</v>
      </c>
      <c r="F67" s="128" t="s">
        <v>18</v>
      </c>
      <c r="G67" s="130" t="s">
        <v>291</v>
      </c>
      <c r="H67" s="130" t="s">
        <v>18</v>
      </c>
      <c r="I67" s="130" t="s">
        <v>367</v>
      </c>
      <c r="J67" s="131">
        <v>0</v>
      </c>
      <c r="K67" s="126" t="s">
        <v>235</v>
      </c>
      <c r="L67" s="5"/>
      <c r="M67" s="5"/>
    </row>
    <row r="68" spans="1:16" x14ac:dyDescent="0.3">
      <c r="A68" s="5" t="s">
        <v>36</v>
      </c>
      <c r="B6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8" s="5">
        <v>2021</v>
      </c>
      <c r="E68" s="5" t="str">
        <f t="shared" ref="E68:E110" si="1">$E$2</f>
        <v>OAS</v>
      </c>
      <c r="F68" s="128" t="s">
        <v>18</v>
      </c>
      <c r="G68" s="130" t="s">
        <v>313</v>
      </c>
      <c r="H68" s="130" t="s">
        <v>269</v>
      </c>
      <c r="I68" s="126" t="s">
        <v>3</v>
      </c>
      <c r="J68" s="131">
        <v>0</v>
      </c>
      <c r="K68" s="126" t="s">
        <v>235</v>
      </c>
      <c r="L68" s="5"/>
      <c r="M68" s="5"/>
    </row>
    <row r="69" spans="1:16" x14ac:dyDescent="0.3">
      <c r="A69" s="5" t="s">
        <v>37</v>
      </c>
      <c r="B6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9" s="5">
        <v>2021</v>
      </c>
      <c r="E69" s="5" t="str">
        <f t="shared" si="1"/>
        <v>OAS</v>
      </c>
      <c r="F69" s="128" t="s">
        <v>18</v>
      </c>
      <c r="G69" s="130" t="s">
        <v>314</v>
      </c>
      <c r="H69" s="130" t="s">
        <v>269</v>
      </c>
      <c r="I69" s="126" t="s">
        <v>3</v>
      </c>
      <c r="J69" s="131">
        <v>0</v>
      </c>
      <c r="K69" s="126" t="s">
        <v>235</v>
      </c>
      <c r="L69" s="5"/>
      <c r="M69" s="5"/>
    </row>
    <row r="70" spans="1:16" x14ac:dyDescent="0.3">
      <c r="A70" s="5" t="s">
        <v>282</v>
      </c>
      <c r="B7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0" s="5">
        <v>2021</v>
      </c>
      <c r="E70" s="5" t="str">
        <f t="shared" si="1"/>
        <v>OAS</v>
      </c>
      <c r="F70" s="128" t="s">
        <v>18</v>
      </c>
      <c r="G70" s="130" t="s">
        <v>292</v>
      </c>
      <c r="H70" s="130" t="s">
        <v>18</v>
      </c>
      <c r="I70" s="130" t="s">
        <v>370</v>
      </c>
      <c r="J70" s="131">
        <v>0</v>
      </c>
      <c r="K70" s="126" t="s">
        <v>235</v>
      </c>
      <c r="L70" s="5"/>
      <c r="M70" s="5"/>
    </row>
    <row r="71" spans="1:16" x14ac:dyDescent="0.3">
      <c r="A71" s="5" t="s">
        <v>39</v>
      </c>
      <c r="B7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1" s="5">
        <v>2021</v>
      </c>
      <c r="E71" s="5" t="str">
        <f t="shared" si="1"/>
        <v>OAS</v>
      </c>
      <c r="F71" s="128" t="s">
        <v>18</v>
      </c>
      <c r="G71" s="130" t="s">
        <v>315</v>
      </c>
      <c r="H71" s="130" t="s">
        <v>269</v>
      </c>
      <c r="I71" s="126" t="s">
        <v>3</v>
      </c>
      <c r="J71" s="131">
        <v>0</v>
      </c>
      <c r="K71" s="126" t="s">
        <v>235</v>
      </c>
      <c r="L71" s="5"/>
      <c r="M71" s="5"/>
    </row>
    <row r="72" spans="1:16" x14ac:dyDescent="0.3">
      <c r="A72" s="5" t="s">
        <v>40</v>
      </c>
      <c r="B7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2" s="5">
        <v>2021</v>
      </c>
      <c r="E72" s="5" t="str">
        <f t="shared" si="1"/>
        <v>OAS</v>
      </c>
      <c r="F72" s="128" t="s">
        <v>18</v>
      </c>
      <c r="G72" s="130" t="s">
        <v>316</v>
      </c>
      <c r="H72" s="130" t="s">
        <v>269</v>
      </c>
      <c r="I72" s="126" t="s">
        <v>3</v>
      </c>
      <c r="J72" s="131">
        <v>0</v>
      </c>
      <c r="K72" s="126" t="s">
        <v>235</v>
      </c>
      <c r="L72" s="5"/>
      <c r="M72" s="5"/>
    </row>
    <row r="73" spans="1:16" x14ac:dyDescent="0.3">
      <c r="A73" s="5" t="s">
        <v>41</v>
      </c>
      <c r="B7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3" s="5">
        <v>2021</v>
      </c>
      <c r="E73" s="5" t="str">
        <f t="shared" si="1"/>
        <v>OAS</v>
      </c>
      <c r="F73" s="128" t="s">
        <v>18</v>
      </c>
      <c r="G73" s="130" t="s">
        <v>317</v>
      </c>
      <c r="H73" s="130" t="s">
        <v>269</v>
      </c>
      <c r="I73" s="126" t="s">
        <v>3</v>
      </c>
      <c r="J73" s="131">
        <v>0</v>
      </c>
      <c r="K73" s="126" t="s">
        <v>235</v>
      </c>
      <c r="L73" s="5"/>
      <c r="M73" s="5"/>
    </row>
    <row r="74" spans="1:16" x14ac:dyDescent="0.3">
      <c r="A74" s="5" t="s">
        <v>38</v>
      </c>
      <c r="B7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4" s="5">
        <v>2021</v>
      </c>
      <c r="E74" s="5" t="str">
        <f t="shared" si="1"/>
        <v>OAS</v>
      </c>
      <c r="F74" s="128" t="s">
        <v>18</v>
      </c>
      <c r="G74" s="130" t="s">
        <v>318</v>
      </c>
      <c r="H74" s="130" t="s">
        <v>269</v>
      </c>
      <c r="I74" s="126" t="s">
        <v>3</v>
      </c>
      <c r="J74" s="131">
        <v>0</v>
      </c>
      <c r="K74" s="126" t="s">
        <v>235</v>
      </c>
      <c r="L74" s="5"/>
      <c r="M74" s="5"/>
    </row>
    <row r="75" spans="1:16" x14ac:dyDescent="0.3">
      <c r="A75" s="5"/>
      <c r="B75" s="5"/>
      <c r="C75" s="5"/>
      <c r="D75" s="5"/>
      <c r="E75" s="5"/>
      <c r="F75" s="128"/>
      <c r="G75" s="126"/>
      <c r="H75" s="126"/>
      <c r="I75" s="126"/>
      <c r="J75" s="131"/>
      <c r="K75" s="126"/>
      <c r="L75" s="5"/>
      <c r="M75" s="5"/>
    </row>
    <row r="76" spans="1:16" x14ac:dyDescent="0.3">
      <c r="A76" s="5" t="s">
        <v>59</v>
      </c>
      <c r="B76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6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254.26583422158123</v>
      </c>
      <c r="D76" s="5">
        <v>2021</v>
      </c>
      <c r="E76" s="5" t="str">
        <f t="shared" si="1"/>
        <v>OAS</v>
      </c>
      <c r="F76" s="128" t="s">
        <v>18</v>
      </c>
      <c r="G76" s="130" t="s">
        <v>293</v>
      </c>
      <c r="H76" s="130" t="s">
        <v>18</v>
      </c>
      <c r="I76" s="130" t="s">
        <v>368</v>
      </c>
      <c r="J76" s="131">
        <f>SUM(J77:J83)</f>
        <v>254.26583422158123</v>
      </c>
      <c r="K76" s="126" t="s">
        <v>549</v>
      </c>
      <c r="L76" s="126" t="s">
        <v>239</v>
      </c>
      <c r="M76" s="5"/>
    </row>
    <row r="77" spans="1:16" x14ac:dyDescent="0.3">
      <c r="A77" s="5" t="s">
        <v>409</v>
      </c>
      <c r="B77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7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234.33106939093062</v>
      </c>
      <c r="D77" s="5">
        <v>2021</v>
      </c>
      <c r="E77" s="5" t="str">
        <f t="shared" si="1"/>
        <v>OAS</v>
      </c>
      <c r="F77" s="128" t="s">
        <v>18</v>
      </c>
      <c r="G77" s="130" t="s">
        <v>319</v>
      </c>
      <c r="H77" s="130" t="s">
        <v>269</v>
      </c>
      <c r="I77" s="126" t="s">
        <v>3</v>
      </c>
      <c r="J77" s="131">
        <f>woodflow!N55+woodflow!N56+woodflow!N100+woodflow!N104+woodflow!N158+woodflow!N476</f>
        <v>234.33106939093062</v>
      </c>
      <c r="K77" s="126" t="s">
        <v>549</v>
      </c>
      <c r="L77" s="126" t="s">
        <v>239</v>
      </c>
      <c r="M77" s="5"/>
    </row>
    <row r="78" spans="1:16" x14ac:dyDescent="0.3">
      <c r="A78" s="5" t="s">
        <v>31</v>
      </c>
      <c r="B7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1.0596006202049999</v>
      </c>
      <c r="C7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8" s="5">
        <v>2021</v>
      </c>
      <c r="E78" s="5" t="str">
        <f t="shared" si="1"/>
        <v>OAS</v>
      </c>
      <c r="F78" s="128" t="s">
        <v>18</v>
      </c>
      <c r="G78" s="130" t="s">
        <v>320</v>
      </c>
      <c r="H78" s="130" t="s">
        <v>269</v>
      </c>
      <c r="I78" s="126" t="s">
        <v>3</v>
      </c>
      <c r="J78" s="131">
        <f>woodflow!N314*'supporting-percentages'!B74</f>
        <v>1.0596006202049999</v>
      </c>
      <c r="K78" s="126" t="s">
        <v>556</v>
      </c>
      <c r="L78" s="126" t="s">
        <v>239</v>
      </c>
      <c r="M78" s="5"/>
    </row>
    <row r="79" spans="1:16" x14ac:dyDescent="0.3">
      <c r="A79" s="5" t="s">
        <v>32</v>
      </c>
      <c r="B79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9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2.0679729116748753</v>
      </c>
      <c r="D79" s="5">
        <v>2021</v>
      </c>
      <c r="E79" s="5" t="str">
        <f t="shared" si="1"/>
        <v>OAS</v>
      </c>
      <c r="F79" s="128" t="s">
        <v>18</v>
      </c>
      <c r="G79" s="130" t="s">
        <v>321</v>
      </c>
      <c r="H79" s="130" t="s">
        <v>269</v>
      </c>
      <c r="I79" s="126" t="s">
        <v>3</v>
      </c>
      <c r="J79" s="131">
        <f>(woodflow!N322+woodflow!N336+woodflow!N346)-(woodflow!N379+woodflow!N389)</f>
        <v>2.0679729116748753</v>
      </c>
      <c r="K79" s="126" t="s">
        <v>549</v>
      </c>
      <c r="L79" s="126" t="s">
        <v>239</v>
      </c>
      <c r="M79" s="5"/>
      <c r="P79" s="50"/>
    </row>
    <row r="80" spans="1:16" x14ac:dyDescent="0.3">
      <c r="A80" s="5" t="s">
        <v>33</v>
      </c>
      <c r="B80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0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6.5926920530698911</v>
      </c>
      <c r="D80" s="5">
        <v>2021</v>
      </c>
      <c r="E80" s="5" t="str">
        <f t="shared" si="1"/>
        <v>OAS</v>
      </c>
      <c r="F80" s="128" t="s">
        <v>18</v>
      </c>
      <c r="G80" s="130" t="s">
        <v>322</v>
      </c>
      <c r="H80" s="130" t="s">
        <v>269</v>
      </c>
      <c r="I80" s="126" t="s">
        <v>3</v>
      </c>
      <c r="J80" s="131">
        <f>(woodflow!N107+woodflow!N337+woodflow!N352+woodflow!N358)-woodflow!N380</f>
        <v>6.5926920530698911</v>
      </c>
      <c r="K80" s="126" t="s">
        <v>549</v>
      </c>
      <c r="L80" s="126" t="s">
        <v>239</v>
      </c>
      <c r="M80" s="5"/>
      <c r="O80" s="50"/>
      <c r="P80" s="50"/>
    </row>
    <row r="81" spans="1:13" x14ac:dyDescent="0.3">
      <c r="A81" s="5" t="s">
        <v>34</v>
      </c>
      <c r="B81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1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5.3060383132657796</v>
      </c>
      <c r="D81" s="5">
        <v>2021</v>
      </c>
      <c r="E81" s="5" t="str">
        <f t="shared" si="1"/>
        <v>OAS</v>
      </c>
      <c r="F81" s="128" t="s">
        <v>18</v>
      </c>
      <c r="G81" s="130" t="s">
        <v>323</v>
      </c>
      <c r="H81" s="130" t="s">
        <v>269</v>
      </c>
      <c r="I81" s="126" t="s">
        <v>3</v>
      </c>
      <c r="J81" s="131">
        <f>(woodflow!N108+woodflow!N338+woodflow!N364)-woodflow!N381</f>
        <v>5.3060383132657796</v>
      </c>
      <c r="K81" s="126" t="s">
        <v>549</v>
      </c>
      <c r="L81" s="126" t="s">
        <v>239</v>
      </c>
      <c r="M81" s="5"/>
    </row>
    <row r="82" spans="1:13" x14ac:dyDescent="0.3">
      <c r="A82" s="5" t="s">
        <v>35</v>
      </c>
      <c r="B82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2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1.1619885825000003</v>
      </c>
      <c r="D82" s="5">
        <v>2021</v>
      </c>
      <c r="E82" s="5" t="str">
        <f t="shared" si="1"/>
        <v>OAS</v>
      </c>
      <c r="F82" s="128" t="s">
        <v>18</v>
      </c>
      <c r="G82" s="130" t="s">
        <v>324</v>
      </c>
      <c r="H82" s="130" t="s">
        <v>269</v>
      </c>
      <c r="I82" s="126" t="s">
        <v>3</v>
      </c>
      <c r="J82" s="131">
        <f>woodflow!N311</f>
        <v>1.1619885825000003</v>
      </c>
      <c r="K82" s="126" t="s">
        <v>549</v>
      </c>
      <c r="L82" s="126" t="s">
        <v>239</v>
      </c>
      <c r="M82" s="5"/>
    </row>
    <row r="83" spans="1:13" x14ac:dyDescent="0.3">
      <c r="A83" s="5" t="s">
        <v>57</v>
      </c>
      <c r="B83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3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3.7464723499350567</v>
      </c>
      <c r="D83" s="5">
        <v>2021</v>
      </c>
      <c r="E83" s="5" t="str">
        <f t="shared" si="1"/>
        <v>OAS</v>
      </c>
      <c r="F83" s="128" t="s">
        <v>18</v>
      </c>
      <c r="G83" s="130" t="s">
        <v>325</v>
      </c>
      <c r="H83" s="130" t="s">
        <v>269</v>
      </c>
      <c r="I83" s="126" t="s">
        <v>3</v>
      </c>
      <c r="J83" s="131">
        <f>(woodflow!N110+woodflow!N340+woodflow!N370)-woodflow!N383</f>
        <v>3.7464723499350567</v>
      </c>
      <c r="K83" s="126" t="s">
        <v>549</v>
      </c>
      <c r="L83" s="126" t="s">
        <v>239</v>
      </c>
      <c r="M83" s="5"/>
    </row>
    <row r="84" spans="1:13" x14ac:dyDescent="0.3">
      <c r="A84" s="5"/>
      <c r="B84" s="5"/>
      <c r="C84" s="5"/>
      <c r="D84" s="5"/>
      <c r="E84" s="5"/>
      <c r="F84" s="128"/>
      <c r="G84" s="126"/>
      <c r="H84" s="126"/>
      <c r="I84" s="126"/>
      <c r="J84" s="131"/>
      <c r="K84" s="126"/>
      <c r="L84" s="5"/>
      <c r="M84" s="5"/>
    </row>
    <row r="85" spans="1:13" x14ac:dyDescent="0.3">
      <c r="A85" s="5" t="s">
        <v>58</v>
      </c>
      <c r="B85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5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13.147868650644995</v>
      </c>
      <c r="D85" s="5">
        <v>2021</v>
      </c>
      <c r="E85" s="5" t="str">
        <f t="shared" si="1"/>
        <v>OAS</v>
      </c>
      <c r="F85" s="128" t="s">
        <v>18</v>
      </c>
      <c r="G85" s="130" t="s">
        <v>294</v>
      </c>
      <c r="H85" s="130" t="s">
        <v>18</v>
      </c>
      <c r="I85" s="130" t="s">
        <v>369</v>
      </c>
      <c r="J85" s="131">
        <f>SUM(J86:J91)</f>
        <v>13.147868650644995</v>
      </c>
      <c r="K85" s="126" t="s">
        <v>549</v>
      </c>
      <c r="L85" s="126" t="s">
        <v>239</v>
      </c>
      <c r="M85" s="5"/>
    </row>
    <row r="86" spans="1:13" x14ac:dyDescent="0.3">
      <c r="A86" s="5" t="s">
        <v>29</v>
      </c>
      <c r="B8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6" s="5" t="s">
        <v>19</v>
      </c>
      <c r="E86" s="5" t="str">
        <f t="shared" si="1"/>
        <v>OAS</v>
      </c>
      <c r="F86" s="128" t="s">
        <v>18</v>
      </c>
      <c r="G86" s="130" t="s">
        <v>326</v>
      </c>
      <c r="H86" s="130" t="s">
        <v>269</v>
      </c>
      <c r="I86" s="126" t="s">
        <v>3</v>
      </c>
      <c r="J86" s="131">
        <v>0</v>
      </c>
      <c r="K86" s="126" t="s">
        <v>235</v>
      </c>
      <c r="L86" s="5"/>
      <c r="M86" s="5"/>
    </row>
    <row r="87" spans="1:13" x14ac:dyDescent="0.3">
      <c r="A87" s="5" t="s">
        <v>73</v>
      </c>
      <c r="B8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7" s="5" t="s">
        <v>19</v>
      </c>
      <c r="E87" s="5" t="str">
        <f t="shared" si="1"/>
        <v>OAS</v>
      </c>
      <c r="F87" s="128" t="s">
        <v>18</v>
      </c>
      <c r="G87" s="130" t="s">
        <v>327</v>
      </c>
      <c r="H87" s="130" t="s">
        <v>269</v>
      </c>
      <c r="I87" s="126" t="s">
        <v>3</v>
      </c>
      <c r="J87" s="131">
        <v>0</v>
      </c>
      <c r="K87" s="126" t="s">
        <v>235</v>
      </c>
      <c r="L87" s="5"/>
      <c r="M87" s="5"/>
    </row>
    <row r="88" spans="1:13" x14ac:dyDescent="0.3">
      <c r="A88" s="5" t="s">
        <v>30</v>
      </c>
      <c r="B8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8" s="5" t="s">
        <v>19</v>
      </c>
      <c r="E88" s="5" t="str">
        <f t="shared" si="1"/>
        <v>OAS</v>
      </c>
      <c r="F88" s="128" t="s">
        <v>18</v>
      </c>
      <c r="G88" s="130" t="s">
        <v>328</v>
      </c>
      <c r="H88" s="130" t="s">
        <v>269</v>
      </c>
      <c r="I88" s="126" t="s">
        <v>3</v>
      </c>
      <c r="J88" s="131">
        <v>0</v>
      </c>
      <c r="K88" s="126" t="s">
        <v>235</v>
      </c>
      <c r="L88" s="5"/>
      <c r="M88" s="5"/>
    </row>
    <row r="89" spans="1:13" x14ac:dyDescent="0.3">
      <c r="A89" s="5" t="s">
        <v>80</v>
      </c>
      <c r="B8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9" s="5" t="s">
        <v>19</v>
      </c>
      <c r="E89" s="5" t="str">
        <f t="shared" si="1"/>
        <v>OAS</v>
      </c>
      <c r="F89" s="128" t="s">
        <v>18</v>
      </c>
      <c r="G89" s="130" t="s">
        <v>329</v>
      </c>
      <c r="H89" s="130" t="s">
        <v>269</v>
      </c>
      <c r="I89" s="126" t="s">
        <v>3</v>
      </c>
      <c r="J89" s="131">
        <v>0</v>
      </c>
      <c r="K89" s="126" t="s">
        <v>235</v>
      </c>
      <c r="L89" s="5"/>
      <c r="M89" s="5"/>
    </row>
    <row r="90" spans="1:13" x14ac:dyDescent="0.3">
      <c r="A90" s="5" t="s">
        <v>242</v>
      </c>
      <c r="B9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0" s="5">
        <v>2021</v>
      </c>
      <c r="E90" s="5" t="str">
        <f t="shared" si="1"/>
        <v>OAS</v>
      </c>
      <c r="F90" s="128" t="s">
        <v>18</v>
      </c>
      <c r="G90" s="130" t="s">
        <v>330</v>
      </c>
      <c r="H90" s="130" t="s">
        <v>269</v>
      </c>
      <c r="I90" s="126" t="s">
        <v>3</v>
      </c>
      <c r="J90" s="131">
        <v>0</v>
      </c>
      <c r="K90" s="126" t="s">
        <v>235</v>
      </c>
      <c r="L90" s="5"/>
      <c r="M90" s="5"/>
    </row>
    <row r="91" spans="1:13" x14ac:dyDescent="0.3">
      <c r="A91" s="5" t="s">
        <v>74</v>
      </c>
      <c r="B91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1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13.147868650644995</v>
      </c>
      <c r="D91" s="5" t="s">
        <v>19</v>
      </c>
      <c r="E91" s="5" t="str">
        <f t="shared" si="1"/>
        <v>OAS</v>
      </c>
      <c r="F91" s="128" t="s">
        <v>18</v>
      </c>
      <c r="G91" s="130" t="s">
        <v>331</v>
      </c>
      <c r="H91" s="130" t="s">
        <v>269</v>
      </c>
      <c r="I91" s="126" t="s">
        <v>3</v>
      </c>
      <c r="J91" s="131">
        <f>woodflow!N94+woodflow!N97+woodflow!N119+woodflow!N155+woodflow!N185+woodflow!N227</f>
        <v>13.147868650644995</v>
      </c>
      <c r="K91" s="126" t="s">
        <v>549</v>
      </c>
      <c r="L91" s="126" t="s">
        <v>239</v>
      </c>
      <c r="M91" s="5"/>
    </row>
    <row r="92" spans="1:13" x14ac:dyDescent="0.3">
      <c r="A92" s="5"/>
      <c r="B92" s="5"/>
      <c r="C92" s="5"/>
      <c r="D92" s="5"/>
      <c r="E92" s="5"/>
      <c r="F92" s="128"/>
      <c r="G92" s="126"/>
      <c r="H92" s="126"/>
      <c r="I92" s="126"/>
      <c r="J92" s="131"/>
      <c r="K92" s="126"/>
      <c r="L92" s="5"/>
      <c r="M92" s="5"/>
    </row>
    <row r="93" spans="1:13" x14ac:dyDescent="0.3">
      <c r="A93" s="5" t="s">
        <v>60</v>
      </c>
      <c r="B9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3" s="5">
        <v>2021</v>
      </c>
      <c r="E93" s="5" t="str">
        <f t="shared" si="1"/>
        <v>OAS</v>
      </c>
      <c r="F93" s="128" t="s">
        <v>18</v>
      </c>
      <c r="G93" s="130" t="s">
        <v>295</v>
      </c>
      <c r="H93" s="130" t="s">
        <v>18</v>
      </c>
      <c r="I93" s="130" t="s">
        <v>381</v>
      </c>
      <c r="J93" s="131">
        <v>0</v>
      </c>
      <c r="K93" s="126" t="s">
        <v>235</v>
      </c>
      <c r="L93" s="126"/>
      <c r="M93" s="5"/>
    </row>
    <row r="94" spans="1:13" x14ac:dyDescent="0.3">
      <c r="A94" s="5" t="s">
        <v>378</v>
      </c>
      <c r="B9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4" s="5">
        <v>2021</v>
      </c>
      <c r="E94" s="5" t="str">
        <f t="shared" si="1"/>
        <v>OAS</v>
      </c>
      <c r="F94" s="128">
        <v>1</v>
      </c>
      <c r="G94" s="130" t="s">
        <v>332</v>
      </c>
      <c r="H94" s="130" t="s">
        <v>269</v>
      </c>
      <c r="I94" s="126" t="s">
        <v>3</v>
      </c>
      <c r="J94" s="131">
        <v>0</v>
      </c>
      <c r="K94" s="126" t="s">
        <v>235</v>
      </c>
      <c r="L94" s="126"/>
      <c r="M94" s="5"/>
    </row>
    <row r="95" spans="1:13" x14ac:dyDescent="0.3">
      <c r="A95" s="5" t="s">
        <v>379</v>
      </c>
      <c r="B9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5" s="5">
        <v>2021</v>
      </c>
      <c r="E95" s="5" t="str">
        <f t="shared" si="1"/>
        <v>OAS</v>
      </c>
      <c r="F95" s="128">
        <v>1</v>
      </c>
      <c r="G95" s="130" t="s">
        <v>333</v>
      </c>
      <c r="H95" s="130" t="s">
        <v>269</v>
      </c>
      <c r="I95" s="126" t="s">
        <v>3</v>
      </c>
      <c r="J95" s="131">
        <v>0</v>
      </c>
      <c r="K95" s="126" t="s">
        <v>235</v>
      </c>
      <c r="L95" s="126"/>
      <c r="M95" s="5"/>
    </row>
    <row r="96" spans="1:13" x14ac:dyDescent="0.3">
      <c r="A96" s="5"/>
      <c r="B96" s="5"/>
      <c r="C96" s="5"/>
      <c r="D96" s="5"/>
      <c r="E96" s="5"/>
      <c r="F96" s="128"/>
      <c r="G96" s="126"/>
      <c r="H96" s="126"/>
      <c r="I96" s="126"/>
      <c r="J96" s="131"/>
      <c r="K96" s="5"/>
      <c r="L96" s="5"/>
      <c r="M96" s="5"/>
    </row>
    <row r="97" spans="1:13" x14ac:dyDescent="0.3">
      <c r="A97" s="5" t="s">
        <v>357</v>
      </c>
      <c r="B97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7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36.300599794482473</v>
      </c>
      <c r="D97" s="5">
        <v>2021</v>
      </c>
      <c r="E97" s="5" t="str">
        <f t="shared" si="1"/>
        <v>OAS</v>
      </c>
      <c r="F97" s="128" t="s">
        <v>18</v>
      </c>
      <c r="G97" s="130" t="s">
        <v>296</v>
      </c>
      <c r="H97" s="130" t="s">
        <v>18</v>
      </c>
      <c r="I97" s="130" t="s">
        <v>406</v>
      </c>
      <c r="J97" s="131">
        <f>J99+J100+J101+J102+J104+J105+J106</f>
        <v>36.300599794482473</v>
      </c>
      <c r="K97" s="126" t="s">
        <v>549</v>
      </c>
      <c r="L97" s="126" t="s">
        <v>239</v>
      </c>
      <c r="M97" s="5"/>
    </row>
    <row r="98" spans="1:13" x14ac:dyDescent="0.3">
      <c r="A98" s="5" t="s">
        <v>399</v>
      </c>
      <c r="B98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8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5.0798577209243394</v>
      </c>
      <c r="D98" s="5">
        <v>2021</v>
      </c>
      <c r="E98" s="5" t="str">
        <f t="shared" si="1"/>
        <v>OAS</v>
      </c>
      <c r="F98" s="128" t="s">
        <v>18</v>
      </c>
      <c r="G98" s="130" t="s">
        <v>297</v>
      </c>
      <c r="H98" s="130" t="s">
        <v>18</v>
      </c>
      <c r="I98" s="130" t="s">
        <v>405</v>
      </c>
      <c r="J98" s="131">
        <f>J99+J100+J101+J102</f>
        <v>5.0798577209243394</v>
      </c>
      <c r="K98" s="126" t="s">
        <v>549</v>
      </c>
      <c r="L98" s="126" t="s">
        <v>239</v>
      </c>
      <c r="M98" s="5"/>
    </row>
    <row r="99" spans="1:13" x14ac:dyDescent="0.3">
      <c r="A99" s="5" t="s">
        <v>358</v>
      </c>
      <c r="B9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9" s="5">
        <v>2021</v>
      </c>
      <c r="E99" s="5" t="str">
        <f t="shared" si="1"/>
        <v>OAS</v>
      </c>
      <c r="F99" s="128" t="s">
        <v>18</v>
      </c>
      <c r="G99" s="130" t="s">
        <v>339</v>
      </c>
      <c r="H99" s="130" t="s">
        <v>269</v>
      </c>
      <c r="I99" s="126" t="s">
        <v>3</v>
      </c>
      <c r="J99" s="131">
        <v>0</v>
      </c>
      <c r="K99" s="126" t="s">
        <v>235</v>
      </c>
      <c r="L99" s="126"/>
      <c r="M99" s="5"/>
    </row>
    <row r="100" spans="1:13" x14ac:dyDescent="0.3">
      <c r="A100" s="5" t="s">
        <v>539</v>
      </c>
      <c r="B10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0" s="5">
        <v>2021</v>
      </c>
      <c r="E100" s="5" t="str">
        <f t="shared" si="1"/>
        <v>OAS</v>
      </c>
      <c r="F100" s="128" t="s">
        <v>18</v>
      </c>
      <c r="G100" s="130" t="s">
        <v>340</v>
      </c>
      <c r="H100" s="130" t="s">
        <v>269</v>
      </c>
      <c r="I100" s="126" t="s">
        <v>3</v>
      </c>
      <c r="J100" s="131">
        <v>0</v>
      </c>
      <c r="K100" s="126" t="s">
        <v>235</v>
      </c>
      <c r="L100" s="126"/>
      <c r="M100" s="5"/>
    </row>
    <row r="101" spans="1:13" x14ac:dyDescent="0.3">
      <c r="A101" s="5" t="s">
        <v>540</v>
      </c>
      <c r="B10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1" s="5">
        <v>2021</v>
      </c>
      <c r="E101" s="5" t="str">
        <f t="shared" si="1"/>
        <v>OAS</v>
      </c>
      <c r="F101" s="128" t="s">
        <v>18</v>
      </c>
      <c r="G101" s="130" t="s">
        <v>344</v>
      </c>
      <c r="H101" s="130" t="s">
        <v>269</v>
      </c>
      <c r="I101" s="126" t="s">
        <v>3</v>
      </c>
      <c r="J101" s="131">
        <v>0</v>
      </c>
      <c r="K101" s="126" t="s">
        <v>235</v>
      </c>
      <c r="L101" s="126"/>
      <c r="M101" s="5"/>
    </row>
    <row r="102" spans="1:13" x14ac:dyDescent="0.3">
      <c r="A102" s="5" t="s">
        <v>398</v>
      </c>
      <c r="B102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2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5.0798577209243394</v>
      </c>
      <c r="D102" s="5">
        <v>2021</v>
      </c>
      <c r="E102" s="5" t="str">
        <f t="shared" si="1"/>
        <v>OAS</v>
      </c>
      <c r="F102" s="128" t="s">
        <v>18</v>
      </c>
      <c r="G102" s="130" t="s">
        <v>345</v>
      </c>
      <c r="H102" s="130" t="s">
        <v>269</v>
      </c>
      <c r="I102" s="130" t="s">
        <v>3</v>
      </c>
      <c r="J102" s="131">
        <f>woodflow!N397+woodflow!N409+woodflow!N424+woodflow!N439+woodflow!N454+woodflow!N466</f>
        <v>5.0798577209243394</v>
      </c>
      <c r="K102" s="126" t="s">
        <v>549</v>
      </c>
      <c r="L102" s="126" t="s">
        <v>239</v>
      </c>
      <c r="M102" s="5"/>
    </row>
    <row r="103" spans="1:13" x14ac:dyDescent="0.3">
      <c r="A103" s="5" t="s">
        <v>404</v>
      </c>
      <c r="B103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3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31.220742073558132</v>
      </c>
      <c r="D103" s="5">
        <v>2021</v>
      </c>
      <c r="E103" s="5" t="str">
        <f t="shared" si="1"/>
        <v>OAS</v>
      </c>
      <c r="F103" s="128" t="s">
        <v>18</v>
      </c>
      <c r="G103" s="130" t="s">
        <v>298</v>
      </c>
      <c r="H103" s="130" t="s">
        <v>18</v>
      </c>
      <c r="I103" s="126" t="s">
        <v>408</v>
      </c>
      <c r="J103" s="131">
        <f>J104+J105+J106</f>
        <v>31.220742073558132</v>
      </c>
      <c r="K103" s="126" t="s">
        <v>549</v>
      </c>
      <c r="L103" s="126" t="s">
        <v>239</v>
      </c>
      <c r="M103" s="5"/>
    </row>
    <row r="104" spans="1:13" x14ac:dyDescent="0.3">
      <c r="A104" s="5" t="s">
        <v>407</v>
      </c>
      <c r="B104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4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3.612125391582127</v>
      </c>
      <c r="D104" s="5">
        <v>2021</v>
      </c>
      <c r="E104" s="5" t="str">
        <f t="shared" si="1"/>
        <v>OAS</v>
      </c>
      <c r="F104" s="128" t="s">
        <v>18</v>
      </c>
      <c r="G104" s="130" t="s">
        <v>356</v>
      </c>
      <c r="H104" s="130" t="s">
        <v>269</v>
      </c>
      <c r="I104" s="126" t="s">
        <v>3</v>
      </c>
      <c r="J104" s="131">
        <f>woodflow!N399+woodflow!N411+woodflow!N426+woodflow!N441+woodflow!N456+woodflow!N468</f>
        <v>3.612125391582127</v>
      </c>
      <c r="K104" s="126" t="s">
        <v>549</v>
      </c>
      <c r="L104" s="126" t="s">
        <v>239</v>
      </c>
      <c r="M104" s="5"/>
    </row>
    <row r="105" spans="1:13" x14ac:dyDescent="0.3">
      <c r="A105" s="5" t="s">
        <v>359</v>
      </c>
      <c r="B105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5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17.874329491243259</v>
      </c>
      <c r="D105" s="5">
        <v>2021</v>
      </c>
      <c r="E105" s="5" t="str">
        <f t="shared" si="1"/>
        <v>OAS</v>
      </c>
      <c r="F105" s="128" t="s">
        <v>18</v>
      </c>
      <c r="G105" s="130" t="s">
        <v>360</v>
      </c>
      <c r="H105" s="130" t="s">
        <v>269</v>
      </c>
      <c r="I105" s="126" t="s">
        <v>3</v>
      </c>
      <c r="J105" s="131">
        <f>woodflow!N400+woodflow!N412+woodflow!N427+woodflow!N442+woodflow!N457+woodflow!N469</f>
        <v>17.874329491243259</v>
      </c>
      <c r="K105" s="126" t="s">
        <v>549</v>
      </c>
      <c r="L105" s="126" t="s">
        <v>239</v>
      </c>
      <c r="M105" s="5"/>
    </row>
    <row r="106" spans="1:13" x14ac:dyDescent="0.3">
      <c r="A106" s="5" t="s">
        <v>380</v>
      </c>
      <c r="B106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6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9.7342871907327471</v>
      </c>
      <c r="D106" s="5">
        <v>2021</v>
      </c>
      <c r="E106" s="5" t="str">
        <f t="shared" si="1"/>
        <v>OAS</v>
      </c>
      <c r="F106" s="128" t="s">
        <v>18</v>
      </c>
      <c r="G106" s="130" t="s">
        <v>361</v>
      </c>
      <c r="H106" s="130" t="s">
        <v>269</v>
      </c>
      <c r="I106" s="126" t="s">
        <v>3</v>
      </c>
      <c r="J106" s="131">
        <f>woodflow!N401+woodflow!N413+woodflow!N428+woodflow!N443+woodflow!N458+woodflow!N470</f>
        <v>9.7342871907327471</v>
      </c>
      <c r="K106" s="126" t="s">
        <v>549</v>
      </c>
      <c r="L106" s="126" t="s">
        <v>239</v>
      </c>
      <c r="M106" s="5"/>
    </row>
    <row r="107" spans="1:13" x14ac:dyDescent="0.3">
      <c r="A107" s="5"/>
      <c r="B107" s="5"/>
      <c r="C107" s="5"/>
      <c r="D107" s="5"/>
      <c r="E107" s="5"/>
      <c r="F107" s="128"/>
      <c r="G107" s="126"/>
      <c r="H107" s="126"/>
      <c r="I107" s="126"/>
      <c r="J107" s="131"/>
      <c r="K107" s="5"/>
      <c r="L107" s="5"/>
      <c r="M107" s="5"/>
    </row>
    <row r="108" spans="1:13" x14ac:dyDescent="0.3">
      <c r="A108" s="5" t="s">
        <v>342</v>
      </c>
      <c r="B108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8" s="5">
        <v>2021</v>
      </c>
      <c r="E108" s="5" t="str">
        <f t="shared" si="1"/>
        <v>OAS</v>
      </c>
      <c r="F108" s="128" t="s">
        <v>18</v>
      </c>
      <c r="G108" s="130" t="s">
        <v>371</v>
      </c>
      <c r="H108" s="130" t="s">
        <v>269</v>
      </c>
      <c r="I108" s="126" t="s">
        <v>3</v>
      </c>
      <c r="J108" s="131"/>
      <c r="K108" s="126" t="s">
        <v>460</v>
      </c>
      <c r="L108" s="126"/>
      <c r="M108" s="5"/>
    </row>
    <row r="109" spans="1:13" x14ac:dyDescent="0.3">
      <c r="A109" s="5"/>
      <c r="B109" s="5"/>
      <c r="C109" s="5"/>
      <c r="D109" s="5"/>
      <c r="E109" s="5"/>
      <c r="F109" s="128"/>
      <c r="G109" s="126"/>
      <c r="H109" s="126"/>
      <c r="I109" s="126"/>
      <c r="J109" s="131"/>
      <c r="K109" s="126"/>
      <c r="L109" s="126"/>
      <c r="M109" s="5"/>
    </row>
    <row r="110" spans="1:13" x14ac:dyDescent="0.3">
      <c r="A110" s="5" t="s">
        <v>343</v>
      </c>
      <c r="B110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1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10" s="5">
        <v>2021</v>
      </c>
      <c r="E110" s="5" t="str">
        <f t="shared" si="1"/>
        <v>OAS</v>
      </c>
      <c r="F110" s="128" t="s">
        <v>18</v>
      </c>
      <c r="G110" s="130" t="s">
        <v>375</v>
      </c>
      <c r="H110" s="130" t="s">
        <v>269</v>
      </c>
      <c r="I110" s="126" t="s">
        <v>3</v>
      </c>
      <c r="J110" s="131"/>
      <c r="K110" s="126" t="s">
        <v>460</v>
      </c>
      <c r="L110" s="126"/>
      <c r="M110" s="5"/>
    </row>
  </sheetData>
  <phoneticPr fontId="1" type="noConversion"/>
  <conditionalFormatting sqref="J2:J110">
    <cfRule type="expression" dxfId="18" priority="1">
      <formula>K2="BaMFA"</formula>
    </cfRule>
    <cfRule type="expression" dxfId="17" priority="2">
      <formula>K2="No Change"</formula>
    </cfRule>
    <cfRule type="expression" dxfId="16" priority="3">
      <formula>K2="Prior"</formula>
    </cfRule>
    <cfRule type="expression" dxfId="15" priority="4">
      <formula>K2="Observed"</formula>
    </cfRule>
  </conditionalFormatting>
  <conditionalFormatting sqref="K2:K110">
    <cfRule type="containsText" dxfId="14" priority="5" operator="containsText" text="BaMFA">
      <formula>NOT(ISERROR(SEARCH("BaMFA",K2)))</formula>
    </cfRule>
    <cfRule type="containsText" dxfId="13" priority="6" operator="containsText" text="No Change">
      <formula>NOT(ISERROR(SEARCH("No Change",K2)))</formula>
    </cfRule>
    <cfRule type="containsText" dxfId="12" priority="7" operator="containsText" text="Observed">
      <formula>NOT(ISERROR(SEARCH("Observed",K2)))</formula>
    </cfRule>
    <cfRule type="containsText" dxfId="11" priority="8" operator="containsText" text="Prior">
      <formula>NOT(ISERROR(SEARCH("Prior",K2)))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7CDE-87B9-42A8-97BA-35138B2875A8}">
  <sheetPr codeName="Sheet7"/>
  <dimension ref="A1:V646"/>
  <sheetViews>
    <sheetView zoomScale="70" zoomScaleNormal="70" workbookViewId="0"/>
  </sheetViews>
  <sheetFormatPr defaultColWidth="12.33203125" defaultRowHeight="14.4" x14ac:dyDescent="0.3"/>
  <cols>
    <col min="1" max="1" width="7.109375" style="1" bestFit="1" customWidth="1"/>
    <col min="2" max="2" width="36.6640625" style="1" customWidth="1"/>
    <col min="3" max="3" width="40.109375" style="1" customWidth="1"/>
    <col min="4" max="4" width="13.33203125" style="46" customWidth="1"/>
    <col min="5" max="5" width="13.33203125" style="13" bestFit="1" customWidth="1"/>
    <col min="6" max="7" width="12.33203125" style="14" customWidth="1"/>
    <col min="8" max="11" width="12.33203125" style="45" customWidth="1"/>
    <col min="12" max="12" width="24.6640625" style="1" customWidth="1"/>
    <col min="13" max="13" width="22" style="1" customWidth="1"/>
    <col min="14" max="14" width="18.33203125" style="46" bestFit="1" customWidth="1"/>
    <col min="15" max="15" width="12.33203125" style="1"/>
    <col min="16" max="16" width="36.44140625" style="14" customWidth="1"/>
    <col min="17" max="17" width="20.6640625" style="14" customWidth="1"/>
    <col min="18" max="22" width="12.33203125" style="14"/>
    <col min="23" max="16384" width="12.33203125" style="1"/>
  </cols>
  <sheetData>
    <row r="1" spans="1:22" x14ac:dyDescent="0.3">
      <c r="A1" s="126" t="s">
        <v>178</v>
      </c>
      <c r="B1" s="126" t="s">
        <v>10</v>
      </c>
      <c r="C1" s="126" t="s">
        <v>11</v>
      </c>
      <c r="D1" s="133" t="s">
        <v>0</v>
      </c>
      <c r="E1" s="134" t="s">
        <v>233</v>
      </c>
      <c r="F1" s="126" t="s">
        <v>1</v>
      </c>
      <c r="G1" s="126" t="s">
        <v>2</v>
      </c>
      <c r="H1" s="135" t="s">
        <v>12</v>
      </c>
      <c r="I1" s="135" t="s">
        <v>13</v>
      </c>
      <c r="J1" s="135" t="s">
        <v>14</v>
      </c>
      <c r="K1" s="135" t="s">
        <v>15</v>
      </c>
      <c r="L1" s="126" t="s">
        <v>16</v>
      </c>
      <c r="M1" s="126" t="s">
        <v>17</v>
      </c>
      <c r="N1" s="133" t="s">
        <v>538</v>
      </c>
      <c r="O1" s="126" t="s">
        <v>214</v>
      </c>
      <c r="P1" s="126" t="s">
        <v>216</v>
      </c>
      <c r="Q1" s="126" t="s">
        <v>218</v>
      </c>
      <c r="R1" s="1"/>
      <c r="S1" s="1"/>
      <c r="T1" s="1"/>
      <c r="U1" s="1"/>
      <c r="V1" s="1"/>
    </row>
    <row r="2" spans="1:22" x14ac:dyDescent="0.3">
      <c r="A2" s="5" t="str">
        <f>CONCATENATE("F",IF(B2&lt;&gt;"",COUNTA($B$2:B2),""))</f>
        <v>F1</v>
      </c>
      <c r="B2" s="126" t="s">
        <v>542</v>
      </c>
      <c r="C2" s="5" t="s">
        <v>265</v>
      </c>
      <c r="D2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3.1467154762500003</v>
      </c>
      <c r="E2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" s="126">
        <f>VLOOKUP(woodflow[[#This Row],[From]],woodstock[#All],4,FALSE)</f>
        <v>2021</v>
      </c>
      <c r="G2" s="5" t="str">
        <f>VLOOKUP(woodflow[[#This Row],[From]],woodstock[#All],5,FALSE)</f>
        <v>OAS</v>
      </c>
      <c r="H2" s="135" t="str">
        <f>VLOOKUP(woodflow[[#This Row],[From]],woodstock[#All],7,FALSE)</f>
        <v>0</v>
      </c>
      <c r="I2" s="135" t="str">
        <f>VLOOKUP(woodflow[[#This Row],[to]],woodstock[#All],7,FALSE)</f>
        <v>4</v>
      </c>
      <c r="J2" s="135" t="str">
        <f>VLOOKUP(woodflow[[#This Row],[From]],woodstock[#All],8,FALSE)</f>
        <v>0</v>
      </c>
      <c r="K2" s="135" t="str">
        <f>VLOOKUP(woodflow[[#This Row],[to]],woodstock[#All],8,FALSE)</f>
        <v>0</v>
      </c>
      <c r="L2" s="136" t="str">
        <f>VLOOKUP(woodflow[[#This Row],[From]],woodstock[#All],9,FALSE)</f>
        <v>nan</v>
      </c>
      <c r="M2" s="136" t="str">
        <f>VLOOKUP(woodflow[[#This Row],[to]],woodstock[#All],9,FALSE)</f>
        <v>nan</v>
      </c>
      <c r="N2" s="131">
        <f>'faostat-data'!Q2</f>
        <v>3.1467154762500003</v>
      </c>
      <c r="O2" s="126" t="s">
        <v>556</v>
      </c>
      <c r="P2" s="126"/>
      <c r="Q2" s="126" t="s">
        <v>234</v>
      </c>
      <c r="R2" s="1"/>
      <c r="S2" s="1"/>
      <c r="T2" s="1"/>
      <c r="U2" s="1"/>
      <c r="V2" s="1"/>
    </row>
    <row r="3" spans="1:22" x14ac:dyDescent="0.3">
      <c r="A3" s="5" t="str">
        <f>CONCATENATE("F",IF(B3&lt;&gt;"",COUNTA($B$2:B3),""))</f>
        <v>F</v>
      </c>
      <c r="B3" s="126"/>
      <c r="C3" s="126"/>
      <c r="D3" s="133"/>
      <c r="E3" s="133"/>
      <c r="F3" s="126"/>
      <c r="G3" s="5"/>
      <c r="H3" s="135"/>
      <c r="I3" s="135"/>
      <c r="J3" s="135"/>
      <c r="K3" s="135"/>
      <c r="L3" s="136"/>
      <c r="M3" s="136"/>
      <c r="N3" s="131"/>
      <c r="O3" s="126"/>
      <c r="P3" s="126"/>
      <c r="Q3" s="126"/>
      <c r="R3" s="1"/>
      <c r="S3" s="1"/>
      <c r="T3" s="1"/>
      <c r="U3" s="1"/>
      <c r="V3" s="1"/>
    </row>
    <row r="4" spans="1:22" x14ac:dyDescent="0.3">
      <c r="A4" s="5" t="str">
        <f>CONCATENATE("F",IF(B4&lt;&gt;"",COUNTA($B$2:B4),""))</f>
        <v>F</v>
      </c>
      <c r="B4" s="126"/>
      <c r="C4" s="126"/>
      <c r="D4" s="133"/>
      <c r="E4" s="133"/>
      <c r="F4" s="126"/>
      <c r="G4" s="5"/>
      <c r="H4" s="135"/>
      <c r="I4" s="135"/>
      <c r="J4" s="135"/>
      <c r="K4" s="135"/>
      <c r="L4" s="136"/>
      <c r="M4" s="136"/>
      <c r="N4" s="131"/>
      <c r="O4" s="126"/>
      <c r="P4" s="126"/>
      <c r="Q4" s="126"/>
      <c r="R4" s="1"/>
      <c r="S4" s="1"/>
      <c r="T4" s="1"/>
      <c r="U4" s="1"/>
      <c r="V4" s="1"/>
    </row>
    <row r="5" spans="1:22" x14ac:dyDescent="0.3">
      <c r="A5" s="5" t="str">
        <f>CONCATENATE("F",IF(B5&lt;&gt;"",COUNTA($B$2:B5),""))</f>
        <v>F2</v>
      </c>
      <c r="B5" s="126" t="s">
        <v>542</v>
      </c>
      <c r="C5" s="5" t="s">
        <v>267</v>
      </c>
      <c r="D5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2.3071607999999997</v>
      </c>
      <c r="F5" s="126">
        <f>VLOOKUP(woodflow[[#This Row],[From]],woodstock[#All],4,FALSE)</f>
        <v>2021</v>
      </c>
      <c r="G5" s="5" t="str">
        <f>VLOOKUP(woodflow[[#This Row],[From]],woodstock[#All],5,FALSE)</f>
        <v>OAS</v>
      </c>
      <c r="H5" s="135" t="str">
        <f>VLOOKUP(woodflow[[#This Row],[From]],woodstock[#All],7,FALSE)</f>
        <v>0</v>
      </c>
      <c r="I5" s="135" t="str">
        <f>VLOOKUP(woodflow[[#This Row],[to]],woodstock[#All],7,FALSE)</f>
        <v>6</v>
      </c>
      <c r="J5" s="135" t="str">
        <f>VLOOKUP(woodflow[[#This Row],[From]],woodstock[#All],8,FALSE)</f>
        <v>0</v>
      </c>
      <c r="K5" s="135" t="str">
        <f>VLOOKUP(woodflow[[#This Row],[to]],woodstock[#All],8,FALSE)</f>
        <v>0</v>
      </c>
      <c r="L5" s="136" t="str">
        <f>VLOOKUP(woodflow[[#This Row],[From]],woodstock[#All],9,FALSE)</f>
        <v>nan</v>
      </c>
      <c r="M5" s="136" t="str">
        <f>VLOOKUP(woodflow[[#This Row],[to]],woodstock[#All],9,FALSE)</f>
        <v>nan</v>
      </c>
      <c r="N5" s="131">
        <f>'faostat-data'!Q16</f>
        <v>2.3071607999999997</v>
      </c>
      <c r="O5" s="126" t="s">
        <v>549</v>
      </c>
      <c r="P5" s="126"/>
      <c r="Q5" s="126" t="s">
        <v>234</v>
      </c>
      <c r="R5" s="1"/>
      <c r="S5" s="1"/>
      <c r="T5" s="1"/>
      <c r="U5" s="1"/>
      <c r="V5" s="1"/>
    </row>
    <row r="6" spans="1:22" x14ac:dyDescent="0.3">
      <c r="A6" s="5" t="str">
        <f>CONCATENATE("F",IF(B6&lt;&gt;"",COUNTA($B$2:B6),""))</f>
        <v>F</v>
      </c>
      <c r="B6" s="126"/>
      <c r="C6" s="126"/>
      <c r="D6" s="133"/>
      <c r="E6" s="133"/>
      <c r="F6" s="126"/>
      <c r="G6" s="5"/>
      <c r="H6" s="135"/>
      <c r="I6" s="135"/>
      <c r="J6" s="135"/>
      <c r="K6" s="135"/>
      <c r="L6" s="136"/>
      <c r="M6" s="136"/>
      <c r="N6" s="131"/>
      <c r="O6" s="126"/>
      <c r="P6" s="126"/>
      <c r="Q6" s="126"/>
      <c r="R6" s="1"/>
      <c r="S6" s="1"/>
      <c r="T6" s="1"/>
      <c r="U6" s="1"/>
      <c r="V6" s="1"/>
    </row>
    <row r="7" spans="1:22" x14ac:dyDescent="0.3">
      <c r="A7" s="5" t="str">
        <f>CONCATENATE("F",IF(B7&lt;&gt;"",COUNTA($B$2:B7),""))</f>
        <v>F</v>
      </c>
      <c r="B7" s="126"/>
      <c r="C7" s="126"/>
      <c r="D7" s="133"/>
      <c r="E7" s="133"/>
      <c r="F7" s="126"/>
      <c r="G7" s="5"/>
      <c r="H7" s="135"/>
      <c r="I7" s="135"/>
      <c r="J7" s="135"/>
      <c r="K7" s="135"/>
      <c r="L7" s="136"/>
      <c r="M7" s="136"/>
      <c r="N7" s="131"/>
      <c r="O7" s="126"/>
      <c r="P7" s="126"/>
      <c r="Q7" s="126"/>
      <c r="R7" s="1"/>
      <c r="S7" s="1"/>
      <c r="T7" s="1"/>
      <c r="U7" s="1"/>
      <c r="V7" s="1"/>
    </row>
    <row r="8" spans="1:22" x14ac:dyDescent="0.3">
      <c r="A8" s="5" t="str">
        <f>CONCATENATE("F",IF(B8&lt;&gt;"",COUNTA($B$2:B8),""))</f>
        <v>F3</v>
      </c>
      <c r="B8" s="126" t="s">
        <v>542</v>
      </c>
      <c r="C8" s="5" t="s">
        <v>270</v>
      </c>
      <c r="D8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0.68674999999999997</v>
      </c>
      <c r="F8" s="126">
        <f>VLOOKUP(woodflow[[#This Row],[From]],woodstock[#All],4,FALSE)</f>
        <v>2021</v>
      </c>
      <c r="G8" s="5" t="str">
        <f>VLOOKUP(woodflow[[#This Row],[From]],woodstock[#All],5,FALSE)</f>
        <v>OAS</v>
      </c>
      <c r="H8" s="135" t="str">
        <f>VLOOKUP(woodflow[[#This Row],[From]],woodstock[#All],7,FALSE)</f>
        <v>0</v>
      </c>
      <c r="I8" s="135" t="str">
        <f>VLOOKUP(woodflow[[#This Row],[to]],woodstock[#All],7,FALSE)</f>
        <v>8</v>
      </c>
      <c r="J8" s="135" t="str">
        <f>VLOOKUP(woodflow[[#This Row],[From]],woodstock[#All],8,FALSE)</f>
        <v>0</v>
      </c>
      <c r="K8" s="135" t="str">
        <f>VLOOKUP(woodflow[[#This Row],[to]],woodstock[#All],8,FALSE)</f>
        <v>0</v>
      </c>
      <c r="L8" s="136" t="str">
        <f>VLOOKUP(woodflow[[#This Row],[From]],woodstock[#All],9,FALSE)</f>
        <v>nan</v>
      </c>
      <c r="M8" s="136" t="str">
        <f>VLOOKUP(woodflow[[#This Row],[to]],woodstock[#All],9,FALSE)</f>
        <v>nan</v>
      </c>
      <c r="N8" s="131">
        <f>'faostat-data'!Q22</f>
        <v>0.68674999999999997</v>
      </c>
      <c r="O8" s="126" t="s">
        <v>549</v>
      </c>
      <c r="P8" s="126"/>
      <c r="Q8" s="126" t="s">
        <v>234</v>
      </c>
      <c r="R8" s="1"/>
      <c r="S8" s="1"/>
      <c r="T8" s="1"/>
      <c r="U8" s="1"/>
      <c r="V8" s="1"/>
    </row>
    <row r="9" spans="1:22" x14ac:dyDescent="0.3">
      <c r="A9" s="5" t="str">
        <f>CONCATENATE("F",IF(B9&lt;&gt;"",COUNTA($B$2:B9),""))</f>
        <v>F</v>
      </c>
      <c r="B9" s="126"/>
      <c r="C9" s="126"/>
      <c r="D9" s="133"/>
      <c r="E9" s="133"/>
      <c r="F9" s="126"/>
      <c r="G9" s="5"/>
      <c r="H9" s="135"/>
      <c r="I9" s="135"/>
      <c r="J9" s="135"/>
      <c r="K9" s="135"/>
      <c r="L9" s="136"/>
      <c r="M9" s="136"/>
      <c r="N9" s="131"/>
      <c r="O9" s="126"/>
      <c r="P9" s="126"/>
      <c r="Q9" s="126"/>
      <c r="R9" s="1"/>
      <c r="S9" s="1"/>
      <c r="T9" s="1"/>
      <c r="U9" s="1"/>
      <c r="V9" s="1"/>
    </row>
    <row r="10" spans="1:22" x14ac:dyDescent="0.3">
      <c r="A10" s="5" t="str">
        <f>CONCATENATE("F",IF(B10&lt;&gt;"",COUNTA($B$2:B10),""))</f>
        <v>F</v>
      </c>
      <c r="B10" s="126"/>
      <c r="C10" s="126"/>
      <c r="D10" s="133"/>
      <c r="E10" s="133"/>
      <c r="F10" s="126"/>
      <c r="G10" s="5"/>
      <c r="H10" s="135"/>
      <c r="I10" s="135"/>
      <c r="J10" s="135"/>
      <c r="K10" s="135"/>
      <c r="L10" s="136"/>
      <c r="M10" s="136"/>
      <c r="N10" s="131"/>
      <c r="O10" s="126"/>
      <c r="P10" s="126"/>
      <c r="Q10" s="126"/>
      <c r="R10" s="1"/>
      <c r="S10" s="1"/>
      <c r="T10" s="1"/>
      <c r="U10" s="1"/>
      <c r="V10" s="1"/>
    </row>
    <row r="11" spans="1:22" x14ac:dyDescent="0.3">
      <c r="A11" s="5" t="str">
        <f>CONCATENATE("F",IF(B11&lt;&gt;"",COUNTA($B$2:B11),""))</f>
        <v>F4</v>
      </c>
      <c r="B11" s="126" t="s">
        <v>542</v>
      </c>
      <c r="C11" s="5" t="s">
        <v>272</v>
      </c>
      <c r="D11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0.61419999999999997</v>
      </c>
      <c r="F11" s="126">
        <f>VLOOKUP(woodflow[[#This Row],[From]],woodstock[#All],4,FALSE)</f>
        <v>2021</v>
      </c>
      <c r="G11" s="5" t="str">
        <f>VLOOKUP(woodflow[[#This Row],[From]],woodstock[#All],5,FALSE)</f>
        <v>OAS</v>
      </c>
      <c r="H11" s="135" t="str">
        <f>VLOOKUP(woodflow[[#This Row],[From]],woodstock[#All],7,FALSE)</f>
        <v>0</v>
      </c>
      <c r="I11" s="135" t="str">
        <f>VLOOKUP(woodflow[[#This Row],[to]],woodstock[#All],7,FALSE)</f>
        <v>10</v>
      </c>
      <c r="J11" s="135" t="str">
        <f>VLOOKUP(woodflow[[#This Row],[From]],woodstock[#All],8,FALSE)</f>
        <v>0</v>
      </c>
      <c r="K11" s="135" t="str">
        <f>VLOOKUP(woodflow[[#This Row],[to]],woodstock[#All],8,FALSE)</f>
        <v>0</v>
      </c>
      <c r="L11" s="136" t="str">
        <f>VLOOKUP(woodflow[[#This Row],[From]],woodstock[#All],9,FALSE)</f>
        <v>nan</v>
      </c>
      <c r="M11" s="136" t="str">
        <f>VLOOKUP(woodflow[[#This Row],[to]],woodstock[#All],9,FALSE)</f>
        <v>nan</v>
      </c>
      <c r="N11" s="131">
        <f>'faostat-data'!Q29</f>
        <v>0.61419999999999997</v>
      </c>
      <c r="O11" s="126" t="s">
        <v>549</v>
      </c>
      <c r="P11" s="126"/>
      <c r="Q11" s="126" t="s">
        <v>234</v>
      </c>
      <c r="R11" s="1"/>
      <c r="S11" s="1"/>
      <c r="T11" s="1"/>
      <c r="U11" s="1"/>
      <c r="V11" s="1"/>
    </row>
    <row r="12" spans="1:22" x14ac:dyDescent="0.3">
      <c r="A12" s="5" t="str">
        <f>CONCATENATE("F",IF(B12&lt;&gt;"",COUNTA($B$2:B12),""))</f>
        <v>F</v>
      </c>
      <c r="B12" s="126"/>
      <c r="C12" s="126"/>
      <c r="D12" s="133"/>
      <c r="E12" s="133"/>
      <c r="F12" s="126"/>
      <c r="G12" s="5"/>
      <c r="H12" s="135"/>
      <c r="I12" s="135"/>
      <c r="J12" s="135"/>
      <c r="K12" s="135"/>
      <c r="L12" s="136"/>
      <c r="M12" s="136"/>
      <c r="N12" s="131"/>
      <c r="O12" s="126"/>
      <c r="P12" s="126"/>
      <c r="Q12" s="126"/>
      <c r="R12" s="1"/>
      <c r="S12" s="1"/>
      <c r="T12" s="1"/>
      <c r="U12" s="1"/>
      <c r="V12" s="1"/>
    </row>
    <row r="13" spans="1:22" x14ac:dyDescent="0.3">
      <c r="A13" s="5" t="str">
        <f>CONCATENATE("F",IF(B13&lt;&gt;"",COUNTA($B$2:B13),""))</f>
        <v>F</v>
      </c>
      <c r="B13" s="126"/>
      <c r="C13" s="126"/>
      <c r="D13" s="133"/>
      <c r="E13" s="133"/>
      <c r="F13" s="126"/>
      <c r="G13" s="5"/>
      <c r="H13" s="135"/>
      <c r="I13" s="135"/>
      <c r="J13" s="135"/>
      <c r="K13" s="135"/>
      <c r="L13" s="136"/>
      <c r="M13" s="136"/>
      <c r="N13" s="131"/>
      <c r="O13" s="126"/>
      <c r="P13" s="126"/>
      <c r="Q13" s="126"/>
      <c r="R13" s="1"/>
      <c r="S13" s="1"/>
      <c r="T13" s="1"/>
      <c r="U13" s="1"/>
      <c r="V13" s="1"/>
    </row>
    <row r="14" spans="1:22" x14ac:dyDescent="0.3">
      <c r="A14" s="5" t="str">
        <f>CONCATENATE("F",IF(B14&lt;&gt;"",COUNTA($B$2:B14),""))</f>
        <v>F5</v>
      </c>
      <c r="B14" s="126" t="s">
        <v>543</v>
      </c>
      <c r="C14" s="5" t="s">
        <v>266</v>
      </c>
      <c r="D14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179.50805760000003</v>
      </c>
      <c r="E14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" s="126">
        <f>VLOOKUP(woodflow[[#This Row],[From]],woodstock[#All],4,FALSE)</f>
        <v>2021</v>
      </c>
      <c r="G14" s="5" t="str">
        <f>VLOOKUP(woodflow[[#This Row],[From]],woodstock[#All],5,FALSE)</f>
        <v>OAS</v>
      </c>
      <c r="H14" s="135" t="str">
        <f>VLOOKUP(woodflow[[#This Row],[From]],woodstock[#All],7,FALSE)</f>
        <v>1</v>
      </c>
      <c r="I14" s="135" t="str">
        <f>VLOOKUP(woodflow[[#This Row],[to]],woodstock[#All],7,FALSE)</f>
        <v>5</v>
      </c>
      <c r="J14" s="135" t="str">
        <f>VLOOKUP(woodflow[[#This Row],[From]],woodstock[#All],8,FALSE)</f>
        <v>0</v>
      </c>
      <c r="K14" s="135" t="str">
        <f>VLOOKUP(woodflow[[#This Row],[to]],woodstock[#All],8,FALSE)</f>
        <v>0</v>
      </c>
      <c r="L14" s="136" t="str">
        <f>VLOOKUP(woodflow[[#This Row],[From]],woodstock[#All],9,FALSE)</f>
        <v>nan</v>
      </c>
      <c r="M14" s="136" t="str">
        <f>VLOOKUP(woodflow[[#This Row],[to]],woodstock[#All],9,FALSE)</f>
        <v>nan</v>
      </c>
      <c r="N14" s="131">
        <f>'faostat-data'!Q5</f>
        <v>179.50805760000003</v>
      </c>
      <c r="O14" s="126" t="s">
        <v>556</v>
      </c>
      <c r="P14" s="126"/>
      <c r="Q14" s="126" t="s">
        <v>234</v>
      </c>
      <c r="R14" s="1"/>
      <c r="S14" s="1"/>
      <c r="T14" s="1"/>
      <c r="U14" s="1"/>
      <c r="V14" s="1"/>
    </row>
    <row r="15" spans="1:22" x14ac:dyDescent="0.3">
      <c r="A15" s="5" t="str">
        <f>CONCATENATE("F",IF(B15&lt;&gt;"",COUNTA($B$2:B15),""))</f>
        <v>F</v>
      </c>
      <c r="B15" s="126"/>
      <c r="C15" s="126"/>
      <c r="D15" s="133"/>
      <c r="E15" s="133"/>
      <c r="F15" s="126"/>
      <c r="G15" s="5"/>
      <c r="H15" s="135"/>
      <c r="I15" s="135"/>
      <c r="J15" s="135"/>
      <c r="K15" s="135"/>
      <c r="L15" s="136"/>
      <c r="M15" s="136"/>
      <c r="N15" s="131"/>
      <c r="O15" s="126"/>
      <c r="P15" s="126"/>
      <c r="Q15" s="126"/>
      <c r="R15" s="1"/>
      <c r="S15" s="1"/>
      <c r="T15" s="1"/>
      <c r="U15" s="1"/>
      <c r="V15" s="1"/>
    </row>
    <row r="16" spans="1:22" x14ac:dyDescent="0.3">
      <c r="A16" s="5" t="str">
        <f>CONCATENATE("F",IF(B16&lt;&gt;"",COUNTA($B$2:B16),""))</f>
        <v>F</v>
      </c>
      <c r="B16" s="126"/>
      <c r="C16" s="126"/>
      <c r="D16" s="133"/>
      <c r="E16" s="133"/>
      <c r="F16" s="126"/>
      <c r="G16" s="5"/>
      <c r="H16" s="135"/>
      <c r="I16" s="135"/>
      <c r="J16" s="135"/>
      <c r="K16" s="135"/>
      <c r="L16" s="136"/>
      <c r="M16" s="136"/>
      <c r="N16" s="131"/>
      <c r="O16" s="126"/>
      <c r="P16" s="126"/>
      <c r="Q16" s="126"/>
      <c r="R16" s="1"/>
      <c r="S16" s="1"/>
      <c r="T16" s="1"/>
      <c r="U16" s="1"/>
      <c r="V16" s="1"/>
    </row>
    <row r="17" spans="1:22" x14ac:dyDescent="0.3">
      <c r="A17" s="5" t="str">
        <f>CONCATENATE("F",IF(B17&lt;&gt;"",COUNTA($B$2:B17),""))</f>
        <v>F6</v>
      </c>
      <c r="B17" s="126" t="s">
        <v>543</v>
      </c>
      <c r="C17" s="5" t="s">
        <v>268</v>
      </c>
      <c r="D17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50.362869324999991</v>
      </c>
      <c r="F17" s="126">
        <f>VLOOKUP(woodflow[[#This Row],[From]],woodstock[#All],4,FALSE)</f>
        <v>2021</v>
      </c>
      <c r="G17" s="5" t="str">
        <f>VLOOKUP(woodflow[[#This Row],[From]],woodstock[#All],5,FALSE)</f>
        <v>OAS</v>
      </c>
      <c r="H17" s="135" t="str">
        <f>VLOOKUP(woodflow[[#This Row],[From]],woodstock[#All],7,FALSE)</f>
        <v>1</v>
      </c>
      <c r="I17" s="135" t="str">
        <f>VLOOKUP(woodflow[[#This Row],[to]],woodstock[#All],7,FALSE)</f>
        <v>7</v>
      </c>
      <c r="J17" s="135" t="str">
        <f>VLOOKUP(woodflow[[#This Row],[From]],woodstock[#All],8,FALSE)</f>
        <v>0</v>
      </c>
      <c r="K17" s="135" t="str">
        <f>VLOOKUP(woodflow[[#This Row],[to]],woodstock[#All],8,FALSE)</f>
        <v>0</v>
      </c>
      <c r="L17" s="136" t="str">
        <f>VLOOKUP(woodflow[[#This Row],[From]],woodstock[#All],9,FALSE)</f>
        <v>nan</v>
      </c>
      <c r="M17" s="136" t="str">
        <f>VLOOKUP(woodflow[[#This Row],[to]],woodstock[#All],9,FALSE)</f>
        <v>nan</v>
      </c>
      <c r="N17" s="131">
        <f>'faostat-data'!Q19</f>
        <v>50.362869324999991</v>
      </c>
      <c r="O17" s="126" t="s">
        <v>549</v>
      </c>
      <c r="P17" s="126"/>
      <c r="Q17" s="126" t="s">
        <v>234</v>
      </c>
      <c r="R17" s="1"/>
      <c r="S17" s="1"/>
      <c r="T17" s="1"/>
      <c r="U17" s="1"/>
      <c r="V17" s="1"/>
    </row>
    <row r="18" spans="1:22" x14ac:dyDescent="0.3">
      <c r="A18" s="5" t="str">
        <f>CONCATENATE("F",IF(B18&lt;&gt;"",COUNTA($B$2:B18),""))</f>
        <v>F</v>
      </c>
      <c r="B18" s="126"/>
      <c r="C18" s="126"/>
      <c r="D18" s="133"/>
      <c r="E18" s="133"/>
      <c r="F18" s="126"/>
      <c r="G18" s="5"/>
      <c r="H18" s="135"/>
      <c r="I18" s="135"/>
      <c r="J18" s="135"/>
      <c r="K18" s="135"/>
      <c r="L18" s="136"/>
      <c r="M18" s="136"/>
      <c r="N18" s="131"/>
      <c r="O18" s="126"/>
      <c r="P18" s="126"/>
      <c r="Q18" s="126"/>
      <c r="R18" s="1"/>
      <c r="S18" s="1"/>
      <c r="T18" s="1"/>
      <c r="U18" s="1"/>
      <c r="V18" s="1"/>
    </row>
    <row r="19" spans="1:22" x14ac:dyDescent="0.3">
      <c r="A19" s="5" t="str">
        <f>CONCATENATE("F",IF(B19&lt;&gt;"",COUNTA($B$2:B19),""))</f>
        <v>F</v>
      </c>
      <c r="B19" s="126"/>
      <c r="C19" s="126"/>
      <c r="D19" s="133"/>
      <c r="E19" s="133"/>
      <c r="F19" s="126"/>
      <c r="G19" s="5"/>
      <c r="H19" s="135"/>
      <c r="I19" s="135"/>
      <c r="J19" s="135"/>
      <c r="K19" s="135"/>
      <c r="L19" s="136"/>
      <c r="M19" s="136"/>
      <c r="N19" s="131"/>
      <c r="O19" s="126"/>
      <c r="P19" s="126"/>
      <c r="Q19" s="126"/>
      <c r="R19" s="1"/>
      <c r="S19" s="1"/>
      <c r="T19" s="1"/>
      <c r="U19" s="1"/>
      <c r="V19" s="1"/>
    </row>
    <row r="20" spans="1:22" x14ac:dyDescent="0.3">
      <c r="A20" s="5" t="str">
        <f>CONCATENATE("F",IF(B20&lt;&gt;"",COUNTA($B$2:B20),""))</f>
        <v>F7</v>
      </c>
      <c r="B20" s="126" t="s">
        <v>543</v>
      </c>
      <c r="C20" s="5" t="s">
        <v>271</v>
      </c>
      <c r="D20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37.497136792999996</v>
      </c>
      <c r="F20" s="126">
        <f>VLOOKUP(woodflow[[#This Row],[From]],woodstock[#All],4,FALSE)</f>
        <v>2021</v>
      </c>
      <c r="G20" s="5" t="str">
        <f>VLOOKUP(woodflow[[#This Row],[From]],woodstock[#All],5,FALSE)</f>
        <v>OAS</v>
      </c>
      <c r="H20" s="135" t="str">
        <f>VLOOKUP(woodflow[[#This Row],[From]],woodstock[#All],7,FALSE)</f>
        <v>1</v>
      </c>
      <c r="I20" s="135" t="str">
        <f>VLOOKUP(woodflow[[#This Row],[to]],woodstock[#All],7,FALSE)</f>
        <v>9</v>
      </c>
      <c r="J20" s="135" t="str">
        <f>VLOOKUP(woodflow[[#This Row],[From]],woodstock[#All],8,FALSE)</f>
        <v>0</v>
      </c>
      <c r="K20" s="135" t="str">
        <f>VLOOKUP(woodflow[[#This Row],[to]],woodstock[#All],8,FALSE)</f>
        <v>0</v>
      </c>
      <c r="L20" s="136" t="str">
        <f>VLOOKUP(woodflow[[#This Row],[From]],woodstock[#All],9,FALSE)</f>
        <v>nan</v>
      </c>
      <c r="M20" s="136" t="str">
        <f>VLOOKUP(woodflow[[#This Row],[to]],woodstock[#All],9,FALSE)</f>
        <v>nan</v>
      </c>
      <c r="N20" s="131">
        <f>'faostat-data'!Q23</f>
        <v>37.497136792999996</v>
      </c>
      <c r="O20" s="126" t="s">
        <v>549</v>
      </c>
      <c r="P20" s="126"/>
      <c r="Q20" s="126" t="s">
        <v>234</v>
      </c>
      <c r="R20" s="1"/>
      <c r="S20" s="1"/>
      <c r="T20" s="1"/>
      <c r="U20" s="1"/>
      <c r="V20" s="1"/>
    </row>
    <row r="21" spans="1:22" x14ac:dyDescent="0.3">
      <c r="A21" s="5" t="str">
        <f>CONCATENATE("F",IF(B21&lt;&gt;"",COUNTA($B$2:B21),""))</f>
        <v>F</v>
      </c>
      <c r="B21" s="126"/>
      <c r="C21" s="126"/>
      <c r="D21" s="133"/>
      <c r="E21" s="133"/>
      <c r="F21" s="126"/>
      <c r="G21" s="5"/>
      <c r="H21" s="135"/>
      <c r="I21" s="135"/>
      <c r="J21" s="135"/>
      <c r="K21" s="135"/>
      <c r="L21" s="136"/>
      <c r="M21" s="136"/>
      <c r="N21" s="131"/>
      <c r="O21" s="126"/>
      <c r="P21" s="126"/>
      <c r="Q21" s="126"/>
      <c r="R21" s="1"/>
      <c r="S21" s="1"/>
      <c r="T21" s="1"/>
      <c r="U21" s="1"/>
      <c r="V21" s="1"/>
    </row>
    <row r="22" spans="1:22" x14ac:dyDescent="0.3">
      <c r="A22" s="5" t="str">
        <f>CONCATENATE("F",IF(B22&lt;&gt;"",COUNTA($B$2:B22),""))</f>
        <v>F</v>
      </c>
      <c r="B22" s="126"/>
      <c r="C22" s="126"/>
      <c r="D22" s="133"/>
      <c r="E22" s="133"/>
      <c r="F22" s="126"/>
      <c r="G22" s="5"/>
      <c r="H22" s="135"/>
      <c r="I22" s="135"/>
      <c r="J22" s="135"/>
      <c r="K22" s="135"/>
      <c r="L22" s="136"/>
      <c r="M22" s="136"/>
      <c r="N22" s="131"/>
      <c r="O22" s="126"/>
      <c r="P22" s="126"/>
      <c r="Q22" s="126"/>
      <c r="R22" s="1"/>
      <c r="S22" s="1"/>
      <c r="T22" s="1"/>
      <c r="U22" s="1"/>
      <c r="V22" s="1"/>
    </row>
    <row r="23" spans="1:22" x14ac:dyDescent="0.3">
      <c r="A23" s="5" t="str">
        <f>CONCATENATE("F",IF(B23&lt;&gt;"",COUNTA($B$2:B23),""))</f>
        <v>F8</v>
      </c>
      <c r="B23" s="126" t="s">
        <v>543</v>
      </c>
      <c r="C23" s="5" t="s">
        <v>273</v>
      </c>
      <c r="D23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11.415811260000002</v>
      </c>
      <c r="F23" s="126">
        <f>VLOOKUP(woodflow[[#This Row],[From]],woodstock[#All],4,FALSE)</f>
        <v>2021</v>
      </c>
      <c r="G23" s="5" t="str">
        <f>VLOOKUP(woodflow[[#This Row],[From]],woodstock[#All],5,FALSE)</f>
        <v>OAS</v>
      </c>
      <c r="H23" s="135" t="str">
        <f>VLOOKUP(woodflow[[#This Row],[From]],woodstock[#All],7,FALSE)</f>
        <v>1</v>
      </c>
      <c r="I23" s="135" t="str">
        <f>VLOOKUP(woodflow[[#This Row],[to]],woodstock[#All],7,FALSE)</f>
        <v>11</v>
      </c>
      <c r="J23" s="135" t="str">
        <f>VLOOKUP(woodflow[[#This Row],[From]],woodstock[#All],8,FALSE)</f>
        <v>0</v>
      </c>
      <c r="K23" s="135" t="str">
        <f>VLOOKUP(woodflow[[#This Row],[to]],woodstock[#All],8,FALSE)</f>
        <v>0</v>
      </c>
      <c r="L23" s="136" t="str">
        <f>VLOOKUP(woodflow[[#This Row],[From]],woodstock[#All],9,FALSE)</f>
        <v>nan</v>
      </c>
      <c r="M23" s="136" t="str">
        <f>VLOOKUP(woodflow[[#This Row],[to]],woodstock[#All],9,FALSE)</f>
        <v>nan</v>
      </c>
      <c r="N23" s="131">
        <f>'faostat-data'!Q30</f>
        <v>11.415811260000002</v>
      </c>
      <c r="O23" s="126" t="s">
        <v>549</v>
      </c>
      <c r="P23" s="126"/>
      <c r="Q23" s="126" t="s">
        <v>234</v>
      </c>
      <c r="R23" s="1"/>
      <c r="S23" s="1"/>
      <c r="T23" s="1"/>
      <c r="U23" s="1"/>
      <c r="V23" s="1"/>
    </row>
    <row r="24" spans="1:22" x14ac:dyDescent="0.3">
      <c r="A24" s="5" t="str">
        <f>CONCATENATE("F",IF(B24&lt;&gt;"",COUNTA($B$2:B24),""))</f>
        <v>F</v>
      </c>
      <c r="B24" s="126"/>
      <c r="C24" s="126"/>
      <c r="D24" s="133"/>
      <c r="E24" s="133"/>
      <c r="F24" s="126"/>
      <c r="G24" s="5"/>
      <c r="H24" s="135"/>
      <c r="I24" s="135"/>
      <c r="J24" s="135"/>
      <c r="K24" s="135"/>
      <c r="L24" s="136"/>
      <c r="M24" s="136"/>
      <c r="N24" s="131"/>
      <c r="O24" s="126"/>
      <c r="P24" s="126"/>
      <c r="Q24" s="126"/>
      <c r="R24" s="1"/>
      <c r="S24" s="1"/>
      <c r="T24" s="1"/>
      <c r="U24" s="1"/>
      <c r="V24" s="1"/>
    </row>
    <row r="25" spans="1:22" x14ac:dyDescent="0.3">
      <c r="A25" s="5" t="str">
        <f>CONCATENATE("F",IF(B25&lt;&gt;"",COUNTA($B$2:B25),""))</f>
        <v>F</v>
      </c>
      <c r="B25" s="126"/>
      <c r="C25" s="126"/>
      <c r="D25" s="133"/>
      <c r="E25" s="133"/>
      <c r="F25" s="126"/>
      <c r="G25" s="5"/>
      <c r="H25" s="135"/>
      <c r="I25" s="135"/>
      <c r="J25" s="135"/>
      <c r="K25" s="135"/>
      <c r="L25" s="136"/>
      <c r="M25" s="136"/>
      <c r="N25" s="131"/>
      <c r="O25" s="126"/>
      <c r="P25" s="126"/>
      <c r="Q25" s="126"/>
      <c r="R25" s="1"/>
      <c r="S25" s="1"/>
      <c r="T25" s="1"/>
      <c r="U25" s="1"/>
      <c r="V25" s="1"/>
    </row>
    <row r="26" spans="1:22" x14ac:dyDescent="0.3">
      <c r="A26" s="5" t="str">
        <f>CONCATENATE("F",IF(B26&lt;&gt;"",COUNTA($B$2:B26),""))</f>
        <v>F9</v>
      </c>
      <c r="B26" s="126" t="s">
        <v>544</v>
      </c>
      <c r="C26" s="126" t="s">
        <v>61</v>
      </c>
      <c r="D26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22.831846634531253</v>
      </c>
      <c r="E2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" s="126">
        <f>VLOOKUP(woodflow[[#This Row],[From]],woodstock[#All],4,FALSE)</f>
        <v>2021</v>
      </c>
      <c r="G26" s="5" t="str">
        <f>VLOOKUP(woodflow[[#This Row],[From]],woodstock[#All],5,FALSE)</f>
        <v>OAS</v>
      </c>
      <c r="H26" s="135" t="str">
        <f>VLOOKUP(woodflow[[#This Row],[From]],woodstock[#All],7,FALSE)</f>
        <v>2</v>
      </c>
      <c r="I26" s="135" t="str">
        <f>VLOOKUP(woodflow[[#This Row],[to]],woodstock[#All],7,FALSE)</f>
        <v>2</v>
      </c>
      <c r="J26" s="135" t="str">
        <f>VLOOKUP(woodflow[[#This Row],[From]],woodstock[#All],8,FALSE)</f>
        <v>0</v>
      </c>
      <c r="K26" s="135" t="str">
        <f>VLOOKUP(woodflow[[#This Row],[to]],woodstock[#All],8,FALSE)</f>
        <v>1</v>
      </c>
      <c r="L26" s="136" t="str">
        <f>VLOOKUP(woodflow[[#This Row],[From]],woodstock[#All],9,FALSE)</f>
        <v>nan</v>
      </c>
      <c r="M26" s="136" t="str">
        <f>VLOOKUP(woodflow[[#This Row],[to]],woodstock[#All],9,FALSE)</f>
        <v>4-5</v>
      </c>
      <c r="N26" s="131">
        <f>(N14+N2)*'supporting-percentages'!B4</f>
        <v>22.831846634531253</v>
      </c>
      <c r="O26" s="126" t="s">
        <v>556</v>
      </c>
      <c r="P26" s="126" t="s">
        <v>458</v>
      </c>
      <c r="Q26" s="132"/>
      <c r="R26" s="1"/>
      <c r="S26" s="1"/>
      <c r="T26" s="1"/>
      <c r="U26" s="1"/>
      <c r="V26" s="1"/>
    </row>
    <row r="27" spans="1:22" x14ac:dyDescent="0.3">
      <c r="A27" s="5" t="str">
        <f>CONCATENATE("F",IF(B27&lt;&gt;"",COUNTA($B$2:B27),""))</f>
        <v>F10</v>
      </c>
      <c r="B27" s="126" t="s">
        <v>544</v>
      </c>
      <c r="C27" s="5" t="s">
        <v>265</v>
      </c>
      <c r="D27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7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0.39333943453125003</v>
      </c>
      <c r="F27" s="126">
        <f>VLOOKUP(woodflow[[#This Row],[From]],woodstock[#All],4,FALSE)</f>
        <v>2021</v>
      </c>
      <c r="G27" s="5" t="str">
        <f>VLOOKUP(woodflow[[#This Row],[From]],woodstock[#All],5,FALSE)</f>
        <v>OAS</v>
      </c>
      <c r="H27" s="135" t="str">
        <f>VLOOKUP(woodflow[[#This Row],[From]],woodstock[#All],7,FALSE)</f>
        <v>2</v>
      </c>
      <c r="I27" s="135" t="str">
        <f>VLOOKUP(woodflow[[#This Row],[to]],woodstock[#All],7,FALSE)</f>
        <v>4</v>
      </c>
      <c r="J27" s="135" t="str">
        <f>VLOOKUP(woodflow[[#This Row],[From]],woodstock[#All],8,FALSE)</f>
        <v>0</v>
      </c>
      <c r="K27" s="135" t="str">
        <f>VLOOKUP(woodflow[[#This Row],[to]],woodstock[#All],8,FALSE)</f>
        <v>0</v>
      </c>
      <c r="L27" s="136" t="str">
        <f>VLOOKUP(woodflow[[#This Row],[From]],woodstock[#All],9,FALSE)</f>
        <v>nan</v>
      </c>
      <c r="M27" s="136" t="str">
        <f>VLOOKUP(woodflow[[#This Row],[to]],woodstock[#All],9,FALSE)</f>
        <v>nan</v>
      </c>
      <c r="N27" s="131">
        <f>N2*'supporting-percentages'!B4</f>
        <v>0.39333943453125003</v>
      </c>
      <c r="O27" s="126" t="s">
        <v>549</v>
      </c>
      <c r="P27" s="126" t="s">
        <v>458</v>
      </c>
      <c r="Q27" s="137"/>
      <c r="R27" s="1"/>
      <c r="S27" s="1"/>
      <c r="T27" s="1"/>
      <c r="U27" s="1"/>
      <c r="V27" s="1"/>
    </row>
    <row r="28" spans="1:22" x14ac:dyDescent="0.3">
      <c r="A28" s="5" t="str">
        <f>CONCATENATE("F",IF(B28&lt;&gt;"",COUNTA($B$2:B28),""))</f>
        <v>F11</v>
      </c>
      <c r="B28" s="126" t="s">
        <v>544</v>
      </c>
      <c r="C28" s="5" t="s">
        <v>266</v>
      </c>
      <c r="D28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8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22.438507200000004</v>
      </c>
      <c r="F28" s="126">
        <f>VLOOKUP(woodflow[[#This Row],[From]],woodstock[#All],4,FALSE)</f>
        <v>2021</v>
      </c>
      <c r="G28" s="5" t="str">
        <f>VLOOKUP(woodflow[[#This Row],[From]],woodstock[#All],5,FALSE)</f>
        <v>OAS</v>
      </c>
      <c r="H28" s="135" t="str">
        <f>VLOOKUP(woodflow[[#This Row],[From]],woodstock[#All],7,FALSE)</f>
        <v>2</v>
      </c>
      <c r="I28" s="135" t="str">
        <f>VLOOKUP(woodflow[[#This Row],[to]],woodstock[#All],7,FALSE)</f>
        <v>5</v>
      </c>
      <c r="J28" s="135" t="str">
        <f>VLOOKUP(woodflow[[#This Row],[From]],woodstock[#All],8,FALSE)</f>
        <v>0</v>
      </c>
      <c r="K28" s="135" t="str">
        <f>VLOOKUP(woodflow[[#This Row],[to]],woodstock[#All],8,FALSE)</f>
        <v>0</v>
      </c>
      <c r="L28" s="136" t="str">
        <f>VLOOKUP(woodflow[[#This Row],[From]],woodstock[#All],9,FALSE)</f>
        <v>nan</v>
      </c>
      <c r="M28" s="136" t="str">
        <f>VLOOKUP(woodflow[[#This Row],[to]],woodstock[#All],9,FALSE)</f>
        <v>nan</v>
      </c>
      <c r="N28" s="131">
        <f>N14*'supporting-percentages'!B4</f>
        <v>22.438507200000004</v>
      </c>
      <c r="O28" s="126" t="s">
        <v>549</v>
      </c>
      <c r="P28" s="126" t="s">
        <v>458</v>
      </c>
      <c r="Q28" s="137"/>
      <c r="R28" s="1"/>
      <c r="S28" s="1"/>
      <c r="T28" s="1"/>
      <c r="U28" s="1"/>
      <c r="V28" s="1"/>
    </row>
    <row r="29" spans="1:22" x14ac:dyDescent="0.3">
      <c r="A29" s="5" t="str">
        <f>CONCATENATE("F",IF(B29&lt;&gt;"",COUNTA($B$2:B29),""))</f>
        <v>F</v>
      </c>
      <c r="B29" s="126"/>
      <c r="C29" s="126"/>
      <c r="D29" s="133"/>
      <c r="E29" s="133"/>
      <c r="F29" s="126"/>
      <c r="G29" s="5"/>
      <c r="H29" s="135"/>
      <c r="I29" s="135"/>
      <c r="J29" s="135"/>
      <c r="K29" s="135"/>
      <c r="L29" s="136"/>
      <c r="M29" s="136"/>
      <c r="N29" s="131"/>
      <c r="O29" s="126"/>
      <c r="P29" s="126"/>
      <c r="Q29" s="137"/>
      <c r="R29" s="1"/>
      <c r="S29" s="1"/>
      <c r="T29" s="1"/>
      <c r="U29" s="1"/>
      <c r="V29" s="1"/>
    </row>
    <row r="30" spans="1:22" x14ac:dyDescent="0.3">
      <c r="A30" s="5" t="str">
        <f>CONCATENATE("F",IF(B30&lt;&gt;"",COUNTA($B$2:B30),""))</f>
        <v>F</v>
      </c>
      <c r="B30" s="126"/>
      <c r="C30" s="126"/>
      <c r="D30" s="133"/>
      <c r="E30" s="133"/>
      <c r="F30" s="126"/>
      <c r="G30" s="5"/>
      <c r="H30" s="135"/>
      <c r="I30" s="135"/>
      <c r="J30" s="135"/>
      <c r="K30" s="135"/>
      <c r="L30" s="136"/>
      <c r="M30" s="136"/>
      <c r="N30" s="131"/>
      <c r="O30" s="126"/>
      <c r="P30" s="126"/>
      <c r="Q30" s="137"/>
      <c r="R30" s="1"/>
      <c r="S30" s="1"/>
      <c r="T30" s="1"/>
      <c r="U30" s="1"/>
      <c r="V30" s="1"/>
    </row>
    <row r="31" spans="1:22" x14ac:dyDescent="0.3">
      <c r="A31" s="5" t="str">
        <f>CONCATENATE("F",IF(B31&lt;&gt;"",COUNTA($B$2:B31),""))</f>
        <v>F12</v>
      </c>
      <c r="B31" s="126" t="s">
        <v>544</v>
      </c>
      <c r="C31" s="126" t="s">
        <v>62</v>
      </c>
      <c r="D31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6.5837537656249987</v>
      </c>
      <c r="E31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" s="126">
        <f>VLOOKUP(woodflow[[#This Row],[From]],woodstock[#All],4,FALSE)</f>
        <v>2021</v>
      </c>
      <c r="G31" s="5" t="str">
        <f>VLOOKUP(woodflow[[#This Row],[From]],woodstock[#All],5,FALSE)</f>
        <v>OAS</v>
      </c>
      <c r="H31" s="135" t="str">
        <f>VLOOKUP(woodflow[[#This Row],[From]],woodstock[#All],7,FALSE)</f>
        <v>2</v>
      </c>
      <c r="I31" s="135" t="str">
        <f>VLOOKUP(woodflow[[#This Row],[to]],woodstock[#All],7,FALSE)</f>
        <v>5</v>
      </c>
      <c r="J31" s="135" t="str">
        <f>VLOOKUP(woodflow[[#This Row],[From]],woodstock[#All],8,FALSE)</f>
        <v>0</v>
      </c>
      <c r="K31" s="135" t="str">
        <f>VLOOKUP(woodflow[[#This Row],[to]],woodstock[#All],8,FALSE)</f>
        <v>1</v>
      </c>
      <c r="L31" s="136" t="str">
        <f>VLOOKUP(woodflow[[#This Row],[From]],woodstock[#All],9,FALSE)</f>
        <v>nan</v>
      </c>
      <c r="M31" s="136" t="str">
        <f>VLOOKUP(woodflow[[#This Row],[to]],woodstock[#All],9,FALSE)</f>
        <v>6-7</v>
      </c>
      <c r="N31" s="131">
        <f>(N17+N5)*'supporting-percentages'!B4</f>
        <v>6.5837537656249987</v>
      </c>
      <c r="O31" s="126" t="s">
        <v>556</v>
      </c>
      <c r="P31" s="126" t="s">
        <v>458</v>
      </c>
      <c r="Q31" s="132"/>
      <c r="R31" s="1"/>
      <c r="S31" s="1"/>
      <c r="T31" s="1"/>
      <c r="U31" s="1"/>
      <c r="V31" s="1"/>
    </row>
    <row r="32" spans="1:22" x14ac:dyDescent="0.3">
      <c r="A32" s="5" t="str">
        <f>CONCATENATE("F",IF(B32&lt;&gt;"",COUNTA($B$2:B32),""))</f>
        <v>F13</v>
      </c>
      <c r="B32" s="126" t="s">
        <v>544</v>
      </c>
      <c r="C32" s="5" t="s">
        <v>267</v>
      </c>
      <c r="D32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2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0.28839509999999996</v>
      </c>
      <c r="F32" s="126">
        <f>VLOOKUP(woodflow[[#This Row],[From]],woodstock[#All],4,FALSE)</f>
        <v>2021</v>
      </c>
      <c r="G32" s="5" t="str">
        <f>VLOOKUP(woodflow[[#This Row],[From]],woodstock[#All],5,FALSE)</f>
        <v>OAS</v>
      </c>
      <c r="H32" s="135" t="str">
        <f>VLOOKUP(woodflow[[#This Row],[From]],woodstock[#All],7,FALSE)</f>
        <v>2</v>
      </c>
      <c r="I32" s="135" t="str">
        <f>VLOOKUP(woodflow[[#This Row],[to]],woodstock[#All],7,FALSE)</f>
        <v>6</v>
      </c>
      <c r="J32" s="135" t="str">
        <f>VLOOKUP(woodflow[[#This Row],[From]],woodstock[#All],8,FALSE)</f>
        <v>0</v>
      </c>
      <c r="K32" s="135" t="str">
        <f>VLOOKUP(woodflow[[#This Row],[to]],woodstock[#All],8,FALSE)</f>
        <v>0</v>
      </c>
      <c r="L32" s="136" t="str">
        <f>VLOOKUP(woodflow[[#This Row],[From]],woodstock[#All],9,FALSE)</f>
        <v>nan</v>
      </c>
      <c r="M32" s="136" t="str">
        <f>VLOOKUP(woodflow[[#This Row],[to]],woodstock[#All],9,FALSE)</f>
        <v>nan</v>
      </c>
      <c r="N32" s="131">
        <f>(N5)*'supporting-percentages'!B4</f>
        <v>0.28839509999999996</v>
      </c>
      <c r="O32" s="126" t="s">
        <v>549</v>
      </c>
      <c r="P32" s="126" t="s">
        <v>458</v>
      </c>
      <c r="Q32" s="137"/>
      <c r="R32" s="1"/>
      <c r="S32" s="1"/>
      <c r="T32" s="1"/>
      <c r="U32" s="1"/>
      <c r="V32" s="1"/>
    </row>
    <row r="33" spans="1:22" x14ac:dyDescent="0.3">
      <c r="A33" s="5" t="str">
        <f>CONCATENATE("F",IF(B33&lt;&gt;"",COUNTA($B$2:B33),""))</f>
        <v>F14</v>
      </c>
      <c r="B33" s="126" t="s">
        <v>544</v>
      </c>
      <c r="C33" s="5" t="s">
        <v>268</v>
      </c>
      <c r="D33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6.2953586656249989</v>
      </c>
      <c r="F33" s="126">
        <f>VLOOKUP(woodflow[[#This Row],[From]],woodstock[#All],4,FALSE)</f>
        <v>2021</v>
      </c>
      <c r="G33" s="5" t="str">
        <f>VLOOKUP(woodflow[[#This Row],[From]],woodstock[#All],5,FALSE)</f>
        <v>OAS</v>
      </c>
      <c r="H33" s="135" t="str">
        <f>VLOOKUP(woodflow[[#This Row],[From]],woodstock[#All],7,FALSE)</f>
        <v>2</v>
      </c>
      <c r="I33" s="135" t="str">
        <f>VLOOKUP(woodflow[[#This Row],[to]],woodstock[#All],7,FALSE)</f>
        <v>7</v>
      </c>
      <c r="J33" s="135" t="str">
        <f>VLOOKUP(woodflow[[#This Row],[From]],woodstock[#All],8,FALSE)</f>
        <v>0</v>
      </c>
      <c r="K33" s="135" t="str">
        <f>VLOOKUP(woodflow[[#This Row],[to]],woodstock[#All],8,FALSE)</f>
        <v>0</v>
      </c>
      <c r="L33" s="136" t="str">
        <f>VLOOKUP(woodflow[[#This Row],[From]],woodstock[#All],9,FALSE)</f>
        <v>nan</v>
      </c>
      <c r="M33" s="136" t="str">
        <f>VLOOKUP(woodflow[[#This Row],[to]],woodstock[#All],9,FALSE)</f>
        <v>nan</v>
      </c>
      <c r="N33" s="131">
        <f>(N17)*'supporting-percentages'!B4</f>
        <v>6.2953586656249989</v>
      </c>
      <c r="O33" s="126" t="s">
        <v>549</v>
      </c>
      <c r="P33" s="126" t="s">
        <v>458</v>
      </c>
      <c r="Q33" s="137"/>
      <c r="R33" s="1"/>
      <c r="S33" s="1"/>
      <c r="T33" s="1"/>
      <c r="U33" s="1"/>
      <c r="V33" s="1"/>
    </row>
    <row r="34" spans="1:22" x14ac:dyDescent="0.3">
      <c r="A34" s="5" t="str">
        <f>CONCATENATE("F",IF(B34&lt;&gt;"",COUNTA($B$2:B34),""))</f>
        <v>F</v>
      </c>
      <c r="B34" s="126"/>
      <c r="C34" s="126"/>
      <c r="D34" s="133"/>
      <c r="E34" s="133"/>
      <c r="F34" s="126"/>
      <c r="G34" s="5"/>
      <c r="H34" s="135"/>
      <c r="I34" s="135"/>
      <c r="J34" s="135"/>
      <c r="K34" s="135"/>
      <c r="L34" s="136"/>
      <c r="M34" s="136"/>
      <c r="N34" s="131"/>
      <c r="O34" s="126"/>
      <c r="P34" s="126"/>
      <c r="Q34" s="137"/>
      <c r="R34" s="1"/>
      <c r="S34" s="1"/>
      <c r="T34" s="1"/>
      <c r="U34" s="1"/>
      <c r="V34" s="1"/>
    </row>
    <row r="35" spans="1:22" x14ac:dyDescent="0.3">
      <c r="A35" s="5" t="str">
        <f>CONCATENATE("F",IF(B35&lt;&gt;"",COUNTA($B$2:B35),""))</f>
        <v>F</v>
      </c>
      <c r="B35" s="126"/>
      <c r="C35" s="126"/>
      <c r="D35" s="133"/>
      <c r="E35" s="133"/>
      <c r="F35" s="126"/>
      <c r="G35" s="5"/>
      <c r="H35" s="135"/>
      <c r="I35" s="135"/>
      <c r="J35" s="135"/>
      <c r="K35" s="135"/>
      <c r="L35" s="136"/>
      <c r="M35" s="136"/>
      <c r="N35" s="131"/>
      <c r="O35" s="126"/>
      <c r="P35" s="126"/>
      <c r="Q35" s="137"/>
      <c r="R35" s="1"/>
      <c r="S35" s="1"/>
      <c r="T35" s="1"/>
      <c r="U35" s="1"/>
      <c r="V35" s="1"/>
    </row>
    <row r="36" spans="1:22" x14ac:dyDescent="0.3">
      <c r="A36" s="5" t="str">
        <f>CONCATENATE("F",IF(B36&lt;&gt;"",COUNTA($B$2:B36),""))</f>
        <v>F15</v>
      </c>
      <c r="B36" s="126" t="s">
        <v>544</v>
      </c>
      <c r="C36" s="126" t="s">
        <v>63</v>
      </c>
      <c r="D36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4.7729858491249999</v>
      </c>
      <c r="E3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" s="126">
        <f>VLOOKUP(woodflow[[#This Row],[From]],woodstock[#All],4,FALSE)</f>
        <v>2021</v>
      </c>
      <c r="G36" s="5" t="str">
        <f>VLOOKUP(woodflow[[#This Row],[From]],woodstock[#All],5,FALSE)</f>
        <v>OAS</v>
      </c>
      <c r="H36" s="135" t="str">
        <f>VLOOKUP(woodflow[[#This Row],[From]],woodstock[#All],7,FALSE)</f>
        <v>2</v>
      </c>
      <c r="I36" s="135" t="str">
        <f>VLOOKUP(woodflow[[#This Row],[to]],woodstock[#All],7,FALSE)</f>
        <v>6</v>
      </c>
      <c r="J36" s="135" t="str">
        <f>VLOOKUP(woodflow[[#This Row],[From]],woodstock[#All],8,FALSE)</f>
        <v>0</v>
      </c>
      <c r="K36" s="135" t="str">
        <f>VLOOKUP(woodflow[[#This Row],[to]],woodstock[#All],8,FALSE)</f>
        <v>1</v>
      </c>
      <c r="L36" s="136" t="str">
        <f>VLOOKUP(woodflow[[#This Row],[From]],woodstock[#All],9,FALSE)</f>
        <v>nan</v>
      </c>
      <c r="M36" s="136" t="str">
        <f>VLOOKUP(woodflow[[#This Row],[to]],woodstock[#All],9,FALSE)</f>
        <v>8-9</v>
      </c>
      <c r="N36" s="131">
        <f>(N20+N8)*'supporting-percentages'!B4</f>
        <v>4.7729858491249999</v>
      </c>
      <c r="O36" s="126" t="s">
        <v>556</v>
      </c>
      <c r="P36" s="126" t="s">
        <v>458</v>
      </c>
      <c r="Q36" s="132"/>
      <c r="R36" s="1"/>
      <c r="S36" s="1"/>
      <c r="T36" s="1"/>
      <c r="U36" s="1"/>
      <c r="V36" s="1"/>
    </row>
    <row r="37" spans="1:22" x14ac:dyDescent="0.3">
      <c r="A37" s="5" t="str">
        <f>CONCATENATE("F",IF(B37&lt;&gt;"",COUNTA($B$2:B37),""))</f>
        <v>F16</v>
      </c>
      <c r="B37" s="126" t="s">
        <v>544</v>
      </c>
      <c r="C37" s="5" t="s">
        <v>270</v>
      </c>
      <c r="D37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7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8.5843749999999996E-2</v>
      </c>
      <c r="F37" s="126">
        <f>VLOOKUP(woodflow[[#This Row],[From]],woodstock[#All],4,FALSE)</f>
        <v>2021</v>
      </c>
      <c r="G37" s="5" t="str">
        <f>VLOOKUP(woodflow[[#This Row],[From]],woodstock[#All],5,FALSE)</f>
        <v>OAS</v>
      </c>
      <c r="H37" s="135" t="str">
        <f>VLOOKUP(woodflow[[#This Row],[From]],woodstock[#All],7,FALSE)</f>
        <v>2</v>
      </c>
      <c r="I37" s="135" t="str">
        <f>VLOOKUP(woodflow[[#This Row],[to]],woodstock[#All],7,FALSE)</f>
        <v>8</v>
      </c>
      <c r="J37" s="135" t="str">
        <f>VLOOKUP(woodflow[[#This Row],[From]],woodstock[#All],8,FALSE)</f>
        <v>0</v>
      </c>
      <c r="K37" s="135" t="str">
        <f>VLOOKUP(woodflow[[#This Row],[to]],woodstock[#All],8,FALSE)</f>
        <v>0</v>
      </c>
      <c r="L37" s="136" t="str">
        <f>VLOOKUP(woodflow[[#This Row],[From]],woodstock[#All],9,FALSE)</f>
        <v>nan</v>
      </c>
      <c r="M37" s="136" t="str">
        <f>VLOOKUP(woodflow[[#This Row],[to]],woodstock[#All],9,FALSE)</f>
        <v>nan</v>
      </c>
      <c r="N37" s="131">
        <f>(N8)*'supporting-percentages'!B4</f>
        <v>8.5843749999999996E-2</v>
      </c>
      <c r="O37" s="126" t="s">
        <v>549</v>
      </c>
      <c r="P37" s="126" t="s">
        <v>458</v>
      </c>
      <c r="Q37" s="137"/>
      <c r="R37" s="1"/>
      <c r="S37" s="1"/>
      <c r="T37" s="1"/>
      <c r="U37" s="1"/>
      <c r="V37" s="1"/>
    </row>
    <row r="38" spans="1:22" x14ac:dyDescent="0.3">
      <c r="A38" s="5" t="str">
        <f>CONCATENATE("F",IF(B38&lt;&gt;"",COUNTA($B$2:B38),""))</f>
        <v>F17</v>
      </c>
      <c r="B38" s="126" t="s">
        <v>544</v>
      </c>
      <c r="C38" s="5" t="s">
        <v>271</v>
      </c>
      <c r="D38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4.6871420991249995</v>
      </c>
      <c r="F38" s="126">
        <f>VLOOKUP(woodflow[[#This Row],[From]],woodstock[#All],4,FALSE)</f>
        <v>2021</v>
      </c>
      <c r="G38" s="5" t="str">
        <f>VLOOKUP(woodflow[[#This Row],[From]],woodstock[#All],5,FALSE)</f>
        <v>OAS</v>
      </c>
      <c r="H38" s="135" t="str">
        <f>VLOOKUP(woodflow[[#This Row],[From]],woodstock[#All],7,FALSE)</f>
        <v>2</v>
      </c>
      <c r="I38" s="135" t="str">
        <f>VLOOKUP(woodflow[[#This Row],[to]],woodstock[#All],7,FALSE)</f>
        <v>9</v>
      </c>
      <c r="J38" s="135" t="str">
        <f>VLOOKUP(woodflow[[#This Row],[From]],woodstock[#All],8,FALSE)</f>
        <v>0</v>
      </c>
      <c r="K38" s="135" t="str">
        <f>VLOOKUP(woodflow[[#This Row],[to]],woodstock[#All],8,FALSE)</f>
        <v>0</v>
      </c>
      <c r="L38" s="136" t="str">
        <f>VLOOKUP(woodflow[[#This Row],[From]],woodstock[#All],9,FALSE)</f>
        <v>nan</v>
      </c>
      <c r="M38" s="136" t="str">
        <f>VLOOKUP(woodflow[[#This Row],[to]],woodstock[#All],9,FALSE)</f>
        <v>nan</v>
      </c>
      <c r="N38" s="131">
        <f>(N20)*'supporting-percentages'!B4</f>
        <v>4.6871420991249995</v>
      </c>
      <c r="O38" s="126" t="s">
        <v>549</v>
      </c>
      <c r="P38" s="126" t="s">
        <v>458</v>
      </c>
      <c r="Q38" s="137"/>
      <c r="R38" s="1"/>
      <c r="S38" s="1"/>
      <c r="T38" s="1"/>
      <c r="U38" s="1"/>
      <c r="V38" s="1"/>
    </row>
    <row r="39" spans="1:22" x14ac:dyDescent="0.3">
      <c r="A39" s="5" t="str">
        <f>CONCATENATE("F",IF(B39&lt;&gt;"",COUNTA($B$2:B39),""))</f>
        <v>F</v>
      </c>
      <c r="B39" s="126"/>
      <c r="C39" s="126"/>
      <c r="D39" s="133"/>
      <c r="E39" s="133"/>
      <c r="F39" s="126"/>
      <c r="G39" s="5"/>
      <c r="H39" s="135"/>
      <c r="I39" s="135"/>
      <c r="J39" s="135"/>
      <c r="K39" s="135"/>
      <c r="L39" s="136"/>
      <c r="M39" s="136"/>
      <c r="N39" s="131"/>
      <c r="O39" s="126"/>
      <c r="P39" s="126"/>
      <c r="Q39" s="137"/>
      <c r="R39" s="1"/>
      <c r="S39" s="1"/>
      <c r="T39" s="1"/>
      <c r="U39" s="1"/>
      <c r="V39" s="1"/>
    </row>
    <row r="40" spans="1:22" x14ac:dyDescent="0.3">
      <c r="A40" s="5" t="str">
        <f>CONCATENATE("F",IF(B40&lt;&gt;"",COUNTA($B$2:B40),""))</f>
        <v>F</v>
      </c>
      <c r="B40" s="126"/>
      <c r="C40" s="126"/>
      <c r="D40" s="133"/>
      <c r="E40" s="133"/>
      <c r="F40" s="126"/>
      <c r="G40" s="5"/>
      <c r="H40" s="135"/>
      <c r="I40" s="135"/>
      <c r="J40" s="135"/>
      <c r="K40" s="135"/>
      <c r="L40" s="136"/>
      <c r="M40" s="136"/>
      <c r="N40" s="131"/>
      <c r="O40" s="126"/>
      <c r="P40" s="126"/>
      <c r="Q40" s="137"/>
      <c r="R40" s="1"/>
      <c r="S40" s="1"/>
      <c r="T40" s="1"/>
      <c r="U40" s="1"/>
      <c r="V40" s="1"/>
    </row>
    <row r="41" spans="1:22" x14ac:dyDescent="0.3">
      <c r="A41" s="5" t="str">
        <f>CONCATENATE("F",IF(B41&lt;&gt;"",COUNTA($B$2:B41),""))</f>
        <v>F18</v>
      </c>
      <c r="B41" s="126" t="s">
        <v>544</v>
      </c>
      <c r="C41" s="126" t="s">
        <v>64</v>
      </c>
      <c r="D41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1.5037514075000002</v>
      </c>
      <c r="E41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" s="126">
        <f>VLOOKUP(woodflow[[#This Row],[From]],woodstock[#All],4,FALSE)</f>
        <v>2021</v>
      </c>
      <c r="G41" s="5" t="str">
        <f>VLOOKUP(woodflow[[#This Row],[From]],woodstock[#All],5,FALSE)</f>
        <v>OAS</v>
      </c>
      <c r="H41" s="135" t="str">
        <f>VLOOKUP(woodflow[[#This Row],[From]],woodstock[#All],7,FALSE)</f>
        <v>2</v>
      </c>
      <c r="I41" s="135" t="str">
        <f>VLOOKUP(woodflow[[#This Row],[to]],woodstock[#All],7,FALSE)</f>
        <v>7</v>
      </c>
      <c r="J41" s="135" t="str">
        <f>VLOOKUP(woodflow[[#This Row],[From]],woodstock[#All],8,FALSE)</f>
        <v>0</v>
      </c>
      <c r="K41" s="135" t="str">
        <f>VLOOKUP(woodflow[[#This Row],[to]],woodstock[#All],8,FALSE)</f>
        <v>1</v>
      </c>
      <c r="L41" s="136" t="str">
        <f>VLOOKUP(woodflow[[#This Row],[From]],woodstock[#All],9,FALSE)</f>
        <v>nan</v>
      </c>
      <c r="M41" s="136" t="str">
        <f>VLOOKUP(woodflow[[#This Row],[to]],woodstock[#All],9,FALSE)</f>
        <v>10-11</v>
      </c>
      <c r="N41" s="131">
        <f>(N23+N11)*'supporting-percentages'!B4</f>
        <v>1.5037514075000002</v>
      </c>
      <c r="O41" s="126" t="s">
        <v>556</v>
      </c>
      <c r="P41" s="126" t="s">
        <v>458</v>
      </c>
      <c r="Q41" s="132"/>
      <c r="R41" s="1"/>
      <c r="S41" s="1"/>
      <c r="T41" s="1"/>
      <c r="U41" s="1"/>
      <c r="V41" s="1"/>
    </row>
    <row r="42" spans="1:22" x14ac:dyDescent="0.3">
      <c r="A42" s="5" t="str">
        <f>CONCATENATE("F",IF(B42&lt;&gt;"",COUNTA($B$2:B42),""))</f>
        <v>F19</v>
      </c>
      <c r="B42" s="126" t="s">
        <v>544</v>
      </c>
      <c r="C42" s="5" t="s">
        <v>272</v>
      </c>
      <c r="D42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7.6774999999999996E-2</v>
      </c>
      <c r="F42" s="126">
        <f>VLOOKUP(woodflow[[#This Row],[From]],woodstock[#All],4,FALSE)</f>
        <v>2021</v>
      </c>
      <c r="G42" s="5" t="str">
        <f>VLOOKUP(woodflow[[#This Row],[From]],woodstock[#All],5,FALSE)</f>
        <v>OAS</v>
      </c>
      <c r="H42" s="135" t="str">
        <f>VLOOKUP(woodflow[[#This Row],[From]],woodstock[#All],7,FALSE)</f>
        <v>2</v>
      </c>
      <c r="I42" s="135" t="str">
        <f>VLOOKUP(woodflow[[#This Row],[to]],woodstock[#All],7,FALSE)</f>
        <v>10</v>
      </c>
      <c r="J42" s="135" t="str">
        <f>VLOOKUP(woodflow[[#This Row],[From]],woodstock[#All],8,FALSE)</f>
        <v>0</v>
      </c>
      <c r="K42" s="135" t="str">
        <f>VLOOKUP(woodflow[[#This Row],[to]],woodstock[#All],8,FALSE)</f>
        <v>0</v>
      </c>
      <c r="L42" s="136" t="str">
        <f>VLOOKUP(woodflow[[#This Row],[From]],woodstock[#All],9,FALSE)</f>
        <v>nan</v>
      </c>
      <c r="M42" s="136" t="str">
        <f>VLOOKUP(woodflow[[#This Row],[to]],woodstock[#All],9,FALSE)</f>
        <v>nan</v>
      </c>
      <c r="N42" s="131">
        <f>(N11)*'supporting-percentages'!B4</f>
        <v>7.6774999999999996E-2</v>
      </c>
      <c r="O42" s="126" t="s">
        <v>549</v>
      </c>
      <c r="P42" s="126" t="s">
        <v>458</v>
      </c>
      <c r="Q42" s="126"/>
      <c r="R42" s="1"/>
      <c r="S42" s="1"/>
      <c r="T42" s="1"/>
      <c r="U42" s="1"/>
      <c r="V42" s="1"/>
    </row>
    <row r="43" spans="1:22" x14ac:dyDescent="0.3">
      <c r="A43" s="5" t="str">
        <f>CONCATENATE("F",IF(B43&lt;&gt;"",COUNTA($B$2:B43),""))</f>
        <v>F20</v>
      </c>
      <c r="B43" s="126" t="s">
        <v>544</v>
      </c>
      <c r="C43" s="5" t="s">
        <v>273</v>
      </c>
      <c r="D43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1.4269764075000002</v>
      </c>
      <c r="F43" s="126">
        <f>VLOOKUP(woodflow[[#This Row],[From]],woodstock[#All],4,FALSE)</f>
        <v>2021</v>
      </c>
      <c r="G43" s="5" t="str">
        <f>VLOOKUP(woodflow[[#This Row],[From]],woodstock[#All],5,FALSE)</f>
        <v>OAS</v>
      </c>
      <c r="H43" s="135" t="str">
        <f>VLOOKUP(woodflow[[#This Row],[From]],woodstock[#All],7,FALSE)</f>
        <v>2</v>
      </c>
      <c r="I43" s="135" t="str">
        <f>VLOOKUP(woodflow[[#This Row],[to]],woodstock[#All],7,FALSE)</f>
        <v>11</v>
      </c>
      <c r="J43" s="135" t="str">
        <f>VLOOKUP(woodflow[[#This Row],[From]],woodstock[#All],8,FALSE)</f>
        <v>0</v>
      </c>
      <c r="K43" s="135" t="str">
        <f>VLOOKUP(woodflow[[#This Row],[to]],woodstock[#All],8,FALSE)</f>
        <v>0</v>
      </c>
      <c r="L43" s="136" t="str">
        <f>VLOOKUP(woodflow[[#This Row],[From]],woodstock[#All],9,FALSE)</f>
        <v>nan</v>
      </c>
      <c r="M43" s="136" t="str">
        <f>VLOOKUP(woodflow[[#This Row],[to]],woodstock[#All],9,FALSE)</f>
        <v>nan</v>
      </c>
      <c r="N43" s="131">
        <f>(N23)*'supporting-percentages'!B4</f>
        <v>1.4269764075000002</v>
      </c>
      <c r="O43" s="126" t="s">
        <v>549</v>
      </c>
      <c r="P43" s="126" t="s">
        <v>458</v>
      </c>
      <c r="Q43" s="126"/>
      <c r="R43" s="1"/>
      <c r="S43" s="1"/>
      <c r="T43" s="1"/>
      <c r="U43" s="1"/>
      <c r="V43" s="1"/>
    </row>
    <row r="44" spans="1:22" x14ac:dyDescent="0.3">
      <c r="A44" s="5" t="str">
        <f>CONCATENATE("F",IF(B44&lt;&gt;"",COUNTA($B$2:B44),""))</f>
        <v>F</v>
      </c>
      <c r="B44" s="126"/>
      <c r="C44" s="126"/>
      <c r="D44" s="133"/>
      <c r="E44" s="133"/>
      <c r="F44" s="126"/>
      <c r="G44" s="5"/>
      <c r="H44" s="135"/>
      <c r="I44" s="135"/>
      <c r="J44" s="135"/>
      <c r="K44" s="135"/>
      <c r="L44" s="136"/>
      <c r="M44" s="136"/>
      <c r="N44" s="131"/>
      <c r="O44" s="126"/>
      <c r="P44" s="126"/>
      <c r="Q44" s="126"/>
      <c r="R44" s="1"/>
      <c r="S44" s="1"/>
      <c r="T44" s="1"/>
      <c r="U44" s="1"/>
      <c r="V44" s="1"/>
    </row>
    <row r="45" spans="1:22" x14ac:dyDescent="0.3">
      <c r="A45" s="5" t="str">
        <f>CONCATENATE("F",IF(B45&lt;&gt;"",COUNTA($B$2:B45),""))</f>
        <v>F</v>
      </c>
      <c r="B45" s="126"/>
      <c r="C45" s="126"/>
      <c r="D45" s="133"/>
      <c r="E45" s="133"/>
      <c r="F45" s="126"/>
      <c r="G45" s="5"/>
      <c r="H45" s="135"/>
      <c r="I45" s="135"/>
      <c r="J45" s="135"/>
      <c r="K45" s="135"/>
      <c r="L45" s="136"/>
      <c r="M45" s="136"/>
      <c r="N45" s="131"/>
      <c r="O45" s="126"/>
      <c r="P45" s="126"/>
      <c r="Q45" s="126"/>
      <c r="R45" s="1"/>
      <c r="S45" s="1"/>
      <c r="T45" s="1"/>
      <c r="U45" s="1"/>
      <c r="V45" s="1"/>
    </row>
    <row r="46" spans="1:22" x14ac:dyDescent="0.3">
      <c r="A46" s="5" t="str">
        <f>CONCATENATE("F",IF(B46&lt;&gt;"",COUNTA($B$2:B46),""))</f>
        <v>F21</v>
      </c>
      <c r="B46" s="126" t="s">
        <v>545</v>
      </c>
      <c r="C46" s="126" t="s">
        <v>212</v>
      </c>
      <c r="D46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" s="126">
        <f>VLOOKUP(woodflow[[#This Row],[From]],woodstock[#All],4,FALSE)</f>
        <v>2021</v>
      </c>
      <c r="G46" s="5" t="str">
        <f>VLOOKUP(woodflow[[#This Row],[From]],woodstock[#All],5,FALSE)</f>
        <v>OAS</v>
      </c>
      <c r="H46" s="135" t="str">
        <f>VLOOKUP(woodflow[[#This Row],[From]],woodstock[#All],7,FALSE)</f>
        <v>3</v>
      </c>
      <c r="I46" s="135" t="str">
        <f>VLOOKUP(woodflow[[#This Row],[to]],woodstock[#All],7,FALSE)</f>
        <v>12</v>
      </c>
      <c r="J46" s="135" t="str">
        <f>VLOOKUP(woodflow[[#This Row],[From]],woodstock[#All],8,FALSE)</f>
        <v>0</v>
      </c>
      <c r="K46" s="135" t="str">
        <f>VLOOKUP(woodflow[[#This Row],[to]],woodstock[#All],8,FALSE)</f>
        <v>0</v>
      </c>
      <c r="L46" s="136" t="str">
        <f>VLOOKUP(woodflow[[#This Row],[From]],woodstock[#All],9,FALSE)</f>
        <v>nan</v>
      </c>
      <c r="M46" s="136" t="str">
        <f>VLOOKUP(woodflow[[#This Row],[to]],woodstock[#All],9,FALSE)</f>
        <v>nan</v>
      </c>
      <c r="N46" s="131">
        <v>0</v>
      </c>
      <c r="O46" s="126" t="s">
        <v>556</v>
      </c>
      <c r="P46" s="126"/>
      <c r="Q46" s="132" t="s">
        <v>373</v>
      </c>
      <c r="R46" s="1"/>
      <c r="S46" s="1"/>
      <c r="T46" s="1"/>
      <c r="U46" s="1"/>
      <c r="V46" s="1"/>
    </row>
    <row r="47" spans="1:22" x14ac:dyDescent="0.3">
      <c r="A47" s="5" t="str">
        <f>CONCATENATE("F",IF(B47&lt;&gt;"",COUNTA($B$2:B47),""))</f>
        <v>F</v>
      </c>
      <c r="B47" s="126"/>
      <c r="C47" s="126"/>
      <c r="D47" s="133"/>
      <c r="E47" s="133"/>
      <c r="F47" s="126"/>
      <c r="G47" s="5"/>
      <c r="H47" s="135"/>
      <c r="I47" s="135"/>
      <c r="J47" s="135"/>
      <c r="K47" s="135"/>
      <c r="L47" s="136"/>
      <c r="M47" s="136"/>
      <c r="N47" s="131"/>
      <c r="O47" s="126"/>
      <c r="P47" s="126"/>
      <c r="Q47" s="126"/>
      <c r="R47" s="1"/>
      <c r="S47" s="1"/>
      <c r="T47" s="1"/>
      <c r="U47" s="1"/>
      <c r="V47" s="1"/>
    </row>
    <row r="48" spans="1:22" x14ac:dyDescent="0.3">
      <c r="A48" s="5" t="str">
        <f>CONCATENATE("F",IF(B48&lt;&gt;"",COUNTA($B$2:B48),""))</f>
        <v>F</v>
      </c>
      <c r="B48" s="126"/>
      <c r="C48" s="126"/>
      <c r="D48" s="133"/>
      <c r="E48" s="133"/>
      <c r="F48" s="126"/>
      <c r="G48" s="5"/>
      <c r="H48" s="135"/>
      <c r="I48" s="135"/>
      <c r="J48" s="135"/>
      <c r="K48" s="135"/>
      <c r="L48" s="136"/>
      <c r="M48" s="136"/>
      <c r="N48" s="131"/>
      <c r="O48" s="126"/>
      <c r="P48" s="126"/>
      <c r="Q48" s="126"/>
      <c r="R48" s="1"/>
      <c r="S48" s="1"/>
      <c r="T48" s="1"/>
      <c r="U48" s="1"/>
      <c r="V48" s="1"/>
    </row>
    <row r="49" spans="1:22" x14ac:dyDescent="0.3">
      <c r="A49" s="5" t="str">
        <f>CONCATENATE("F",IF(B49&lt;&gt;"",COUNTA($B$2:B49),""))</f>
        <v>F22</v>
      </c>
      <c r="B49" s="126" t="s">
        <v>61</v>
      </c>
      <c r="C49" s="126" t="s">
        <v>55</v>
      </c>
      <c r="D49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15.873180479778847</v>
      </c>
      <c r="E4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" s="126">
        <f>VLOOKUP(woodflow[[#This Row],[From]],woodstock[#All],4,FALSE)</f>
        <v>2021</v>
      </c>
      <c r="G49" s="5" t="str">
        <f>VLOOKUP(woodflow[[#This Row],[From]],woodstock[#All],5,FALSE)</f>
        <v>OAS</v>
      </c>
      <c r="H49" s="135" t="str">
        <f>VLOOKUP(woodflow[[#This Row],[From]],woodstock[#All],7,FALSE)</f>
        <v>2</v>
      </c>
      <c r="I49" s="135" t="str">
        <f>VLOOKUP(woodflow[[#This Row],[to]],woodstock[#All],7,FALSE)</f>
        <v>13</v>
      </c>
      <c r="J49" s="135" t="str">
        <f>VLOOKUP(woodflow[[#This Row],[From]],woodstock[#All],8,FALSE)</f>
        <v>1</v>
      </c>
      <c r="K49" s="135" t="str">
        <f>VLOOKUP(woodflow[[#This Row],[to]],woodstock[#All],8,FALSE)</f>
        <v>0</v>
      </c>
      <c r="L49" s="136" t="str">
        <f>VLOOKUP(woodflow[[#This Row],[From]],woodstock[#All],9,FALSE)</f>
        <v>4-5</v>
      </c>
      <c r="M49" s="136" t="str">
        <f>VLOOKUP(woodflow[[#This Row],[to]],woodstock[#All],9,FALSE)</f>
        <v>nan</v>
      </c>
      <c r="N49" s="131">
        <f>N97+'faostat-data'!Q33</f>
        <v>15.873180479778847</v>
      </c>
      <c r="O49" s="126" t="s">
        <v>556</v>
      </c>
      <c r="P49" s="126" t="s">
        <v>239</v>
      </c>
      <c r="Q49" s="126" t="s">
        <v>234</v>
      </c>
      <c r="R49" s="1"/>
      <c r="S49" s="1"/>
      <c r="T49" s="1"/>
      <c r="U49" s="1"/>
      <c r="V49" s="1"/>
    </row>
    <row r="50" spans="1:22" x14ac:dyDescent="0.3">
      <c r="A50" s="5" t="str">
        <f>CONCATENATE("F",IF(B50&lt;&gt;"",COUNTA($B$2:B50),""))</f>
        <v>F23</v>
      </c>
      <c r="B50" s="5" t="s">
        <v>265</v>
      </c>
      <c r="C50" s="126" t="s">
        <v>55</v>
      </c>
      <c r="D50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0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50" s="126">
        <f>VLOOKUP(woodflow[[#This Row],[From]],woodstock[#All],4,FALSE)</f>
        <v>2021</v>
      </c>
      <c r="G50" s="5" t="str">
        <f>VLOOKUP(woodflow[[#This Row],[From]],woodstock[#All],5,FALSE)</f>
        <v>OAS</v>
      </c>
      <c r="H50" s="135" t="str">
        <f>VLOOKUP(woodflow[[#This Row],[From]],woodstock[#All],7,FALSE)</f>
        <v>4</v>
      </c>
      <c r="I50" s="135" t="str">
        <f>VLOOKUP(woodflow[[#This Row],[to]],woodstock[#All],7,FALSE)</f>
        <v>13</v>
      </c>
      <c r="J50" s="135" t="str">
        <f>VLOOKUP(woodflow[[#This Row],[From]],woodstock[#All],8,FALSE)</f>
        <v>0</v>
      </c>
      <c r="K50" s="135" t="str">
        <f>VLOOKUP(woodflow[[#This Row],[to]],woodstock[#All],8,FALSE)</f>
        <v>0</v>
      </c>
      <c r="L50" s="136" t="str">
        <f>VLOOKUP(woodflow[[#This Row],[From]],woodstock[#All],9,FALSE)</f>
        <v>nan</v>
      </c>
      <c r="M50" s="136" t="str">
        <f>VLOOKUP(woodflow[[#This Row],[to]],woodstock[#All],9,FALSE)</f>
        <v>nan</v>
      </c>
      <c r="N50" s="131">
        <f>1*10^-6</f>
        <v>9.9999999999999995E-7</v>
      </c>
      <c r="O50" s="126" t="s">
        <v>549</v>
      </c>
      <c r="P50" s="126" t="s">
        <v>349</v>
      </c>
      <c r="Q50" s="126"/>
      <c r="R50" s="1"/>
      <c r="S50" s="1"/>
      <c r="T50" s="1"/>
      <c r="U50" s="1"/>
      <c r="V50" s="1"/>
    </row>
    <row r="51" spans="1:22" x14ac:dyDescent="0.3">
      <c r="A51" s="5" t="str">
        <f>CONCATENATE("F",IF(B51&lt;&gt;"",COUNTA($B$2:B51),""))</f>
        <v>F24</v>
      </c>
      <c r="B51" s="5" t="s">
        <v>266</v>
      </c>
      <c r="C51" s="126" t="s">
        <v>55</v>
      </c>
      <c r="D51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1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15.873180479778847</v>
      </c>
      <c r="F51" s="126">
        <f>VLOOKUP(woodflow[[#This Row],[From]],woodstock[#All],4,FALSE)</f>
        <v>2021</v>
      </c>
      <c r="G51" s="5" t="str">
        <f>VLOOKUP(woodflow[[#This Row],[From]],woodstock[#All],5,FALSE)</f>
        <v>OAS</v>
      </c>
      <c r="H51" s="135" t="str">
        <f>VLOOKUP(woodflow[[#This Row],[From]],woodstock[#All],7,FALSE)</f>
        <v>5</v>
      </c>
      <c r="I51" s="135" t="str">
        <f>VLOOKUP(woodflow[[#This Row],[to]],woodstock[#All],7,FALSE)</f>
        <v>13</v>
      </c>
      <c r="J51" s="135" t="str">
        <f>VLOOKUP(woodflow[[#This Row],[From]],woodstock[#All],8,FALSE)</f>
        <v>0</v>
      </c>
      <c r="K51" s="135" t="str">
        <f>VLOOKUP(woodflow[[#This Row],[to]],woodstock[#All],8,FALSE)</f>
        <v>0</v>
      </c>
      <c r="L51" s="136" t="str">
        <f>VLOOKUP(woodflow[[#This Row],[From]],woodstock[#All],9,FALSE)</f>
        <v>nan</v>
      </c>
      <c r="M51" s="136" t="str">
        <f>VLOOKUP(woodflow[[#This Row],[to]],woodstock[#All],9,FALSE)</f>
        <v>nan</v>
      </c>
      <c r="N51" s="131">
        <f>N49</f>
        <v>15.873180479778847</v>
      </c>
      <c r="O51" s="126" t="s">
        <v>549</v>
      </c>
      <c r="P51" s="126" t="s">
        <v>239</v>
      </c>
      <c r="Q51" s="126" t="s">
        <v>234</v>
      </c>
      <c r="R51" s="1"/>
      <c r="S51" s="1"/>
      <c r="T51" s="1"/>
      <c r="U51" s="1"/>
      <c r="V51" s="1"/>
    </row>
    <row r="52" spans="1:22" x14ac:dyDescent="0.3">
      <c r="A52" s="5" t="str">
        <f>CONCATENATE("F",IF(B52&lt;&gt;"",COUNTA($B$2:B52),""))</f>
        <v>F</v>
      </c>
      <c r="B52" s="126"/>
      <c r="C52" s="126"/>
      <c r="D52" s="133"/>
      <c r="E52" s="133"/>
      <c r="F52" s="126"/>
      <c r="G52" s="5"/>
      <c r="H52" s="135"/>
      <c r="I52" s="135"/>
      <c r="J52" s="135"/>
      <c r="K52" s="135"/>
      <c r="L52" s="136"/>
      <c r="M52" s="136"/>
      <c r="N52" s="131"/>
      <c r="O52" s="126"/>
      <c r="P52" s="126"/>
      <c r="Q52" s="126"/>
      <c r="R52" s="1"/>
      <c r="S52" s="1"/>
      <c r="T52" s="1"/>
      <c r="U52" s="1"/>
      <c r="V52" s="1"/>
    </row>
    <row r="53" spans="1:22" x14ac:dyDescent="0.3">
      <c r="A53" s="5" t="str">
        <f>CONCATENATE("F",IF(B53&lt;&gt;"",COUNTA($B$2:B53),""))</f>
        <v>F</v>
      </c>
      <c r="B53" s="126"/>
      <c r="C53" s="126"/>
      <c r="D53" s="133"/>
      <c r="E53" s="133"/>
      <c r="F53" s="126"/>
      <c r="G53" s="5"/>
      <c r="H53" s="135"/>
      <c r="I53" s="135"/>
      <c r="J53" s="135"/>
      <c r="K53" s="135"/>
      <c r="L53" s="136"/>
      <c r="M53" s="136"/>
      <c r="N53" s="131"/>
      <c r="O53" s="126"/>
      <c r="P53" s="126"/>
      <c r="Q53" s="126"/>
      <c r="R53" s="1"/>
      <c r="S53" s="1"/>
      <c r="T53" s="1"/>
      <c r="U53" s="1"/>
      <c r="V53" s="1"/>
    </row>
    <row r="54" spans="1:22" x14ac:dyDescent="0.3">
      <c r="A54" s="5" t="str">
        <f>CONCATENATE("F",IF(B54&lt;&gt;"",COUNTA($B$2:B54),""))</f>
        <v>F25</v>
      </c>
      <c r="B54" s="126" t="s">
        <v>61</v>
      </c>
      <c r="C54" s="126" t="s">
        <v>409</v>
      </c>
      <c r="D54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189.6077289759499</v>
      </c>
      <c r="E54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" s="126">
        <f>VLOOKUP(woodflow[[#This Row],[From]],woodstock[#All],4,FALSE)</f>
        <v>2021</v>
      </c>
      <c r="G54" s="5" t="str">
        <f>VLOOKUP(woodflow[[#This Row],[From]],woodstock[#All],5,FALSE)</f>
        <v>OAS</v>
      </c>
      <c r="H54" s="135" t="str">
        <f>VLOOKUP(woodflow[[#This Row],[From]],woodstock[#All],7,FALSE)</f>
        <v>2</v>
      </c>
      <c r="I54" s="135" t="str">
        <f>VLOOKUP(woodflow[[#This Row],[to]],woodstock[#All],7,FALSE)</f>
        <v>43</v>
      </c>
      <c r="J54" s="135" t="str">
        <f>VLOOKUP(woodflow[[#This Row],[From]],woodstock[#All],8,FALSE)</f>
        <v>1</v>
      </c>
      <c r="K54" s="135" t="str">
        <f>VLOOKUP(woodflow[[#This Row],[to]],woodstock[#All],8,FALSE)</f>
        <v>0</v>
      </c>
      <c r="L54" s="136" t="str">
        <f>VLOOKUP(woodflow[[#This Row],[From]],woodstock[#All],9,FALSE)</f>
        <v>4-5</v>
      </c>
      <c r="M54" s="136" t="str">
        <f>VLOOKUP(woodflow[[#This Row],[to]],woodstock[#All],9,FALSE)</f>
        <v>nan</v>
      </c>
      <c r="N54" s="131">
        <f>N2+N14+N26-N49+'faostat-data'!Q3-'faostat-data'!Q4+'faostat-data'!Q6-'faostat-data'!Q7</f>
        <v>189.6077289759499</v>
      </c>
      <c r="O54" s="126" t="s">
        <v>556</v>
      </c>
      <c r="P54" s="126" t="s">
        <v>239</v>
      </c>
      <c r="Q54" s="126" t="s">
        <v>234</v>
      </c>
      <c r="R54" s="1"/>
      <c r="S54" s="1"/>
      <c r="T54" s="1"/>
      <c r="U54" s="1"/>
      <c r="V54" s="1"/>
    </row>
    <row r="55" spans="1:22" x14ac:dyDescent="0.3">
      <c r="A55" s="5" t="str">
        <f>CONCATENATE("F",IF(B55&lt;&gt;"",COUNTA($B$2:B55),""))</f>
        <v>F26</v>
      </c>
      <c r="B55" s="5" t="s">
        <v>265</v>
      </c>
      <c r="C55" s="126" t="s">
        <v>409</v>
      </c>
      <c r="D55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3.5395524517287504</v>
      </c>
      <c r="F55" s="126">
        <f>VLOOKUP(woodflow[[#This Row],[From]],woodstock[#All],4,FALSE)</f>
        <v>2021</v>
      </c>
      <c r="G55" s="5" t="str">
        <f>VLOOKUP(woodflow[[#This Row],[From]],woodstock[#All],5,FALSE)</f>
        <v>OAS</v>
      </c>
      <c r="H55" s="135" t="str">
        <f>VLOOKUP(woodflow[[#This Row],[From]],woodstock[#All],7,FALSE)</f>
        <v>4</v>
      </c>
      <c r="I55" s="135" t="str">
        <f>VLOOKUP(woodflow[[#This Row],[to]],woodstock[#All],7,FALSE)</f>
        <v>43</v>
      </c>
      <c r="J55" s="135" t="str">
        <f>VLOOKUP(woodflow[[#This Row],[From]],woodstock[#All],8,FALSE)</f>
        <v>0</v>
      </c>
      <c r="K55" s="135" t="str">
        <f>VLOOKUP(woodflow[[#This Row],[to]],woodstock[#All],8,FALSE)</f>
        <v>0</v>
      </c>
      <c r="L55" s="136" t="str">
        <f>VLOOKUP(woodflow[[#This Row],[From]],woodstock[#All],9,FALSE)</f>
        <v>nan</v>
      </c>
      <c r="M55" s="136" t="str">
        <f>VLOOKUP(woodflow[[#This Row],[to]],woodstock[#All],9,FALSE)</f>
        <v>nan</v>
      </c>
      <c r="N55" s="131">
        <f>N2+N27-N50+'faostat-data'!Q3-'faostat-data'!Q4</f>
        <v>3.5395524517287504</v>
      </c>
      <c r="O55" s="126" t="s">
        <v>549</v>
      </c>
      <c r="P55" s="126" t="s">
        <v>239</v>
      </c>
      <c r="Q55" s="126" t="s">
        <v>234</v>
      </c>
      <c r="R55" s="1"/>
      <c r="S55" s="1"/>
      <c r="T55" s="1"/>
      <c r="U55" s="1"/>
      <c r="V55" s="1"/>
    </row>
    <row r="56" spans="1:22" x14ac:dyDescent="0.3">
      <c r="A56" s="5" t="str">
        <f>CONCATENATE("F",IF(B56&lt;&gt;"",COUNTA($B$2:B56),""))</f>
        <v>F27</v>
      </c>
      <c r="B56" s="5" t="s">
        <v>266</v>
      </c>
      <c r="C56" s="126" t="s">
        <v>409</v>
      </c>
      <c r="D56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6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186.06817552422118</v>
      </c>
      <c r="F56" s="126">
        <f>VLOOKUP(woodflow[[#This Row],[From]],woodstock[#All],4,FALSE)</f>
        <v>2021</v>
      </c>
      <c r="G56" s="5" t="str">
        <f>VLOOKUP(woodflow[[#This Row],[From]],woodstock[#All],5,FALSE)</f>
        <v>OAS</v>
      </c>
      <c r="H56" s="135" t="str">
        <f>VLOOKUP(woodflow[[#This Row],[From]],woodstock[#All],7,FALSE)</f>
        <v>5</v>
      </c>
      <c r="I56" s="135" t="str">
        <f>VLOOKUP(woodflow[[#This Row],[to]],woodstock[#All],7,FALSE)</f>
        <v>43</v>
      </c>
      <c r="J56" s="135" t="str">
        <f>VLOOKUP(woodflow[[#This Row],[From]],woodstock[#All],8,FALSE)</f>
        <v>0</v>
      </c>
      <c r="K56" s="135" t="str">
        <f>VLOOKUP(woodflow[[#This Row],[to]],woodstock[#All],8,FALSE)</f>
        <v>0</v>
      </c>
      <c r="L56" s="136" t="str">
        <f>VLOOKUP(woodflow[[#This Row],[From]],woodstock[#All],9,FALSE)</f>
        <v>nan</v>
      </c>
      <c r="M56" s="136" t="str">
        <f>VLOOKUP(woodflow[[#This Row],[to]],woodstock[#All],9,FALSE)</f>
        <v>nan</v>
      </c>
      <c r="N56" s="131">
        <f>N14+N28-N51+'faostat-data'!Q6-'faostat-data'!Q7</f>
        <v>186.06817552422118</v>
      </c>
      <c r="O56" s="126" t="s">
        <v>549</v>
      </c>
      <c r="P56" s="126" t="s">
        <v>239</v>
      </c>
      <c r="Q56" s="126" t="s">
        <v>234</v>
      </c>
      <c r="R56" s="1"/>
      <c r="S56" s="1"/>
      <c r="T56" s="1"/>
      <c r="U56" s="1"/>
      <c r="V56" s="1"/>
    </row>
    <row r="57" spans="1:22" x14ac:dyDescent="0.3">
      <c r="A57" s="5" t="str">
        <f>CONCATENATE("F",IF(B57&lt;&gt;"",COUNTA($B$2:B57),""))</f>
        <v>F</v>
      </c>
      <c r="B57" s="126"/>
      <c r="C57" s="126"/>
      <c r="D57" s="133"/>
      <c r="E57" s="133"/>
      <c r="F57" s="126"/>
      <c r="G57" s="5"/>
      <c r="H57" s="135"/>
      <c r="I57" s="135"/>
      <c r="J57" s="135"/>
      <c r="K57" s="135"/>
      <c r="L57" s="136"/>
      <c r="M57" s="136"/>
      <c r="N57" s="131"/>
      <c r="O57" s="126"/>
      <c r="P57" s="126"/>
      <c r="Q57" s="126"/>
      <c r="R57" s="1"/>
      <c r="S57" s="1"/>
      <c r="T57" s="1"/>
      <c r="U57" s="1"/>
      <c r="V57" s="1"/>
    </row>
    <row r="58" spans="1:22" x14ac:dyDescent="0.3">
      <c r="A58" s="5" t="str">
        <f>CONCATENATE("F",IF(B58&lt;&gt;"",COUNTA($B$2:B58),""))</f>
        <v>F</v>
      </c>
      <c r="B58" s="126"/>
      <c r="C58" s="126"/>
      <c r="D58" s="133"/>
      <c r="E58" s="133"/>
      <c r="F58" s="126"/>
      <c r="G58" s="5"/>
      <c r="H58" s="135"/>
      <c r="I58" s="135"/>
      <c r="J58" s="135"/>
      <c r="K58" s="135"/>
      <c r="L58" s="136"/>
      <c r="M58" s="136"/>
      <c r="N58" s="131"/>
      <c r="O58" s="126"/>
      <c r="P58" s="126"/>
      <c r="Q58" s="126"/>
      <c r="R58" s="1"/>
      <c r="S58" s="1"/>
      <c r="T58" s="1"/>
      <c r="U58" s="1"/>
      <c r="V58" s="1"/>
    </row>
    <row r="59" spans="1:22" x14ac:dyDescent="0.3">
      <c r="A59" s="5" t="str">
        <f>CONCATENATE("F",IF(B59&lt;&gt;"",COUNTA($B$2:B59),""))</f>
        <v>F28</v>
      </c>
      <c r="B59" s="5" t="s">
        <v>267</v>
      </c>
      <c r="C59" s="5" t="s">
        <v>274</v>
      </c>
      <c r="D59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3.0616265336300001</v>
      </c>
      <c r="E5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" s="126">
        <f>VLOOKUP(woodflow[[#This Row],[From]],woodstock[#All],4,FALSE)</f>
        <v>2021</v>
      </c>
      <c r="G59" s="5" t="str">
        <f>VLOOKUP(woodflow[[#This Row],[From]],woodstock[#All],5,FALSE)</f>
        <v>OAS</v>
      </c>
      <c r="H59" s="135" t="str">
        <f>VLOOKUP(woodflow[[#This Row],[From]],woodstock[#All],7,FALSE)</f>
        <v>6</v>
      </c>
      <c r="I59" s="135" t="str">
        <f>VLOOKUP(woodflow[[#This Row],[to]],woodstock[#All],7,FALSE)</f>
        <v>18</v>
      </c>
      <c r="J59" s="135" t="str">
        <f>VLOOKUP(woodflow[[#This Row],[From]],woodstock[#All],8,FALSE)</f>
        <v>0</v>
      </c>
      <c r="K59" s="135" t="str">
        <f>VLOOKUP(woodflow[[#This Row],[to]],woodstock[#All],8,FALSE)</f>
        <v>0</v>
      </c>
      <c r="L59" s="136" t="str">
        <f>VLOOKUP(woodflow[[#This Row],[From]],woodstock[#All],9,FALSE)</f>
        <v>nan</v>
      </c>
      <c r="M59" s="136" t="str">
        <f>VLOOKUP(woodflow[[#This Row],[to]],woodstock[#All],9,FALSE)</f>
        <v>nan</v>
      </c>
      <c r="N59" s="131">
        <f>('faostat-data'!Q51/('production-mass-balance'!B26))+('faostat-data'!Q51/'production-mass-balance'!B26*'production-mass-balance'!B25)</f>
        <v>3.0616265336300001</v>
      </c>
      <c r="O59" s="126" t="s">
        <v>556</v>
      </c>
      <c r="P59" s="126" t="s">
        <v>456</v>
      </c>
      <c r="Q59" s="126" t="s">
        <v>234</v>
      </c>
      <c r="R59" s="1"/>
      <c r="S59" s="1"/>
      <c r="T59" s="1"/>
      <c r="U59" s="1"/>
      <c r="V59" s="1"/>
    </row>
    <row r="60" spans="1:22" x14ac:dyDescent="0.3">
      <c r="A60" s="5" t="str">
        <f>CONCATENATE("F",IF(B60&lt;&gt;"",COUNTA($B$2:B60),""))</f>
        <v>F29</v>
      </c>
      <c r="B60" s="5" t="s">
        <v>268</v>
      </c>
      <c r="C60" s="5" t="s">
        <v>275</v>
      </c>
      <c r="D60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24.12086813967672</v>
      </c>
      <c r="E60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" s="126">
        <f>VLOOKUP(woodflow[[#This Row],[From]],woodstock[#All],4,FALSE)</f>
        <v>2021</v>
      </c>
      <c r="G60" s="5" t="str">
        <f>VLOOKUP(woodflow[[#This Row],[From]],woodstock[#All],5,FALSE)</f>
        <v>OAS</v>
      </c>
      <c r="H60" s="135" t="str">
        <f>VLOOKUP(woodflow[[#This Row],[From]],woodstock[#All],7,FALSE)</f>
        <v>7</v>
      </c>
      <c r="I60" s="135" t="str">
        <f>VLOOKUP(woodflow[[#This Row],[to]],woodstock[#All],7,FALSE)</f>
        <v>19</v>
      </c>
      <c r="J60" s="135" t="str">
        <f>VLOOKUP(woodflow[[#This Row],[From]],woodstock[#All],8,FALSE)</f>
        <v>0</v>
      </c>
      <c r="K60" s="135" t="str">
        <f>VLOOKUP(woodflow[[#This Row],[to]],woodstock[#All],8,FALSE)</f>
        <v>0</v>
      </c>
      <c r="L60" s="136" t="str">
        <f>VLOOKUP(woodflow[[#This Row],[From]],woodstock[#All],9,FALSE)</f>
        <v>nan</v>
      </c>
      <c r="M60" s="136" t="str">
        <f>VLOOKUP(woodflow[[#This Row],[to]],woodstock[#All],9,FALSE)</f>
        <v>nan</v>
      </c>
      <c r="N60" s="131">
        <f>('faostat-data'!Q54/('production-mass-balance'!B34))+('faostat-data'!Q54/'production-mass-balance'!B34*'production-mass-balance'!B33)</f>
        <v>24.12086813967672</v>
      </c>
      <c r="O60" s="126" t="s">
        <v>556</v>
      </c>
      <c r="P60" s="126" t="s">
        <v>456</v>
      </c>
      <c r="Q60" s="126" t="s">
        <v>234</v>
      </c>
      <c r="R60" s="1"/>
      <c r="S60" s="1"/>
      <c r="T60" s="1"/>
      <c r="U60" s="1"/>
      <c r="V60" s="1"/>
    </row>
    <row r="61" spans="1:22" x14ac:dyDescent="0.3">
      <c r="A61" s="5" t="str">
        <f>CONCATENATE("F",IF(B61&lt;&gt;"",COUNTA($B$2:B61),""))</f>
        <v>F</v>
      </c>
      <c r="B61" s="126"/>
      <c r="C61" s="126"/>
      <c r="D61" s="133"/>
      <c r="E61" s="133"/>
      <c r="F61" s="126"/>
      <c r="G61" s="5"/>
      <c r="H61" s="135"/>
      <c r="I61" s="135"/>
      <c r="J61" s="135"/>
      <c r="K61" s="135"/>
      <c r="L61" s="136"/>
      <c r="M61" s="136"/>
      <c r="N61" s="131"/>
      <c r="O61" s="126"/>
      <c r="P61" s="126"/>
      <c r="Q61" s="126"/>
      <c r="R61" s="1"/>
      <c r="S61" s="1"/>
      <c r="T61" s="1"/>
      <c r="U61" s="1"/>
      <c r="V61" s="1"/>
    </row>
    <row r="62" spans="1:22" x14ac:dyDescent="0.3">
      <c r="A62" s="5" t="str">
        <f>CONCATENATE("F",IF(B62&lt;&gt;"",COUNTA($B$2:B62),""))</f>
        <v>F</v>
      </c>
      <c r="B62" s="126"/>
      <c r="C62" s="126"/>
      <c r="D62" s="133"/>
      <c r="E62" s="133"/>
      <c r="F62" s="126"/>
      <c r="G62" s="5"/>
      <c r="H62" s="135"/>
      <c r="I62" s="135"/>
      <c r="J62" s="135"/>
      <c r="K62" s="135"/>
      <c r="L62" s="136"/>
      <c r="M62" s="136"/>
      <c r="N62" s="131"/>
      <c r="O62" s="126"/>
      <c r="P62" s="126"/>
      <c r="Q62" s="126"/>
      <c r="R62" s="1"/>
      <c r="S62" s="1"/>
      <c r="T62" s="1"/>
      <c r="U62" s="1"/>
      <c r="V62" s="1"/>
    </row>
    <row r="63" spans="1:22" x14ac:dyDescent="0.3">
      <c r="A63" s="5" t="str">
        <f>CONCATENATE("F",IF(B63&lt;&gt;"",COUNTA($B$2:B63),""))</f>
        <v>F30</v>
      </c>
      <c r="B63" s="126" t="s">
        <v>62</v>
      </c>
      <c r="C63" s="126" t="s">
        <v>49</v>
      </c>
      <c r="D63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6.6437762007413799</v>
      </c>
      <c r="E6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" s="126">
        <f>VLOOKUP(woodflow[[#This Row],[From]],woodstock[#All],4,FALSE)</f>
        <v>2021</v>
      </c>
      <c r="G63" s="5" t="str">
        <f>VLOOKUP(woodflow[[#This Row],[From]],woodstock[#All],5,FALSE)</f>
        <v>OAS</v>
      </c>
      <c r="H63" s="135" t="str">
        <f>VLOOKUP(woodflow[[#This Row],[From]],woodstock[#All],7,FALSE)</f>
        <v>5</v>
      </c>
      <c r="I63" s="135" t="str">
        <f>VLOOKUP(woodflow[[#This Row],[to]],woodstock[#All],7,FALSE)</f>
        <v>20</v>
      </c>
      <c r="J63" s="135" t="str">
        <f>VLOOKUP(woodflow[[#This Row],[From]],woodstock[#All],8,FALSE)</f>
        <v>1</v>
      </c>
      <c r="K63" s="135" t="str">
        <f>VLOOKUP(woodflow[[#This Row],[to]],woodstock[#All],8,FALSE)</f>
        <v>0</v>
      </c>
      <c r="L63" s="136" t="str">
        <f>VLOOKUP(woodflow[[#This Row],[From]],woodstock[#All],9,FALSE)</f>
        <v>6-7</v>
      </c>
      <c r="M63" s="136" t="str">
        <f>VLOOKUP(woodflow[[#This Row],[to]],woodstock[#All],9,FALSE)</f>
        <v>nan</v>
      </c>
      <c r="N63" s="131">
        <f>('faostat-data'!Q57/'production-mass-balance'!B42)+('faostat-data'!Q57/'production-mass-balance'!B42*'production-mass-balance'!B41)</f>
        <v>6.6437762007413799</v>
      </c>
      <c r="O63" s="126" t="s">
        <v>556</v>
      </c>
      <c r="P63" s="126" t="s">
        <v>456</v>
      </c>
      <c r="Q63" s="126" t="s">
        <v>234</v>
      </c>
      <c r="R63" s="1"/>
      <c r="S63" s="1"/>
      <c r="T63" s="1"/>
      <c r="U63" s="1"/>
      <c r="V63" s="1"/>
    </row>
    <row r="64" spans="1:22" x14ac:dyDescent="0.3">
      <c r="A64" s="5" t="str">
        <f>CONCATENATE("F",IF(B64&lt;&gt;"",COUNTA($B$2:B64),""))</f>
        <v>F31</v>
      </c>
      <c r="B64" s="5" t="s">
        <v>267</v>
      </c>
      <c r="C64" s="126" t="s">
        <v>49</v>
      </c>
      <c r="D64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4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0.29102432593916128</v>
      </c>
      <c r="F64" s="126">
        <f>VLOOKUP(woodflow[[#This Row],[From]],woodstock[#All],4,FALSE)</f>
        <v>2021</v>
      </c>
      <c r="G64" s="5" t="str">
        <f>VLOOKUP(woodflow[[#This Row],[From]],woodstock[#All],5,FALSE)</f>
        <v>OAS</v>
      </c>
      <c r="H64" s="135" t="str">
        <f>VLOOKUP(woodflow[[#This Row],[From]],woodstock[#All],7,FALSE)</f>
        <v>6</v>
      </c>
      <c r="I64" s="135" t="str">
        <f>VLOOKUP(woodflow[[#This Row],[to]],woodstock[#All],7,FALSE)</f>
        <v>20</v>
      </c>
      <c r="J64" s="135" t="str">
        <f>VLOOKUP(woodflow[[#This Row],[From]],woodstock[#All],8,FALSE)</f>
        <v>0</v>
      </c>
      <c r="K64" s="135" t="str">
        <f>VLOOKUP(woodflow[[#This Row],[to]],woodstock[#All],8,FALSE)</f>
        <v>0</v>
      </c>
      <c r="L64" s="136" t="str">
        <f>VLOOKUP(woodflow[[#This Row],[From]],woodstock[#All],9,FALSE)</f>
        <v>nan</v>
      </c>
      <c r="M64" s="136" t="str">
        <f>VLOOKUP(woodflow[[#This Row],[to]],woodstock[#All],9,FALSE)</f>
        <v>nan</v>
      </c>
      <c r="N64" s="131">
        <f>N63*woodratio!I6</f>
        <v>0.29102432593916128</v>
      </c>
      <c r="O64" s="126" t="s">
        <v>549</v>
      </c>
      <c r="P64" s="126" t="s">
        <v>240</v>
      </c>
      <c r="Q64" s="126"/>
      <c r="R64" s="1"/>
      <c r="S64" s="1"/>
      <c r="T64" s="1"/>
      <c r="U64" s="1"/>
      <c r="V64" s="1"/>
    </row>
    <row r="65" spans="1:22" x14ac:dyDescent="0.3">
      <c r="A65" s="5" t="str">
        <f>CONCATENATE("F",IF(B65&lt;&gt;"",COUNTA($B$2:B65),""))</f>
        <v>F32</v>
      </c>
      <c r="B65" s="5" t="s">
        <v>268</v>
      </c>
      <c r="C65" s="126" t="s">
        <v>49</v>
      </c>
      <c r="D65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5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6.3527518748022187</v>
      </c>
      <c r="F65" s="126">
        <f>VLOOKUP(woodflow[[#This Row],[From]],woodstock[#All],4,FALSE)</f>
        <v>2021</v>
      </c>
      <c r="G65" s="5" t="str">
        <f>VLOOKUP(woodflow[[#This Row],[From]],woodstock[#All],5,FALSE)</f>
        <v>OAS</v>
      </c>
      <c r="H65" s="135" t="str">
        <f>VLOOKUP(woodflow[[#This Row],[From]],woodstock[#All],7,FALSE)</f>
        <v>7</v>
      </c>
      <c r="I65" s="135" t="str">
        <f>VLOOKUP(woodflow[[#This Row],[to]],woodstock[#All],7,FALSE)</f>
        <v>20</v>
      </c>
      <c r="J65" s="135" t="str">
        <f>VLOOKUP(woodflow[[#This Row],[From]],woodstock[#All],8,FALSE)</f>
        <v>0</v>
      </c>
      <c r="K65" s="135" t="str">
        <f>VLOOKUP(woodflow[[#This Row],[to]],woodstock[#All],8,FALSE)</f>
        <v>0</v>
      </c>
      <c r="L65" s="136" t="str">
        <f>VLOOKUP(woodflow[[#This Row],[From]],woodstock[#All],9,FALSE)</f>
        <v>nan</v>
      </c>
      <c r="M65" s="136" t="str">
        <f>VLOOKUP(woodflow[[#This Row],[to]],woodstock[#All],9,FALSE)</f>
        <v>nan</v>
      </c>
      <c r="N65" s="131">
        <f>N63*woodratio!I7</f>
        <v>6.3527518748022187</v>
      </c>
      <c r="O65" s="126" t="s">
        <v>549</v>
      </c>
      <c r="P65" s="126" t="s">
        <v>240</v>
      </c>
      <c r="Q65" s="126"/>
      <c r="R65" s="1"/>
      <c r="S65" s="1"/>
      <c r="T65" s="1"/>
      <c r="U65" s="1"/>
      <c r="V65" s="1"/>
    </row>
    <row r="66" spans="1:22" x14ac:dyDescent="0.3">
      <c r="A66" s="5" t="str">
        <f>CONCATENATE("F",IF(B66&lt;&gt;"",COUNTA($B$2:B66),""))</f>
        <v>F</v>
      </c>
      <c r="B66" s="126"/>
      <c r="C66" s="126"/>
      <c r="D66" s="133"/>
      <c r="E66" s="133"/>
      <c r="F66" s="126"/>
      <c r="G66" s="5"/>
      <c r="H66" s="135"/>
      <c r="I66" s="135"/>
      <c r="J66" s="135"/>
      <c r="K66" s="135"/>
      <c r="L66" s="136"/>
      <c r="M66" s="136"/>
      <c r="N66" s="131"/>
      <c r="O66" s="126"/>
      <c r="P66" s="126"/>
      <c r="Q66" s="126"/>
      <c r="R66" s="1"/>
      <c r="S66" s="1"/>
      <c r="T66" s="1"/>
      <c r="U66" s="1"/>
      <c r="V66" s="1"/>
    </row>
    <row r="67" spans="1:22" x14ac:dyDescent="0.3">
      <c r="A67" s="5" t="str">
        <f>CONCATENATE("F",IF(B67&lt;&gt;"",COUNTA($B$2:B67),""))</f>
        <v>F</v>
      </c>
      <c r="B67" s="5"/>
      <c r="C67" s="126"/>
      <c r="D67" s="133"/>
      <c r="E67" s="133"/>
      <c r="F67" s="126"/>
      <c r="G67" s="5"/>
      <c r="H67" s="135"/>
      <c r="I67" s="135"/>
      <c r="J67" s="135"/>
      <c r="K67" s="135"/>
      <c r="L67" s="136"/>
      <c r="M67" s="136"/>
      <c r="N67" s="131"/>
      <c r="O67" s="126"/>
      <c r="P67" s="126"/>
      <c r="Q67" s="126"/>
      <c r="R67" s="1"/>
      <c r="S67" s="1"/>
      <c r="T67" s="1"/>
      <c r="U67" s="1"/>
      <c r="V67" s="1"/>
    </row>
    <row r="68" spans="1:22" x14ac:dyDescent="0.3">
      <c r="A68" s="5" t="str">
        <f>CONCATENATE("F",IF(B68&lt;&gt;"",COUNTA($B$2:B68),""))</f>
        <v>F33</v>
      </c>
      <c r="B68" s="126" t="s">
        <v>62</v>
      </c>
      <c r="C68" s="126" t="s">
        <v>44</v>
      </c>
      <c r="D6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10.844837691439658</v>
      </c>
      <c r="E6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8" s="126">
        <f>VLOOKUP(woodflow[[#This Row],[From]],woodstock[#All],4,FALSE)</f>
        <v>2021</v>
      </c>
      <c r="G68" s="5" t="str">
        <f>VLOOKUP(woodflow[[#This Row],[From]],woodstock[#All],5,FALSE)</f>
        <v>OAS</v>
      </c>
      <c r="H68" s="135" t="str">
        <f>VLOOKUP(woodflow[[#This Row],[From]],woodstock[#All],7,FALSE)</f>
        <v>5</v>
      </c>
      <c r="I68" s="135" t="str">
        <f>VLOOKUP(woodflow[[#This Row],[to]],woodstock[#All],7,FALSE)</f>
        <v>21</v>
      </c>
      <c r="J68" s="135" t="str">
        <f>VLOOKUP(woodflow[[#This Row],[From]],woodstock[#All],8,FALSE)</f>
        <v>1</v>
      </c>
      <c r="K68" s="135" t="str">
        <f>VLOOKUP(woodflow[[#This Row],[to]],woodstock[#All],8,FALSE)</f>
        <v>0</v>
      </c>
      <c r="L68" s="136" t="str">
        <f>VLOOKUP(woodflow[[#This Row],[From]],woodstock[#All],9,FALSE)</f>
        <v>6-7</v>
      </c>
      <c r="M68" s="136" t="str">
        <f>VLOOKUP(woodflow[[#This Row],[to]],woodstock[#All],9,FALSE)</f>
        <v>nan</v>
      </c>
      <c r="N68" s="131">
        <f>('faostat-data'!Q60/'production-mass-balance'!B42)+('faostat-data'!Q60/'production-mass-balance'!B42*'production-mass-balance'!B41)</f>
        <v>10.844837691439658</v>
      </c>
      <c r="O68" s="126" t="s">
        <v>556</v>
      </c>
      <c r="P68" s="126" t="s">
        <v>456</v>
      </c>
      <c r="Q68" s="126" t="s">
        <v>234</v>
      </c>
      <c r="R68" s="1"/>
      <c r="S68" s="1"/>
      <c r="T68" s="1"/>
      <c r="U68" s="1"/>
      <c r="V68" s="1"/>
    </row>
    <row r="69" spans="1:22" x14ac:dyDescent="0.3">
      <c r="A69" s="5" t="str">
        <f>CONCATENATE("F",IF(B69&lt;&gt;"",COUNTA($B$2:B69),""))</f>
        <v>F34</v>
      </c>
      <c r="B69" s="5" t="s">
        <v>267</v>
      </c>
      <c r="C69" s="126" t="s">
        <v>44</v>
      </c>
      <c r="D69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9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0.4750478468432825</v>
      </c>
      <c r="F69" s="126">
        <f>VLOOKUP(woodflow[[#This Row],[From]],woodstock[#All],4,FALSE)</f>
        <v>2021</v>
      </c>
      <c r="G69" s="5" t="str">
        <f>VLOOKUP(woodflow[[#This Row],[From]],woodstock[#All],5,FALSE)</f>
        <v>OAS</v>
      </c>
      <c r="H69" s="135" t="str">
        <f>VLOOKUP(woodflow[[#This Row],[From]],woodstock[#All],7,FALSE)</f>
        <v>6</v>
      </c>
      <c r="I69" s="135" t="str">
        <f>VLOOKUP(woodflow[[#This Row],[to]],woodstock[#All],7,FALSE)</f>
        <v>21</v>
      </c>
      <c r="J69" s="135" t="str">
        <f>VLOOKUP(woodflow[[#This Row],[From]],woodstock[#All],8,FALSE)</f>
        <v>0</v>
      </c>
      <c r="K69" s="135" t="str">
        <f>VLOOKUP(woodflow[[#This Row],[to]],woodstock[#All],8,FALSE)</f>
        <v>0</v>
      </c>
      <c r="L69" s="136" t="str">
        <f>VLOOKUP(woodflow[[#This Row],[From]],woodstock[#All],9,FALSE)</f>
        <v>nan</v>
      </c>
      <c r="M69" s="136" t="str">
        <f>VLOOKUP(woodflow[[#This Row],[to]],woodstock[#All],9,FALSE)</f>
        <v>nan</v>
      </c>
      <c r="N69" s="131">
        <f>N68*woodratio!I10</f>
        <v>0.4750478468432825</v>
      </c>
      <c r="O69" s="126" t="s">
        <v>549</v>
      </c>
      <c r="P69" s="126" t="s">
        <v>240</v>
      </c>
      <c r="Q69" s="126"/>
      <c r="R69" s="1"/>
      <c r="S69" s="1"/>
      <c r="T69" s="1"/>
      <c r="U69" s="1"/>
      <c r="V69" s="1"/>
    </row>
    <row r="70" spans="1:22" x14ac:dyDescent="0.3">
      <c r="A70" s="5" t="str">
        <f>CONCATENATE("F",IF(B70&lt;&gt;"",COUNTA($B$2:B70),""))</f>
        <v>F35</v>
      </c>
      <c r="B70" s="5" t="s">
        <v>268</v>
      </c>
      <c r="C70" s="126" t="s">
        <v>44</v>
      </c>
      <c r="D70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0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10.369789844596374</v>
      </c>
      <c r="F70" s="126">
        <f>VLOOKUP(woodflow[[#This Row],[From]],woodstock[#All],4,FALSE)</f>
        <v>2021</v>
      </c>
      <c r="G70" s="5" t="str">
        <f>VLOOKUP(woodflow[[#This Row],[From]],woodstock[#All],5,FALSE)</f>
        <v>OAS</v>
      </c>
      <c r="H70" s="135" t="str">
        <f>VLOOKUP(woodflow[[#This Row],[From]],woodstock[#All],7,FALSE)</f>
        <v>7</v>
      </c>
      <c r="I70" s="135" t="str">
        <f>VLOOKUP(woodflow[[#This Row],[to]],woodstock[#All],7,FALSE)</f>
        <v>21</v>
      </c>
      <c r="J70" s="135" t="str">
        <f>VLOOKUP(woodflow[[#This Row],[From]],woodstock[#All],8,FALSE)</f>
        <v>0</v>
      </c>
      <c r="K70" s="135" t="str">
        <f>VLOOKUP(woodflow[[#This Row],[to]],woodstock[#All],8,FALSE)</f>
        <v>0</v>
      </c>
      <c r="L70" s="136" t="str">
        <f>VLOOKUP(woodflow[[#This Row],[From]],woodstock[#All],9,FALSE)</f>
        <v>nan</v>
      </c>
      <c r="M70" s="136" t="str">
        <f>VLOOKUP(woodflow[[#This Row],[to]],woodstock[#All],9,FALSE)</f>
        <v>nan</v>
      </c>
      <c r="N70" s="131">
        <f>N68*woodratio!I11</f>
        <v>10.369789844596374</v>
      </c>
      <c r="O70" s="126" t="s">
        <v>549</v>
      </c>
      <c r="P70" s="126" t="s">
        <v>240</v>
      </c>
      <c r="Q70" s="126"/>
      <c r="R70" s="1"/>
      <c r="S70" s="1"/>
      <c r="T70" s="1"/>
      <c r="U70" s="1"/>
      <c r="V70" s="1"/>
    </row>
    <row r="71" spans="1:22" x14ac:dyDescent="0.3">
      <c r="A71" s="5" t="str">
        <f>CONCATENATE("F",IF(B71&lt;&gt;"",COUNTA($B$2:B71),""))</f>
        <v>F</v>
      </c>
      <c r="B71" s="5"/>
      <c r="C71" s="126"/>
      <c r="D71" s="133"/>
      <c r="E71" s="133"/>
      <c r="F71" s="126"/>
      <c r="G71" s="5"/>
      <c r="H71" s="135"/>
      <c r="I71" s="135"/>
      <c r="J71" s="135"/>
      <c r="K71" s="135"/>
      <c r="L71" s="136"/>
      <c r="M71" s="136"/>
      <c r="N71" s="131"/>
      <c r="O71" s="126"/>
      <c r="P71" s="126"/>
      <c r="Q71" s="126"/>
      <c r="R71" s="1"/>
      <c r="S71" s="1"/>
      <c r="T71" s="1"/>
      <c r="U71" s="1"/>
      <c r="V71" s="1"/>
    </row>
    <row r="72" spans="1:22" x14ac:dyDescent="0.3">
      <c r="A72" s="5" t="str">
        <f>CONCATENATE("F",IF(B72&lt;&gt;"",COUNTA($B$2:B72),""))</f>
        <v>F</v>
      </c>
      <c r="B72" s="126"/>
      <c r="C72" s="126"/>
      <c r="D72" s="133"/>
      <c r="E72" s="133"/>
      <c r="F72" s="126"/>
      <c r="G72" s="5"/>
      <c r="H72" s="135"/>
      <c r="I72" s="135"/>
      <c r="J72" s="135"/>
      <c r="K72" s="135"/>
      <c r="L72" s="136"/>
      <c r="M72" s="136"/>
      <c r="N72" s="131"/>
      <c r="O72" s="126"/>
      <c r="P72" s="126"/>
      <c r="Q72" s="126"/>
      <c r="R72" s="1"/>
      <c r="S72" s="1"/>
      <c r="T72" s="1"/>
      <c r="U72" s="1"/>
      <c r="V72" s="1"/>
    </row>
    <row r="73" spans="1:22" x14ac:dyDescent="0.3">
      <c r="A73" s="5" t="str">
        <f>CONCATENATE("F",IF(B73&lt;&gt;"",COUNTA($B$2:B73),""))</f>
        <v>F36</v>
      </c>
      <c r="B73" s="5" t="s">
        <v>63</v>
      </c>
      <c r="C73" s="126" t="s">
        <v>65</v>
      </c>
      <c r="D73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3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45.224473940749021</v>
      </c>
      <c r="F73" s="126">
        <f>VLOOKUP(woodflow[[#This Row],[From]],woodstock[#All],4,FALSE)</f>
        <v>2021</v>
      </c>
      <c r="G73" s="5" t="str">
        <f>VLOOKUP(woodflow[[#This Row],[From]],woodstock[#All],5,FALSE)</f>
        <v>OAS</v>
      </c>
      <c r="H73" s="135" t="str">
        <f>VLOOKUP(woodflow[[#This Row],[From]],woodstock[#All],7,FALSE)</f>
        <v>6</v>
      </c>
      <c r="I73" s="135" t="str">
        <f>VLOOKUP(woodflow[[#This Row],[to]],woodstock[#All],7,FALSE)</f>
        <v>9</v>
      </c>
      <c r="J73" s="135" t="str">
        <f>VLOOKUP(woodflow[[#This Row],[From]],woodstock[#All],8,FALSE)</f>
        <v>1</v>
      </c>
      <c r="K73" s="135" t="str">
        <f>VLOOKUP(woodflow[[#This Row],[to]],woodstock[#All],8,FALSE)</f>
        <v>1</v>
      </c>
      <c r="L73" s="136" t="str">
        <f>VLOOKUP(woodflow[[#This Row],[From]],woodstock[#All],9,FALSE)</f>
        <v>8-9</v>
      </c>
      <c r="M73" s="136" t="str">
        <f>VLOOKUP(woodflow[[#This Row],[to]],woodstock[#All],9,FALSE)</f>
        <v>15-16</v>
      </c>
      <c r="N73" s="131">
        <f>(N122+N125+N128+N131+N134+N137+N142+N147+N152)+(-N416-N431-N479)+(-'faostat-data'!Q40+'faostat-data'!Q41-'faostat-data'!Q43+'faostat-data'!Q44)</f>
        <v>45.224473940749021</v>
      </c>
      <c r="O73" s="126" t="s">
        <v>549</v>
      </c>
      <c r="P73" s="126" t="s">
        <v>239</v>
      </c>
      <c r="Q73" s="126"/>
      <c r="R73" s="1"/>
      <c r="S73" s="1"/>
      <c r="T73" s="1"/>
      <c r="U73" s="1"/>
      <c r="V73" s="1"/>
    </row>
    <row r="74" spans="1:22" x14ac:dyDescent="0.3">
      <c r="A74" s="5" t="str">
        <f>CONCATENATE("F",IF(B74&lt;&gt;"",COUNTA($B$2:B74),""))</f>
        <v>F37</v>
      </c>
      <c r="B74" s="5" t="s">
        <v>270</v>
      </c>
      <c r="C74" s="126" t="s">
        <v>53</v>
      </c>
      <c r="D74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4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4" s="126">
        <f>VLOOKUP(woodflow[[#This Row],[From]],woodstock[#All],4,FALSE)</f>
        <v>2021</v>
      </c>
      <c r="G74" s="5" t="str">
        <f>VLOOKUP(woodflow[[#This Row],[From]],woodstock[#All],5,FALSE)</f>
        <v>OAS</v>
      </c>
      <c r="H74" s="135" t="str">
        <f>VLOOKUP(woodflow[[#This Row],[From]],woodstock[#All],7,FALSE)</f>
        <v>8</v>
      </c>
      <c r="I74" s="135" t="str">
        <f>VLOOKUP(woodflow[[#This Row],[to]],woodstock[#All],7,FALSE)</f>
        <v>15</v>
      </c>
      <c r="J74" s="135" t="str">
        <f>VLOOKUP(woodflow[[#This Row],[From]],woodstock[#All],8,FALSE)</f>
        <v>0</v>
      </c>
      <c r="K74" s="135" t="str">
        <f>VLOOKUP(woodflow[[#This Row],[to]],woodstock[#All],8,FALSE)</f>
        <v>0</v>
      </c>
      <c r="L74" s="136" t="str">
        <f>VLOOKUP(woodflow[[#This Row],[From]],woodstock[#All],9,FALSE)</f>
        <v>nan</v>
      </c>
      <c r="M74" s="136" t="str">
        <f>VLOOKUP(woodflow[[#This Row],[to]],woodstock[#All],9,FALSE)</f>
        <v>nan</v>
      </c>
      <c r="N74" s="131"/>
      <c r="O74" s="126" t="s">
        <v>460</v>
      </c>
      <c r="P74" s="126"/>
      <c r="Q74" s="126"/>
      <c r="R74" s="1"/>
      <c r="S74" s="1"/>
      <c r="T74" s="1"/>
      <c r="U74" s="1"/>
      <c r="V74" s="1"/>
    </row>
    <row r="75" spans="1:22" x14ac:dyDescent="0.3">
      <c r="A75" s="5" t="str">
        <f>CONCATENATE("F",IF(B75&lt;&gt;"",COUNTA($B$2:B75),""))</f>
        <v>F38</v>
      </c>
      <c r="B75" s="5" t="s">
        <v>270</v>
      </c>
      <c r="C75" s="126" t="s">
        <v>54</v>
      </c>
      <c r="D75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5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5" s="126">
        <f>VLOOKUP(woodflow[[#This Row],[From]],woodstock[#All],4,FALSE)</f>
        <v>2021</v>
      </c>
      <c r="G75" s="5" t="str">
        <f>VLOOKUP(woodflow[[#This Row],[From]],woodstock[#All],5,FALSE)</f>
        <v>OAS</v>
      </c>
      <c r="H75" s="135" t="str">
        <f>VLOOKUP(woodflow[[#This Row],[From]],woodstock[#All],7,FALSE)</f>
        <v>8</v>
      </c>
      <c r="I75" s="135" t="str">
        <f>VLOOKUP(woodflow[[#This Row],[to]],woodstock[#All],7,FALSE)</f>
        <v>16</v>
      </c>
      <c r="J75" s="135" t="str">
        <f>VLOOKUP(woodflow[[#This Row],[From]],woodstock[#All],8,FALSE)</f>
        <v>0</v>
      </c>
      <c r="K75" s="135" t="str">
        <f>VLOOKUP(woodflow[[#This Row],[to]],woodstock[#All],8,FALSE)</f>
        <v>0</v>
      </c>
      <c r="L75" s="136" t="str">
        <f>VLOOKUP(woodflow[[#This Row],[From]],woodstock[#All],9,FALSE)</f>
        <v>nan</v>
      </c>
      <c r="M75" s="136" t="str">
        <f>VLOOKUP(woodflow[[#This Row],[to]],woodstock[#All],9,FALSE)</f>
        <v>nan</v>
      </c>
      <c r="N75" s="131"/>
      <c r="O75" s="126" t="s">
        <v>460</v>
      </c>
      <c r="P75" s="126"/>
      <c r="Q75" s="126"/>
      <c r="R75" s="1"/>
      <c r="S75" s="1"/>
      <c r="T75" s="1"/>
      <c r="U75" s="1"/>
      <c r="V75" s="1"/>
    </row>
    <row r="76" spans="1:22" x14ac:dyDescent="0.3">
      <c r="A76" s="5" t="str">
        <f>CONCATENATE("F",IF(B76&lt;&gt;"",COUNTA($B$2:B76),""))</f>
        <v>F39</v>
      </c>
      <c r="B76" s="5" t="s">
        <v>271</v>
      </c>
      <c r="C76" s="126" t="s">
        <v>53</v>
      </c>
      <c r="D76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6" s="126">
        <f>VLOOKUP(woodflow[[#This Row],[From]],woodstock[#All],4,FALSE)</f>
        <v>2021</v>
      </c>
      <c r="G76" s="5" t="str">
        <f>VLOOKUP(woodflow[[#This Row],[From]],woodstock[#All],5,FALSE)</f>
        <v>OAS</v>
      </c>
      <c r="H76" s="135" t="str">
        <f>VLOOKUP(woodflow[[#This Row],[From]],woodstock[#All],7,FALSE)</f>
        <v>9</v>
      </c>
      <c r="I76" s="135" t="str">
        <f>VLOOKUP(woodflow[[#This Row],[to]],woodstock[#All],7,FALSE)</f>
        <v>15</v>
      </c>
      <c r="J76" s="135" t="str">
        <f>VLOOKUP(woodflow[[#This Row],[From]],woodstock[#All],8,FALSE)</f>
        <v>0</v>
      </c>
      <c r="K76" s="135" t="str">
        <f>VLOOKUP(woodflow[[#This Row],[to]],woodstock[#All],8,FALSE)</f>
        <v>0</v>
      </c>
      <c r="L76" s="136" t="str">
        <f>VLOOKUP(woodflow[[#This Row],[From]],woodstock[#All],9,FALSE)</f>
        <v>nan</v>
      </c>
      <c r="M76" s="136" t="str">
        <f>VLOOKUP(woodflow[[#This Row],[to]],woodstock[#All],9,FALSE)</f>
        <v>nan</v>
      </c>
      <c r="N76" s="131"/>
      <c r="O76" s="126" t="s">
        <v>460</v>
      </c>
      <c r="P76" s="126"/>
      <c r="Q76" s="126"/>
      <c r="R76" s="1"/>
      <c r="S76" s="1"/>
      <c r="T76" s="1"/>
      <c r="U76" s="1"/>
      <c r="V76" s="1"/>
    </row>
    <row r="77" spans="1:22" x14ac:dyDescent="0.3">
      <c r="A77" s="5" t="str">
        <f>CONCATENATE("F",IF(B77&lt;&gt;"",COUNTA($B$2:B77),""))</f>
        <v>F40</v>
      </c>
      <c r="B77" s="5" t="s">
        <v>271</v>
      </c>
      <c r="C77" s="126" t="s">
        <v>54</v>
      </c>
      <c r="D77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7" s="126">
        <f>VLOOKUP(woodflow[[#This Row],[From]],woodstock[#All],4,FALSE)</f>
        <v>2021</v>
      </c>
      <c r="G77" s="5" t="str">
        <f>VLOOKUP(woodflow[[#This Row],[From]],woodstock[#All],5,FALSE)</f>
        <v>OAS</v>
      </c>
      <c r="H77" s="135" t="str">
        <f>VLOOKUP(woodflow[[#This Row],[From]],woodstock[#All],7,FALSE)</f>
        <v>9</v>
      </c>
      <c r="I77" s="135" t="str">
        <f>VLOOKUP(woodflow[[#This Row],[to]],woodstock[#All],7,FALSE)</f>
        <v>16</v>
      </c>
      <c r="J77" s="135" t="str">
        <f>VLOOKUP(woodflow[[#This Row],[From]],woodstock[#All],8,FALSE)</f>
        <v>0</v>
      </c>
      <c r="K77" s="135" t="str">
        <f>VLOOKUP(woodflow[[#This Row],[to]],woodstock[#All],8,FALSE)</f>
        <v>0</v>
      </c>
      <c r="L77" s="136" t="str">
        <f>VLOOKUP(woodflow[[#This Row],[From]],woodstock[#All],9,FALSE)</f>
        <v>nan</v>
      </c>
      <c r="M77" s="136" t="str">
        <f>VLOOKUP(woodflow[[#This Row],[to]],woodstock[#All],9,FALSE)</f>
        <v>nan</v>
      </c>
      <c r="N77" s="131"/>
      <c r="O77" s="126" t="s">
        <v>460</v>
      </c>
      <c r="P77" s="126"/>
      <c r="Q77" s="126"/>
      <c r="R77" s="1"/>
      <c r="S77" s="1"/>
      <c r="T77" s="1"/>
      <c r="U77" s="1"/>
      <c r="V77" s="1"/>
    </row>
    <row r="78" spans="1:22" x14ac:dyDescent="0.3">
      <c r="A78" s="5" t="str">
        <f>CONCATENATE("F",IF(B78&lt;&gt;"",COUNTA($B$2:B78),""))</f>
        <v>F</v>
      </c>
      <c r="B78" s="126"/>
      <c r="C78" s="126"/>
      <c r="D78" s="133"/>
      <c r="E78" s="133"/>
      <c r="F78" s="126"/>
      <c r="G78" s="5"/>
      <c r="H78" s="135"/>
      <c r="I78" s="135"/>
      <c r="J78" s="135"/>
      <c r="K78" s="135"/>
      <c r="L78" s="136"/>
      <c r="M78" s="136"/>
      <c r="N78" s="131"/>
      <c r="O78" s="126"/>
      <c r="P78" s="126"/>
      <c r="Q78" s="126"/>
      <c r="R78" s="1"/>
      <c r="S78" s="1"/>
      <c r="T78" s="1"/>
      <c r="U78" s="1"/>
      <c r="V78" s="1"/>
    </row>
    <row r="79" spans="1:22" x14ac:dyDescent="0.3">
      <c r="A79" s="5" t="str">
        <f>CONCATENATE("F",IF(B79&lt;&gt;"",COUNTA($B$2:B79),""))</f>
        <v>F</v>
      </c>
      <c r="B79" s="126"/>
      <c r="C79" s="126"/>
      <c r="D79" s="133"/>
      <c r="E79" s="133"/>
      <c r="F79" s="126"/>
      <c r="G79" s="5"/>
      <c r="H79" s="135"/>
      <c r="I79" s="135"/>
      <c r="J79" s="135"/>
      <c r="K79" s="135"/>
      <c r="L79" s="136"/>
      <c r="M79" s="136"/>
      <c r="N79" s="131"/>
      <c r="O79" s="126"/>
      <c r="P79" s="126"/>
      <c r="Q79" s="126"/>
      <c r="R79" s="1"/>
      <c r="S79" s="1"/>
      <c r="T79" s="1"/>
      <c r="U79" s="1"/>
      <c r="V79" s="1"/>
    </row>
    <row r="80" spans="1:22" x14ac:dyDescent="0.3">
      <c r="A80" s="5" t="str">
        <f>CONCATENATE("F",IF(B80&lt;&gt;"",COUNTA($B$2:B80),""))</f>
        <v>F41</v>
      </c>
      <c r="B80" s="126" t="s">
        <v>64</v>
      </c>
      <c r="C80" s="126" t="s">
        <v>179</v>
      </c>
      <c r="D80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13.533762667500003</v>
      </c>
      <c r="E80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0" s="126">
        <f>VLOOKUP(woodflow[[#This Row],[From]],woodstock[#All],4,FALSE)</f>
        <v>2021</v>
      </c>
      <c r="G80" s="5" t="str">
        <f>VLOOKUP(woodflow[[#This Row],[From]],woodstock[#All],5,FALSE)</f>
        <v>OAS</v>
      </c>
      <c r="H80" s="135" t="str">
        <f>VLOOKUP(woodflow[[#This Row],[From]],woodstock[#All],7,FALSE)</f>
        <v>7</v>
      </c>
      <c r="I80" s="135" t="str">
        <f>VLOOKUP(woodflow[[#This Row],[to]],woodstock[#All],7,FALSE)</f>
        <v>14</v>
      </c>
      <c r="J80" s="135" t="str">
        <f>VLOOKUP(woodflow[[#This Row],[From]],woodstock[#All],8,FALSE)</f>
        <v>1</v>
      </c>
      <c r="K80" s="135" t="str">
        <f>VLOOKUP(woodflow[[#This Row],[to]],woodstock[#All],8,FALSE)</f>
        <v>0</v>
      </c>
      <c r="L80" s="136" t="str">
        <f>VLOOKUP(woodflow[[#This Row],[From]],woodstock[#All],9,FALSE)</f>
        <v>10-11</v>
      </c>
      <c r="M80" s="136" t="str">
        <f>VLOOKUP(woodflow[[#This Row],[to]],woodstock[#All],9,FALSE)</f>
        <v>nan</v>
      </c>
      <c r="N80" s="131">
        <f>N11+N23+N41</f>
        <v>13.533762667500003</v>
      </c>
      <c r="O80" s="126" t="s">
        <v>556</v>
      </c>
      <c r="P80" s="126" t="s">
        <v>239</v>
      </c>
      <c r="Q80" s="126"/>
      <c r="R80" s="1"/>
      <c r="S80" s="1"/>
      <c r="T80" s="1"/>
      <c r="U80" s="1"/>
      <c r="V80" s="1"/>
    </row>
    <row r="81" spans="1:22" x14ac:dyDescent="0.3">
      <c r="A81" s="5" t="str">
        <f>CONCATENATE("F",IF(B81&lt;&gt;"",COUNTA($B$2:B81),""))</f>
        <v>F42</v>
      </c>
      <c r="B81" s="5" t="s">
        <v>272</v>
      </c>
      <c r="C81" s="126" t="s">
        <v>179</v>
      </c>
      <c r="D81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1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0.69097500000000001</v>
      </c>
      <c r="F81" s="126">
        <f>VLOOKUP(woodflow[[#This Row],[From]],woodstock[#All],4,FALSE)</f>
        <v>2021</v>
      </c>
      <c r="G81" s="5" t="str">
        <f>VLOOKUP(woodflow[[#This Row],[From]],woodstock[#All],5,FALSE)</f>
        <v>OAS</v>
      </c>
      <c r="H81" s="135" t="str">
        <f>VLOOKUP(woodflow[[#This Row],[From]],woodstock[#All],7,FALSE)</f>
        <v>10</v>
      </c>
      <c r="I81" s="135" t="str">
        <f>VLOOKUP(woodflow[[#This Row],[to]],woodstock[#All],7,FALSE)</f>
        <v>14</v>
      </c>
      <c r="J81" s="135" t="str">
        <f>VLOOKUP(woodflow[[#This Row],[From]],woodstock[#All],8,FALSE)</f>
        <v>0</v>
      </c>
      <c r="K81" s="135" t="str">
        <f>VLOOKUP(woodflow[[#This Row],[to]],woodstock[#All],8,FALSE)</f>
        <v>0</v>
      </c>
      <c r="L81" s="136" t="str">
        <f>VLOOKUP(woodflow[[#This Row],[From]],woodstock[#All],9,FALSE)</f>
        <v>nan</v>
      </c>
      <c r="M81" s="136" t="str">
        <f>VLOOKUP(woodflow[[#This Row],[to]],woodstock[#All],9,FALSE)</f>
        <v>nan</v>
      </c>
      <c r="N81" s="131">
        <f>N80*woodratio!I14</f>
        <v>0.69097500000000001</v>
      </c>
      <c r="O81" s="126" t="s">
        <v>549</v>
      </c>
      <c r="P81" s="126" t="s">
        <v>240</v>
      </c>
      <c r="Q81" s="126"/>
      <c r="R81" s="1"/>
      <c r="S81" s="1"/>
      <c r="T81" s="1"/>
      <c r="U81" s="1"/>
      <c r="V81" s="1"/>
    </row>
    <row r="82" spans="1:22" x14ac:dyDescent="0.3">
      <c r="A82" s="5" t="str">
        <f>CONCATENATE("F",IF(B82&lt;&gt;"",COUNTA($B$2:B82),""))</f>
        <v>F43</v>
      </c>
      <c r="B82" s="5" t="s">
        <v>273</v>
      </c>
      <c r="C82" s="126" t="s">
        <v>179</v>
      </c>
      <c r="D82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2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12.842787667500003</v>
      </c>
      <c r="F82" s="126">
        <f>VLOOKUP(woodflow[[#This Row],[From]],woodstock[#All],4,FALSE)</f>
        <v>2021</v>
      </c>
      <c r="G82" s="5" t="str">
        <f>VLOOKUP(woodflow[[#This Row],[From]],woodstock[#All],5,FALSE)</f>
        <v>OAS</v>
      </c>
      <c r="H82" s="135" t="str">
        <f>VLOOKUP(woodflow[[#This Row],[From]],woodstock[#All],7,FALSE)</f>
        <v>11</v>
      </c>
      <c r="I82" s="135" t="str">
        <f>VLOOKUP(woodflow[[#This Row],[to]],woodstock[#All],7,FALSE)</f>
        <v>14</v>
      </c>
      <c r="J82" s="135" t="str">
        <f>VLOOKUP(woodflow[[#This Row],[From]],woodstock[#All],8,FALSE)</f>
        <v>0</v>
      </c>
      <c r="K82" s="135" t="str">
        <f>VLOOKUP(woodflow[[#This Row],[to]],woodstock[#All],8,FALSE)</f>
        <v>0</v>
      </c>
      <c r="L82" s="136" t="str">
        <f>VLOOKUP(woodflow[[#This Row],[From]],woodstock[#All],9,FALSE)</f>
        <v>nan</v>
      </c>
      <c r="M82" s="136" t="str">
        <f>VLOOKUP(woodflow[[#This Row],[to]],woodstock[#All],9,FALSE)</f>
        <v>nan</v>
      </c>
      <c r="N82" s="131">
        <f>N80*woodratio!I15</f>
        <v>12.842787667500003</v>
      </c>
      <c r="O82" s="126" t="s">
        <v>549</v>
      </c>
      <c r="P82" s="126" t="s">
        <v>240</v>
      </c>
      <c r="Q82" s="126"/>
      <c r="R82" s="1"/>
      <c r="S82" s="1"/>
      <c r="T82" s="1"/>
      <c r="U82" s="1"/>
      <c r="V82" s="1"/>
    </row>
    <row r="83" spans="1:22" x14ac:dyDescent="0.3">
      <c r="A83" s="5" t="str">
        <f>CONCATENATE("F",IF(B83&lt;&gt;"",COUNTA($B$2:B83),""))</f>
        <v>F</v>
      </c>
      <c r="B83" s="126"/>
      <c r="C83" s="126"/>
      <c r="D83" s="133"/>
      <c r="E83" s="133"/>
      <c r="F83" s="126"/>
      <c r="G83" s="5"/>
      <c r="H83" s="135"/>
      <c r="I83" s="135"/>
      <c r="J83" s="135"/>
      <c r="K83" s="135"/>
      <c r="L83" s="136"/>
      <c r="M83" s="136"/>
      <c r="N83" s="131"/>
      <c r="O83" s="126"/>
      <c r="P83" s="126"/>
      <c r="Q83" s="126"/>
      <c r="R83" s="1"/>
      <c r="S83" s="1"/>
      <c r="T83" s="1"/>
      <c r="U83" s="1"/>
      <c r="V83" s="1"/>
    </row>
    <row r="84" spans="1:22" x14ac:dyDescent="0.3">
      <c r="A84" s="5" t="str">
        <f>CONCATENATE("F",IF(B84&lt;&gt;"",COUNTA($B$2:B84),""))</f>
        <v>F</v>
      </c>
      <c r="B84" s="126"/>
      <c r="C84" s="126"/>
      <c r="D84" s="133"/>
      <c r="E84" s="133"/>
      <c r="F84" s="126"/>
      <c r="G84" s="5"/>
      <c r="H84" s="135"/>
      <c r="I84" s="135"/>
      <c r="J84" s="135"/>
      <c r="K84" s="135"/>
      <c r="L84" s="136"/>
      <c r="M84" s="136"/>
      <c r="N84" s="131"/>
      <c r="O84" s="126"/>
      <c r="P84" s="126"/>
      <c r="Q84" s="126"/>
      <c r="R84" s="1"/>
      <c r="S84" s="1"/>
      <c r="T84" s="1"/>
      <c r="U84" s="1"/>
      <c r="V84" s="1"/>
    </row>
    <row r="85" spans="1:22" x14ac:dyDescent="0.3">
      <c r="A85" s="5" t="str">
        <f>CONCATENATE("F",IF(B85&lt;&gt;"",COUNTA($B$2:B85),""))</f>
        <v>F44</v>
      </c>
      <c r="B85" s="126" t="s">
        <v>212</v>
      </c>
      <c r="C85" s="126" t="s">
        <v>51</v>
      </c>
      <c r="D85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5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5" s="126">
        <f>VLOOKUP(woodflow[[#This Row],[From]],woodstock[#All],4,FALSE)</f>
        <v>2021</v>
      </c>
      <c r="G85" s="5" t="str">
        <f>VLOOKUP(woodflow[[#This Row],[From]],woodstock[#All],5,FALSE)</f>
        <v>OAS</v>
      </c>
      <c r="H85" s="135" t="str">
        <f>VLOOKUP(woodflow[[#This Row],[From]],woodstock[#All],7,FALSE)</f>
        <v>12</v>
      </c>
      <c r="I85" s="135" t="str">
        <f>VLOOKUP(woodflow[[#This Row],[to]],woodstock[#All],7,FALSE)</f>
        <v>15</v>
      </c>
      <c r="J85" s="135" t="str">
        <f>VLOOKUP(woodflow[[#This Row],[From]],woodstock[#All],8,FALSE)</f>
        <v>0</v>
      </c>
      <c r="K85" s="135" t="str">
        <f>VLOOKUP(woodflow[[#This Row],[to]],woodstock[#All],8,FALSE)</f>
        <v>1</v>
      </c>
      <c r="L85" s="136" t="str">
        <f>VLOOKUP(woodflow[[#This Row],[From]],woodstock[#All],9,FALSE)</f>
        <v>nan</v>
      </c>
      <c r="M85" s="136" t="str">
        <f>VLOOKUP(woodflow[[#This Row],[to]],woodstock[#All],9,FALSE)</f>
        <v>37-38-39-40-41-42</v>
      </c>
      <c r="N85" s="131">
        <f>N46-N94+N503-N584</f>
        <v>0</v>
      </c>
      <c r="O85" s="126" t="s">
        <v>556</v>
      </c>
      <c r="P85" s="126" t="s">
        <v>239</v>
      </c>
      <c r="Q85" s="126"/>
      <c r="R85" s="1"/>
      <c r="S85" s="1"/>
      <c r="T85" s="1"/>
      <c r="U85" s="1"/>
      <c r="V85" s="1"/>
    </row>
    <row r="86" spans="1:22" x14ac:dyDescent="0.3">
      <c r="A86" s="5" t="str">
        <f>CONCATENATE("F",IF(B86&lt;&gt;"",COUNTA($B$2:B86),""))</f>
        <v>F45</v>
      </c>
      <c r="B86" s="126" t="s">
        <v>212</v>
      </c>
      <c r="C86" s="126" t="s">
        <v>36</v>
      </c>
      <c r="D86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6" s="126">
        <f>VLOOKUP(woodflow[[#This Row],[From]],woodstock[#All],4,FALSE)</f>
        <v>2021</v>
      </c>
      <c r="G86" s="5" t="str">
        <f>VLOOKUP(woodflow[[#This Row],[From]],woodstock[#All],5,FALSE)</f>
        <v>OAS</v>
      </c>
      <c r="H86" s="135" t="str">
        <f>VLOOKUP(woodflow[[#This Row],[From]],woodstock[#All],7,FALSE)</f>
        <v>12</v>
      </c>
      <c r="I86" s="135" t="str">
        <f>VLOOKUP(woodflow[[#This Row],[to]],woodstock[#All],7,FALSE)</f>
        <v>37</v>
      </c>
      <c r="J86" s="135" t="str">
        <f>VLOOKUP(woodflow[[#This Row],[From]],woodstock[#All],8,FALSE)</f>
        <v>0</v>
      </c>
      <c r="K86" s="135" t="str">
        <f>VLOOKUP(woodflow[[#This Row],[to]],woodstock[#All],8,FALSE)</f>
        <v>0</v>
      </c>
      <c r="L86" s="136" t="str">
        <f>VLOOKUP(woodflow[[#This Row],[From]],woodstock[#All],9,FALSE)</f>
        <v>nan</v>
      </c>
      <c r="M86" s="136" t="str">
        <f>VLOOKUP(woodflow[[#This Row],[to]],woodstock[#All],9,FALSE)</f>
        <v>nan</v>
      </c>
      <c r="N86" s="131">
        <v>0</v>
      </c>
      <c r="O86" s="126" t="s">
        <v>213</v>
      </c>
      <c r="P86" s="126"/>
      <c r="Q86" s="126"/>
      <c r="R86" s="1"/>
      <c r="S86" s="1"/>
      <c r="T86" s="1"/>
      <c r="U86" s="1"/>
      <c r="V86" s="1"/>
    </row>
    <row r="87" spans="1:22" x14ac:dyDescent="0.3">
      <c r="A87" s="5" t="str">
        <f>CONCATENATE("F",IF(B87&lt;&gt;"",COUNTA($B$2:B87),""))</f>
        <v>F46</v>
      </c>
      <c r="B87" s="126" t="s">
        <v>212</v>
      </c>
      <c r="C87" s="126" t="s">
        <v>37</v>
      </c>
      <c r="D87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7" s="126">
        <f>VLOOKUP(woodflow[[#This Row],[From]],woodstock[#All],4,FALSE)</f>
        <v>2021</v>
      </c>
      <c r="G87" s="5" t="str">
        <f>VLOOKUP(woodflow[[#This Row],[From]],woodstock[#All],5,FALSE)</f>
        <v>OAS</v>
      </c>
      <c r="H87" s="135" t="str">
        <f>VLOOKUP(woodflow[[#This Row],[From]],woodstock[#All],7,FALSE)</f>
        <v>12</v>
      </c>
      <c r="I87" s="135" t="str">
        <f>VLOOKUP(woodflow[[#This Row],[to]],woodstock[#All],7,FALSE)</f>
        <v>38</v>
      </c>
      <c r="J87" s="135" t="str">
        <f>VLOOKUP(woodflow[[#This Row],[From]],woodstock[#All],8,FALSE)</f>
        <v>0</v>
      </c>
      <c r="K87" s="135" t="str">
        <f>VLOOKUP(woodflow[[#This Row],[to]],woodstock[#All],8,FALSE)</f>
        <v>0</v>
      </c>
      <c r="L87" s="136" t="str">
        <f>VLOOKUP(woodflow[[#This Row],[From]],woodstock[#All],9,FALSE)</f>
        <v>nan</v>
      </c>
      <c r="M87" s="136" t="str">
        <f>VLOOKUP(woodflow[[#This Row],[to]],woodstock[#All],9,FALSE)</f>
        <v>nan</v>
      </c>
      <c r="N87" s="131">
        <v>0</v>
      </c>
      <c r="O87" s="126" t="s">
        <v>556</v>
      </c>
      <c r="P87" s="126" t="s">
        <v>240</v>
      </c>
      <c r="Q87" s="126"/>
      <c r="R87" s="1"/>
      <c r="S87" s="1"/>
      <c r="T87" s="1"/>
      <c r="U87" s="1"/>
      <c r="V87" s="1"/>
    </row>
    <row r="88" spans="1:22" x14ac:dyDescent="0.3">
      <c r="A88" s="5" t="str">
        <f>CONCATENATE("F",IF(B88&lt;&gt;"",COUNTA($B$2:B88),""))</f>
        <v>F47</v>
      </c>
      <c r="B88" s="126" t="s">
        <v>212</v>
      </c>
      <c r="C88" s="126" t="s">
        <v>39</v>
      </c>
      <c r="D8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8" s="126">
        <f>VLOOKUP(woodflow[[#This Row],[From]],woodstock[#All],4,FALSE)</f>
        <v>2021</v>
      </c>
      <c r="G88" s="5" t="str">
        <f>VLOOKUP(woodflow[[#This Row],[From]],woodstock[#All],5,FALSE)</f>
        <v>OAS</v>
      </c>
      <c r="H88" s="135" t="str">
        <f>VLOOKUP(woodflow[[#This Row],[From]],woodstock[#All],7,FALSE)</f>
        <v>12</v>
      </c>
      <c r="I88" s="135" t="str">
        <f>VLOOKUP(woodflow[[#This Row],[to]],woodstock[#All],7,FALSE)</f>
        <v>39</v>
      </c>
      <c r="J88" s="135" t="str">
        <f>VLOOKUP(woodflow[[#This Row],[From]],woodstock[#All],8,FALSE)</f>
        <v>0</v>
      </c>
      <c r="K88" s="135" t="str">
        <f>VLOOKUP(woodflow[[#This Row],[to]],woodstock[#All],8,FALSE)</f>
        <v>0</v>
      </c>
      <c r="L88" s="136" t="str">
        <f>VLOOKUP(woodflow[[#This Row],[From]],woodstock[#All],9,FALSE)</f>
        <v>nan</v>
      </c>
      <c r="M88" s="136" t="str">
        <f>VLOOKUP(woodflow[[#This Row],[to]],woodstock[#All],9,FALSE)</f>
        <v>nan</v>
      </c>
      <c r="N88" s="131">
        <v>0</v>
      </c>
      <c r="O88" s="126" t="s">
        <v>213</v>
      </c>
      <c r="P88" s="126"/>
      <c r="Q88" s="126"/>
      <c r="R88" s="1"/>
      <c r="S88" s="1"/>
      <c r="T88" s="1"/>
      <c r="U88" s="1"/>
      <c r="V88" s="1"/>
    </row>
    <row r="89" spans="1:22" x14ac:dyDescent="0.3">
      <c r="A89" s="5" t="str">
        <f>CONCATENATE("F",IF(B89&lt;&gt;"",COUNTA($B$2:B89),""))</f>
        <v>F48</v>
      </c>
      <c r="B89" s="126" t="s">
        <v>212</v>
      </c>
      <c r="C89" s="126" t="s">
        <v>40</v>
      </c>
      <c r="D89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9" s="126">
        <f>VLOOKUP(woodflow[[#This Row],[From]],woodstock[#All],4,FALSE)</f>
        <v>2021</v>
      </c>
      <c r="G89" s="5" t="str">
        <f>VLOOKUP(woodflow[[#This Row],[From]],woodstock[#All],5,FALSE)</f>
        <v>OAS</v>
      </c>
      <c r="H89" s="135" t="str">
        <f>VLOOKUP(woodflow[[#This Row],[From]],woodstock[#All],7,FALSE)</f>
        <v>12</v>
      </c>
      <c r="I89" s="135" t="str">
        <f>VLOOKUP(woodflow[[#This Row],[to]],woodstock[#All],7,FALSE)</f>
        <v>40</v>
      </c>
      <c r="J89" s="135" t="str">
        <f>VLOOKUP(woodflow[[#This Row],[From]],woodstock[#All],8,FALSE)</f>
        <v>0</v>
      </c>
      <c r="K89" s="135" t="str">
        <f>VLOOKUP(woodflow[[#This Row],[to]],woodstock[#All],8,FALSE)</f>
        <v>0</v>
      </c>
      <c r="L89" s="136" t="str">
        <f>VLOOKUP(woodflow[[#This Row],[From]],woodstock[#All],9,FALSE)</f>
        <v>nan</v>
      </c>
      <c r="M89" s="136" t="str">
        <f>VLOOKUP(woodflow[[#This Row],[to]],woodstock[#All],9,FALSE)</f>
        <v>nan</v>
      </c>
      <c r="N89" s="131">
        <v>0</v>
      </c>
      <c r="O89" s="126" t="s">
        <v>556</v>
      </c>
      <c r="P89" s="126" t="s">
        <v>240</v>
      </c>
      <c r="Q89" s="126"/>
      <c r="R89" s="1"/>
      <c r="S89" s="1"/>
      <c r="T89" s="1"/>
      <c r="U89" s="1"/>
      <c r="V89" s="1"/>
    </row>
    <row r="90" spans="1:22" x14ac:dyDescent="0.3">
      <c r="A90" s="5" t="str">
        <f>CONCATENATE("F",IF(B90&lt;&gt;"",COUNTA($B$2:B90),""))</f>
        <v>F49</v>
      </c>
      <c r="B90" s="126" t="s">
        <v>212</v>
      </c>
      <c r="C90" s="126" t="s">
        <v>41</v>
      </c>
      <c r="D90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0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0" s="126">
        <f>VLOOKUP(woodflow[[#This Row],[From]],woodstock[#All],4,FALSE)</f>
        <v>2021</v>
      </c>
      <c r="G90" s="5" t="str">
        <f>VLOOKUP(woodflow[[#This Row],[From]],woodstock[#All],5,FALSE)</f>
        <v>OAS</v>
      </c>
      <c r="H90" s="135" t="str">
        <f>VLOOKUP(woodflow[[#This Row],[From]],woodstock[#All],7,FALSE)</f>
        <v>12</v>
      </c>
      <c r="I90" s="135" t="str">
        <f>VLOOKUP(woodflow[[#This Row],[to]],woodstock[#All],7,FALSE)</f>
        <v>41</v>
      </c>
      <c r="J90" s="135" t="str">
        <f>VLOOKUP(woodflow[[#This Row],[From]],woodstock[#All],8,FALSE)</f>
        <v>0</v>
      </c>
      <c r="K90" s="135" t="str">
        <f>VLOOKUP(woodflow[[#This Row],[to]],woodstock[#All],8,FALSE)</f>
        <v>0</v>
      </c>
      <c r="L90" s="136" t="str">
        <f>VLOOKUP(woodflow[[#This Row],[From]],woodstock[#All],9,FALSE)</f>
        <v>nan</v>
      </c>
      <c r="M90" s="136" t="str">
        <f>VLOOKUP(woodflow[[#This Row],[to]],woodstock[#All],9,FALSE)</f>
        <v>nan</v>
      </c>
      <c r="N90" s="131">
        <v>0</v>
      </c>
      <c r="O90" s="126" t="s">
        <v>556</v>
      </c>
      <c r="P90" s="126" t="s">
        <v>240</v>
      </c>
      <c r="Q90" s="126"/>
      <c r="R90" s="1"/>
      <c r="S90" s="1"/>
      <c r="T90" s="1"/>
      <c r="U90" s="1"/>
      <c r="V90" s="1"/>
    </row>
    <row r="91" spans="1:22" x14ac:dyDescent="0.3">
      <c r="A91" s="5" t="str">
        <f>CONCATENATE("F",IF(B91&lt;&gt;"",COUNTA($B$2:B91),""))</f>
        <v>F50</v>
      </c>
      <c r="B91" s="126" t="s">
        <v>212</v>
      </c>
      <c r="C91" s="126" t="s">
        <v>38</v>
      </c>
      <c r="D91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1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1" s="126">
        <f>VLOOKUP(woodflow[[#This Row],[From]],woodstock[#All],4,FALSE)</f>
        <v>2021</v>
      </c>
      <c r="G91" s="5" t="str">
        <f>VLOOKUP(woodflow[[#This Row],[From]],woodstock[#All],5,FALSE)</f>
        <v>OAS</v>
      </c>
      <c r="H91" s="135" t="str">
        <f>VLOOKUP(woodflow[[#This Row],[From]],woodstock[#All],7,FALSE)</f>
        <v>12</v>
      </c>
      <c r="I91" s="135" t="str">
        <f>VLOOKUP(woodflow[[#This Row],[to]],woodstock[#All],7,FALSE)</f>
        <v>42</v>
      </c>
      <c r="J91" s="135" t="str">
        <f>VLOOKUP(woodflow[[#This Row],[From]],woodstock[#All],8,FALSE)</f>
        <v>0</v>
      </c>
      <c r="K91" s="135" t="str">
        <f>VLOOKUP(woodflow[[#This Row],[to]],woodstock[#All],8,FALSE)</f>
        <v>0</v>
      </c>
      <c r="L91" s="136" t="str">
        <f>VLOOKUP(woodflow[[#This Row],[From]],woodstock[#All],9,FALSE)</f>
        <v>nan</v>
      </c>
      <c r="M91" s="136" t="str">
        <f>VLOOKUP(woodflow[[#This Row],[to]],woodstock[#All],9,FALSE)</f>
        <v>nan</v>
      </c>
      <c r="N91" s="131">
        <v>0</v>
      </c>
      <c r="O91" s="126" t="s">
        <v>556</v>
      </c>
      <c r="P91" s="126" t="s">
        <v>240</v>
      </c>
      <c r="Q91" s="126"/>
      <c r="R91" s="1"/>
      <c r="S91" s="1"/>
      <c r="T91" s="1"/>
      <c r="U91" s="1"/>
      <c r="V91" s="1"/>
    </row>
    <row r="92" spans="1:22" x14ac:dyDescent="0.3">
      <c r="A92" s="5" t="str">
        <f>CONCATENATE("F",IF(B92&lt;&gt;"",COUNTA($B$2:B92),""))</f>
        <v>F</v>
      </c>
      <c r="B92" s="126"/>
      <c r="C92" s="126"/>
      <c r="D92" s="133"/>
      <c r="E92" s="133"/>
      <c r="F92" s="126"/>
      <c r="G92" s="5"/>
      <c r="H92" s="135"/>
      <c r="I92" s="135"/>
      <c r="J92" s="135"/>
      <c r="K92" s="135"/>
      <c r="L92" s="136"/>
      <c r="M92" s="136"/>
      <c r="N92" s="131"/>
      <c r="O92" s="126"/>
      <c r="P92" s="126"/>
      <c r="Q92" s="126"/>
      <c r="R92" s="1"/>
      <c r="S92" s="1"/>
      <c r="T92" s="1"/>
      <c r="U92" s="1"/>
      <c r="V92" s="1"/>
    </row>
    <row r="93" spans="1:22" x14ac:dyDescent="0.3">
      <c r="A93" s="5" t="str">
        <f>CONCATENATE("F",IF(B93&lt;&gt;"",COUNTA($B$2:B93),""))</f>
        <v>F</v>
      </c>
      <c r="B93" s="126"/>
      <c r="C93" s="126"/>
      <c r="D93" s="133"/>
      <c r="E93" s="133"/>
      <c r="F93" s="126"/>
      <c r="G93" s="5"/>
      <c r="H93" s="135"/>
      <c r="I93" s="135"/>
      <c r="J93" s="135"/>
      <c r="K93" s="135"/>
      <c r="L93" s="136"/>
      <c r="M93" s="136"/>
      <c r="N93" s="131"/>
      <c r="O93" s="126"/>
      <c r="P93" s="126"/>
      <c r="Q93" s="126"/>
      <c r="R93" s="1"/>
      <c r="S93" s="1"/>
      <c r="T93" s="1"/>
      <c r="U93" s="1"/>
      <c r="V93" s="1"/>
    </row>
    <row r="94" spans="1:22" x14ac:dyDescent="0.3">
      <c r="A94" s="5" t="str">
        <f>CONCATENATE("F",IF(B94&lt;&gt;"",COUNTA($B$2:B94),""))</f>
        <v>F51</v>
      </c>
      <c r="B94" s="126" t="s">
        <v>212</v>
      </c>
      <c r="C94" s="5" t="s">
        <v>74</v>
      </c>
      <c r="D94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4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4" s="126">
        <f>VLOOKUP(woodflow[[#This Row],[From]],woodstock[#All],4,FALSE)</f>
        <v>2021</v>
      </c>
      <c r="G94" s="5" t="str">
        <f>VLOOKUP(woodflow[[#This Row],[From]],woodstock[#All],5,FALSE)</f>
        <v>OAS</v>
      </c>
      <c r="H94" s="135" t="str">
        <f>VLOOKUP(woodflow[[#This Row],[From]],woodstock[#All],7,FALSE)</f>
        <v>12</v>
      </c>
      <c r="I94" s="135" t="str">
        <f>VLOOKUP(woodflow[[#This Row],[to]],woodstock[#All],7,FALSE)</f>
        <v>55</v>
      </c>
      <c r="J94" s="135" t="str">
        <f>VLOOKUP(woodflow[[#This Row],[From]],woodstock[#All],8,FALSE)</f>
        <v>0</v>
      </c>
      <c r="K94" s="135" t="str">
        <f>VLOOKUP(woodflow[[#This Row],[to]],woodstock[#All],8,FALSE)</f>
        <v>0</v>
      </c>
      <c r="L94" s="136" t="str">
        <f>VLOOKUP(woodflow[[#This Row],[From]],woodstock[#All],9,FALSE)</f>
        <v>nan</v>
      </c>
      <c r="M94" s="136" t="str">
        <f>VLOOKUP(woodflow[[#This Row],[to]],woodstock[#All],9,FALSE)</f>
        <v>nan</v>
      </c>
      <c r="N94" s="131">
        <v>0</v>
      </c>
      <c r="O94" s="126" t="s">
        <v>556</v>
      </c>
      <c r="P94" s="126" t="s">
        <v>349</v>
      </c>
      <c r="Q94" s="132"/>
      <c r="R94" s="1"/>
      <c r="S94" s="1"/>
      <c r="T94" s="1"/>
      <c r="U94" s="1"/>
      <c r="V94" s="1"/>
    </row>
    <row r="95" spans="1:22" x14ac:dyDescent="0.3">
      <c r="A95" s="5" t="str">
        <f>CONCATENATE("F",IF(B95&lt;&gt;"",COUNTA($B$2:B95),""))</f>
        <v>F</v>
      </c>
      <c r="B95" s="126"/>
      <c r="C95" s="126"/>
      <c r="D95" s="133"/>
      <c r="E95" s="133"/>
      <c r="F95" s="126"/>
      <c r="G95" s="5"/>
      <c r="H95" s="135"/>
      <c r="I95" s="135"/>
      <c r="J95" s="135"/>
      <c r="K95" s="135"/>
      <c r="L95" s="136"/>
      <c r="M95" s="136"/>
      <c r="N95" s="131"/>
      <c r="O95" s="126"/>
      <c r="P95" s="126"/>
      <c r="Q95" s="126"/>
      <c r="R95" s="1"/>
      <c r="S95" s="1"/>
      <c r="T95" s="1"/>
      <c r="U95" s="1"/>
      <c r="V95" s="1"/>
    </row>
    <row r="96" spans="1:22" x14ac:dyDescent="0.3">
      <c r="A96" s="5" t="str">
        <f>CONCATENATE("F",IF(B96&lt;&gt;"",COUNTA($B$2:B96),""))</f>
        <v>F</v>
      </c>
      <c r="B96" s="126"/>
      <c r="C96" s="126"/>
      <c r="D96" s="133"/>
      <c r="E96" s="133"/>
      <c r="F96" s="126"/>
      <c r="G96" s="5"/>
      <c r="H96" s="135"/>
      <c r="I96" s="135"/>
      <c r="J96" s="135"/>
      <c r="K96" s="135"/>
      <c r="L96" s="136"/>
      <c r="M96" s="136"/>
      <c r="N96" s="131"/>
      <c r="O96" s="126"/>
      <c r="P96" s="126"/>
      <c r="Q96" s="126"/>
      <c r="R96" s="1"/>
      <c r="S96" s="1"/>
      <c r="T96" s="1"/>
      <c r="U96" s="1"/>
      <c r="V96" s="1"/>
    </row>
    <row r="97" spans="1:22" x14ac:dyDescent="0.3">
      <c r="A97" s="5" t="str">
        <f>CONCATENATE("F",IF(B97&lt;&gt;"",COUNTA($B$2:B97),""))</f>
        <v>F52</v>
      </c>
      <c r="B97" s="126" t="s">
        <v>55</v>
      </c>
      <c r="C97" s="5" t="s">
        <v>74</v>
      </c>
      <c r="D97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11.653297239778848</v>
      </c>
      <c r="E9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7" s="126">
        <f>VLOOKUP(woodflow[[#This Row],[From]],woodstock[#All],4,FALSE)</f>
        <v>2021</v>
      </c>
      <c r="G97" s="5" t="str">
        <f>VLOOKUP(woodflow[[#This Row],[From]],woodstock[#All],5,FALSE)</f>
        <v>OAS</v>
      </c>
      <c r="H97" s="135" t="str">
        <f>VLOOKUP(woodflow[[#This Row],[From]],woodstock[#All],7,FALSE)</f>
        <v>13</v>
      </c>
      <c r="I97" s="135" t="str">
        <f>VLOOKUP(woodflow[[#This Row],[to]],woodstock[#All],7,FALSE)</f>
        <v>55</v>
      </c>
      <c r="J97" s="135" t="str">
        <f>VLOOKUP(woodflow[[#This Row],[From]],woodstock[#All],8,FALSE)</f>
        <v>0</v>
      </c>
      <c r="K97" s="135" t="str">
        <f>VLOOKUP(woodflow[[#This Row],[to]],woodstock[#All],8,FALSE)</f>
        <v>0</v>
      </c>
      <c r="L97" s="136" t="str">
        <f>VLOOKUP(woodflow[[#This Row],[From]],woodstock[#All],9,FALSE)</f>
        <v>nan</v>
      </c>
      <c r="M97" s="136" t="str">
        <f>VLOOKUP(woodflow[[#This Row],[to]],woodstock[#All],9,FALSE)</f>
        <v>nan</v>
      </c>
      <c r="N97" s="131">
        <f>(('faostat-data'!Q33)/'production-mass-balance'!B6)*'production-mass-balance'!B5</f>
        <v>11.653297239778848</v>
      </c>
      <c r="O97" s="126" t="s">
        <v>556</v>
      </c>
      <c r="P97" s="126" t="s">
        <v>456</v>
      </c>
      <c r="Q97" s="126"/>
      <c r="R97" s="1"/>
      <c r="S97" s="1"/>
      <c r="T97" s="1"/>
      <c r="U97" s="1"/>
      <c r="V97" s="1"/>
    </row>
    <row r="98" spans="1:22" x14ac:dyDescent="0.3">
      <c r="A98" s="5" t="str">
        <f>CONCATENATE("F",IF(B98&lt;&gt;"",COUNTA($B$2:B98),""))</f>
        <v>F</v>
      </c>
      <c r="B98" s="126"/>
      <c r="C98" s="126"/>
      <c r="D98" s="133"/>
      <c r="E98" s="133"/>
      <c r="F98" s="126"/>
      <c r="G98" s="5"/>
      <c r="H98" s="135"/>
      <c r="I98" s="135"/>
      <c r="J98" s="135"/>
      <c r="K98" s="135"/>
      <c r="L98" s="136"/>
      <c r="M98" s="136"/>
      <c r="N98" s="131"/>
      <c r="O98" s="126"/>
      <c r="P98" s="126"/>
      <c r="Q98" s="126"/>
      <c r="R98" s="1"/>
      <c r="S98" s="1"/>
      <c r="T98" s="1"/>
      <c r="U98" s="1"/>
      <c r="V98" s="1"/>
    </row>
    <row r="99" spans="1:22" x14ac:dyDescent="0.3">
      <c r="A99" s="5" t="str">
        <f>CONCATENATE("F",IF(B99&lt;&gt;"",COUNTA($B$2:B99),""))</f>
        <v>F</v>
      </c>
      <c r="B99" s="126"/>
      <c r="C99" s="126"/>
      <c r="D99" s="133"/>
      <c r="E99" s="133"/>
      <c r="F99" s="126"/>
      <c r="G99" s="5"/>
      <c r="H99" s="135"/>
      <c r="I99" s="135"/>
      <c r="J99" s="135"/>
      <c r="K99" s="135"/>
      <c r="L99" s="136"/>
      <c r="M99" s="136"/>
      <c r="N99" s="131"/>
      <c r="O99" s="126"/>
      <c r="P99" s="126"/>
      <c r="Q99" s="126"/>
      <c r="R99" s="1"/>
      <c r="S99" s="1"/>
      <c r="T99" s="1"/>
      <c r="U99" s="1"/>
      <c r="V99" s="1"/>
    </row>
    <row r="100" spans="1:22" x14ac:dyDescent="0.3">
      <c r="A100" s="5" t="str">
        <f>CONCATENATE("F",IF(B100&lt;&gt;"",COUNTA($B$2:B100),""))</f>
        <v>F53</v>
      </c>
      <c r="B100" s="126" t="s">
        <v>55</v>
      </c>
      <c r="C100" s="126" t="s">
        <v>409</v>
      </c>
      <c r="D100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3.9243679945249998</v>
      </c>
      <c r="E100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0" s="126">
        <f>VLOOKUP(woodflow[[#This Row],[From]],woodstock[#All],4,FALSE)</f>
        <v>2021</v>
      </c>
      <c r="G100" s="5" t="str">
        <f>VLOOKUP(woodflow[[#This Row],[From]],woodstock[#All],5,FALSE)</f>
        <v>OAS</v>
      </c>
      <c r="H100" s="135" t="str">
        <f>VLOOKUP(woodflow[[#This Row],[From]],woodstock[#All],7,FALSE)</f>
        <v>13</v>
      </c>
      <c r="I100" s="135" t="str">
        <f>VLOOKUP(woodflow[[#This Row],[to]],woodstock[#All],7,FALSE)</f>
        <v>43</v>
      </c>
      <c r="J100" s="135" t="str">
        <f>VLOOKUP(woodflow[[#This Row],[From]],woodstock[#All],8,FALSE)</f>
        <v>0</v>
      </c>
      <c r="K100" s="135" t="str">
        <f>VLOOKUP(woodflow[[#This Row],[to]],woodstock[#All],8,FALSE)</f>
        <v>0</v>
      </c>
      <c r="L100" s="136" t="str">
        <f>VLOOKUP(woodflow[[#This Row],[From]],woodstock[#All],9,FALSE)</f>
        <v>nan</v>
      </c>
      <c r="M100" s="136" t="str">
        <f>VLOOKUP(woodflow[[#This Row],[to]],woodstock[#All],9,FALSE)</f>
        <v>nan</v>
      </c>
      <c r="N100" s="131">
        <f>'faostat-data'!Q33+'faostat-data'!Q35-'faostat-data'!Q37</f>
        <v>3.9243679945249998</v>
      </c>
      <c r="O100" s="126" t="s">
        <v>556</v>
      </c>
      <c r="P100" s="126"/>
      <c r="Q100" s="126" t="s">
        <v>234</v>
      </c>
      <c r="R100" s="1"/>
      <c r="S100" s="1"/>
      <c r="T100" s="1"/>
      <c r="U100" s="1"/>
      <c r="V100" s="1"/>
    </row>
    <row r="101" spans="1:22" x14ac:dyDescent="0.3">
      <c r="A101" s="5" t="str">
        <f>CONCATENATE("F",IF(B101&lt;&gt;"",COUNTA($B$2:B101),""))</f>
        <v>F</v>
      </c>
      <c r="B101" s="126"/>
      <c r="C101" s="126"/>
      <c r="D101" s="133"/>
      <c r="E101" s="133"/>
      <c r="F101" s="126"/>
      <c r="G101" s="5"/>
      <c r="H101" s="135"/>
      <c r="I101" s="135"/>
      <c r="J101" s="135"/>
      <c r="K101" s="135"/>
      <c r="L101" s="136"/>
      <c r="M101" s="136"/>
      <c r="N101" s="131"/>
      <c r="O101" s="126"/>
      <c r="P101" s="126"/>
      <c r="Q101" s="126"/>
      <c r="R101" s="1"/>
      <c r="S101" s="1"/>
      <c r="T101" s="1"/>
      <c r="U101" s="1"/>
      <c r="V101" s="1"/>
    </row>
    <row r="102" spans="1:22" x14ac:dyDescent="0.3">
      <c r="A102" s="5" t="str">
        <f>CONCATENATE("F",IF(B102&lt;&gt;"",COUNTA($B$2:B102),""))</f>
        <v>F</v>
      </c>
      <c r="B102" s="126"/>
      <c r="C102" s="126"/>
      <c r="D102" s="133"/>
      <c r="E102" s="133"/>
      <c r="F102" s="126"/>
      <c r="G102" s="5"/>
      <c r="H102" s="135"/>
      <c r="I102" s="135"/>
      <c r="J102" s="135"/>
      <c r="K102" s="135"/>
      <c r="L102" s="136"/>
      <c r="M102" s="136"/>
      <c r="N102" s="131"/>
      <c r="O102" s="126"/>
      <c r="P102" s="126"/>
      <c r="Q102" s="126"/>
      <c r="R102" s="1"/>
      <c r="S102" s="1"/>
      <c r="T102" s="1"/>
      <c r="U102" s="1"/>
      <c r="V102" s="1"/>
    </row>
    <row r="103" spans="1:22" x14ac:dyDescent="0.3">
      <c r="A103" s="5" t="str">
        <f>CONCATENATE("F",IF(B103&lt;&gt;"",COUNTA($B$2:B103),""))</f>
        <v>F54</v>
      </c>
      <c r="B103" s="126" t="s">
        <v>179</v>
      </c>
      <c r="C103" s="126" t="s">
        <v>59</v>
      </c>
      <c r="D103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9.8796467472750038</v>
      </c>
      <c r="E10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3" s="126">
        <f>VLOOKUP(woodflow[[#This Row],[From]],woodstock[#All],4,FALSE)</f>
        <v>2021</v>
      </c>
      <c r="G103" s="5" t="str">
        <f>VLOOKUP(woodflow[[#This Row],[From]],woodstock[#All],5,FALSE)</f>
        <v>OAS</v>
      </c>
      <c r="H103" s="135" t="str">
        <f>VLOOKUP(woodflow[[#This Row],[From]],woodstock[#All],7,FALSE)</f>
        <v>14</v>
      </c>
      <c r="I103" s="135" t="str">
        <f>VLOOKUP(woodflow[[#This Row],[to]],woodstock[#All],7,FALSE)</f>
        <v>17</v>
      </c>
      <c r="J103" s="135" t="str">
        <f>VLOOKUP(woodflow[[#This Row],[From]],woodstock[#All],8,FALSE)</f>
        <v>0</v>
      </c>
      <c r="K103" s="135" t="str">
        <f>VLOOKUP(woodflow[[#This Row],[to]],woodstock[#All],8,FALSE)</f>
        <v>1</v>
      </c>
      <c r="L103" s="136" t="str">
        <f>VLOOKUP(woodflow[[#This Row],[From]],woodstock[#All],9,FALSE)</f>
        <v>nan</v>
      </c>
      <c r="M103" s="136" t="str">
        <f>VLOOKUP(woodflow[[#This Row],[to]],woodstock[#All],9,FALSE)</f>
        <v>43-44-45-46-47-48-49</v>
      </c>
      <c r="N103" s="131">
        <f>(N80*'production-mass-balance'!B18-N80*'production-mass-balance'!B17)+N507-N588</f>
        <v>9.8796467472750038</v>
      </c>
      <c r="O103" s="126" t="s">
        <v>556</v>
      </c>
      <c r="P103" s="126" t="s">
        <v>456</v>
      </c>
      <c r="Q103" s="126"/>
      <c r="R103" s="1"/>
      <c r="S103" s="1"/>
      <c r="T103" s="1"/>
      <c r="U103" s="1"/>
      <c r="V103" s="1"/>
    </row>
    <row r="104" spans="1:22" x14ac:dyDescent="0.3">
      <c r="A104" s="5" t="str">
        <f>CONCATENATE("F",IF(B104&lt;&gt;"",COUNTA($B$2:B104),""))</f>
        <v>F55</v>
      </c>
      <c r="B104" s="126" t="s">
        <v>179</v>
      </c>
      <c r="C104" s="126" t="s">
        <v>409</v>
      </c>
      <c r="D104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04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0.98796467472750038</v>
      </c>
      <c r="F104" s="126">
        <f>VLOOKUP(woodflow[[#This Row],[From]],woodstock[#All],4,FALSE)</f>
        <v>2021</v>
      </c>
      <c r="G104" s="5" t="str">
        <f>VLOOKUP(woodflow[[#This Row],[From]],woodstock[#All],5,FALSE)</f>
        <v>OAS</v>
      </c>
      <c r="H104" s="135" t="str">
        <f>VLOOKUP(woodflow[[#This Row],[From]],woodstock[#All],7,FALSE)</f>
        <v>14</v>
      </c>
      <c r="I104" s="135" t="str">
        <f>VLOOKUP(woodflow[[#This Row],[to]],woodstock[#All],7,FALSE)</f>
        <v>43</v>
      </c>
      <c r="J104" s="135" t="str">
        <f>VLOOKUP(woodflow[[#This Row],[From]],woodstock[#All],8,FALSE)</f>
        <v>0</v>
      </c>
      <c r="K104" s="135" t="str">
        <f>VLOOKUP(woodflow[[#This Row],[to]],woodstock[#All],8,FALSE)</f>
        <v>0</v>
      </c>
      <c r="L104" s="136" t="str">
        <f>VLOOKUP(woodflow[[#This Row],[From]],woodstock[#All],9,FALSE)</f>
        <v>nan</v>
      </c>
      <c r="M104" s="136" t="str">
        <f>VLOOKUP(woodflow[[#This Row],[to]],woodstock[#All],9,FALSE)</f>
        <v>nan</v>
      </c>
      <c r="N104" s="131">
        <f>$N$103*woodratio!I18</f>
        <v>0.98796467472750038</v>
      </c>
      <c r="O104" s="126" t="s">
        <v>549</v>
      </c>
      <c r="P104" s="126" t="s">
        <v>240</v>
      </c>
      <c r="Q104" s="126"/>
      <c r="R104" s="1"/>
      <c r="S104" s="1"/>
      <c r="T104" s="1"/>
      <c r="U104" s="1"/>
      <c r="V104" s="1"/>
    </row>
    <row r="105" spans="1:22" x14ac:dyDescent="0.3">
      <c r="A105" s="5" t="str">
        <f>CONCATENATE("F",IF(B105&lt;&gt;"",COUNTA($B$2:B105),""))</f>
        <v>F56</v>
      </c>
      <c r="B105" s="126" t="s">
        <v>179</v>
      </c>
      <c r="C105" s="126" t="s">
        <v>31</v>
      </c>
      <c r="D105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5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5" s="126">
        <f>VLOOKUP(woodflow[[#This Row],[From]],woodstock[#All],4,FALSE)</f>
        <v>2021</v>
      </c>
      <c r="G105" s="5" t="str">
        <f>VLOOKUP(woodflow[[#This Row],[From]],woodstock[#All],5,FALSE)</f>
        <v>OAS</v>
      </c>
      <c r="H105" s="135" t="str">
        <f>VLOOKUP(woodflow[[#This Row],[From]],woodstock[#All],7,FALSE)</f>
        <v>14</v>
      </c>
      <c r="I105" s="135" t="str">
        <f>VLOOKUP(woodflow[[#This Row],[to]],woodstock[#All],7,FALSE)</f>
        <v>44</v>
      </c>
      <c r="J105" s="135" t="str">
        <f>VLOOKUP(woodflow[[#This Row],[From]],woodstock[#All],8,FALSE)</f>
        <v>0</v>
      </c>
      <c r="K105" s="135" t="str">
        <f>VLOOKUP(woodflow[[#This Row],[to]],woodstock[#All],8,FALSE)</f>
        <v>0</v>
      </c>
      <c r="L105" s="136" t="str">
        <f>VLOOKUP(woodflow[[#This Row],[From]],woodstock[#All],9,FALSE)</f>
        <v>nan</v>
      </c>
      <c r="M105" s="136" t="str">
        <f>VLOOKUP(woodflow[[#This Row],[to]],woodstock[#All],9,FALSE)</f>
        <v>nan</v>
      </c>
      <c r="N105" s="131">
        <v>0</v>
      </c>
      <c r="O105" s="126" t="s">
        <v>213</v>
      </c>
      <c r="P105" s="126"/>
      <c r="Q105" s="126"/>
      <c r="R105" s="1"/>
      <c r="S105" s="1"/>
      <c r="T105" s="1"/>
      <c r="U105" s="1"/>
      <c r="V105" s="1"/>
    </row>
    <row r="106" spans="1:22" x14ac:dyDescent="0.3">
      <c r="A106" s="5" t="str">
        <f>CONCATENATE("F",IF(B106&lt;&gt;"",COUNTA($B$2:B106),""))</f>
        <v>F57</v>
      </c>
      <c r="B106" s="126" t="s">
        <v>179</v>
      </c>
      <c r="C106" s="126" t="s">
        <v>32</v>
      </c>
      <c r="D106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6" s="126">
        <f>VLOOKUP(woodflow[[#This Row],[From]],woodstock[#All],4,FALSE)</f>
        <v>2021</v>
      </c>
      <c r="G106" s="5" t="str">
        <f>VLOOKUP(woodflow[[#This Row],[From]],woodstock[#All],5,FALSE)</f>
        <v>OAS</v>
      </c>
      <c r="H106" s="135" t="str">
        <f>VLOOKUP(woodflow[[#This Row],[From]],woodstock[#All],7,FALSE)</f>
        <v>14</v>
      </c>
      <c r="I106" s="135" t="str">
        <f>VLOOKUP(woodflow[[#This Row],[to]],woodstock[#All],7,FALSE)</f>
        <v>45</v>
      </c>
      <c r="J106" s="135" t="str">
        <f>VLOOKUP(woodflow[[#This Row],[From]],woodstock[#All],8,FALSE)</f>
        <v>0</v>
      </c>
      <c r="K106" s="135" t="str">
        <f>VLOOKUP(woodflow[[#This Row],[to]],woodstock[#All],8,FALSE)</f>
        <v>0</v>
      </c>
      <c r="L106" s="136" t="str">
        <f>VLOOKUP(woodflow[[#This Row],[From]],woodstock[#All],9,FALSE)</f>
        <v>nan</v>
      </c>
      <c r="M106" s="136" t="str">
        <f>VLOOKUP(woodflow[[#This Row],[to]],woodstock[#All],9,FALSE)</f>
        <v>nan</v>
      </c>
      <c r="N106" s="131">
        <v>0</v>
      </c>
      <c r="O106" s="126" t="s">
        <v>213</v>
      </c>
      <c r="P106" s="126"/>
      <c r="Q106" s="126"/>
      <c r="R106" s="1"/>
      <c r="S106" s="1"/>
      <c r="T106" s="1"/>
      <c r="U106" s="1"/>
      <c r="V106" s="1"/>
    </row>
    <row r="107" spans="1:22" x14ac:dyDescent="0.3">
      <c r="A107" s="5" t="str">
        <f>CONCATENATE("F",IF(B107&lt;&gt;"",COUNTA($B$2:B107),""))</f>
        <v>F58</v>
      </c>
      <c r="B107" s="126" t="s">
        <v>179</v>
      </c>
      <c r="C107" s="126" t="s">
        <v>33</v>
      </c>
      <c r="D107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07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7.903717397820003</v>
      </c>
      <c r="F107" s="126">
        <f>VLOOKUP(woodflow[[#This Row],[From]],woodstock[#All],4,FALSE)</f>
        <v>2021</v>
      </c>
      <c r="G107" s="5" t="str">
        <f>VLOOKUP(woodflow[[#This Row],[From]],woodstock[#All],5,FALSE)</f>
        <v>OAS</v>
      </c>
      <c r="H107" s="135" t="str">
        <f>VLOOKUP(woodflow[[#This Row],[From]],woodstock[#All],7,FALSE)</f>
        <v>14</v>
      </c>
      <c r="I107" s="135" t="str">
        <f>VLOOKUP(woodflow[[#This Row],[to]],woodstock[#All],7,FALSE)</f>
        <v>46</v>
      </c>
      <c r="J107" s="135" t="str">
        <f>VLOOKUP(woodflow[[#This Row],[From]],woodstock[#All],8,FALSE)</f>
        <v>0</v>
      </c>
      <c r="K107" s="135" t="str">
        <f>VLOOKUP(woodflow[[#This Row],[to]],woodstock[#All],8,FALSE)</f>
        <v>0</v>
      </c>
      <c r="L107" s="136" t="str">
        <f>VLOOKUP(woodflow[[#This Row],[From]],woodstock[#All],9,FALSE)</f>
        <v>nan</v>
      </c>
      <c r="M107" s="136" t="str">
        <f>VLOOKUP(woodflow[[#This Row],[to]],woodstock[#All],9,FALSE)</f>
        <v>nan</v>
      </c>
      <c r="N107" s="131">
        <f>$N$103*woodratio!I19</f>
        <v>7.903717397820003</v>
      </c>
      <c r="O107" s="126" t="s">
        <v>549</v>
      </c>
      <c r="P107" s="126" t="s">
        <v>240</v>
      </c>
      <c r="Q107" s="126"/>
      <c r="R107" s="1"/>
      <c r="S107" s="1"/>
      <c r="T107" s="1"/>
      <c r="U107" s="1"/>
      <c r="V107" s="1"/>
    </row>
    <row r="108" spans="1:22" x14ac:dyDescent="0.3">
      <c r="A108" s="5" t="str">
        <f>CONCATENATE("F",IF(B108&lt;&gt;"",COUNTA($B$2:B108),""))</f>
        <v>F59</v>
      </c>
      <c r="B108" s="126" t="s">
        <v>179</v>
      </c>
      <c r="C108" s="126" t="s">
        <v>34</v>
      </c>
      <c r="D10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8" s="126">
        <f>VLOOKUP(woodflow[[#This Row],[From]],woodstock[#All],4,FALSE)</f>
        <v>2021</v>
      </c>
      <c r="G108" s="5" t="str">
        <f>VLOOKUP(woodflow[[#This Row],[From]],woodstock[#All],5,FALSE)</f>
        <v>OAS</v>
      </c>
      <c r="H108" s="135" t="str">
        <f>VLOOKUP(woodflow[[#This Row],[From]],woodstock[#All],7,FALSE)</f>
        <v>14</v>
      </c>
      <c r="I108" s="135" t="str">
        <f>VLOOKUP(woodflow[[#This Row],[to]],woodstock[#All],7,FALSE)</f>
        <v>47</v>
      </c>
      <c r="J108" s="135" t="str">
        <f>VLOOKUP(woodflow[[#This Row],[From]],woodstock[#All],8,FALSE)</f>
        <v>0</v>
      </c>
      <c r="K108" s="135" t="str">
        <f>VLOOKUP(woodflow[[#This Row],[to]],woodstock[#All],8,FALSE)</f>
        <v>0</v>
      </c>
      <c r="L108" s="136" t="str">
        <f>VLOOKUP(woodflow[[#This Row],[From]],woodstock[#All],9,FALSE)</f>
        <v>nan</v>
      </c>
      <c r="M108" s="136" t="str">
        <f>VLOOKUP(woodflow[[#This Row],[to]],woodstock[#All],9,FALSE)</f>
        <v>nan</v>
      </c>
      <c r="N108" s="131">
        <v>0</v>
      </c>
      <c r="O108" s="126" t="s">
        <v>213</v>
      </c>
      <c r="P108" s="126"/>
      <c r="Q108" s="126"/>
      <c r="R108" s="1"/>
      <c r="S108" s="1"/>
      <c r="T108" s="1"/>
      <c r="U108" s="1"/>
      <c r="V108" s="1"/>
    </row>
    <row r="109" spans="1:22" x14ac:dyDescent="0.3">
      <c r="A109" s="5" t="str">
        <f>CONCATENATE("F",IF(B109&lt;&gt;"",COUNTA($B$2:B109),""))</f>
        <v>F60</v>
      </c>
      <c r="B109" s="126" t="s">
        <v>179</v>
      </c>
      <c r="C109" s="126" t="s">
        <v>35</v>
      </c>
      <c r="D109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9" s="126">
        <f>VLOOKUP(woodflow[[#This Row],[From]],woodstock[#All],4,FALSE)</f>
        <v>2021</v>
      </c>
      <c r="G109" s="5" t="str">
        <f>VLOOKUP(woodflow[[#This Row],[From]],woodstock[#All],5,FALSE)</f>
        <v>OAS</v>
      </c>
      <c r="H109" s="135" t="str">
        <f>VLOOKUP(woodflow[[#This Row],[From]],woodstock[#All],7,FALSE)</f>
        <v>14</v>
      </c>
      <c r="I109" s="135" t="str">
        <f>VLOOKUP(woodflow[[#This Row],[to]],woodstock[#All],7,FALSE)</f>
        <v>48</v>
      </c>
      <c r="J109" s="135" t="str">
        <f>VLOOKUP(woodflow[[#This Row],[From]],woodstock[#All],8,FALSE)</f>
        <v>0</v>
      </c>
      <c r="K109" s="135" t="str">
        <f>VLOOKUP(woodflow[[#This Row],[to]],woodstock[#All],8,FALSE)</f>
        <v>0</v>
      </c>
      <c r="L109" s="136" t="str">
        <f>VLOOKUP(woodflow[[#This Row],[From]],woodstock[#All],9,FALSE)</f>
        <v>nan</v>
      </c>
      <c r="M109" s="136" t="str">
        <f>VLOOKUP(woodflow[[#This Row],[to]],woodstock[#All],9,FALSE)</f>
        <v>nan</v>
      </c>
      <c r="N109" s="131">
        <v>0</v>
      </c>
      <c r="O109" s="126" t="s">
        <v>213</v>
      </c>
      <c r="P109" s="126"/>
      <c r="Q109" s="126"/>
      <c r="R109" s="1"/>
      <c r="S109" s="1"/>
      <c r="T109" s="1"/>
      <c r="U109" s="1"/>
      <c r="V109" s="1"/>
    </row>
    <row r="110" spans="1:22" x14ac:dyDescent="0.3">
      <c r="A110" s="5" t="str">
        <f>CONCATENATE("F",IF(B110&lt;&gt;"",COUNTA($B$2:B110),""))</f>
        <v>F61</v>
      </c>
      <c r="B110" s="126" t="s">
        <v>179</v>
      </c>
      <c r="C110" s="126" t="s">
        <v>57</v>
      </c>
      <c r="D110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0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0.98796467472750038</v>
      </c>
      <c r="F110" s="126">
        <f>VLOOKUP(woodflow[[#This Row],[From]],woodstock[#All],4,FALSE)</f>
        <v>2021</v>
      </c>
      <c r="G110" s="5" t="str">
        <f>VLOOKUP(woodflow[[#This Row],[From]],woodstock[#All],5,FALSE)</f>
        <v>OAS</v>
      </c>
      <c r="H110" s="135" t="str">
        <f>VLOOKUP(woodflow[[#This Row],[From]],woodstock[#All],7,FALSE)</f>
        <v>14</v>
      </c>
      <c r="I110" s="135" t="str">
        <f>VLOOKUP(woodflow[[#This Row],[to]],woodstock[#All],7,FALSE)</f>
        <v>49</v>
      </c>
      <c r="J110" s="135" t="str">
        <f>VLOOKUP(woodflow[[#This Row],[From]],woodstock[#All],8,FALSE)</f>
        <v>0</v>
      </c>
      <c r="K110" s="135" t="str">
        <f>VLOOKUP(woodflow[[#This Row],[to]],woodstock[#All],8,FALSE)</f>
        <v>0</v>
      </c>
      <c r="L110" s="136" t="str">
        <f>VLOOKUP(woodflow[[#This Row],[From]],woodstock[#All],9,FALSE)</f>
        <v>nan</v>
      </c>
      <c r="M110" s="136" t="str">
        <f>VLOOKUP(woodflow[[#This Row],[to]],woodstock[#All],9,FALSE)</f>
        <v>nan</v>
      </c>
      <c r="N110" s="131">
        <f>$N$103*woodratio!I20</f>
        <v>0.98796467472750038</v>
      </c>
      <c r="O110" s="126" t="s">
        <v>549</v>
      </c>
      <c r="P110" s="126" t="s">
        <v>240</v>
      </c>
      <c r="Q110" s="126"/>
      <c r="R110" s="1"/>
      <c r="S110" s="1"/>
      <c r="T110" s="1"/>
      <c r="U110" s="1"/>
      <c r="V110" s="1"/>
    </row>
    <row r="111" spans="1:22" x14ac:dyDescent="0.3">
      <c r="A111" s="5" t="str">
        <f>CONCATENATE("F",IF(B111&lt;&gt;"",COUNTA($B$2:B111),""))</f>
        <v>F</v>
      </c>
      <c r="B111" s="126"/>
      <c r="C111" s="126"/>
      <c r="D111" s="133"/>
      <c r="E111" s="133"/>
      <c r="F111" s="126"/>
      <c r="G111" s="5"/>
      <c r="H111" s="135"/>
      <c r="I111" s="135"/>
      <c r="J111" s="135"/>
      <c r="K111" s="135"/>
      <c r="L111" s="136"/>
      <c r="M111" s="136"/>
      <c r="N111" s="131"/>
      <c r="O111" s="126"/>
      <c r="P111" s="126"/>
      <c r="Q111" s="126"/>
      <c r="R111" s="1"/>
      <c r="S111" s="1"/>
      <c r="T111" s="1"/>
      <c r="U111" s="1"/>
      <c r="V111" s="1"/>
    </row>
    <row r="112" spans="1:22" x14ac:dyDescent="0.3">
      <c r="A112" s="5" t="str">
        <f>CONCATENATE("F",IF(B112&lt;&gt;"",COUNTA($B$2:B112),""))</f>
        <v>F</v>
      </c>
      <c r="B112" s="126"/>
      <c r="C112" s="126"/>
      <c r="D112" s="133"/>
      <c r="E112" s="133"/>
      <c r="F112" s="126"/>
      <c r="G112" s="5"/>
      <c r="H112" s="135"/>
      <c r="I112" s="135"/>
      <c r="J112" s="135"/>
      <c r="K112" s="135"/>
      <c r="L112" s="136"/>
      <c r="M112" s="136"/>
      <c r="N112" s="131"/>
      <c r="O112" s="126"/>
      <c r="P112" s="126"/>
      <c r="Q112" s="126"/>
      <c r="R112" s="1"/>
      <c r="S112" s="1"/>
      <c r="T112" s="1"/>
      <c r="U112" s="1"/>
      <c r="V112" s="1"/>
    </row>
    <row r="113" spans="1:22" x14ac:dyDescent="0.3">
      <c r="A113" s="5" t="str">
        <f>CONCATENATE("F",IF(B113&lt;&gt;"",COUNTA($B$2:B113),""))</f>
        <v>F62</v>
      </c>
      <c r="B113" s="126" t="s">
        <v>179</v>
      </c>
      <c r="C113" s="126" t="s">
        <v>58</v>
      </c>
      <c r="D113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3.6541159202249998</v>
      </c>
      <c r="E11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3" s="126">
        <f>VLOOKUP(woodflow[[#This Row],[From]],woodstock[#All],4,FALSE)</f>
        <v>2021</v>
      </c>
      <c r="G113" s="5" t="str">
        <f>VLOOKUP(woodflow[[#This Row],[From]],woodstock[#All],5,FALSE)</f>
        <v>OAS</v>
      </c>
      <c r="H113" s="135" t="str">
        <f>VLOOKUP(woodflow[[#This Row],[From]],woodstock[#All],7,FALSE)</f>
        <v>14</v>
      </c>
      <c r="I113" s="135" t="str">
        <f>VLOOKUP(woodflow[[#This Row],[to]],woodstock[#All],7,FALSE)</f>
        <v>18</v>
      </c>
      <c r="J113" s="135" t="str">
        <f>VLOOKUP(woodflow[[#This Row],[From]],woodstock[#All],8,FALSE)</f>
        <v>0</v>
      </c>
      <c r="K113" s="135" t="str">
        <f>VLOOKUP(woodflow[[#This Row],[to]],woodstock[#All],8,FALSE)</f>
        <v>1</v>
      </c>
      <c r="L113" s="136" t="str">
        <f>VLOOKUP(woodflow[[#This Row],[From]],woodstock[#All],9,FALSE)</f>
        <v>nan</v>
      </c>
      <c r="M113" s="136" t="str">
        <f>VLOOKUP(woodflow[[#This Row],[to]],woodstock[#All],9,FALSE)</f>
        <v>50-51-52-53-54-55</v>
      </c>
      <c r="N113" s="131">
        <f>(N80)*SUM('production-mass-balance'!B13:B17)</f>
        <v>3.6541159202249998</v>
      </c>
      <c r="O113" s="126" t="s">
        <v>556</v>
      </c>
      <c r="P113" s="126" t="s">
        <v>456</v>
      </c>
      <c r="Q113" s="126"/>
      <c r="R113" s="1"/>
      <c r="S113" s="1"/>
      <c r="T113" s="1"/>
      <c r="U113" s="1"/>
      <c r="V113" s="1"/>
    </row>
    <row r="114" spans="1:22" x14ac:dyDescent="0.3">
      <c r="A114" s="5" t="str">
        <f>CONCATENATE("F",IF(B114&lt;&gt;"",COUNTA($B$2:B114),""))</f>
        <v>F63</v>
      </c>
      <c r="B114" s="126" t="s">
        <v>179</v>
      </c>
      <c r="C114" s="126" t="s">
        <v>29</v>
      </c>
      <c r="D114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4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1.4054292000865387</v>
      </c>
      <c r="F114" s="126">
        <f>VLOOKUP(woodflow[[#This Row],[From]],woodstock[#All],4,FALSE)</f>
        <v>2021</v>
      </c>
      <c r="G114" s="5" t="str">
        <f>VLOOKUP(woodflow[[#This Row],[From]],woodstock[#All],5,FALSE)</f>
        <v>OAS</v>
      </c>
      <c r="H114" s="135" t="str">
        <f>VLOOKUP(woodflow[[#This Row],[From]],woodstock[#All],7,FALSE)</f>
        <v>14</v>
      </c>
      <c r="I114" s="135" t="str">
        <f>VLOOKUP(woodflow[[#This Row],[to]],woodstock[#All],7,FALSE)</f>
        <v>50</v>
      </c>
      <c r="J114" s="135" t="str">
        <f>VLOOKUP(woodflow[[#This Row],[From]],woodstock[#All],8,FALSE)</f>
        <v>0</v>
      </c>
      <c r="K114" s="135" t="str">
        <f>VLOOKUP(woodflow[[#This Row],[to]],woodstock[#All],8,FALSE)</f>
        <v>0</v>
      </c>
      <c r="L114" s="136" t="str">
        <f>VLOOKUP(woodflow[[#This Row],[From]],woodstock[#All],9,FALSE)</f>
        <v>nan</v>
      </c>
      <c r="M114" s="136" t="str">
        <f>VLOOKUP(woodflow[[#This Row],[to]],woodstock[#All],9,FALSE)</f>
        <v>nan</v>
      </c>
      <c r="N114" s="131">
        <f>$N$113*woodratio!I23</f>
        <v>1.4054292000865387</v>
      </c>
      <c r="O114" s="126" t="s">
        <v>549</v>
      </c>
      <c r="P114" s="126" t="s">
        <v>240</v>
      </c>
      <c r="Q114" s="126"/>
      <c r="R114" s="1"/>
      <c r="S114" s="1"/>
      <c r="T114" s="1"/>
      <c r="U114" s="1"/>
      <c r="V114" s="1"/>
    </row>
    <row r="115" spans="1:22" x14ac:dyDescent="0.3">
      <c r="A115" s="5" t="str">
        <f>CONCATENATE("F",IF(B115&lt;&gt;"",COUNTA($B$2:B115),""))</f>
        <v>F64</v>
      </c>
      <c r="B115" s="126" t="s">
        <v>179</v>
      </c>
      <c r="C115" s="126" t="s">
        <v>73</v>
      </c>
      <c r="D115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5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0.70271460004326936</v>
      </c>
      <c r="F115" s="126">
        <f>VLOOKUP(woodflow[[#This Row],[From]],woodstock[#All],4,FALSE)</f>
        <v>2021</v>
      </c>
      <c r="G115" s="5" t="str">
        <f>VLOOKUP(woodflow[[#This Row],[From]],woodstock[#All],5,FALSE)</f>
        <v>OAS</v>
      </c>
      <c r="H115" s="135" t="str">
        <f>VLOOKUP(woodflow[[#This Row],[From]],woodstock[#All],7,FALSE)</f>
        <v>14</v>
      </c>
      <c r="I115" s="135" t="str">
        <f>VLOOKUP(woodflow[[#This Row],[to]],woodstock[#All],7,FALSE)</f>
        <v>51</v>
      </c>
      <c r="J115" s="135" t="str">
        <f>VLOOKUP(woodflow[[#This Row],[From]],woodstock[#All],8,FALSE)</f>
        <v>0</v>
      </c>
      <c r="K115" s="135" t="str">
        <f>VLOOKUP(woodflow[[#This Row],[to]],woodstock[#All],8,FALSE)</f>
        <v>0</v>
      </c>
      <c r="L115" s="136" t="str">
        <f>VLOOKUP(woodflow[[#This Row],[From]],woodstock[#All],9,FALSE)</f>
        <v>nan</v>
      </c>
      <c r="M115" s="136" t="str">
        <f>VLOOKUP(woodflow[[#This Row],[to]],woodstock[#All],9,FALSE)</f>
        <v>nan</v>
      </c>
      <c r="N115" s="131">
        <f>$N$113*woodratio!I24</f>
        <v>0.70271460004326936</v>
      </c>
      <c r="O115" s="126" t="s">
        <v>549</v>
      </c>
      <c r="P115" s="126" t="s">
        <v>240</v>
      </c>
      <c r="Q115" s="126"/>
      <c r="R115" s="1"/>
      <c r="S115" s="1"/>
      <c r="T115" s="1"/>
      <c r="U115" s="1"/>
      <c r="V115" s="1"/>
    </row>
    <row r="116" spans="1:22" x14ac:dyDescent="0.3">
      <c r="A116" s="5" t="str">
        <f>CONCATENATE("F",IF(B116&lt;&gt;"",COUNTA($B$2:B116),""))</f>
        <v>F65</v>
      </c>
      <c r="B116" s="126" t="s">
        <v>179</v>
      </c>
      <c r="C116" s="126" t="s">
        <v>30</v>
      </c>
      <c r="D116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6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0.98380044006057721</v>
      </c>
      <c r="F116" s="126">
        <f>VLOOKUP(woodflow[[#This Row],[From]],woodstock[#All],4,FALSE)</f>
        <v>2021</v>
      </c>
      <c r="G116" s="5" t="str">
        <f>VLOOKUP(woodflow[[#This Row],[From]],woodstock[#All],5,FALSE)</f>
        <v>OAS</v>
      </c>
      <c r="H116" s="135" t="str">
        <f>VLOOKUP(woodflow[[#This Row],[From]],woodstock[#All],7,FALSE)</f>
        <v>14</v>
      </c>
      <c r="I116" s="135" t="str">
        <f>VLOOKUP(woodflow[[#This Row],[to]],woodstock[#All],7,FALSE)</f>
        <v>52</v>
      </c>
      <c r="J116" s="135" t="str">
        <f>VLOOKUP(woodflow[[#This Row],[From]],woodstock[#All],8,FALSE)</f>
        <v>0</v>
      </c>
      <c r="K116" s="135" t="str">
        <f>VLOOKUP(woodflow[[#This Row],[to]],woodstock[#All],8,FALSE)</f>
        <v>0</v>
      </c>
      <c r="L116" s="136" t="str">
        <f>VLOOKUP(woodflow[[#This Row],[From]],woodstock[#All],9,FALSE)</f>
        <v>nan</v>
      </c>
      <c r="M116" s="136" t="str">
        <f>VLOOKUP(woodflow[[#This Row],[to]],woodstock[#All],9,FALSE)</f>
        <v>nan</v>
      </c>
      <c r="N116" s="131">
        <f>$N$113*woodratio!I25</f>
        <v>0.98380044006057721</v>
      </c>
      <c r="O116" s="126" t="s">
        <v>549</v>
      </c>
      <c r="P116" s="126" t="s">
        <v>240</v>
      </c>
      <c r="Q116" s="126"/>
      <c r="R116" s="1"/>
      <c r="S116" s="1"/>
      <c r="T116" s="1"/>
      <c r="U116" s="1"/>
      <c r="V116" s="1"/>
    </row>
    <row r="117" spans="1:22" x14ac:dyDescent="0.3">
      <c r="A117" s="5" t="str">
        <f>CONCATENATE("F",IF(B117&lt;&gt;"",COUNTA($B$2:B117),""))</f>
        <v>F66</v>
      </c>
      <c r="B117" s="126" t="s">
        <v>179</v>
      </c>
      <c r="C117" s="126" t="s">
        <v>80</v>
      </c>
      <c r="D117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1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7" s="126">
        <f>VLOOKUP(woodflow[[#This Row],[From]],woodstock[#All],4,FALSE)</f>
        <v>2021</v>
      </c>
      <c r="G117" s="5" t="str">
        <f>VLOOKUP(woodflow[[#This Row],[From]],woodstock[#All],5,FALSE)</f>
        <v>OAS</v>
      </c>
      <c r="H117" s="135" t="str">
        <f>VLOOKUP(woodflow[[#This Row],[From]],woodstock[#All],7,FALSE)</f>
        <v>14</v>
      </c>
      <c r="I117" s="135" t="str">
        <f>VLOOKUP(woodflow[[#This Row],[to]],woodstock[#All],7,FALSE)</f>
        <v>53</v>
      </c>
      <c r="J117" s="135" t="str">
        <f>VLOOKUP(woodflow[[#This Row],[From]],woodstock[#All],8,FALSE)</f>
        <v>0</v>
      </c>
      <c r="K117" s="135" t="str">
        <f>VLOOKUP(woodflow[[#This Row],[to]],woodstock[#All],8,FALSE)</f>
        <v>0</v>
      </c>
      <c r="L117" s="136" t="str">
        <f>VLOOKUP(woodflow[[#This Row],[From]],woodstock[#All],9,FALSE)</f>
        <v>nan</v>
      </c>
      <c r="M117" s="136" t="str">
        <f>VLOOKUP(woodflow[[#This Row],[to]],woodstock[#All],9,FALSE)</f>
        <v>nan</v>
      </c>
      <c r="N117" s="131">
        <v>0</v>
      </c>
      <c r="O117" s="126" t="s">
        <v>213</v>
      </c>
      <c r="P117" s="126"/>
      <c r="Q117" s="126"/>
      <c r="R117" s="1"/>
      <c r="S117" s="1"/>
      <c r="T117" s="1"/>
      <c r="U117" s="1"/>
      <c r="V117" s="1"/>
    </row>
    <row r="118" spans="1:22" x14ac:dyDescent="0.3">
      <c r="A118" s="5" t="str">
        <f>CONCATENATE("F",IF(B118&lt;&gt;"",COUNTA($B$2:B118),""))</f>
        <v>F67</v>
      </c>
      <c r="B118" s="126" t="s">
        <v>179</v>
      </c>
      <c r="C118" s="5" t="s">
        <v>242</v>
      </c>
      <c r="D11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1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8" s="126">
        <f>VLOOKUP(woodflow[[#This Row],[From]],woodstock[#All],4,FALSE)</f>
        <v>2021</v>
      </c>
      <c r="G118" s="5" t="str">
        <f>VLOOKUP(woodflow[[#This Row],[From]],woodstock[#All],5,FALSE)</f>
        <v>OAS</v>
      </c>
      <c r="H118" s="135" t="str">
        <f>VLOOKUP(woodflow[[#This Row],[From]],woodstock[#All],7,FALSE)</f>
        <v>14</v>
      </c>
      <c r="I118" s="135" t="str">
        <f>VLOOKUP(woodflow[[#This Row],[to]],woodstock[#All],7,FALSE)</f>
        <v>54</v>
      </c>
      <c r="J118" s="135" t="str">
        <f>VLOOKUP(woodflow[[#This Row],[From]],woodstock[#All],8,FALSE)</f>
        <v>0</v>
      </c>
      <c r="K118" s="135" t="str">
        <f>VLOOKUP(woodflow[[#This Row],[to]],woodstock[#All],8,FALSE)</f>
        <v>0</v>
      </c>
      <c r="L118" s="136" t="str">
        <f>VLOOKUP(woodflow[[#This Row],[From]],woodstock[#All],9,FALSE)</f>
        <v>nan</v>
      </c>
      <c r="M118" s="136" t="str">
        <f>VLOOKUP(woodflow[[#This Row],[to]],woodstock[#All],9,FALSE)</f>
        <v>nan</v>
      </c>
      <c r="N118" s="131">
        <v>0</v>
      </c>
      <c r="O118" s="126" t="s">
        <v>213</v>
      </c>
      <c r="P118" s="126"/>
      <c r="Q118" s="126"/>
      <c r="R118" s="1"/>
      <c r="S118" s="1"/>
      <c r="T118" s="1"/>
      <c r="U118" s="1"/>
      <c r="V118" s="1"/>
    </row>
    <row r="119" spans="1:22" x14ac:dyDescent="0.3">
      <c r="A119" s="5" t="str">
        <f>CONCATENATE("F",IF(B119&lt;&gt;"",COUNTA($B$2:B119),""))</f>
        <v>F68</v>
      </c>
      <c r="B119" s="126" t="s">
        <v>179</v>
      </c>
      <c r="C119" s="126" t="s">
        <v>74</v>
      </c>
      <c r="D119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9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0.56217168003461437</v>
      </c>
      <c r="F119" s="126">
        <f>VLOOKUP(woodflow[[#This Row],[From]],woodstock[#All],4,FALSE)</f>
        <v>2021</v>
      </c>
      <c r="G119" s="5" t="str">
        <f>VLOOKUP(woodflow[[#This Row],[From]],woodstock[#All],5,FALSE)</f>
        <v>OAS</v>
      </c>
      <c r="H119" s="135" t="str">
        <f>VLOOKUP(woodflow[[#This Row],[From]],woodstock[#All],7,FALSE)</f>
        <v>14</v>
      </c>
      <c r="I119" s="135" t="str">
        <f>VLOOKUP(woodflow[[#This Row],[to]],woodstock[#All],7,FALSE)</f>
        <v>55</v>
      </c>
      <c r="J119" s="135" t="str">
        <f>VLOOKUP(woodflow[[#This Row],[From]],woodstock[#All],8,FALSE)</f>
        <v>0</v>
      </c>
      <c r="K119" s="135" t="str">
        <f>VLOOKUP(woodflow[[#This Row],[to]],woodstock[#All],8,FALSE)</f>
        <v>0</v>
      </c>
      <c r="L119" s="136" t="str">
        <f>VLOOKUP(woodflow[[#This Row],[From]],woodstock[#All],9,FALSE)</f>
        <v>nan</v>
      </c>
      <c r="M119" s="136" t="str">
        <f>VLOOKUP(woodflow[[#This Row],[to]],woodstock[#All],9,FALSE)</f>
        <v>nan</v>
      </c>
      <c r="N119" s="131">
        <f>$N$113*woodratio!I26</f>
        <v>0.56217168003461437</v>
      </c>
      <c r="O119" s="126" t="s">
        <v>549</v>
      </c>
      <c r="P119" s="126" t="s">
        <v>240</v>
      </c>
      <c r="Q119" s="126"/>
      <c r="R119" s="1"/>
      <c r="S119" s="1"/>
      <c r="T119" s="1"/>
      <c r="U119" s="1"/>
      <c r="V119" s="1"/>
    </row>
    <row r="120" spans="1:22" x14ac:dyDescent="0.3">
      <c r="A120" s="5" t="str">
        <f>CONCATENATE("F",IF(B120&lt;&gt;"",COUNTA($B$2:B120),""))</f>
        <v>F</v>
      </c>
      <c r="B120" s="126"/>
      <c r="C120" s="126"/>
      <c r="D120" s="133"/>
      <c r="E120" s="133"/>
      <c r="F120" s="126"/>
      <c r="G120" s="5"/>
      <c r="H120" s="135"/>
      <c r="I120" s="135"/>
      <c r="J120" s="135"/>
      <c r="K120" s="135"/>
      <c r="L120" s="136"/>
      <c r="M120" s="136"/>
      <c r="N120" s="131"/>
      <c r="O120" s="126"/>
      <c r="P120" s="126"/>
      <c r="Q120" s="126"/>
      <c r="R120" s="1"/>
      <c r="S120" s="1"/>
      <c r="T120" s="1"/>
      <c r="U120" s="1"/>
      <c r="V120" s="1"/>
    </row>
    <row r="121" spans="1:22" x14ac:dyDescent="0.3">
      <c r="A121" s="5" t="str">
        <f>CONCATENATE("F",IF(B121&lt;&gt;"",COUNTA($B$2:B121),""))</f>
        <v>F</v>
      </c>
      <c r="B121" s="126"/>
      <c r="C121" s="126"/>
      <c r="D121" s="133"/>
      <c r="E121" s="133"/>
      <c r="F121" s="126"/>
      <c r="G121" s="5"/>
      <c r="H121" s="135"/>
      <c r="I121" s="135"/>
      <c r="J121" s="135"/>
      <c r="K121" s="135"/>
      <c r="L121" s="136"/>
      <c r="M121" s="136"/>
      <c r="N121" s="131"/>
      <c r="O121" s="126"/>
      <c r="P121" s="126"/>
      <c r="Q121" s="126"/>
      <c r="R121" s="1"/>
      <c r="S121" s="1"/>
      <c r="T121" s="1"/>
      <c r="U121" s="1"/>
      <c r="V121" s="1"/>
    </row>
    <row r="122" spans="1:22" x14ac:dyDescent="0.3">
      <c r="A122" s="5" t="str">
        <f>CONCATENATE("F",IF(B122&lt;&gt;"",COUNTA($B$2:B122),""))</f>
        <v>F69</v>
      </c>
      <c r="B122" s="126" t="s">
        <v>53</v>
      </c>
      <c r="C122" s="126" t="s">
        <v>76</v>
      </c>
      <c r="D122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22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2" s="126">
        <f>VLOOKUP(woodflow[[#This Row],[From]],woodstock[#All],4,FALSE)</f>
        <v>2021</v>
      </c>
      <c r="G122" s="5" t="str">
        <f>VLOOKUP(woodflow[[#This Row],[From]],woodstock[#All],5,FALSE)</f>
        <v>OAS</v>
      </c>
      <c r="H122" s="135" t="str">
        <f>VLOOKUP(woodflow[[#This Row],[From]],woodstock[#All],7,FALSE)</f>
        <v>15</v>
      </c>
      <c r="I122" s="135" t="str">
        <f>VLOOKUP(woodflow[[#This Row],[to]],woodstock[#All],7,FALSE)</f>
        <v>23</v>
      </c>
      <c r="J122" s="135" t="str">
        <f>VLOOKUP(woodflow[[#This Row],[From]],woodstock[#All],8,FALSE)</f>
        <v>0</v>
      </c>
      <c r="K122" s="135" t="str">
        <f>VLOOKUP(woodflow[[#This Row],[to]],woodstock[#All],8,FALSE)</f>
        <v>0</v>
      </c>
      <c r="L122" s="136" t="str">
        <f>VLOOKUP(woodflow[[#This Row],[From]],woodstock[#All],9,FALSE)</f>
        <v>nan</v>
      </c>
      <c r="M122" s="136" t="str">
        <f>VLOOKUP(woodflow[[#This Row],[to]],woodstock[#All],9,FALSE)</f>
        <v>nan</v>
      </c>
      <c r="N122" s="131">
        <f>'faostat-data'!Q69/'production-mass-balance'!B55</f>
        <v>0</v>
      </c>
      <c r="O122" s="126" t="s">
        <v>556</v>
      </c>
      <c r="P122" s="126" t="s">
        <v>456</v>
      </c>
      <c r="Q122" s="126" t="s">
        <v>234</v>
      </c>
      <c r="R122" s="1"/>
      <c r="S122" s="1"/>
      <c r="T122" s="1"/>
      <c r="U122" s="1"/>
      <c r="V122" s="1"/>
    </row>
    <row r="123" spans="1:22" x14ac:dyDescent="0.3">
      <c r="A123" s="5" t="str">
        <f>CONCATENATE("F",IF(B123&lt;&gt;"",COUNTA($B$2:B123),""))</f>
        <v>F</v>
      </c>
      <c r="B123" s="126"/>
      <c r="C123" s="126"/>
      <c r="D123" s="133"/>
      <c r="E123" s="133"/>
      <c r="F123" s="126"/>
      <c r="G123" s="5"/>
      <c r="H123" s="135"/>
      <c r="I123" s="135"/>
      <c r="J123" s="135"/>
      <c r="K123" s="135"/>
      <c r="L123" s="136"/>
      <c r="M123" s="136"/>
      <c r="N123" s="131"/>
      <c r="O123" s="126"/>
      <c r="P123" s="126"/>
      <c r="Q123" s="126"/>
      <c r="R123" s="1"/>
      <c r="S123" s="1"/>
      <c r="T123" s="1"/>
      <c r="U123" s="1"/>
      <c r="V123" s="1"/>
    </row>
    <row r="124" spans="1:22" x14ac:dyDescent="0.3">
      <c r="A124" s="5" t="str">
        <f>CONCATENATE("F",IF(B124&lt;&gt;"",COUNTA($B$2:B124),""))</f>
        <v>F</v>
      </c>
      <c r="B124" s="126"/>
      <c r="C124" s="126"/>
      <c r="D124" s="133"/>
      <c r="E124" s="133"/>
      <c r="F124" s="126"/>
      <c r="G124" s="5"/>
      <c r="H124" s="135"/>
      <c r="I124" s="135"/>
      <c r="J124" s="135"/>
      <c r="K124" s="135"/>
      <c r="L124" s="136"/>
      <c r="M124" s="136"/>
      <c r="N124" s="131"/>
      <c r="O124" s="126"/>
      <c r="P124" s="126"/>
      <c r="Q124" s="126"/>
      <c r="R124" s="1"/>
      <c r="S124" s="1"/>
      <c r="T124" s="1"/>
      <c r="U124" s="1"/>
      <c r="V124" s="1"/>
    </row>
    <row r="125" spans="1:22" x14ac:dyDescent="0.3">
      <c r="A125" s="5" t="str">
        <f>CONCATENATE("F",IF(B125&lt;&gt;"",COUNTA($B$2:B125),""))</f>
        <v>F70</v>
      </c>
      <c r="B125" s="126" t="s">
        <v>54</v>
      </c>
      <c r="C125" s="126" t="s">
        <v>45</v>
      </c>
      <c r="D125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2.8392783531428574</v>
      </c>
      <c r="E125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5" s="126">
        <f>VLOOKUP(woodflow[[#This Row],[From]],woodstock[#All],4,FALSE)</f>
        <v>2021</v>
      </c>
      <c r="G125" s="5" t="str">
        <f>VLOOKUP(woodflow[[#This Row],[From]],woodstock[#All],5,FALSE)</f>
        <v>OAS</v>
      </c>
      <c r="H125" s="135" t="str">
        <f>VLOOKUP(woodflow[[#This Row],[From]],woodstock[#All],7,FALSE)</f>
        <v>16</v>
      </c>
      <c r="I125" s="135" t="str">
        <f>VLOOKUP(woodflow[[#This Row],[to]],woodstock[#All],7,FALSE)</f>
        <v>22</v>
      </c>
      <c r="J125" s="135" t="str">
        <f>VLOOKUP(woodflow[[#This Row],[From]],woodstock[#All],8,FALSE)</f>
        <v>0</v>
      </c>
      <c r="K125" s="135" t="str">
        <f>VLOOKUP(woodflow[[#This Row],[to]],woodstock[#All],8,FALSE)</f>
        <v>0</v>
      </c>
      <c r="L125" s="136" t="str">
        <f>VLOOKUP(woodflow[[#This Row],[From]],woodstock[#All],9,FALSE)</f>
        <v>nan</v>
      </c>
      <c r="M125" s="136" t="str">
        <f>VLOOKUP(woodflow[[#This Row],[to]],woodstock[#All],9,FALSE)</f>
        <v>nan</v>
      </c>
      <c r="N125" s="131">
        <f>'faostat-data'!Q66/'production-mass-balance'!B48</f>
        <v>2.8392783531428574</v>
      </c>
      <c r="O125" s="126" t="s">
        <v>556</v>
      </c>
      <c r="P125" s="126" t="s">
        <v>456</v>
      </c>
      <c r="Q125" s="126" t="s">
        <v>234</v>
      </c>
      <c r="R125" s="1"/>
      <c r="S125" s="1"/>
      <c r="T125" s="1"/>
      <c r="U125" s="1"/>
      <c r="V125" s="1"/>
    </row>
    <row r="126" spans="1:22" x14ac:dyDescent="0.3">
      <c r="A126" s="5" t="str">
        <f>CONCATENATE("F",IF(B126&lt;&gt;"",COUNTA($B$2:B126),""))</f>
        <v>F</v>
      </c>
      <c r="B126" s="126"/>
      <c r="C126" s="126"/>
      <c r="D126" s="133"/>
      <c r="E126" s="133"/>
      <c r="F126" s="126"/>
      <c r="G126" s="5"/>
      <c r="H126" s="135"/>
      <c r="I126" s="135"/>
      <c r="J126" s="135"/>
      <c r="K126" s="135"/>
      <c r="L126" s="136"/>
      <c r="M126" s="136"/>
      <c r="N126" s="131"/>
      <c r="O126" s="126"/>
      <c r="P126" s="126"/>
      <c r="Q126" s="126"/>
      <c r="R126" s="1"/>
      <c r="S126" s="1"/>
      <c r="T126" s="1"/>
      <c r="U126" s="1"/>
      <c r="V126" s="1"/>
    </row>
    <row r="127" spans="1:22" x14ac:dyDescent="0.3">
      <c r="A127" s="5" t="str">
        <f>CONCATENATE("F",IF(B127&lt;&gt;"",COUNTA($B$2:B127),""))</f>
        <v>F</v>
      </c>
      <c r="B127" s="126"/>
      <c r="C127" s="126"/>
      <c r="D127" s="133"/>
      <c r="E127" s="133"/>
      <c r="F127" s="126"/>
      <c r="G127" s="5"/>
      <c r="H127" s="135"/>
      <c r="I127" s="135"/>
      <c r="J127" s="135"/>
      <c r="K127" s="135"/>
      <c r="L127" s="136"/>
      <c r="M127" s="136"/>
      <c r="N127" s="131"/>
      <c r="O127" s="126"/>
      <c r="P127" s="126"/>
      <c r="Q127" s="126"/>
      <c r="R127" s="1"/>
      <c r="S127" s="1"/>
      <c r="T127" s="1"/>
      <c r="U127" s="1"/>
      <c r="V127" s="1"/>
    </row>
    <row r="128" spans="1:22" x14ac:dyDescent="0.3">
      <c r="A128" s="5" t="str">
        <f>CONCATENATE("F",IF(B128&lt;&gt;"",COUNTA($B$2:B128),""))</f>
        <v>F71</v>
      </c>
      <c r="B128" s="126" t="s">
        <v>54</v>
      </c>
      <c r="C128" s="126" t="s">
        <v>180</v>
      </c>
      <c r="D12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0.325716228</v>
      </c>
      <c r="E12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8" s="126">
        <f>VLOOKUP(woodflow[[#This Row],[From]],woodstock[#All],4,FALSE)</f>
        <v>2021</v>
      </c>
      <c r="G128" s="5" t="str">
        <f>VLOOKUP(woodflow[[#This Row],[From]],woodstock[#All],5,FALSE)</f>
        <v>OAS</v>
      </c>
      <c r="H128" s="135" t="str">
        <f>VLOOKUP(woodflow[[#This Row],[From]],woodstock[#All],7,FALSE)</f>
        <v>16</v>
      </c>
      <c r="I128" s="135" t="str">
        <f>VLOOKUP(woodflow[[#This Row],[to]],woodstock[#All],7,FALSE)</f>
        <v>24</v>
      </c>
      <c r="J128" s="135" t="str">
        <f>VLOOKUP(woodflow[[#This Row],[From]],woodstock[#All],8,FALSE)</f>
        <v>0</v>
      </c>
      <c r="K128" s="135" t="str">
        <f>VLOOKUP(woodflow[[#This Row],[to]],woodstock[#All],8,FALSE)</f>
        <v>0</v>
      </c>
      <c r="L128" s="136" t="str">
        <f>VLOOKUP(woodflow[[#This Row],[From]],woodstock[#All],9,FALSE)</f>
        <v>nan</v>
      </c>
      <c r="M128" s="136" t="str">
        <f>VLOOKUP(woodflow[[#This Row],[to]],woodstock[#All],9,FALSE)</f>
        <v>nan</v>
      </c>
      <c r="N128" s="131">
        <f>'faostat-data'!Q72/'production-mass-balance'!B60</f>
        <v>0.325716228</v>
      </c>
      <c r="O128" s="126" t="s">
        <v>556</v>
      </c>
      <c r="P128" s="126" t="s">
        <v>456</v>
      </c>
      <c r="Q128" s="126" t="s">
        <v>234</v>
      </c>
      <c r="R128" s="1"/>
      <c r="S128" s="1"/>
      <c r="T128" s="1"/>
      <c r="U128" s="1"/>
      <c r="V128" s="1"/>
    </row>
    <row r="129" spans="1:22" x14ac:dyDescent="0.3">
      <c r="A129" s="5" t="str">
        <f>CONCATENATE("F",IF(B129&lt;&gt;"",COUNTA($B$2:B129),""))</f>
        <v>F</v>
      </c>
      <c r="B129" s="126"/>
      <c r="C129" s="126"/>
      <c r="D129" s="133"/>
      <c r="E129" s="133"/>
      <c r="F129" s="126"/>
      <c r="G129" s="5"/>
      <c r="H129" s="135"/>
      <c r="I129" s="135"/>
      <c r="J129" s="135"/>
      <c r="K129" s="135"/>
      <c r="L129" s="136"/>
      <c r="M129" s="136"/>
      <c r="N129" s="131"/>
      <c r="O129" s="126"/>
      <c r="P129" s="126"/>
      <c r="Q129" s="126"/>
      <c r="R129" s="1"/>
      <c r="S129" s="1"/>
      <c r="T129" s="1"/>
      <c r="U129" s="1"/>
      <c r="V129" s="1"/>
    </row>
    <row r="130" spans="1:22" x14ac:dyDescent="0.3">
      <c r="A130" s="5" t="str">
        <f>CONCATENATE("F",IF(B130&lt;&gt;"",COUNTA($B$2:B130),""))</f>
        <v>F</v>
      </c>
      <c r="B130" s="126"/>
      <c r="C130" s="126"/>
      <c r="D130" s="133"/>
      <c r="E130" s="133"/>
      <c r="F130" s="126"/>
      <c r="G130" s="5"/>
      <c r="H130" s="135"/>
      <c r="I130" s="135"/>
      <c r="J130" s="135"/>
      <c r="K130" s="135"/>
      <c r="L130" s="136"/>
      <c r="M130" s="136"/>
      <c r="N130" s="131"/>
      <c r="O130" s="126"/>
      <c r="P130" s="126"/>
      <c r="Q130" s="126"/>
      <c r="R130" s="1"/>
      <c r="S130" s="1"/>
      <c r="T130" s="1"/>
      <c r="U130" s="1"/>
      <c r="V130" s="1"/>
    </row>
    <row r="131" spans="1:22" x14ac:dyDescent="0.3">
      <c r="A131" s="5" t="str">
        <f>CONCATENATE("F",IF(B131&lt;&gt;"",COUNTA($B$2:B131),""))</f>
        <v>F72</v>
      </c>
      <c r="B131" s="126" t="s">
        <v>54</v>
      </c>
      <c r="C131" s="126" t="s">
        <v>209</v>
      </c>
      <c r="D131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4.793824285714285</v>
      </c>
      <c r="E131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1" s="126">
        <f>VLOOKUP(woodflow[[#This Row],[From]],woodstock[#All],4,FALSE)</f>
        <v>2021</v>
      </c>
      <c r="G131" s="5" t="str">
        <f>VLOOKUP(woodflow[[#This Row],[From]],woodstock[#All],5,FALSE)</f>
        <v>OAS</v>
      </c>
      <c r="H131" s="135" t="str">
        <f>VLOOKUP(woodflow[[#This Row],[From]],woodstock[#All],7,FALSE)</f>
        <v>16</v>
      </c>
      <c r="I131" s="135" t="str">
        <f>VLOOKUP(woodflow[[#This Row],[to]],woodstock[#All],7,FALSE)</f>
        <v>25</v>
      </c>
      <c r="J131" s="135" t="str">
        <f>VLOOKUP(woodflow[[#This Row],[From]],woodstock[#All],8,FALSE)</f>
        <v>0</v>
      </c>
      <c r="K131" s="135" t="str">
        <f>VLOOKUP(woodflow[[#This Row],[to]],woodstock[#All],8,FALSE)</f>
        <v>0</v>
      </c>
      <c r="L131" s="136" t="str">
        <f>VLOOKUP(woodflow[[#This Row],[From]],woodstock[#All],9,FALSE)</f>
        <v>nan</v>
      </c>
      <c r="M131" s="136" t="str">
        <f>VLOOKUP(woodflow[[#This Row],[to]],woodstock[#All],9,FALSE)</f>
        <v>nan</v>
      </c>
      <c r="N131" s="131">
        <f>'faostat-data'!Q75/'production-mass-balance'!B60</f>
        <v>4.793824285714285</v>
      </c>
      <c r="O131" s="126" t="s">
        <v>556</v>
      </c>
      <c r="P131" s="126" t="s">
        <v>456</v>
      </c>
      <c r="Q131" s="126" t="s">
        <v>234</v>
      </c>
      <c r="R131" s="1"/>
      <c r="S131" s="1"/>
      <c r="T131" s="1"/>
      <c r="U131" s="1"/>
      <c r="V131" s="1"/>
    </row>
    <row r="132" spans="1:22" x14ac:dyDescent="0.3">
      <c r="A132" s="5" t="str">
        <f>CONCATENATE("F",IF(B132&lt;&gt;"",COUNTA($B$2:B132),""))</f>
        <v>F</v>
      </c>
      <c r="B132" s="126"/>
      <c r="C132" s="126"/>
      <c r="D132" s="133"/>
      <c r="E132" s="133"/>
      <c r="F132" s="126"/>
      <c r="G132" s="5"/>
      <c r="H132" s="135"/>
      <c r="I132" s="135"/>
      <c r="J132" s="135"/>
      <c r="K132" s="135"/>
      <c r="L132" s="136"/>
      <c r="M132" s="136"/>
      <c r="N132" s="131"/>
      <c r="O132" s="126"/>
      <c r="P132" s="126"/>
      <c r="Q132" s="126"/>
      <c r="R132" s="1"/>
      <c r="S132" s="1"/>
      <c r="T132" s="1"/>
      <c r="U132" s="1"/>
      <c r="V132" s="1"/>
    </row>
    <row r="133" spans="1:22" x14ac:dyDescent="0.3">
      <c r="A133" s="5" t="str">
        <f>CONCATENATE("F",IF(B133&lt;&gt;"",COUNTA($B$2:B133),""))</f>
        <v>F</v>
      </c>
      <c r="B133" s="126"/>
      <c r="C133" s="126"/>
      <c r="D133" s="133"/>
      <c r="E133" s="133"/>
      <c r="F133" s="126"/>
      <c r="G133" s="5"/>
      <c r="H133" s="135"/>
      <c r="I133" s="135"/>
      <c r="J133" s="135"/>
      <c r="K133" s="135"/>
      <c r="L133" s="136"/>
      <c r="M133" s="136"/>
      <c r="N133" s="131"/>
      <c r="O133" s="126"/>
      <c r="P133" s="126"/>
      <c r="Q133" s="126"/>
      <c r="R133" s="1"/>
      <c r="S133" s="1"/>
      <c r="T133" s="1"/>
      <c r="U133" s="1"/>
      <c r="V133" s="1"/>
    </row>
    <row r="134" spans="1:22" x14ac:dyDescent="0.3">
      <c r="A134" s="5" t="str">
        <f>CONCATENATE("F",IF(B134&lt;&gt;"",COUNTA($B$2:B134),""))</f>
        <v>F73</v>
      </c>
      <c r="B134" s="126" t="s">
        <v>54</v>
      </c>
      <c r="C134" s="126" t="s">
        <v>75</v>
      </c>
      <c r="D134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0.12557859300000002</v>
      </c>
      <c r="E134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4" s="126">
        <f>VLOOKUP(woodflow[[#This Row],[From]],woodstock[#All],4,FALSE)</f>
        <v>2021</v>
      </c>
      <c r="G134" s="5" t="str">
        <f>VLOOKUP(woodflow[[#This Row],[From]],woodstock[#All],5,FALSE)</f>
        <v>OAS</v>
      </c>
      <c r="H134" s="135" t="str">
        <f>VLOOKUP(woodflow[[#This Row],[From]],woodstock[#All],7,FALSE)</f>
        <v>16</v>
      </c>
      <c r="I134" s="135" t="str">
        <f>VLOOKUP(woodflow[[#This Row],[to]],woodstock[#All],7,FALSE)</f>
        <v>26</v>
      </c>
      <c r="J134" s="135" t="str">
        <f>VLOOKUP(woodflow[[#This Row],[From]],woodstock[#All],8,FALSE)</f>
        <v>0</v>
      </c>
      <c r="K134" s="135" t="str">
        <f>VLOOKUP(woodflow[[#This Row],[to]],woodstock[#All],8,FALSE)</f>
        <v>0</v>
      </c>
      <c r="L134" s="136" t="str">
        <f>VLOOKUP(woodflow[[#This Row],[From]],woodstock[#All],9,FALSE)</f>
        <v>nan</v>
      </c>
      <c r="M134" s="136" t="str">
        <f>VLOOKUP(woodflow[[#This Row],[to]],woodstock[#All],9,FALSE)</f>
        <v>nan</v>
      </c>
      <c r="N134" s="131">
        <f>'faostat-data'!Q78/'production-mass-balance'!B60</f>
        <v>0.12557859300000002</v>
      </c>
      <c r="O134" s="126" t="s">
        <v>556</v>
      </c>
      <c r="P134" s="126" t="s">
        <v>456</v>
      </c>
      <c r="Q134" s="126" t="s">
        <v>234</v>
      </c>
      <c r="R134" s="1"/>
      <c r="S134" s="1"/>
      <c r="T134" s="1"/>
      <c r="U134" s="1"/>
      <c r="V134" s="1"/>
    </row>
    <row r="135" spans="1:22" x14ac:dyDescent="0.3">
      <c r="A135" s="5" t="str">
        <f>CONCATENATE("F",IF(B135&lt;&gt;"",COUNTA($B$2:B135),""))</f>
        <v>F</v>
      </c>
      <c r="B135" s="126"/>
      <c r="C135" s="126"/>
      <c r="D135" s="133"/>
      <c r="E135" s="133"/>
      <c r="F135" s="126"/>
      <c r="G135" s="5"/>
      <c r="H135" s="135"/>
      <c r="I135" s="135"/>
      <c r="J135" s="135"/>
      <c r="K135" s="135"/>
      <c r="L135" s="136"/>
      <c r="M135" s="136"/>
      <c r="N135" s="131"/>
      <c r="O135" s="126"/>
      <c r="P135" s="126"/>
      <c r="Q135" s="126"/>
      <c r="R135" s="1"/>
      <c r="S135" s="1"/>
      <c r="T135" s="1"/>
      <c r="U135" s="1"/>
      <c r="V135" s="1"/>
    </row>
    <row r="136" spans="1:22" x14ac:dyDescent="0.3">
      <c r="A136" s="5" t="str">
        <f>CONCATENATE("F",IF(B136&lt;&gt;"",COUNTA($B$2:B136),""))</f>
        <v>F</v>
      </c>
      <c r="B136" s="126"/>
      <c r="C136" s="126"/>
      <c r="D136" s="133"/>
      <c r="E136" s="133"/>
      <c r="F136" s="126"/>
      <c r="G136" s="5"/>
      <c r="H136" s="135"/>
      <c r="I136" s="135"/>
      <c r="J136" s="135"/>
      <c r="K136" s="135"/>
      <c r="L136" s="136"/>
      <c r="M136" s="136"/>
      <c r="N136" s="131"/>
      <c r="O136" s="126"/>
      <c r="P136" s="126"/>
      <c r="Q136" s="126"/>
      <c r="R136" s="1"/>
      <c r="S136" s="1"/>
      <c r="T136" s="1"/>
      <c r="U136" s="1"/>
      <c r="V136" s="1"/>
    </row>
    <row r="137" spans="1:22" x14ac:dyDescent="0.3">
      <c r="A137" s="5" t="str">
        <f>CONCATENATE("F",IF(B137&lt;&gt;"",COUNTA($B$2:B137),""))</f>
        <v>F74</v>
      </c>
      <c r="B137" s="126" t="s">
        <v>65</v>
      </c>
      <c r="C137" s="5" t="s">
        <v>70</v>
      </c>
      <c r="D137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2.5182989725806451</v>
      </c>
      <c r="E13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7" s="126">
        <f>VLOOKUP(woodflow[[#This Row],[From]],woodstock[#All],4,FALSE)</f>
        <v>2021</v>
      </c>
      <c r="G137" s="5" t="str">
        <f>VLOOKUP(woodflow[[#This Row],[From]],woodstock[#All],5,FALSE)</f>
        <v>OAS</v>
      </c>
      <c r="H137" s="135" t="str">
        <f>VLOOKUP(woodflow[[#This Row],[From]],woodstock[#All],7,FALSE)</f>
        <v>9</v>
      </c>
      <c r="I137" s="135" t="str">
        <f>VLOOKUP(woodflow[[#This Row],[to]],woodstock[#All],7,FALSE)</f>
        <v>27</v>
      </c>
      <c r="J137" s="135" t="str">
        <f>VLOOKUP(woodflow[[#This Row],[From]],woodstock[#All],8,FALSE)</f>
        <v>1</v>
      </c>
      <c r="K137" s="135" t="str">
        <f>VLOOKUP(woodflow[[#This Row],[to]],woodstock[#All],8,FALSE)</f>
        <v>0</v>
      </c>
      <c r="L137" s="136" t="str">
        <f>VLOOKUP(woodflow[[#This Row],[From]],woodstock[#All],9,FALSE)</f>
        <v>15-16</v>
      </c>
      <c r="M137" s="136" t="str">
        <f>VLOOKUP(woodflow[[#This Row],[to]],woodstock[#All],9,FALSE)</f>
        <v>nan</v>
      </c>
      <c r="N137" s="131">
        <f>N272+N305-'faostat-data'!Q85+'faostat-data'!Q86</f>
        <v>2.5182989725806451</v>
      </c>
      <c r="O137" s="126" t="s">
        <v>556</v>
      </c>
      <c r="P137" s="126" t="s">
        <v>239</v>
      </c>
      <c r="Q137" s="126" t="s">
        <v>234</v>
      </c>
      <c r="R137" s="1"/>
      <c r="S137" s="1"/>
      <c r="T137" s="1"/>
      <c r="U137" s="1"/>
      <c r="V137" s="1"/>
    </row>
    <row r="138" spans="1:22" x14ac:dyDescent="0.3">
      <c r="A138" s="5" t="str">
        <f>CONCATENATE("F",IF(B138&lt;&gt;"",COUNTA($B$2:B138),""))</f>
        <v>F75</v>
      </c>
      <c r="B138" s="126" t="s">
        <v>53</v>
      </c>
      <c r="C138" s="5" t="s">
        <v>70</v>
      </c>
      <c r="D138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3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8" s="126">
        <f>VLOOKUP(woodflow[[#This Row],[From]],woodstock[#All],4,FALSE)</f>
        <v>2021</v>
      </c>
      <c r="G138" s="5" t="str">
        <f>VLOOKUP(woodflow[[#This Row],[From]],woodstock[#All],5,FALSE)</f>
        <v>OAS</v>
      </c>
      <c r="H138" s="135" t="str">
        <f>VLOOKUP(woodflow[[#This Row],[From]],woodstock[#All],7,FALSE)</f>
        <v>15</v>
      </c>
      <c r="I138" s="135" t="str">
        <f>VLOOKUP(woodflow[[#This Row],[to]],woodstock[#All],7,FALSE)</f>
        <v>27</v>
      </c>
      <c r="J138" s="135" t="str">
        <f>VLOOKUP(woodflow[[#This Row],[From]],woodstock[#All],8,FALSE)</f>
        <v>0</v>
      </c>
      <c r="K138" s="135" t="str">
        <f>VLOOKUP(woodflow[[#This Row],[to]],woodstock[#All],8,FALSE)</f>
        <v>0</v>
      </c>
      <c r="L138" s="136" t="str">
        <f>VLOOKUP(woodflow[[#This Row],[From]],woodstock[#All],9,FALSE)</f>
        <v>nan</v>
      </c>
      <c r="M138" s="136" t="str">
        <f>VLOOKUP(woodflow[[#This Row],[to]],woodstock[#All],9,FALSE)</f>
        <v>nan</v>
      </c>
      <c r="N138" s="131"/>
      <c r="O138" s="126" t="s">
        <v>460</v>
      </c>
      <c r="P138" s="126"/>
      <c r="Q138" s="126"/>
      <c r="R138" s="1"/>
      <c r="S138" s="1"/>
      <c r="T138" s="1"/>
      <c r="U138" s="1"/>
      <c r="V138" s="1"/>
    </row>
    <row r="139" spans="1:22" x14ac:dyDescent="0.3">
      <c r="A139" s="5" t="str">
        <f>CONCATENATE("F",IF(B139&lt;&gt;"",COUNTA($B$2:B139),""))</f>
        <v>F76</v>
      </c>
      <c r="B139" s="126" t="s">
        <v>54</v>
      </c>
      <c r="C139" s="5" t="s">
        <v>70</v>
      </c>
      <c r="D139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3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9" s="126">
        <f>VLOOKUP(woodflow[[#This Row],[From]],woodstock[#All],4,FALSE)</f>
        <v>2021</v>
      </c>
      <c r="G139" s="5" t="str">
        <f>VLOOKUP(woodflow[[#This Row],[From]],woodstock[#All],5,FALSE)</f>
        <v>OAS</v>
      </c>
      <c r="H139" s="135" t="str">
        <f>VLOOKUP(woodflow[[#This Row],[From]],woodstock[#All],7,FALSE)</f>
        <v>16</v>
      </c>
      <c r="I139" s="135" t="str">
        <f>VLOOKUP(woodflow[[#This Row],[to]],woodstock[#All],7,FALSE)</f>
        <v>27</v>
      </c>
      <c r="J139" s="135" t="str">
        <f>VLOOKUP(woodflow[[#This Row],[From]],woodstock[#All],8,FALSE)</f>
        <v>0</v>
      </c>
      <c r="K139" s="135" t="str">
        <f>VLOOKUP(woodflow[[#This Row],[to]],woodstock[#All],8,FALSE)</f>
        <v>0</v>
      </c>
      <c r="L139" s="136" t="str">
        <f>VLOOKUP(woodflow[[#This Row],[From]],woodstock[#All],9,FALSE)</f>
        <v>nan</v>
      </c>
      <c r="M139" s="136" t="str">
        <f>VLOOKUP(woodflow[[#This Row],[to]],woodstock[#All],9,FALSE)</f>
        <v>nan</v>
      </c>
      <c r="N139" s="131"/>
      <c r="O139" s="126" t="s">
        <v>460</v>
      </c>
      <c r="P139" s="126"/>
      <c r="Q139" s="126"/>
      <c r="R139" s="1"/>
      <c r="S139" s="1"/>
      <c r="T139" s="1"/>
      <c r="U139" s="1"/>
      <c r="V139" s="1"/>
    </row>
    <row r="140" spans="1:22" x14ac:dyDescent="0.3">
      <c r="A140" s="5" t="str">
        <f>CONCATENATE("F",IF(B140&lt;&gt;"",COUNTA($B$2:B140),""))</f>
        <v>F</v>
      </c>
      <c r="B140" s="126"/>
      <c r="C140" s="126"/>
      <c r="D140" s="133"/>
      <c r="E140" s="133"/>
      <c r="F140" s="126"/>
      <c r="G140" s="5"/>
      <c r="H140" s="135"/>
      <c r="I140" s="135"/>
      <c r="J140" s="135"/>
      <c r="K140" s="135"/>
      <c r="L140" s="136"/>
      <c r="M140" s="136"/>
      <c r="N140" s="131"/>
      <c r="O140" s="126"/>
      <c r="P140" s="126"/>
      <c r="Q140" s="126"/>
      <c r="R140" s="1"/>
      <c r="S140" s="1"/>
      <c r="T140" s="1"/>
      <c r="U140" s="1"/>
      <c r="V140" s="1"/>
    </row>
    <row r="141" spans="1:22" x14ac:dyDescent="0.3">
      <c r="A141" s="5" t="str">
        <f>CONCATENATE("F",IF(B141&lt;&gt;"",COUNTA($B$2:B141),""))</f>
        <v>F</v>
      </c>
      <c r="B141" s="126"/>
      <c r="C141" s="126"/>
      <c r="D141" s="133"/>
      <c r="E141" s="133"/>
      <c r="F141" s="126"/>
      <c r="G141" s="5"/>
      <c r="H141" s="135"/>
      <c r="I141" s="135"/>
      <c r="J141" s="135"/>
      <c r="K141" s="135"/>
      <c r="L141" s="136"/>
      <c r="M141" s="136"/>
      <c r="N141" s="131"/>
      <c r="O141" s="126"/>
      <c r="P141" s="126"/>
      <c r="Q141" s="126"/>
      <c r="R141" s="1"/>
      <c r="S141" s="1"/>
      <c r="T141" s="1"/>
      <c r="U141" s="1"/>
      <c r="V141" s="1"/>
    </row>
    <row r="142" spans="1:22" x14ac:dyDescent="0.3">
      <c r="A142" s="5" t="str">
        <f>CONCATENATE("F",IF(B142&lt;&gt;"",COUNTA($B$2:B142),""))</f>
        <v>F77</v>
      </c>
      <c r="B142" s="126" t="s">
        <v>65</v>
      </c>
      <c r="C142" s="5" t="s">
        <v>71</v>
      </c>
      <c r="D142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26.239405455208335</v>
      </c>
      <c r="E142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2" s="126">
        <f>VLOOKUP(woodflow[[#This Row],[From]],woodstock[#All],4,FALSE)</f>
        <v>2021</v>
      </c>
      <c r="G142" s="5" t="str">
        <f>VLOOKUP(woodflow[[#This Row],[From]],woodstock[#All],5,FALSE)</f>
        <v>OAS</v>
      </c>
      <c r="H142" s="135" t="str">
        <f>VLOOKUP(woodflow[[#This Row],[From]],woodstock[#All],7,FALSE)</f>
        <v>9</v>
      </c>
      <c r="I142" s="135" t="str">
        <f>VLOOKUP(woodflow[[#This Row],[to]],woodstock[#All],7,FALSE)</f>
        <v>28</v>
      </c>
      <c r="J142" s="135" t="str">
        <f>VLOOKUP(woodflow[[#This Row],[From]],woodstock[#All],8,FALSE)</f>
        <v>1</v>
      </c>
      <c r="K142" s="135" t="str">
        <f>VLOOKUP(woodflow[[#This Row],[to]],woodstock[#All],8,FALSE)</f>
        <v>0</v>
      </c>
      <c r="L142" s="136" t="str">
        <f>VLOOKUP(woodflow[[#This Row],[From]],woodstock[#All],9,FALSE)</f>
        <v>15-16</v>
      </c>
      <c r="M142" s="136" t="str">
        <f>VLOOKUP(woodflow[[#This Row],[to]],woodstock[#All],9,FALSE)</f>
        <v>nan</v>
      </c>
      <c r="N142" s="131">
        <f>N280+N306-'faostat-data'!Q94+'faostat-data'!Q95</f>
        <v>26.239405455208335</v>
      </c>
      <c r="O142" s="126" t="s">
        <v>556</v>
      </c>
      <c r="P142" s="126" t="s">
        <v>239</v>
      </c>
      <c r="Q142" s="126" t="s">
        <v>234</v>
      </c>
      <c r="R142" s="1"/>
      <c r="S142" s="1"/>
      <c r="T142" s="1"/>
      <c r="U142" s="1"/>
      <c r="V142" s="1"/>
    </row>
    <row r="143" spans="1:22" x14ac:dyDescent="0.3">
      <c r="A143" s="5" t="str">
        <f>CONCATENATE("F",IF(B143&lt;&gt;"",COUNTA($B$2:B143),""))</f>
        <v>F78</v>
      </c>
      <c r="B143" s="126" t="s">
        <v>53</v>
      </c>
      <c r="C143" s="5" t="s">
        <v>71</v>
      </c>
      <c r="D143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3" s="126">
        <f>VLOOKUP(woodflow[[#This Row],[From]],woodstock[#All],4,FALSE)</f>
        <v>2021</v>
      </c>
      <c r="G143" s="5" t="str">
        <f>VLOOKUP(woodflow[[#This Row],[From]],woodstock[#All],5,FALSE)</f>
        <v>OAS</v>
      </c>
      <c r="H143" s="135" t="str">
        <f>VLOOKUP(woodflow[[#This Row],[From]],woodstock[#All],7,FALSE)</f>
        <v>15</v>
      </c>
      <c r="I143" s="135" t="str">
        <f>VLOOKUP(woodflow[[#This Row],[to]],woodstock[#All],7,FALSE)</f>
        <v>28</v>
      </c>
      <c r="J143" s="135" t="str">
        <f>VLOOKUP(woodflow[[#This Row],[From]],woodstock[#All],8,FALSE)</f>
        <v>0</v>
      </c>
      <c r="K143" s="135" t="str">
        <f>VLOOKUP(woodflow[[#This Row],[to]],woodstock[#All],8,FALSE)</f>
        <v>0</v>
      </c>
      <c r="L143" s="136" t="str">
        <f>VLOOKUP(woodflow[[#This Row],[From]],woodstock[#All],9,FALSE)</f>
        <v>nan</v>
      </c>
      <c r="M143" s="136" t="str">
        <f>VLOOKUP(woodflow[[#This Row],[to]],woodstock[#All],9,FALSE)</f>
        <v>nan</v>
      </c>
      <c r="N143" s="131"/>
      <c r="O143" s="126" t="s">
        <v>460</v>
      </c>
      <c r="P143" s="126"/>
      <c r="Q143" s="126"/>
      <c r="R143" s="1"/>
      <c r="S143" s="1"/>
      <c r="T143" s="1"/>
      <c r="U143" s="1"/>
      <c r="V143" s="1"/>
    </row>
    <row r="144" spans="1:22" x14ac:dyDescent="0.3">
      <c r="A144" s="5" t="str">
        <f>CONCATENATE("F",IF(B144&lt;&gt;"",COUNTA($B$2:B144),""))</f>
        <v>F79</v>
      </c>
      <c r="B144" s="126" t="s">
        <v>54</v>
      </c>
      <c r="C144" s="5" t="s">
        <v>71</v>
      </c>
      <c r="D144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4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4" s="126">
        <f>VLOOKUP(woodflow[[#This Row],[From]],woodstock[#All],4,FALSE)</f>
        <v>2021</v>
      </c>
      <c r="G144" s="5" t="str">
        <f>VLOOKUP(woodflow[[#This Row],[From]],woodstock[#All],5,FALSE)</f>
        <v>OAS</v>
      </c>
      <c r="H144" s="135" t="str">
        <f>VLOOKUP(woodflow[[#This Row],[From]],woodstock[#All],7,FALSE)</f>
        <v>16</v>
      </c>
      <c r="I144" s="135" t="str">
        <f>VLOOKUP(woodflow[[#This Row],[to]],woodstock[#All],7,FALSE)</f>
        <v>28</v>
      </c>
      <c r="J144" s="135" t="str">
        <f>VLOOKUP(woodflow[[#This Row],[From]],woodstock[#All],8,FALSE)</f>
        <v>0</v>
      </c>
      <c r="K144" s="135" t="str">
        <f>VLOOKUP(woodflow[[#This Row],[to]],woodstock[#All],8,FALSE)</f>
        <v>0</v>
      </c>
      <c r="L144" s="136" t="str">
        <f>VLOOKUP(woodflow[[#This Row],[From]],woodstock[#All],9,FALSE)</f>
        <v>nan</v>
      </c>
      <c r="M144" s="136" t="str">
        <f>VLOOKUP(woodflow[[#This Row],[to]],woodstock[#All],9,FALSE)</f>
        <v>nan</v>
      </c>
      <c r="N144" s="131"/>
      <c r="O144" s="126" t="s">
        <v>460</v>
      </c>
      <c r="P144" s="126"/>
      <c r="Q144" s="126"/>
      <c r="R144" s="1"/>
      <c r="S144" s="1"/>
      <c r="T144" s="1"/>
      <c r="U144" s="1"/>
      <c r="V144" s="1"/>
    </row>
    <row r="145" spans="1:22" x14ac:dyDescent="0.3">
      <c r="A145" s="5" t="str">
        <f>CONCATENATE("F",IF(B145&lt;&gt;"",COUNTA($B$2:B145),""))</f>
        <v>F</v>
      </c>
      <c r="B145" s="126"/>
      <c r="C145" s="126"/>
      <c r="D145" s="133"/>
      <c r="E145" s="133"/>
      <c r="F145" s="126"/>
      <c r="G145" s="5"/>
      <c r="H145" s="135"/>
      <c r="I145" s="135"/>
      <c r="J145" s="135"/>
      <c r="K145" s="135"/>
      <c r="L145" s="136"/>
      <c r="M145" s="136"/>
      <c r="N145" s="131"/>
      <c r="O145" s="126"/>
      <c r="P145" s="126"/>
      <c r="Q145" s="126"/>
      <c r="R145" s="1"/>
      <c r="S145" s="1"/>
      <c r="T145" s="1"/>
      <c r="U145" s="1"/>
      <c r="V145" s="1"/>
    </row>
    <row r="146" spans="1:22" x14ac:dyDescent="0.3">
      <c r="A146" s="5" t="str">
        <f>CONCATENATE("F",IF(B146&lt;&gt;"",COUNTA($B$2:B146),""))</f>
        <v>F</v>
      </c>
      <c r="B146" s="126"/>
      <c r="C146" s="126"/>
      <c r="D146" s="133"/>
      <c r="E146" s="133"/>
      <c r="F146" s="126"/>
      <c r="G146" s="5"/>
      <c r="H146" s="135"/>
      <c r="I146" s="135"/>
      <c r="J146" s="135"/>
      <c r="K146" s="135"/>
      <c r="L146" s="136"/>
      <c r="M146" s="136"/>
      <c r="N146" s="131"/>
      <c r="O146" s="126"/>
      <c r="P146" s="126"/>
      <c r="Q146" s="126"/>
      <c r="R146" s="1"/>
      <c r="S146" s="1"/>
      <c r="T146" s="1"/>
      <c r="U146" s="1"/>
      <c r="V146" s="1"/>
    </row>
    <row r="147" spans="1:22" x14ac:dyDescent="0.3">
      <c r="A147" s="5" t="str">
        <f>CONCATENATE("F",IF(B147&lt;&gt;"",COUNTA($B$2:B147),""))</f>
        <v>F80</v>
      </c>
      <c r="B147" s="126" t="s">
        <v>65</v>
      </c>
      <c r="C147" s="5" t="s">
        <v>72</v>
      </c>
      <c r="D147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4.3097142857142856</v>
      </c>
      <c r="E14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7" s="126">
        <f>VLOOKUP(woodflow[[#This Row],[From]],woodstock[#All],4,FALSE)</f>
        <v>2021</v>
      </c>
      <c r="G147" s="5" t="str">
        <f>VLOOKUP(woodflow[[#This Row],[From]],woodstock[#All],5,FALSE)</f>
        <v>OAS</v>
      </c>
      <c r="H147" s="135" t="str">
        <f>VLOOKUP(woodflow[[#This Row],[From]],woodstock[#All],7,FALSE)</f>
        <v>9</v>
      </c>
      <c r="I147" s="135" t="str">
        <f>VLOOKUP(woodflow[[#This Row],[to]],woodstock[#All],7,FALSE)</f>
        <v>29</v>
      </c>
      <c r="J147" s="135" t="str">
        <f>VLOOKUP(woodflow[[#This Row],[From]],woodstock[#All],8,FALSE)</f>
        <v>1</v>
      </c>
      <c r="K147" s="135" t="str">
        <f>VLOOKUP(woodflow[[#This Row],[to]],woodstock[#All],8,FALSE)</f>
        <v>0</v>
      </c>
      <c r="L147" s="136" t="str">
        <f>VLOOKUP(woodflow[[#This Row],[From]],woodstock[#All],9,FALSE)</f>
        <v>15-16</v>
      </c>
      <c r="M147" s="136" t="str">
        <f>VLOOKUP(woodflow[[#This Row],[to]],woodstock[#All],9,FALSE)</f>
        <v>nan</v>
      </c>
      <c r="N147" s="131">
        <f>'faostat-data'!Q111+N307</f>
        <v>4.3097142857142856</v>
      </c>
      <c r="O147" s="126" t="s">
        <v>556</v>
      </c>
      <c r="P147" s="126" t="s">
        <v>239</v>
      </c>
      <c r="Q147" s="126" t="s">
        <v>234</v>
      </c>
      <c r="R147" s="1"/>
      <c r="S147" s="1"/>
      <c r="T147" s="1"/>
      <c r="U147" s="1"/>
      <c r="V147" s="1"/>
    </row>
    <row r="148" spans="1:22" x14ac:dyDescent="0.3">
      <c r="A148" s="5" t="str">
        <f>CONCATENATE("F",IF(B148&lt;&gt;"",COUNTA($B$2:B148),""))</f>
        <v>F81</v>
      </c>
      <c r="B148" s="126" t="s">
        <v>53</v>
      </c>
      <c r="C148" s="5" t="s">
        <v>72</v>
      </c>
      <c r="D148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8" s="126">
        <f>VLOOKUP(woodflow[[#This Row],[From]],woodstock[#All],4,FALSE)</f>
        <v>2021</v>
      </c>
      <c r="G148" s="5" t="str">
        <f>VLOOKUP(woodflow[[#This Row],[From]],woodstock[#All],5,FALSE)</f>
        <v>OAS</v>
      </c>
      <c r="H148" s="135" t="str">
        <f>VLOOKUP(woodflow[[#This Row],[From]],woodstock[#All],7,FALSE)</f>
        <v>15</v>
      </c>
      <c r="I148" s="135" t="str">
        <f>VLOOKUP(woodflow[[#This Row],[to]],woodstock[#All],7,FALSE)</f>
        <v>29</v>
      </c>
      <c r="J148" s="135" t="str">
        <f>VLOOKUP(woodflow[[#This Row],[From]],woodstock[#All],8,FALSE)</f>
        <v>0</v>
      </c>
      <c r="K148" s="135" t="str">
        <f>VLOOKUP(woodflow[[#This Row],[to]],woodstock[#All],8,FALSE)</f>
        <v>0</v>
      </c>
      <c r="L148" s="136" t="str">
        <f>VLOOKUP(woodflow[[#This Row],[From]],woodstock[#All],9,FALSE)</f>
        <v>nan</v>
      </c>
      <c r="M148" s="136" t="str">
        <f>VLOOKUP(woodflow[[#This Row],[to]],woodstock[#All],9,FALSE)</f>
        <v>nan</v>
      </c>
      <c r="N148" s="131"/>
      <c r="O148" s="126" t="s">
        <v>460</v>
      </c>
      <c r="P148" s="126"/>
      <c r="Q148" s="126"/>
      <c r="R148" s="1"/>
      <c r="S148" s="1"/>
      <c r="T148" s="1"/>
      <c r="U148" s="1"/>
      <c r="V148" s="1"/>
    </row>
    <row r="149" spans="1:22" x14ac:dyDescent="0.3">
      <c r="A149" s="5" t="str">
        <f>CONCATENATE("F",IF(B149&lt;&gt;"",COUNTA($B$2:B149),""))</f>
        <v>F82</v>
      </c>
      <c r="B149" s="126" t="s">
        <v>54</v>
      </c>
      <c r="C149" s="5" t="s">
        <v>72</v>
      </c>
      <c r="D149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9" s="126">
        <f>VLOOKUP(woodflow[[#This Row],[From]],woodstock[#All],4,FALSE)</f>
        <v>2021</v>
      </c>
      <c r="G149" s="5" t="str">
        <f>VLOOKUP(woodflow[[#This Row],[From]],woodstock[#All],5,FALSE)</f>
        <v>OAS</v>
      </c>
      <c r="H149" s="135" t="str">
        <f>VLOOKUP(woodflow[[#This Row],[From]],woodstock[#All],7,FALSE)</f>
        <v>16</v>
      </c>
      <c r="I149" s="135" t="str">
        <f>VLOOKUP(woodflow[[#This Row],[to]],woodstock[#All],7,FALSE)</f>
        <v>29</v>
      </c>
      <c r="J149" s="135" t="str">
        <f>VLOOKUP(woodflow[[#This Row],[From]],woodstock[#All],8,FALSE)</f>
        <v>0</v>
      </c>
      <c r="K149" s="135" t="str">
        <f>VLOOKUP(woodflow[[#This Row],[to]],woodstock[#All],8,FALSE)</f>
        <v>0</v>
      </c>
      <c r="L149" s="136" t="str">
        <f>VLOOKUP(woodflow[[#This Row],[From]],woodstock[#All],9,FALSE)</f>
        <v>nan</v>
      </c>
      <c r="M149" s="136" t="str">
        <f>VLOOKUP(woodflow[[#This Row],[to]],woodstock[#All],9,FALSE)</f>
        <v>nan</v>
      </c>
      <c r="N149" s="131"/>
      <c r="O149" s="126" t="s">
        <v>460</v>
      </c>
      <c r="P149" s="126"/>
      <c r="Q149" s="126"/>
      <c r="R149" s="1"/>
      <c r="S149" s="1"/>
      <c r="T149" s="1"/>
      <c r="U149" s="1"/>
      <c r="V149" s="1"/>
    </row>
    <row r="150" spans="1:22" x14ac:dyDescent="0.3">
      <c r="A150" s="5" t="str">
        <f>CONCATENATE("F",IF(B150&lt;&gt;"",COUNTA($B$2:B150),""))</f>
        <v>F</v>
      </c>
      <c r="B150" s="126"/>
      <c r="C150" s="126"/>
      <c r="D150" s="133"/>
      <c r="E150" s="133"/>
      <c r="F150" s="126"/>
      <c r="G150" s="5"/>
      <c r="H150" s="135"/>
      <c r="I150" s="135"/>
      <c r="J150" s="135"/>
      <c r="K150" s="135"/>
      <c r="L150" s="136"/>
      <c r="M150" s="136"/>
      <c r="N150" s="131"/>
      <c r="O150" s="126"/>
      <c r="P150" s="126"/>
      <c r="Q150" s="126"/>
      <c r="R150" s="1"/>
      <c r="S150" s="1"/>
      <c r="T150" s="1"/>
      <c r="U150" s="1"/>
      <c r="V150" s="1"/>
    </row>
    <row r="151" spans="1:22" x14ac:dyDescent="0.3">
      <c r="A151" s="5" t="str">
        <f>CONCATENATE("F",IF(B151&lt;&gt;"",COUNTA($B$2:B151),""))</f>
        <v>F</v>
      </c>
      <c r="B151" s="126"/>
      <c r="C151" s="126"/>
      <c r="D151" s="133"/>
      <c r="E151" s="133"/>
      <c r="F151" s="126"/>
      <c r="G151" s="5"/>
      <c r="H151" s="135"/>
      <c r="I151" s="135"/>
      <c r="J151" s="135"/>
      <c r="K151" s="135"/>
      <c r="L151" s="136"/>
      <c r="M151" s="136"/>
      <c r="N151" s="131"/>
      <c r="O151" s="126"/>
      <c r="P151" s="126"/>
      <c r="Q151" s="126"/>
      <c r="R151" s="1"/>
      <c r="S151" s="1"/>
      <c r="T151" s="1"/>
      <c r="U151" s="1"/>
      <c r="V151" s="1"/>
    </row>
    <row r="152" spans="1:22" x14ac:dyDescent="0.3">
      <c r="A152" s="5" t="str">
        <f>CONCATENATE("F",IF(B152&lt;&gt;"",COUNTA($B$2:B152),""))</f>
        <v>F83</v>
      </c>
      <c r="B152" s="126" t="s">
        <v>54</v>
      </c>
      <c r="C152" s="126" t="s">
        <v>47</v>
      </c>
      <c r="D152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5.371414681500001</v>
      </c>
      <c r="E152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2" s="126">
        <f>VLOOKUP(woodflow[[#This Row],[From]],woodstock[#All],4,FALSE)</f>
        <v>2021</v>
      </c>
      <c r="G152" s="5" t="str">
        <f>VLOOKUP(woodflow[[#This Row],[From]],woodstock[#All],5,FALSE)</f>
        <v>OAS</v>
      </c>
      <c r="H152" s="135" t="str">
        <f>VLOOKUP(woodflow[[#This Row],[From]],woodstock[#All],7,FALSE)</f>
        <v>16</v>
      </c>
      <c r="I152" s="135" t="str">
        <f>VLOOKUP(woodflow[[#This Row],[to]],woodstock[#All],7,FALSE)</f>
        <v>17</v>
      </c>
      <c r="J152" s="135" t="str">
        <f>VLOOKUP(woodflow[[#This Row],[From]],woodstock[#All],8,FALSE)</f>
        <v>0</v>
      </c>
      <c r="K152" s="135" t="str">
        <f>VLOOKUP(woodflow[[#This Row],[to]],woodstock[#All],8,FALSE)</f>
        <v>0</v>
      </c>
      <c r="L152" s="136" t="str">
        <f>VLOOKUP(woodflow[[#This Row],[From]],woodstock[#All],9,FALSE)</f>
        <v>nan</v>
      </c>
      <c r="M152" s="136" t="str">
        <f>VLOOKUP(woodflow[[#This Row],[to]],woodstock[#All],9,FALSE)</f>
        <v>nan</v>
      </c>
      <c r="N152" s="131">
        <f>('faostat-data'!Q34+'faostat-data'!Q48)/'production-mass-balance'!B10</f>
        <v>5.371414681500001</v>
      </c>
      <c r="O152" s="126" t="s">
        <v>556</v>
      </c>
      <c r="P152" s="126" t="s">
        <v>456</v>
      </c>
      <c r="Q152" s="126"/>
      <c r="R152" s="1"/>
      <c r="S152" s="1"/>
      <c r="T152" s="1"/>
      <c r="U152" s="1"/>
      <c r="V152" s="1"/>
    </row>
    <row r="153" spans="1:22" x14ac:dyDescent="0.3">
      <c r="A153" s="5" t="str">
        <f>CONCATENATE("F",IF(B153&lt;&gt;"",COUNTA($B$2:B153),""))</f>
        <v>F</v>
      </c>
      <c r="B153" s="126"/>
      <c r="C153" s="126"/>
      <c r="D153" s="133"/>
      <c r="E153" s="133"/>
      <c r="F153" s="126"/>
      <c r="G153" s="5"/>
      <c r="H153" s="135"/>
      <c r="I153" s="135"/>
      <c r="J153" s="135"/>
      <c r="K153" s="135"/>
      <c r="L153" s="136"/>
      <c r="M153" s="136"/>
      <c r="N153" s="131"/>
      <c r="O153" s="126"/>
      <c r="P153" s="126"/>
      <c r="Q153" s="126"/>
      <c r="R153" s="1"/>
      <c r="S153" s="1"/>
      <c r="T153" s="1"/>
      <c r="U153" s="1"/>
      <c r="V153" s="1"/>
    </row>
    <row r="154" spans="1:22" x14ac:dyDescent="0.3">
      <c r="A154" s="5" t="str">
        <f>CONCATENATE("F",IF(B154&lt;&gt;"",COUNTA($B$2:B154),""))</f>
        <v>F</v>
      </c>
      <c r="B154" s="126"/>
      <c r="C154" s="126"/>
      <c r="D154" s="133"/>
      <c r="E154" s="133"/>
      <c r="F154" s="126"/>
      <c r="G154" s="5"/>
      <c r="H154" s="135"/>
      <c r="I154" s="135"/>
      <c r="J154" s="135"/>
      <c r="K154" s="135"/>
      <c r="L154" s="136"/>
      <c r="M154" s="136"/>
      <c r="N154" s="131"/>
      <c r="O154" s="126"/>
      <c r="P154" s="126"/>
      <c r="Q154" s="126"/>
      <c r="R154" s="1"/>
      <c r="S154" s="1"/>
      <c r="T154" s="1"/>
      <c r="U154" s="1"/>
      <c r="V154" s="1"/>
    </row>
    <row r="155" spans="1:22" x14ac:dyDescent="0.3">
      <c r="A155" s="5" t="str">
        <f>CONCATENATE("F",IF(B155&lt;&gt;"",COUNTA($B$2:B155),""))</f>
        <v>F84</v>
      </c>
      <c r="B155" s="126" t="s">
        <v>47</v>
      </c>
      <c r="C155" s="5" t="s">
        <v>74</v>
      </c>
      <c r="D155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0.48049938150000016</v>
      </c>
      <c r="E155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5" s="126">
        <f>VLOOKUP(woodflow[[#This Row],[From]],woodstock[#All],4,FALSE)</f>
        <v>2021</v>
      </c>
      <c r="G155" s="5" t="str">
        <f>VLOOKUP(woodflow[[#This Row],[From]],woodstock[#All],5,FALSE)</f>
        <v>OAS</v>
      </c>
      <c r="H155" s="135" t="str">
        <f>VLOOKUP(woodflow[[#This Row],[From]],woodstock[#All],7,FALSE)</f>
        <v>17</v>
      </c>
      <c r="I155" s="135" t="str">
        <f>VLOOKUP(woodflow[[#This Row],[to]],woodstock[#All],7,FALSE)</f>
        <v>55</v>
      </c>
      <c r="J155" s="135" t="str">
        <f>VLOOKUP(woodflow[[#This Row],[From]],woodstock[#All],8,FALSE)</f>
        <v>0</v>
      </c>
      <c r="K155" s="135" t="str">
        <f>VLOOKUP(woodflow[[#This Row],[to]],woodstock[#All],8,FALSE)</f>
        <v>0</v>
      </c>
      <c r="L155" s="136" t="str">
        <f>VLOOKUP(woodflow[[#This Row],[From]],woodstock[#All],9,FALSE)</f>
        <v>nan</v>
      </c>
      <c r="M155" s="136" t="str">
        <f>VLOOKUP(woodflow[[#This Row],[to]],woodstock[#All],9,FALSE)</f>
        <v>nan</v>
      </c>
      <c r="N155" s="131">
        <f>(('faostat-data'!Q34+'faostat-data'!Q48)/'production-mass-balance'!B10)*'production-mass-balance'!B9</f>
        <v>0.48049938150000016</v>
      </c>
      <c r="O155" s="126" t="s">
        <v>556</v>
      </c>
      <c r="P155" s="126" t="s">
        <v>456</v>
      </c>
      <c r="Q155" s="126"/>
      <c r="R155" s="1"/>
      <c r="S155" s="1"/>
      <c r="T155" s="1"/>
      <c r="U155" s="1"/>
      <c r="V155" s="1"/>
    </row>
    <row r="156" spans="1:22" x14ac:dyDescent="0.3">
      <c r="A156" s="5" t="str">
        <f>CONCATENATE("F",IF(B156&lt;&gt;"",COUNTA($B$2:B156),""))</f>
        <v>F</v>
      </c>
      <c r="B156" s="126"/>
      <c r="C156" s="126"/>
      <c r="D156" s="133"/>
      <c r="E156" s="133"/>
      <c r="F156" s="126"/>
      <c r="G156" s="5"/>
      <c r="H156" s="135"/>
      <c r="I156" s="135"/>
      <c r="J156" s="135"/>
      <c r="K156" s="135"/>
      <c r="L156" s="136"/>
      <c r="M156" s="136"/>
      <c r="N156" s="131"/>
      <c r="O156" s="126"/>
      <c r="P156" s="126"/>
      <c r="Q156" s="126"/>
      <c r="R156" s="1"/>
      <c r="S156" s="1"/>
      <c r="T156" s="1"/>
      <c r="U156" s="1"/>
      <c r="V156" s="1"/>
    </row>
    <row r="157" spans="1:22" x14ac:dyDescent="0.3">
      <c r="A157" s="5" t="str">
        <f>CONCATENATE("F",IF(B157&lt;&gt;"",COUNTA($B$2:B157),""))</f>
        <v>F</v>
      </c>
      <c r="B157" s="126"/>
      <c r="C157" s="126"/>
      <c r="D157" s="133"/>
      <c r="E157" s="133"/>
      <c r="F157" s="126"/>
      <c r="G157" s="5"/>
      <c r="H157" s="135"/>
      <c r="I157" s="135"/>
      <c r="J157" s="135"/>
      <c r="K157" s="135"/>
      <c r="L157" s="136"/>
      <c r="M157" s="136"/>
      <c r="N157" s="131"/>
      <c r="O157" s="126"/>
      <c r="P157" s="126"/>
      <c r="Q157" s="126"/>
      <c r="R157" s="1"/>
      <c r="S157" s="1"/>
      <c r="T157" s="1"/>
      <c r="U157" s="1"/>
      <c r="V157" s="1"/>
    </row>
    <row r="158" spans="1:22" x14ac:dyDescent="0.3">
      <c r="A158" s="5" t="str">
        <f>CONCATENATE("F",IF(B158&lt;&gt;"",COUNTA($B$2:B158),""))</f>
        <v>F85</v>
      </c>
      <c r="B158" s="126" t="s">
        <v>47</v>
      </c>
      <c r="C158" s="126" t="s">
        <v>409</v>
      </c>
      <c r="D15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4.414818849875001</v>
      </c>
      <c r="E15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8" s="126">
        <f>VLOOKUP(woodflow[[#This Row],[From]],woodstock[#All],4,FALSE)</f>
        <v>2021</v>
      </c>
      <c r="G158" s="5" t="str">
        <f>VLOOKUP(woodflow[[#This Row],[From]],woodstock[#All],5,FALSE)</f>
        <v>OAS</v>
      </c>
      <c r="H158" s="135" t="str">
        <f>VLOOKUP(woodflow[[#This Row],[From]],woodstock[#All],7,FALSE)</f>
        <v>17</v>
      </c>
      <c r="I158" s="135" t="str">
        <f>VLOOKUP(woodflow[[#This Row],[to]],woodstock[#All],7,FALSE)</f>
        <v>43</v>
      </c>
      <c r="J158" s="135" t="str">
        <f>VLOOKUP(woodflow[[#This Row],[From]],woodstock[#All],8,FALSE)</f>
        <v>0</v>
      </c>
      <c r="K158" s="135" t="str">
        <f>VLOOKUP(woodflow[[#This Row],[to]],woodstock[#All],8,FALSE)</f>
        <v>0</v>
      </c>
      <c r="L158" s="136" t="str">
        <f>VLOOKUP(woodflow[[#This Row],[From]],woodstock[#All],9,FALSE)</f>
        <v>nan</v>
      </c>
      <c r="M158" s="136" t="str">
        <f>VLOOKUP(woodflow[[#This Row],[to]],woodstock[#All],9,FALSE)</f>
        <v>nan</v>
      </c>
      <c r="N158" s="131">
        <f>('faostat-data'!Q34+'faostat-data'!Q48)+('faostat-data'!Q36+'faostat-data'!Q49)-('faostat-data'!Q38+'faostat-data'!Q50)</f>
        <v>4.414818849875001</v>
      </c>
      <c r="O158" s="126" t="s">
        <v>556</v>
      </c>
      <c r="P158" s="126"/>
      <c r="Q158" s="126" t="s">
        <v>234</v>
      </c>
      <c r="R158" s="1"/>
      <c r="S158" s="1"/>
      <c r="T158" s="1"/>
      <c r="U158" s="1"/>
      <c r="V158" s="1"/>
    </row>
    <row r="159" spans="1:22" x14ac:dyDescent="0.3">
      <c r="A159" s="5" t="str">
        <f>CONCATENATE("F",IF(B159&lt;&gt;"",COUNTA($B$2:B159),""))</f>
        <v>F</v>
      </c>
      <c r="B159" s="126"/>
      <c r="C159" s="126"/>
      <c r="D159" s="133"/>
      <c r="E159" s="133"/>
      <c r="F159" s="126"/>
      <c r="G159" s="5"/>
      <c r="H159" s="135"/>
      <c r="I159" s="135"/>
      <c r="J159" s="135"/>
      <c r="K159" s="135"/>
      <c r="L159" s="136"/>
      <c r="M159" s="136"/>
      <c r="N159" s="131"/>
      <c r="O159" s="126"/>
      <c r="P159" s="126"/>
      <c r="Q159" s="126"/>
      <c r="R159" s="1"/>
      <c r="S159" s="1"/>
      <c r="T159" s="1"/>
      <c r="U159" s="1"/>
      <c r="V159" s="1"/>
    </row>
    <row r="160" spans="1:22" x14ac:dyDescent="0.3">
      <c r="A160" s="5" t="str">
        <f>CONCATENATE("F",IF(B160&lt;&gt;"",COUNTA($B$2:B160),""))</f>
        <v>F</v>
      </c>
      <c r="B160" s="126"/>
      <c r="C160" s="126"/>
      <c r="D160" s="133"/>
      <c r="E160" s="133"/>
      <c r="F160" s="126"/>
      <c r="G160" s="5"/>
      <c r="H160" s="135"/>
      <c r="I160" s="135"/>
      <c r="J160" s="135"/>
      <c r="K160" s="135"/>
      <c r="L160" s="136"/>
      <c r="M160" s="136"/>
      <c r="N160" s="131"/>
      <c r="O160" s="126"/>
      <c r="P160" s="126"/>
      <c r="Q160" s="126"/>
      <c r="R160" s="1"/>
      <c r="S160" s="1"/>
      <c r="T160" s="1"/>
      <c r="U160" s="1"/>
      <c r="V160" s="1"/>
    </row>
    <row r="161" spans="1:22" x14ac:dyDescent="0.3">
      <c r="A161" s="5" t="str">
        <f>CONCATENATE("F",IF(B161&lt;&gt;"",COUNTA($B$2:B161),""))</f>
        <v>F86</v>
      </c>
      <c r="B161" s="5" t="s">
        <v>274</v>
      </c>
      <c r="C161" s="126" t="s">
        <v>51</v>
      </c>
      <c r="D161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2.6455291065000002</v>
      </c>
      <c r="E161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61" s="126">
        <f>VLOOKUP(woodflow[[#This Row],[From]],woodstock[#All],4,FALSE)</f>
        <v>2021</v>
      </c>
      <c r="G161" s="5" t="str">
        <f>VLOOKUP(woodflow[[#This Row],[From]],woodstock[#All],5,FALSE)</f>
        <v>OAS</v>
      </c>
      <c r="H161" s="135" t="str">
        <f>VLOOKUP(woodflow[[#This Row],[From]],woodstock[#All],7,FALSE)</f>
        <v>18</v>
      </c>
      <c r="I161" s="135" t="str">
        <f>VLOOKUP(woodflow[[#This Row],[to]],woodstock[#All],7,FALSE)</f>
        <v>15</v>
      </c>
      <c r="J161" s="135" t="str">
        <f>VLOOKUP(woodflow[[#This Row],[From]],woodstock[#All],8,FALSE)</f>
        <v>0</v>
      </c>
      <c r="K161" s="135" t="str">
        <f>VLOOKUP(woodflow[[#This Row],[to]],woodstock[#All],8,FALSE)</f>
        <v>1</v>
      </c>
      <c r="L161" s="136" t="str">
        <f>VLOOKUP(woodflow[[#This Row],[From]],woodstock[#All],9,FALSE)</f>
        <v>nan</v>
      </c>
      <c r="M161" s="136" t="str">
        <f>VLOOKUP(woodflow[[#This Row],[to]],woodstock[#All],9,FALSE)</f>
        <v>37-38-39-40-41-42</v>
      </c>
      <c r="N161" s="131">
        <f>'faostat-data'!Q51+'faostat-data'!Q52-'faostat-data'!Q53</f>
        <v>2.6455291065000002</v>
      </c>
      <c r="O161" s="126" t="s">
        <v>556</v>
      </c>
      <c r="P161" s="126"/>
      <c r="Q161" s="126" t="s">
        <v>234</v>
      </c>
      <c r="R161" s="1"/>
      <c r="S161" s="1"/>
      <c r="T161" s="1"/>
      <c r="U161" s="1"/>
      <c r="V161" s="1"/>
    </row>
    <row r="162" spans="1:22" x14ac:dyDescent="0.3">
      <c r="A162" s="5" t="str">
        <f>CONCATENATE("F",IF(B162&lt;&gt;"",COUNTA($B$2:B162),""))</f>
        <v>F87</v>
      </c>
      <c r="B162" s="5" t="s">
        <v>274</v>
      </c>
      <c r="C162" s="126" t="s">
        <v>36</v>
      </c>
      <c r="D162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2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0.56878875789750005</v>
      </c>
      <c r="F162" s="126">
        <f>VLOOKUP(woodflow[[#This Row],[From]],woodstock[#All],4,FALSE)</f>
        <v>2021</v>
      </c>
      <c r="G162" s="5" t="str">
        <f>VLOOKUP(woodflow[[#This Row],[From]],woodstock[#All],5,FALSE)</f>
        <v>OAS</v>
      </c>
      <c r="H162" s="135" t="str">
        <f>VLOOKUP(woodflow[[#This Row],[From]],woodstock[#All],7,FALSE)</f>
        <v>18</v>
      </c>
      <c r="I162" s="135" t="str">
        <f>VLOOKUP(woodflow[[#This Row],[to]],woodstock[#All],7,FALSE)</f>
        <v>37</v>
      </c>
      <c r="J162" s="135" t="str">
        <f>VLOOKUP(woodflow[[#This Row],[From]],woodstock[#All],8,FALSE)</f>
        <v>0</v>
      </c>
      <c r="K162" s="135" t="str">
        <f>VLOOKUP(woodflow[[#This Row],[to]],woodstock[#All],8,FALSE)</f>
        <v>0</v>
      </c>
      <c r="L162" s="136" t="str">
        <f>VLOOKUP(woodflow[[#This Row],[From]],woodstock[#All],9,FALSE)</f>
        <v>nan</v>
      </c>
      <c r="M162" s="136" t="str">
        <f>VLOOKUP(woodflow[[#This Row],[to]],woodstock[#All],9,FALSE)</f>
        <v>nan</v>
      </c>
      <c r="N162" s="131">
        <f>$N$161*woodratio!I29</f>
        <v>0.56878875789750005</v>
      </c>
      <c r="O162" s="126" t="s">
        <v>549</v>
      </c>
      <c r="P162" s="126" t="s">
        <v>240</v>
      </c>
      <c r="Q162" s="126"/>
      <c r="R162" s="1"/>
      <c r="S162" s="1"/>
      <c r="T162" s="1"/>
      <c r="U162" s="1"/>
      <c r="V162" s="1"/>
    </row>
    <row r="163" spans="1:22" x14ac:dyDescent="0.3">
      <c r="A163" s="5" t="str">
        <f>CONCATENATE("F",IF(B163&lt;&gt;"",COUNTA($B$2:B163),""))</f>
        <v>F88</v>
      </c>
      <c r="B163" s="5" t="s">
        <v>274</v>
      </c>
      <c r="C163" s="126" t="s">
        <v>37</v>
      </c>
      <c r="D163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3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0.50265053023500006</v>
      </c>
      <c r="F163" s="126">
        <f>VLOOKUP(woodflow[[#This Row],[From]],woodstock[#All],4,FALSE)</f>
        <v>2021</v>
      </c>
      <c r="G163" s="5" t="str">
        <f>VLOOKUP(woodflow[[#This Row],[From]],woodstock[#All],5,FALSE)</f>
        <v>OAS</v>
      </c>
      <c r="H163" s="135" t="str">
        <f>VLOOKUP(woodflow[[#This Row],[From]],woodstock[#All],7,FALSE)</f>
        <v>18</v>
      </c>
      <c r="I163" s="135" t="str">
        <f>VLOOKUP(woodflow[[#This Row],[to]],woodstock[#All],7,FALSE)</f>
        <v>38</v>
      </c>
      <c r="J163" s="135" t="str">
        <f>VLOOKUP(woodflow[[#This Row],[From]],woodstock[#All],8,FALSE)</f>
        <v>0</v>
      </c>
      <c r="K163" s="135" t="str">
        <f>VLOOKUP(woodflow[[#This Row],[to]],woodstock[#All],8,FALSE)</f>
        <v>0</v>
      </c>
      <c r="L163" s="136" t="str">
        <f>VLOOKUP(woodflow[[#This Row],[From]],woodstock[#All],9,FALSE)</f>
        <v>nan</v>
      </c>
      <c r="M163" s="136" t="str">
        <f>VLOOKUP(woodflow[[#This Row],[to]],woodstock[#All],9,FALSE)</f>
        <v>nan</v>
      </c>
      <c r="N163" s="131">
        <f>$N$161*woodratio!I30</f>
        <v>0.50265053023500006</v>
      </c>
      <c r="O163" s="126" t="s">
        <v>549</v>
      </c>
      <c r="P163" s="126" t="s">
        <v>240</v>
      </c>
      <c r="Q163" s="126"/>
      <c r="R163" s="1"/>
      <c r="S163" s="1"/>
      <c r="T163" s="1"/>
      <c r="U163" s="1"/>
      <c r="V163" s="1"/>
    </row>
    <row r="164" spans="1:22" x14ac:dyDescent="0.3">
      <c r="A164" s="5" t="str">
        <f>CONCATENATE("F",IF(B164&lt;&gt;"",COUNTA($B$2:B164),""))</f>
        <v>F89</v>
      </c>
      <c r="B164" s="5" t="s">
        <v>274</v>
      </c>
      <c r="C164" s="126" t="s">
        <v>39</v>
      </c>
      <c r="D164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4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3.9682936597500003E-2</v>
      </c>
      <c r="F164" s="126">
        <f>VLOOKUP(woodflow[[#This Row],[From]],woodstock[#All],4,FALSE)</f>
        <v>2021</v>
      </c>
      <c r="G164" s="5" t="str">
        <f>VLOOKUP(woodflow[[#This Row],[From]],woodstock[#All],5,FALSE)</f>
        <v>OAS</v>
      </c>
      <c r="H164" s="135" t="str">
        <f>VLOOKUP(woodflow[[#This Row],[From]],woodstock[#All],7,FALSE)</f>
        <v>18</v>
      </c>
      <c r="I164" s="135" t="str">
        <f>VLOOKUP(woodflow[[#This Row],[to]],woodstock[#All],7,FALSE)</f>
        <v>39</v>
      </c>
      <c r="J164" s="135" t="str">
        <f>VLOOKUP(woodflow[[#This Row],[From]],woodstock[#All],8,FALSE)</f>
        <v>0</v>
      </c>
      <c r="K164" s="135" t="str">
        <f>VLOOKUP(woodflow[[#This Row],[to]],woodstock[#All],8,FALSE)</f>
        <v>0</v>
      </c>
      <c r="L164" s="136" t="str">
        <f>VLOOKUP(woodflow[[#This Row],[From]],woodstock[#All],9,FALSE)</f>
        <v>nan</v>
      </c>
      <c r="M164" s="136" t="str">
        <f>VLOOKUP(woodflow[[#This Row],[to]],woodstock[#All],9,FALSE)</f>
        <v>nan</v>
      </c>
      <c r="N164" s="131">
        <f>$N$161*woodratio!I31</f>
        <v>3.9682936597500003E-2</v>
      </c>
      <c r="O164" s="126" t="s">
        <v>549</v>
      </c>
      <c r="P164" s="126" t="s">
        <v>240</v>
      </c>
      <c r="Q164" s="126"/>
      <c r="R164" s="1"/>
      <c r="S164" s="1"/>
      <c r="T164" s="1"/>
      <c r="U164" s="1"/>
      <c r="V164" s="1"/>
    </row>
    <row r="165" spans="1:22" x14ac:dyDescent="0.3">
      <c r="A165" s="5" t="str">
        <f>CONCATENATE("F",IF(B165&lt;&gt;"",COUNTA($B$2:B165),""))</f>
        <v>F90</v>
      </c>
      <c r="B165" s="5" t="s">
        <v>274</v>
      </c>
      <c r="C165" s="126" t="s">
        <v>40</v>
      </c>
      <c r="D165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5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1.2433986800550001</v>
      </c>
      <c r="F165" s="126">
        <f>VLOOKUP(woodflow[[#This Row],[From]],woodstock[#All],4,FALSE)</f>
        <v>2021</v>
      </c>
      <c r="G165" s="5" t="str">
        <f>VLOOKUP(woodflow[[#This Row],[From]],woodstock[#All],5,FALSE)</f>
        <v>OAS</v>
      </c>
      <c r="H165" s="135" t="str">
        <f>VLOOKUP(woodflow[[#This Row],[From]],woodstock[#All],7,FALSE)</f>
        <v>18</v>
      </c>
      <c r="I165" s="135" t="str">
        <f>VLOOKUP(woodflow[[#This Row],[to]],woodstock[#All],7,FALSE)</f>
        <v>40</v>
      </c>
      <c r="J165" s="135" t="str">
        <f>VLOOKUP(woodflow[[#This Row],[From]],woodstock[#All],8,FALSE)</f>
        <v>0</v>
      </c>
      <c r="K165" s="135" t="str">
        <f>VLOOKUP(woodflow[[#This Row],[to]],woodstock[#All],8,FALSE)</f>
        <v>0</v>
      </c>
      <c r="L165" s="136" t="str">
        <f>VLOOKUP(woodflow[[#This Row],[From]],woodstock[#All],9,FALSE)</f>
        <v>nan</v>
      </c>
      <c r="M165" s="136" t="str">
        <f>VLOOKUP(woodflow[[#This Row],[to]],woodstock[#All],9,FALSE)</f>
        <v>nan</v>
      </c>
      <c r="N165" s="131">
        <f>$N$161*woodratio!I32</f>
        <v>1.2433986800550001</v>
      </c>
      <c r="O165" s="126" t="s">
        <v>549</v>
      </c>
      <c r="P165" s="126" t="s">
        <v>240</v>
      </c>
      <c r="Q165" s="126"/>
      <c r="R165" s="1"/>
      <c r="S165" s="1"/>
      <c r="T165" s="1"/>
      <c r="U165" s="1"/>
      <c r="V165" s="1"/>
    </row>
    <row r="166" spans="1:22" x14ac:dyDescent="0.3">
      <c r="A166" s="5" t="str">
        <f>CONCATENATE("F",IF(B166&lt;&gt;"",COUNTA($B$2:B166),""))</f>
        <v>F91</v>
      </c>
      <c r="B166" s="5" t="s">
        <v>274</v>
      </c>
      <c r="C166" s="126" t="s">
        <v>41</v>
      </c>
      <c r="D166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6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7.9365873195000006E-2</v>
      </c>
      <c r="F166" s="126">
        <f>VLOOKUP(woodflow[[#This Row],[From]],woodstock[#All],4,FALSE)</f>
        <v>2021</v>
      </c>
      <c r="G166" s="5" t="str">
        <f>VLOOKUP(woodflow[[#This Row],[From]],woodstock[#All],5,FALSE)</f>
        <v>OAS</v>
      </c>
      <c r="H166" s="135" t="str">
        <f>VLOOKUP(woodflow[[#This Row],[From]],woodstock[#All],7,FALSE)</f>
        <v>18</v>
      </c>
      <c r="I166" s="135" t="str">
        <f>VLOOKUP(woodflow[[#This Row],[to]],woodstock[#All],7,FALSE)</f>
        <v>41</v>
      </c>
      <c r="J166" s="135" t="str">
        <f>VLOOKUP(woodflow[[#This Row],[From]],woodstock[#All],8,FALSE)</f>
        <v>0</v>
      </c>
      <c r="K166" s="135" t="str">
        <f>VLOOKUP(woodflow[[#This Row],[to]],woodstock[#All],8,FALSE)</f>
        <v>0</v>
      </c>
      <c r="L166" s="136" t="str">
        <f>VLOOKUP(woodflow[[#This Row],[From]],woodstock[#All],9,FALSE)</f>
        <v>nan</v>
      </c>
      <c r="M166" s="136" t="str">
        <f>VLOOKUP(woodflow[[#This Row],[to]],woodstock[#All],9,FALSE)</f>
        <v>nan</v>
      </c>
      <c r="N166" s="131">
        <f>$N$161*woodratio!I33</f>
        <v>7.9365873195000006E-2</v>
      </c>
      <c r="O166" s="126" t="s">
        <v>549</v>
      </c>
      <c r="P166" s="126" t="s">
        <v>240</v>
      </c>
      <c r="Q166" s="126"/>
      <c r="R166" s="1"/>
      <c r="S166" s="1"/>
      <c r="T166" s="1"/>
      <c r="U166" s="1"/>
      <c r="V166" s="1"/>
    </row>
    <row r="167" spans="1:22" x14ac:dyDescent="0.3">
      <c r="A167" s="5" t="str">
        <f>CONCATENATE("F",IF(B167&lt;&gt;"",COUNTA($B$2:B167),""))</f>
        <v>F92</v>
      </c>
      <c r="B167" s="5" t="s">
        <v>274</v>
      </c>
      <c r="C167" s="126" t="s">
        <v>38</v>
      </c>
      <c r="D167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7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0.21164232852000001</v>
      </c>
      <c r="F167" s="126">
        <f>VLOOKUP(woodflow[[#This Row],[From]],woodstock[#All],4,FALSE)</f>
        <v>2021</v>
      </c>
      <c r="G167" s="5" t="str">
        <f>VLOOKUP(woodflow[[#This Row],[From]],woodstock[#All],5,FALSE)</f>
        <v>OAS</v>
      </c>
      <c r="H167" s="135" t="str">
        <f>VLOOKUP(woodflow[[#This Row],[From]],woodstock[#All],7,FALSE)</f>
        <v>18</v>
      </c>
      <c r="I167" s="135" t="str">
        <f>VLOOKUP(woodflow[[#This Row],[to]],woodstock[#All],7,FALSE)</f>
        <v>42</v>
      </c>
      <c r="J167" s="135" t="str">
        <f>VLOOKUP(woodflow[[#This Row],[From]],woodstock[#All],8,FALSE)</f>
        <v>0</v>
      </c>
      <c r="K167" s="135" t="str">
        <f>VLOOKUP(woodflow[[#This Row],[to]],woodstock[#All],8,FALSE)</f>
        <v>0</v>
      </c>
      <c r="L167" s="136" t="str">
        <f>VLOOKUP(woodflow[[#This Row],[From]],woodstock[#All],9,FALSE)</f>
        <v>nan</v>
      </c>
      <c r="M167" s="136" t="str">
        <f>VLOOKUP(woodflow[[#This Row],[to]],woodstock[#All],9,FALSE)</f>
        <v>nan</v>
      </c>
      <c r="N167" s="131">
        <f>$N$161*woodratio!I34</f>
        <v>0.21164232852000001</v>
      </c>
      <c r="O167" s="126" t="s">
        <v>549</v>
      </c>
      <c r="P167" s="126" t="s">
        <v>240</v>
      </c>
      <c r="Q167" s="126"/>
      <c r="R167" s="1"/>
      <c r="S167" s="1"/>
      <c r="T167" s="1"/>
      <c r="U167" s="1"/>
      <c r="V167" s="1"/>
    </row>
    <row r="168" spans="1:22" x14ac:dyDescent="0.3">
      <c r="A168" s="5" t="str">
        <f>CONCATENATE("F",IF(B168&lt;&gt;"",COUNTA($B$2:B168),""))</f>
        <v>F</v>
      </c>
      <c r="B168" s="126"/>
      <c r="C168" s="126"/>
      <c r="D168" s="133"/>
      <c r="E168" s="133"/>
      <c r="F168" s="126"/>
      <c r="G168" s="5"/>
      <c r="H168" s="135"/>
      <c r="I168" s="135"/>
      <c r="J168" s="135"/>
      <c r="K168" s="135"/>
      <c r="L168" s="136"/>
      <c r="M168" s="136"/>
      <c r="N168" s="131"/>
      <c r="O168" s="126"/>
      <c r="P168" s="126"/>
      <c r="Q168" s="126"/>
      <c r="R168" s="1"/>
      <c r="S168" s="1"/>
      <c r="T168" s="1"/>
      <c r="U168" s="1"/>
      <c r="V168" s="1"/>
    </row>
    <row r="169" spans="1:22" x14ac:dyDescent="0.3">
      <c r="A169" s="5" t="str">
        <f>CONCATENATE("F",IF(B169&lt;&gt;"",COUNTA($B$2:B169),""))</f>
        <v>F</v>
      </c>
      <c r="B169" s="126"/>
      <c r="C169" s="126"/>
      <c r="D169" s="133"/>
      <c r="E169" s="133"/>
      <c r="F169" s="126"/>
      <c r="G169" s="5"/>
      <c r="H169" s="135"/>
      <c r="I169" s="135"/>
      <c r="J169" s="135"/>
      <c r="K169" s="135"/>
      <c r="L169" s="136"/>
      <c r="M169" s="136"/>
      <c r="N169" s="131"/>
      <c r="O169" s="126"/>
      <c r="P169" s="126"/>
      <c r="Q169" s="126"/>
      <c r="R169" s="1"/>
      <c r="S169" s="1"/>
      <c r="T169" s="1"/>
      <c r="U169" s="1"/>
      <c r="V169" s="1"/>
    </row>
    <row r="170" spans="1:22" x14ac:dyDescent="0.3">
      <c r="A170" s="5" t="str">
        <f>CONCATENATE("F",IF(B170&lt;&gt;"",COUNTA($B$2:B170),""))</f>
        <v>F93</v>
      </c>
      <c r="B170" s="5" t="s">
        <v>275</v>
      </c>
      <c r="C170" s="126" t="s">
        <v>51</v>
      </c>
      <c r="D170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11.570441736874997</v>
      </c>
      <c r="E170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70" s="126">
        <f>VLOOKUP(woodflow[[#This Row],[From]],woodstock[#All],4,FALSE)</f>
        <v>2021</v>
      </c>
      <c r="G170" s="5" t="str">
        <f>VLOOKUP(woodflow[[#This Row],[From]],woodstock[#All],5,FALSE)</f>
        <v>OAS</v>
      </c>
      <c r="H170" s="135" t="str">
        <f>VLOOKUP(woodflow[[#This Row],[From]],woodstock[#All],7,FALSE)</f>
        <v>19</v>
      </c>
      <c r="I170" s="135" t="str">
        <f>VLOOKUP(woodflow[[#This Row],[to]],woodstock[#All],7,FALSE)</f>
        <v>15</v>
      </c>
      <c r="J170" s="135" t="str">
        <f>VLOOKUP(woodflow[[#This Row],[From]],woodstock[#All],8,FALSE)</f>
        <v>0</v>
      </c>
      <c r="K170" s="135" t="str">
        <f>VLOOKUP(woodflow[[#This Row],[to]],woodstock[#All],8,FALSE)</f>
        <v>1</v>
      </c>
      <c r="L170" s="136" t="str">
        <f>VLOOKUP(woodflow[[#This Row],[From]],woodstock[#All],9,FALSE)</f>
        <v>nan</v>
      </c>
      <c r="M170" s="136" t="str">
        <f>VLOOKUP(woodflow[[#This Row],[to]],woodstock[#All],9,FALSE)</f>
        <v>37-38-39-40-41-42</v>
      </c>
      <c r="N170" s="131">
        <f>'faostat-data'!Q54+'faostat-data'!Q55-'faostat-data'!Q56</f>
        <v>11.570441736874997</v>
      </c>
      <c r="O170" s="126" t="s">
        <v>556</v>
      </c>
      <c r="P170" s="126"/>
      <c r="Q170" s="126" t="s">
        <v>234</v>
      </c>
      <c r="R170" s="1"/>
      <c r="S170" s="1"/>
      <c r="T170" s="1"/>
      <c r="U170" s="1"/>
      <c r="V170" s="1"/>
    </row>
    <row r="171" spans="1:22" x14ac:dyDescent="0.3">
      <c r="A171" s="5" t="str">
        <f>CONCATENATE("F",IF(B171&lt;&gt;"",COUNTA($B$2:B171),""))</f>
        <v>F94</v>
      </c>
      <c r="B171" s="5" t="s">
        <v>275</v>
      </c>
      <c r="C171" s="126" t="s">
        <v>36</v>
      </c>
      <c r="D171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1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2.4876449734281243</v>
      </c>
      <c r="F171" s="126">
        <f>VLOOKUP(woodflow[[#This Row],[From]],woodstock[#All],4,FALSE)</f>
        <v>2021</v>
      </c>
      <c r="G171" s="5" t="str">
        <f>VLOOKUP(woodflow[[#This Row],[From]],woodstock[#All],5,FALSE)</f>
        <v>OAS</v>
      </c>
      <c r="H171" s="135" t="str">
        <f>VLOOKUP(woodflow[[#This Row],[From]],woodstock[#All],7,FALSE)</f>
        <v>19</v>
      </c>
      <c r="I171" s="135" t="str">
        <f>VLOOKUP(woodflow[[#This Row],[to]],woodstock[#All],7,FALSE)</f>
        <v>37</v>
      </c>
      <c r="J171" s="135" t="str">
        <f>VLOOKUP(woodflow[[#This Row],[From]],woodstock[#All],8,FALSE)</f>
        <v>0</v>
      </c>
      <c r="K171" s="135" t="str">
        <f>VLOOKUP(woodflow[[#This Row],[to]],woodstock[#All],8,FALSE)</f>
        <v>0</v>
      </c>
      <c r="L171" s="136" t="str">
        <f>VLOOKUP(woodflow[[#This Row],[From]],woodstock[#All],9,FALSE)</f>
        <v>nan</v>
      </c>
      <c r="M171" s="136" t="str">
        <f>VLOOKUP(woodflow[[#This Row],[to]],woodstock[#All],9,FALSE)</f>
        <v>nan</v>
      </c>
      <c r="N171" s="131">
        <f>$N$170*woodratio!I37</f>
        <v>2.4876449734281243</v>
      </c>
      <c r="O171" s="126" t="s">
        <v>549</v>
      </c>
      <c r="P171" s="126" t="s">
        <v>240</v>
      </c>
      <c r="Q171" s="126"/>
      <c r="R171" s="1"/>
      <c r="S171" s="1"/>
      <c r="T171" s="1"/>
      <c r="U171" s="1"/>
      <c r="V171" s="1"/>
    </row>
    <row r="172" spans="1:22" x14ac:dyDescent="0.3">
      <c r="A172" s="5" t="str">
        <f>CONCATENATE("F",IF(B172&lt;&gt;"",COUNTA($B$2:B172),""))</f>
        <v>F95</v>
      </c>
      <c r="B172" s="5" t="s">
        <v>275</v>
      </c>
      <c r="C172" s="126" t="s">
        <v>37</v>
      </c>
      <c r="D172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2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2.1983839300062495</v>
      </c>
      <c r="F172" s="126">
        <f>VLOOKUP(woodflow[[#This Row],[From]],woodstock[#All],4,FALSE)</f>
        <v>2021</v>
      </c>
      <c r="G172" s="5" t="str">
        <f>VLOOKUP(woodflow[[#This Row],[From]],woodstock[#All],5,FALSE)</f>
        <v>OAS</v>
      </c>
      <c r="H172" s="135" t="str">
        <f>VLOOKUP(woodflow[[#This Row],[From]],woodstock[#All],7,FALSE)</f>
        <v>19</v>
      </c>
      <c r="I172" s="135" t="str">
        <f>VLOOKUP(woodflow[[#This Row],[to]],woodstock[#All],7,FALSE)</f>
        <v>38</v>
      </c>
      <c r="J172" s="135" t="str">
        <f>VLOOKUP(woodflow[[#This Row],[From]],woodstock[#All],8,FALSE)</f>
        <v>0</v>
      </c>
      <c r="K172" s="135" t="str">
        <f>VLOOKUP(woodflow[[#This Row],[to]],woodstock[#All],8,FALSE)</f>
        <v>0</v>
      </c>
      <c r="L172" s="136" t="str">
        <f>VLOOKUP(woodflow[[#This Row],[From]],woodstock[#All],9,FALSE)</f>
        <v>nan</v>
      </c>
      <c r="M172" s="136" t="str">
        <f>VLOOKUP(woodflow[[#This Row],[to]],woodstock[#All],9,FALSE)</f>
        <v>nan</v>
      </c>
      <c r="N172" s="131">
        <f>$N$170*woodratio!I38</f>
        <v>2.1983839300062495</v>
      </c>
      <c r="O172" s="126" t="s">
        <v>549</v>
      </c>
      <c r="P172" s="126" t="s">
        <v>240</v>
      </c>
      <c r="Q172" s="126"/>
      <c r="R172" s="1"/>
      <c r="S172" s="1"/>
      <c r="T172" s="1"/>
      <c r="U172" s="1"/>
      <c r="V172" s="1"/>
    </row>
    <row r="173" spans="1:22" x14ac:dyDescent="0.3">
      <c r="A173" s="5" t="str">
        <f>CONCATENATE("F",IF(B173&lt;&gt;"",COUNTA($B$2:B173),""))</f>
        <v>F96</v>
      </c>
      <c r="B173" s="5" t="s">
        <v>275</v>
      </c>
      <c r="C173" s="126" t="s">
        <v>39</v>
      </c>
      <c r="D173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3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0.17355662605312494</v>
      </c>
      <c r="F173" s="126">
        <f>VLOOKUP(woodflow[[#This Row],[From]],woodstock[#All],4,FALSE)</f>
        <v>2021</v>
      </c>
      <c r="G173" s="5" t="str">
        <f>VLOOKUP(woodflow[[#This Row],[From]],woodstock[#All],5,FALSE)</f>
        <v>OAS</v>
      </c>
      <c r="H173" s="135" t="str">
        <f>VLOOKUP(woodflow[[#This Row],[From]],woodstock[#All],7,FALSE)</f>
        <v>19</v>
      </c>
      <c r="I173" s="135" t="str">
        <f>VLOOKUP(woodflow[[#This Row],[to]],woodstock[#All],7,FALSE)</f>
        <v>39</v>
      </c>
      <c r="J173" s="135" t="str">
        <f>VLOOKUP(woodflow[[#This Row],[From]],woodstock[#All],8,FALSE)</f>
        <v>0</v>
      </c>
      <c r="K173" s="135" t="str">
        <f>VLOOKUP(woodflow[[#This Row],[to]],woodstock[#All],8,FALSE)</f>
        <v>0</v>
      </c>
      <c r="L173" s="136" t="str">
        <f>VLOOKUP(woodflow[[#This Row],[From]],woodstock[#All],9,FALSE)</f>
        <v>nan</v>
      </c>
      <c r="M173" s="136" t="str">
        <f>VLOOKUP(woodflow[[#This Row],[to]],woodstock[#All],9,FALSE)</f>
        <v>nan</v>
      </c>
      <c r="N173" s="131">
        <f>$N$170*woodratio!I39</f>
        <v>0.17355662605312494</v>
      </c>
      <c r="O173" s="126" t="s">
        <v>549</v>
      </c>
      <c r="P173" s="126" t="s">
        <v>240</v>
      </c>
      <c r="Q173" s="132"/>
      <c r="R173" s="1"/>
      <c r="S173" s="1"/>
      <c r="T173" s="1"/>
      <c r="U173" s="1"/>
      <c r="V173" s="1"/>
    </row>
    <row r="174" spans="1:22" x14ac:dyDescent="0.3">
      <c r="A174" s="5" t="str">
        <f>CONCATENATE("F",IF(B174&lt;&gt;"",COUNTA($B$2:B174),""))</f>
        <v>F97</v>
      </c>
      <c r="B174" s="5" t="s">
        <v>275</v>
      </c>
      <c r="C174" s="126" t="s">
        <v>40</v>
      </c>
      <c r="D174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4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5.4381076163312487</v>
      </c>
      <c r="F174" s="126">
        <f>VLOOKUP(woodflow[[#This Row],[From]],woodstock[#All],4,FALSE)</f>
        <v>2021</v>
      </c>
      <c r="G174" s="5" t="str">
        <f>VLOOKUP(woodflow[[#This Row],[From]],woodstock[#All],5,FALSE)</f>
        <v>OAS</v>
      </c>
      <c r="H174" s="135" t="str">
        <f>VLOOKUP(woodflow[[#This Row],[From]],woodstock[#All],7,FALSE)</f>
        <v>19</v>
      </c>
      <c r="I174" s="135" t="str">
        <f>VLOOKUP(woodflow[[#This Row],[to]],woodstock[#All],7,FALSE)</f>
        <v>40</v>
      </c>
      <c r="J174" s="135" t="str">
        <f>VLOOKUP(woodflow[[#This Row],[From]],woodstock[#All],8,FALSE)</f>
        <v>0</v>
      </c>
      <c r="K174" s="135" t="str">
        <f>VLOOKUP(woodflow[[#This Row],[to]],woodstock[#All],8,FALSE)</f>
        <v>0</v>
      </c>
      <c r="L174" s="136" t="str">
        <f>VLOOKUP(woodflow[[#This Row],[From]],woodstock[#All],9,FALSE)</f>
        <v>nan</v>
      </c>
      <c r="M174" s="136" t="str">
        <f>VLOOKUP(woodflow[[#This Row],[to]],woodstock[#All],9,FALSE)</f>
        <v>nan</v>
      </c>
      <c r="N174" s="131">
        <f>$N$170*woodratio!I40</f>
        <v>5.4381076163312487</v>
      </c>
      <c r="O174" s="126" t="s">
        <v>549</v>
      </c>
      <c r="P174" s="126" t="s">
        <v>240</v>
      </c>
      <c r="Q174" s="126"/>
      <c r="R174" s="1"/>
      <c r="S174" s="1"/>
      <c r="T174" s="1"/>
      <c r="U174" s="1"/>
      <c r="V174" s="1"/>
    </row>
    <row r="175" spans="1:22" x14ac:dyDescent="0.3">
      <c r="A175" s="5" t="str">
        <f>CONCATENATE("F",IF(B175&lt;&gt;"",COUNTA($B$2:B175),""))</f>
        <v>F98</v>
      </c>
      <c r="B175" s="5" t="s">
        <v>275</v>
      </c>
      <c r="C175" s="126" t="s">
        <v>41</v>
      </c>
      <c r="D175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5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0.34711325210624988</v>
      </c>
      <c r="F175" s="126">
        <f>VLOOKUP(woodflow[[#This Row],[From]],woodstock[#All],4,FALSE)</f>
        <v>2021</v>
      </c>
      <c r="G175" s="5" t="str">
        <f>VLOOKUP(woodflow[[#This Row],[From]],woodstock[#All],5,FALSE)</f>
        <v>OAS</v>
      </c>
      <c r="H175" s="135" t="str">
        <f>VLOOKUP(woodflow[[#This Row],[From]],woodstock[#All],7,FALSE)</f>
        <v>19</v>
      </c>
      <c r="I175" s="135" t="str">
        <f>VLOOKUP(woodflow[[#This Row],[to]],woodstock[#All],7,FALSE)</f>
        <v>41</v>
      </c>
      <c r="J175" s="135" t="str">
        <f>VLOOKUP(woodflow[[#This Row],[From]],woodstock[#All],8,FALSE)</f>
        <v>0</v>
      </c>
      <c r="K175" s="135" t="str">
        <f>VLOOKUP(woodflow[[#This Row],[to]],woodstock[#All],8,FALSE)</f>
        <v>0</v>
      </c>
      <c r="L175" s="136" t="str">
        <f>VLOOKUP(woodflow[[#This Row],[From]],woodstock[#All],9,FALSE)</f>
        <v>nan</v>
      </c>
      <c r="M175" s="136" t="str">
        <f>VLOOKUP(woodflow[[#This Row],[to]],woodstock[#All],9,FALSE)</f>
        <v>nan</v>
      </c>
      <c r="N175" s="131">
        <f>$N$170*woodratio!I41</f>
        <v>0.34711325210624988</v>
      </c>
      <c r="O175" s="126" t="s">
        <v>549</v>
      </c>
      <c r="P175" s="126" t="s">
        <v>240</v>
      </c>
      <c r="Q175" s="126"/>
      <c r="R175" s="1"/>
      <c r="S175" s="1"/>
      <c r="T175" s="1"/>
      <c r="U175" s="1"/>
      <c r="V175" s="1"/>
    </row>
    <row r="176" spans="1:22" x14ac:dyDescent="0.3">
      <c r="A176" s="5" t="str">
        <f>CONCATENATE("F",IF(B176&lt;&gt;"",COUNTA($B$2:B176),""))</f>
        <v>F99</v>
      </c>
      <c r="B176" s="5" t="s">
        <v>275</v>
      </c>
      <c r="C176" s="126" t="s">
        <v>38</v>
      </c>
      <c r="D176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6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0.92563533894999983</v>
      </c>
      <c r="F176" s="126">
        <f>VLOOKUP(woodflow[[#This Row],[From]],woodstock[#All],4,FALSE)</f>
        <v>2021</v>
      </c>
      <c r="G176" s="5" t="str">
        <f>VLOOKUP(woodflow[[#This Row],[From]],woodstock[#All],5,FALSE)</f>
        <v>OAS</v>
      </c>
      <c r="H176" s="135" t="str">
        <f>VLOOKUP(woodflow[[#This Row],[From]],woodstock[#All],7,FALSE)</f>
        <v>19</v>
      </c>
      <c r="I176" s="135" t="str">
        <f>VLOOKUP(woodflow[[#This Row],[to]],woodstock[#All],7,FALSE)</f>
        <v>42</v>
      </c>
      <c r="J176" s="135" t="str">
        <f>VLOOKUP(woodflow[[#This Row],[From]],woodstock[#All],8,FALSE)</f>
        <v>0</v>
      </c>
      <c r="K176" s="135" t="str">
        <f>VLOOKUP(woodflow[[#This Row],[to]],woodstock[#All],8,FALSE)</f>
        <v>0</v>
      </c>
      <c r="L176" s="136" t="str">
        <f>VLOOKUP(woodflow[[#This Row],[From]],woodstock[#All],9,FALSE)</f>
        <v>nan</v>
      </c>
      <c r="M176" s="136" t="str">
        <f>VLOOKUP(woodflow[[#This Row],[to]],woodstock[#All],9,FALSE)</f>
        <v>nan</v>
      </c>
      <c r="N176" s="131">
        <f>$N$170*woodratio!I42</f>
        <v>0.92563533894999983</v>
      </c>
      <c r="O176" s="126" t="s">
        <v>549</v>
      </c>
      <c r="P176" s="126" t="s">
        <v>240</v>
      </c>
      <c r="Q176" s="126"/>
      <c r="R176" s="1"/>
      <c r="S176" s="1"/>
      <c r="T176" s="1"/>
      <c r="U176" s="1"/>
      <c r="V176" s="1"/>
    </row>
    <row r="177" spans="1:22" x14ac:dyDescent="0.3">
      <c r="A177" s="5" t="str">
        <f>CONCATENATE("F",IF(B177&lt;&gt;"",COUNTA($B$2:B177),""))</f>
        <v>F</v>
      </c>
      <c r="B177" s="126"/>
      <c r="C177" s="126"/>
      <c r="D177" s="133"/>
      <c r="E177" s="133"/>
      <c r="F177" s="126"/>
      <c r="G177" s="5"/>
      <c r="H177" s="135"/>
      <c r="I177" s="135"/>
      <c r="J177" s="135"/>
      <c r="K177" s="135"/>
      <c r="L177" s="136"/>
      <c r="M177" s="136"/>
      <c r="N177" s="131"/>
      <c r="O177" s="126"/>
      <c r="P177" s="126"/>
      <c r="Q177" s="126"/>
      <c r="R177" s="1"/>
      <c r="S177" s="1"/>
      <c r="T177" s="1"/>
      <c r="U177" s="1"/>
      <c r="V177" s="1"/>
    </row>
    <row r="178" spans="1:22" x14ac:dyDescent="0.3">
      <c r="A178" s="5" t="str">
        <f>CONCATENATE("F",IF(B178&lt;&gt;"",COUNTA($B$2:B178),""))</f>
        <v>F</v>
      </c>
      <c r="B178" s="126"/>
      <c r="C178" s="126"/>
      <c r="D178" s="133"/>
      <c r="E178" s="133"/>
      <c r="F178" s="126"/>
      <c r="G178" s="5"/>
      <c r="H178" s="135"/>
      <c r="I178" s="135"/>
      <c r="J178" s="135"/>
      <c r="K178" s="135"/>
      <c r="L178" s="136"/>
      <c r="M178" s="136"/>
      <c r="N178" s="131"/>
      <c r="O178" s="126"/>
      <c r="P178" s="126"/>
      <c r="Q178" s="126"/>
      <c r="R178" s="1"/>
      <c r="S178" s="1"/>
      <c r="T178" s="1"/>
      <c r="U178" s="1"/>
      <c r="V178" s="1"/>
    </row>
    <row r="179" spans="1:22" x14ac:dyDescent="0.3">
      <c r="A179" s="5" t="str">
        <f>CONCATENATE("F",IF(B179&lt;&gt;"",COUNTA($B$2:B179),""))</f>
        <v>F100</v>
      </c>
      <c r="B179" s="5" t="s">
        <v>274</v>
      </c>
      <c r="C179" s="126" t="s">
        <v>58</v>
      </c>
      <c r="D179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1.6309599291299999</v>
      </c>
      <c r="E17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79" s="126">
        <f>VLOOKUP(woodflow[[#This Row],[From]],woodstock[#All],4,FALSE)</f>
        <v>2021</v>
      </c>
      <c r="G179" s="5" t="str">
        <f>VLOOKUP(woodflow[[#This Row],[From]],woodstock[#All],5,FALSE)</f>
        <v>OAS</v>
      </c>
      <c r="H179" s="135" t="str">
        <f>VLOOKUP(woodflow[[#This Row],[From]],woodstock[#All],7,FALSE)</f>
        <v>18</v>
      </c>
      <c r="I179" s="135" t="str">
        <f>VLOOKUP(woodflow[[#This Row],[to]],woodstock[#All],7,FALSE)</f>
        <v>18</v>
      </c>
      <c r="J179" s="135" t="str">
        <f>VLOOKUP(woodflow[[#This Row],[From]],woodstock[#All],8,FALSE)</f>
        <v>0</v>
      </c>
      <c r="K179" s="135" t="str">
        <f>VLOOKUP(woodflow[[#This Row],[to]],woodstock[#All],8,FALSE)</f>
        <v>1</v>
      </c>
      <c r="L179" s="136" t="str">
        <f>VLOOKUP(woodflow[[#This Row],[From]],woodstock[#All],9,FALSE)</f>
        <v>nan</v>
      </c>
      <c r="M179" s="136" t="str">
        <f>VLOOKUP(woodflow[[#This Row],[to]],woodstock[#All],9,FALSE)</f>
        <v>50-51-52-53-54-55</v>
      </c>
      <c r="N179" s="131">
        <f>(('faostat-data'!Q51/'production-mass-balance'!B26)*SUM('production-mass-balance'!B21:B25))</f>
        <v>1.6309599291299999</v>
      </c>
      <c r="O179" s="126" t="s">
        <v>556</v>
      </c>
      <c r="P179" s="126" t="s">
        <v>456</v>
      </c>
      <c r="Q179" s="126" t="s">
        <v>234</v>
      </c>
      <c r="R179" s="1"/>
      <c r="S179" s="1"/>
      <c r="T179" s="1"/>
      <c r="U179" s="1"/>
      <c r="V179" s="1"/>
    </row>
    <row r="180" spans="1:22" x14ac:dyDescent="0.3">
      <c r="A180" s="5" t="str">
        <f>CONCATENATE("F",IF(B180&lt;&gt;"",COUNTA($B$2:B180),""))</f>
        <v>F101</v>
      </c>
      <c r="B180" s="5" t="s">
        <v>274</v>
      </c>
      <c r="C180" s="126" t="s">
        <v>29</v>
      </c>
      <c r="D180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0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0.81547996456500016</v>
      </c>
      <c r="F180" s="126">
        <f>VLOOKUP(woodflow[[#This Row],[From]],woodstock[#All],4,FALSE)</f>
        <v>2021</v>
      </c>
      <c r="G180" s="5" t="str">
        <f>VLOOKUP(woodflow[[#This Row],[From]],woodstock[#All],5,FALSE)</f>
        <v>OAS</v>
      </c>
      <c r="H180" s="135" t="str">
        <f>VLOOKUP(woodflow[[#This Row],[From]],woodstock[#All],7,FALSE)</f>
        <v>18</v>
      </c>
      <c r="I180" s="135" t="str">
        <f>VLOOKUP(woodflow[[#This Row],[to]],woodstock[#All],7,FALSE)</f>
        <v>50</v>
      </c>
      <c r="J180" s="135" t="str">
        <f>VLOOKUP(woodflow[[#This Row],[From]],woodstock[#All],8,FALSE)</f>
        <v>0</v>
      </c>
      <c r="K180" s="135" t="str">
        <f>VLOOKUP(woodflow[[#This Row],[to]],woodstock[#All],8,FALSE)</f>
        <v>0</v>
      </c>
      <c r="L180" s="136" t="str">
        <f>VLOOKUP(woodflow[[#This Row],[From]],woodstock[#All],9,FALSE)</f>
        <v>nan</v>
      </c>
      <c r="M180" s="136" t="str">
        <f>VLOOKUP(woodflow[[#This Row],[to]],woodstock[#All],9,FALSE)</f>
        <v>nan</v>
      </c>
      <c r="N180" s="131">
        <f>$N$179*woodratio!I45</f>
        <v>0.81547996456500016</v>
      </c>
      <c r="O180" s="126" t="s">
        <v>549</v>
      </c>
      <c r="P180" s="126" t="s">
        <v>240</v>
      </c>
      <c r="Q180" s="126"/>
      <c r="R180" s="1"/>
      <c r="S180" s="1"/>
      <c r="T180" s="1"/>
      <c r="U180" s="1"/>
      <c r="V180" s="1"/>
    </row>
    <row r="181" spans="1:22" x14ac:dyDescent="0.3">
      <c r="A181" s="5" t="str">
        <f>CONCATENATE("F",IF(B181&lt;&gt;"",COUNTA($B$2:B181),""))</f>
        <v>F102</v>
      </c>
      <c r="B181" s="5" t="s">
        <v>274</v>
      </c>
      <c r="C181" s="126" t="s">
        <v>73</v>
      </c>
      <c r="D181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1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0.48324738640888876</v>
      </c>
      <c r="F181" s="126">
        <f>VLOOKUP(woodflow[[#This Row],[From]],woodstock[#All],4,FALSE)</f>
        <v>2021</v>
      </c>
      <c r="G181" s="5" t="str">
        <f>VLOOKUP(woodflow[[#This Row],[From]],woodstock[#All],5,FALSE)</f>
        <v>OAS</v>
      </c>
      <c r="H181" s="135" t="str">
        <f>VLOOKUP(woodflow[[#This Row],[From]],woodstock[#All],7,FALSE)</f>
        <v>18</v>
      </c>
      <c r="I181" s="135" t="str">
        <f>VLOOKUP(woodflow[[#This Row],[to]],woodstock[#All],7,FALSE)</f>
        <v>51</v>
      </c>
      <c r="J181" s="135" t="str">
        <f>VLOOKUP(woodflow[[#This Row],[From]],woodstock[#All],8,FALSE)</f>
        <v>0</v>
      </c>
      <c r="K181" s="135" t="str">
        <f>VLOOKUP(woodflow[[#This Row],[to]],woodstock[#All],8,FALSE)</f>
        <v>0</v>
      </c>
      <c r="L181" s="136" t="str">
        <f>VLOOKUP(woodflow[[#This Row],[From]],woodstock[#All],9,FALSE)</f>
        <v>nan</v>
      </c>
      <c r="M181" s="136" t="str">
        <f>VLOOKUP(woodflow[[#This Row],[to]],woodstock[#All],9,FALSE)</f>
        <v>nan</v>
      </c>
      <c r="N181" s="131">
        <f>$N$179*woodratio!I46</f>
        <v>0.48324738640888876</v>
      </c>
      <c r="O181" s="126" t="s">
        <v>549</v>
      </c>
      <c r="P181" s="126" t="s">
        <v>240</v>
      </c>
      <c r="Q181" s="126"/>
      <c r="R181" s="1"/>
      <c r="S181" s="1"/>
      <c r="T181" s="1"/>
      <c r="U181" s="1"/>
      <c r="V181" s="1"/>
    </row>
    <row r="182" spans="1:22" x14ac:dyDescent="0.3">
      <c r="A182" s="5" t="str">
        <f>CONCATENATE("F",IF(B182&lt;&gt;"",COUNTA($B$2:B182),""))</f>
        <v>F103</v>
      </c>
      <c r="B182" s="5" t="s">
        <v>274</v>
      </c>
      <c r="C182" s="126" t="s">
        <v>30</v>
      </c>
      <c r="D182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2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0.21142073155388891</v>
      </c>
      <c r="F182" s="126">
        <f>VLOOKUP(woodflow[[#This Row],[From]],woodstock[#All],4,FALSE)</f>
        <v>2021</v>
      </c>
      <c r="G182" s="5" t="str">
        <f>VLOOKUP(woodflow[[#This Row],[From]],woodstock[#All],5,FALSE)</f>
        <v>OAS</v>
      </c>
      <c r="H182" s="135" t="str">
        <f>VLOOKUP(woodflow[[#This Row],[From]],woodstock[#All],7,FALSE)</f>
        <v>18</v>
      </c>
      <c r="I182" s="135" t="str">
        <f>VLOOKUP(woodflow[[#This Row],[to]],woodstock[#All],7,FALSE)</f>
        <v>52</v>
      </c>
      <c r="J182" s="135" t="str">
        <f>VLOOKUP(woodflow[[#This Row],[From]],woodstock[#All],8,FALSE)</f>
        <v>0</v>
      </c>
      <c r="K182" s="135" t="str">
        <f>VLOOKUP(woodflow[[#This Row],[to]],woodstock[#All],8,FALSE)</f>
        <v>0</v>
      </c>
      <c r="L182" s="136" t="str">
        <f>VLOOKUP(woodflow[[#This Row],[From]],woodstock[#All],9,FALSE)</f>
        <v>nan</v>
      </c>
      <c r="M182" s="136" t="str">
        <f>VLOOKUP(woodflow[[#This Row],[to]],woodstock[#All],9,FALSE)</f>
        <v>nan</v>
      </c>
      <c r="N182" s="131">
        <f>$N$179*woodratio!I47</f>
        <v>0.21142073155388891</v>
      </c>
      <c r="O182" s="126" t="s">
        <v>549</v>
      </c>
      <c r="P182" s="126" t="s">
        <v>240</v>
      </c>
      <c r="Q182" s="126"/>
      <c r="R182" s="1"/>
      <c r="S182" s="1"/>
      <c r="T182" s="1"/>
      <c r="U182" s="1"/>
      <c r="V182" s="1"/>
    </row>
    <row r="183" spans="1:22" x14ac:dyDescent="0.3">
      <c r="A183" s="5" t="str">
        <f>CONCATENATE("F",IF(B183&lt;&gt;"",COUNTA($B$2:B183),""))</f>
        <v>F104</v>
      </c>
      <c r="B183" s="5" t="s">
        <v>274</v>
      </c>
      <c r="C183" s="126" t="s">
        <v>80</v>
      </c>
      <c r="D183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8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3" s="126">
        <f>VLOOKUP(woodflow[[#This Row],[From]],woodstock[#All],4,FALSE)</f>
        <v>2021</v>
      </c>
      <c r="G183" s="5" t="str">
        <f>VLOOKUP(woodflow[[#This Row],[From]],woodstock[#All],5,FALSE)</f>
        <v>OAS</v>
      </c>
      <c r="H183" s="135" t="str">
        <f>VLOOKUP(woodflow[[#This Row],[From]],woodstock[#All],7,FALSE)</f>
        <v>18</v>
      </c>
      <c r="I183" s="135" t="str">
        <f>VLOOKUP(woodflow[[#This Row],[to]],woodstock[#All],7,FALSE)</f>
        <v>53</v>
      </c>
      <c r="J183" s="135" t="str">
        <f>VLOOKUP(woodflow[[#This Row],[From]],woodstock[#All],8,FALSE)</f>
        <v>0</v>
      </c>
      <c r="K183" s="135" t="str">
        <f>VLOOKUP(woodflow[[#This Row],[to]],woodstock[#All],8,FALSE)</f>
        <v>0</v>
      </c>
      <c r="L183" s="136" t="str">
        <f>VLOOKUP(woodflow[[#This Row],[From]],woodstock[#All],9,FALSE)</f>
        <v>nan</v>
      </c>
      <c r="M183" s="136" t="str">
        <f>VLOOKUP(woodflow[[#This Row],[to]],woodstock[#All],9,FALSE)</f>
        <v>nan</v>
      </c>
      <c r="N183" s="131">
        <v>0</v>
      </c>
      <c r="O183" s="126" t="s">
        <v>213</v>
      </c>
      <c r="P183" s="126"/>
      <c r="Q183" s="126"/>
      <c r="R183" s="1"/>
      <c r="S183" s="1"/>
      <c r="T183" s="1"/>
      <c r="U183" s="1"/>
      <c r="V183" s="1"/>
    </row>
    <row r="184" spans="1:22" x14ac:dyDescent="0.3">
      <c r="A184" s="5" t="str">
        <f>CONCATENATE("F",IF(B184&lt;&gt;"",COUNTA($B$2:B184),""))</f>
        <v>F105</v>
      </c>
      <c r="B184" s="5" t="s">
        <v>274</v>
      </c>
      <c r="C184" s="126" t="s">
        <v>242</v>
      </c>
      <c r="D184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84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4" s="126">
        <f>VLOOKUP(woodflow[[#This Row],[From]],woodstock[#All],4,FALSE)</f>
        <v>2021</v>
      </c>
      <c r="G184" s="5" t="str">
        <f>VLOOKUP(woodflow[[#This Row],[From]],woodstock[#All],5,FALSE)</f>
        <v>OAS</v>
      </c>
      <c r="H184" s="135" t="str">
        <f>VLOOKUP(woodflow[[#This Row],[From]],woodstock[#All],7,FALSE)</f>
        <v>18</v>
      </c>
      <c r="I184" s="135" t="str">
        <f>VLOOKUP(woodflow[[#This Row],[to]],woodstock[#All],7,FALSE)</f>
        <v>54</v>
      </c>
      <c r="J184" s="135" t="str">
        <f>VLOOKUP(woodflow[[#This Row],[From]],woodstock[#All],8,FALSE)</f>
        <v>0</v>
      </c>
      <c r="K184" s="135" t="str">
        <f>VLOOKUP(woodflow[[#This Row],[to]],woodstock[#All],8,FALSE)</f>
        <v>0</v>
      </c>
      <c r="L184" s="136" t="str">
        <f>VLOOKUP(woodflow[[#This Row],[From]],woodstock[#All],9,FALSE)</f>
        <v>nan</v>
      </c>
      <c r="M184" s="136" t="str">
        <f>VLOOKUP(woodflow[[#This Row],[to]],woodstock[#All],9,FALSE)</f>
        <v>nan</v>
      </c>
      <c r="N184" s="131">
        <v>0</v>
      </c>
      <c r="O184" s="126" t="s">
        <v>213</v>
      </c>
      <c r="P184" s="126"/>
      <c r="Q184" s="126"/>
      <c r="R184" s="1"/>
      <c r="S184" s="1"/>
      <c r="T184" s="1"/>
      <c r="U184" s="1"/>
      <c r="V184" s="1"/>
    </row>
    <row r="185" spans="1:22" x14ac:dyDescent="0.3">
      <c r="A185" s="5" t="str">
        <f>CONCATENATE("F",IF(B185&lt;&gt;"",COUNTA($B$2:B185),""))</f>
        <v>F106</v>
      </c>
      <c r="B185" s="5" t="s">
        <v>274</v>
      </c>
      <c r="C185" s="126" t="s">
        <v>74</v>
      </c>
      <c r="D185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5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0.12081184660222223</v>
      </c>
      <c r="F185" s="126">
        <f>VLOOKUP(woodflow[[#This Row],[From]],woodstock[#All],4,FALSE)</f>
        <v>2021</v>
      </c>
      <c r="G185" s="5" t="str">
        <f>VLOOKUP(woodflow[[#This Row],[From]],woodstock[#All],5,FALSE)</f>
        <v>OAS</v>
      </c>
      <c r="H185" s="135" t="str">
        <f>VLOOKUP(woodflow[[#This Row],[From]],woodstock[#All],7,FALSE)</f>
        <v>18</v>
      </c>
      <c r="I185" s="135" t="str">
        <f>VLOOKUP(woodflow[[#This Row],[to]],woodstock[#All],7,FALSE)</f>
        <v>55</v>
      </c>
      <c r="J185" s="135" t="str">
        <f>VLOOKUP(woodflow[[#This Row],[From]],woodstock[#All],8,FALSE)</f>
        <v>0</v>
      </c>
      <c r="K185" s="135" t="str">
        <f>VLOOKUP(woodflow[[#This Row],[to]],woodstock[#All],8,FALSE)</f>
        <v>0</v>
      </c>
      <c r="L185" s="136" t="str">
        <f>VLOOKUP(woodflow[[#This Row],[From]],woodstock[#All],9,FALSE)</f>
        <v>nan</v>
      </c>
      <c r="M185" s="136" t="str">
        <f>VLOOKUP(woodflow[[#This Row],[to]],woodstock[#All],9,FALSE)</f>
        <v>nan</v>
      </c>
      <c r="N185" s="131">
        <f>$N$179*woodratio!I48</f>
        <v>0.12081184660222223</v>
      </c>
      <c r="O185" s="126" t="s">
        <v>549</v>
      </c>
      <c r="P185" s="126" t="s">
        <v>240</v>
      </c>
      <c r="Q185" s="126"/>
      <c r="R185" s="1"/>
      <c r="S185" s="1"/>
      <c r="T185" s="1"/>
      <c r="U185" s="1"/>
      <c r="V185" s="1"/>
    </row>
    <row r="186" spans="1:22" x14ac:dyDescent="0.3">
      <c r="A186" s="5" t="str">
        <f>CONCATENATE("F",IF(B186&lt;&gt;"",COUNTA($B$2:B186),""))</f>
        <v>F</v>
      </c>
      <c r="B186" s="126"/>
      <c r="C186" s="126"/>
      <c r="D186" s="133"/>
      <c r="E186" s="133"/>
      <c r="F186" s="126"/>
      <c r="G186" s="5"/>
      <c r="H186" s="135"/>
      <c r="I186" s="135"/>
      <c r="J186" s="135"/>
      <c r="K186" s="135"/>
      <c r="L186" s="136"/>
      <c r="M186" s="136"/>
      <c r="N186" s="131"/>
      <c r="O186" s="126"/>
      <c r="P186" s="126"/>
      <c r="Q186" s="126"/>
      <c r="R186" s="1"/>
      <c r="S186" s="1"/>
      <c r="T186" s="1"/>
      <c r="U186" s="1"/>
      <c r="V186" s="1"/>
    </row>
    <row r="187" spans="1:22" x14ac:dyDescent="0.3">
      <c r="A187" s="5" t="str">
        <f>CONCATENATE("F",IF(B187&lt;&gt;"",COUNTA($B$2:B187),""))</f>
        <v>F</v>
      </c>
      <c r="B187" s="126"/>
      <c r="C187" s="126"/>
      <c r="D187" s="133"/>
      <c r="E187" s="133"/>
      <c r="F187" s="126"/>
      <c r="G187" s="5"/>
      <c r="H187" s="135"/>
      <c r="I187" s="135"/>
      <c r="J187" s="135"/>
      <c r="K187" s="135"/>
      <c r="L187" s="136"/>
      <c r="M187" s="136"/>
      <c r="N187" s="131"/>
      <c r="O187" s="126"/>
      <c r="P187" s="126"/>
      <c r="Q187" s="126"/>
      <c r="R187" s="1"/>
      <c r="S187" s="1"/>
      <c r="T187" s="1"/>
      <c r="U187" s="1"/>
      <c r="V187" s="1"/>
    </row>
    <row r="188" spans="1:22" x14ac:dyDescent="0.3">
      <c r="A188" s="5" t="str">
        <f>CONCATENATE("F",IF(B188&lt;&gt;"",COUNTA($B$2:B188),""))</f>
        <v>F107</v>
      </c>
      <c r="B188" s="5" t="s">
        <v>275</v>
      </c>
      <c r="C188" s="126" t="s">
        <v>58</v>
      </c>
      <c r="D18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11.046005035926722</v>
      </c>
      <c r="E18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8" s="126">
        <f>VLOOKUP(woodflow[[#This Row],[From]],woodstock[#All],4,FALSE)</f>
        <v>2021</v>
      </c>
      <c r="G188" s="5" t="str">
        <f>VLOOKUP(woodflow[[#This Row],[From]],woodstock[#All],5,FALSE)</f>
        <v>OAS</v>
      </c>
      <c r="H188" s="135" t="str">
        <f>VLOOKUP(woodflow[[#This Row],[From]],woodstock[#All],7,FALSE)</f>
        <v>19</v>
      </c>
      <c r="I188" s="135" t="str">
        <f>VLOOKUP(woodflow[[#This Row],[to]],woodstock[#All],7,FALSE)</f>
        <v>18</v>
      </c>
      <c r="J188" s="135" t="str">
        <f>VLOOKUP(woodflow[[#This Row],[From]],woodstock[#All],8,FALSE)</f>
        <v>0</v>
      </c>
      <c r="K188" s="135" t="str">
        <f>VLOOKUP(woodflow[[#This Row],[to]],woodstock[#All],8,FALSE)</f>
        <v>1</v>
      </c>
      <c r="L188" s="136" t="str">
        <f>VLOOKUP(woodflow[[#This Row],[From]],woodstock[#All],9,FALSE)</f>
        <v>nan</v>
      </c>
      <c r="M188" s="136" t="str">
        <f>VLOOKUP(woodflow[[#This Row],[to]],woodstock[#All],9,FALSE)</f>
        <v>50-51-52-53-54-55</v>
      </c>
      <c r="N188" s="131">
        <f>('faostat-data'!Q54/'production-mass-balance'!B34)*SUM('production-mass-balance'!B29:B33)</f>
        <v>11.046005035926722</v>
      </c>
      <c r="O188" s="126" t="s">
        <v>556</v>
      </c>
      <c r="P188" s="126" t="s">
        <v>456</v>
      </c>
      <c r="Q188" s="126" t="s">
        <v>234</v>
      </c>
      <c r="R188" s="1"/>
      <c r="S188" s="1"/>
      <c r="T188" s="1"/>
      <c r="U188" s="1"/>
      <c r="V188" s="1"/>
    </row>
    <row r="189" spans="1:22" x14ac:dyDescent="0.3">
      <c r="A189" s="5" t="str">
        <f>CONCATENATE("F",IF(B189&lt;&gt;"",COUNTA($B$2:B189),""))</f>
        <v>F108</v>
      </c>
      <c r="B189" s="5" t="s">
        <v>275</v>
      </c>
      <c r="C189" s="126" t="s">
        <v>29</v>
      </c>
      <c r="D189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9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5.7631330622226375</v>
      </c>
      <c r="F189" s="126">
        <f>VLOOKUP(woodflow[[#This Row],[From]],woodstock[#All],4,FALSE)</f>
        <v>2021</v>
      </c>
      <c r="G189" s="5" t="str">
        <f>VLOOKUP(woodflow[[#This Row],[From]],woodstock[#All],5,FALSE)</f>
        <v>OAS</v>
      </c>
      <c r="H189" s="135" t="str">
        <f>VLOOKUP(woodflow[[#This Row],[From]],woodstock[#All],7,FALSE)</f>
        <v>19</v>
      </c>
      <c r="I189" s="135" t="str">
        <f>VLOOKUP(woodflow[[#This Row],[to]],woodstock[#All],7,FALSE)</f>
        <v>50</v>
      </c>
      <c r="J189" s="135" t="str">
        <f>VLOOKUP(woodflow[[#This Row],[From]],woodstock[#All],8,FALSE)</f>
        <v>0</v>
      </c>
      <c r="K189" s="135" t="str">
        <f>VLOOKUP(woodflow[[#This Row],[to]],woodstock[#All],8,FALSE)</f>
        <v>0</v>
      </c>
      <c r="L189" s="136" t="str">
        <f>VLOOKUP(woodflow[[#This Row],[From]],woodstock[#All],9,FALSE)</f>
        <v>nan</v>
      </c>
      <c r="M189" s="136" t="str">
        <f>VLOOKUP(woodflow[[#This Row],[to]],woodstock[#All],9,FALSE)</f>
        <v>nan</v>
      </c>
      <c r="N189" s="131">
        <f>$N$188*woodratio!I51</f>
        <v>5.7631330622226375</v>
      </c>
      <c r="O189" s="126" t="s">
        <v>549</v>
      </c>
      <c r="P189" s="126" t="s">
        <v>240</v>
      </c>
      <c r="Q189" s="126"/>
      <c r="R189" s="1"/>
      <c r="S189" s="1"/>
      <c r="T189" s="1"/>
      <c r="U189" s="1"/>
      <c r="V189" s="1"/>
    </row>
    <row r="190" spans="1:22" x14ac:dyDescent="0.3">
      <c r="A190" s="5" t="str">
        <f>CONCATENATE("F",IF(B190&lt;&gt;"",COUNTA($B$2:B190),""))</f>
        <v>F109</v>
      </c>
      <c r="B190" s="5" t="s">
        <v>275</v>
      </c>
      <c r="C190" s="126" t="s">
        <v>73</v>
      </c>
      <c r="D190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0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2.6414359868520427</v>
      </c>
      <c r="F190" s="126">
        <f>VLOOKUP(woodflow[[#This Row],[From]],woodstock[#All],4,FALSE)</f>
        <v>2021</v>
      </c>
      <c r="G190" s="5" t="str">
        <f>VLOOKUP(woodflow[[#This Row],[From]],woodstock[#All],5,FALSE)</f>
        <v>OAS</v>
      </c>
      <c r="H190" s="135" t="str">
        <f>VLOOKUP(woodflow[[#This Row],[From]],woodstock[#All],7,FALSE)</f>
        <v>19</v>
      </c>
      <c r="I190" s="135" t="str">
        <f>VLOOKUP(woodflow[[#This Row],[to]],woodstock[#All],7,FALSE)</f>
        <v>51</v>
      </c>
      <c r="J190" s="135" t="str">
        <f>VLOOKUP(woodflow[[#This Row],[From]],woodstock[#All],8,FALSE)</f>
        <v>0</v>
      </c>
      <c r="K190" s="135" t="str">
        <f>VLOOKUP(woodflow[[#This Row],[to]],woodstock[#All],8,FALSE)</f>
        <v>0</v>
      </c>
      <c r="L190" s="136" t="str">
        <f>VLOOKUP(woodflow[[#This Row],[From]],woodstock[#All],9,FALSE)</f>
        <v>nan</v>
      </c>
      <c r="M190" s="136" t="str">
        <f>VLOOKUP(woodflow[[#This Row],[to]],woodstock[#All],9,FALSE)</f>
        <v>nan</v>
      </c>
      <c r="N190" s="131">
        <f>$N$188*woodratio!I52</f>
        <v>2.6414359868520427</v>
      </c>
      <c r="O190" s="126" t="s">
        <v>549</v>
      </c>
      <c r="P190" s="126" t="s">
        <v>240</v>
      </c>
      <c r="Q190" s="126"/>
      <c r="R190" s="1"/>
      <c r="S190" s="1"/>
      <c r="T190" s="1"/>
      <c r="U190" s="1"/>
      <c r="V190" s="1"/>
    </row>
    <row r="191" spans="1:22" x14ac:dyDescent="0.3">
      <c r="A191" s="5" t="str">
        <f>CONCATENATE("F",IF(B191&lt;&gt;"",COUNTA($B$2:B191),""))</f>
        <v>F110</v>
      </c>
      <c r="B191" s="5" t="s">
        <v>275</v>
      </c>
      <c r="C191" s="126" t="s">
        <v>30</v>
      </c>
      <c r="D191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1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1.6809138098149363</v>
      </c>
      <c r="F191" s="126">
        <f>VLOOKUP(woodflow[[#This Row],[From]],woodstock[#All],4,FALSE)</f>
        <v>2021</v>
      </c>
      <c r="G191" s="5" t="str">
        <f>VLOOKUP(woodflow[[#This Row],[From]],woodstock[#All],5,FALSE)</f>
        <v>OAS</v>
      </c>
      <c r="H191" s="135" t="str">
        <f>VLOOKUP(woodflow[[#This Row],[From]],woodstock[#All],7,FALSE)</f>
        <v>19</v>
      </c>
      <c r="I191" s="135" t="str">
        <f>VLOOKUP(woodflow[[#This Row],[to]],woodstock[#All],7,FALSE)</f>
        <v>52</v>
      </c>
      <c r="J191" s="135" t="str">
        <f>VLOOKUP(woodflow[[#This Row],[From]],woodstock[#All],8,FALSE)</f>
        <v>0</v>
      </c>
      <c r="K191" s="135" t="str">
        <f>VLOOKUP(woodflow[[#This Row],[to]],woodstock[#All],8,FALSE)</f>
        <v>0</v>
      </c>
      <c r="L191" s="136" t="str">
        <f>VLOOKUP(woodflow[[#This Row],[From]],woodstock[#All],9,FALSE)</f>
        <v>nan</v>
      </c>
      <c r="M191" s="136" t="str">
        <f>VLOOKUP(woodflow[[#This Row],[to]],woodstock[#All],9,FALSE)</f>
        <v>nan</v>
      </c>
      <c r="N191" s="131">
        <f>$N$188*woodratio!I53</f>
        <v>1.6809138098149363</v>
      </c>
      <c r="O191" s="126" t="s">
        <v>549</v>
      </c>
      <c r="P191" s="126" t="s">
        <v>240</v>
      </c>
      <c r="Q191" s="138"/>
      <c r="R191" s="1"/>
      <c r="S191" s="1"/>
      <c r="T191" s="1"/>
      <c r="U191" s="1"/>
      <c r="V191" s="1"/>
    </row>
    <row r="192" spans="1:22" x14ac:dyDescent="0.3">
      <c r="A192" s="5" t="str">
        <f>CONCATENATE("F",IF(B192&lt;&gt;"",COUNTA($B$2:B192),""))</f>
        <v>F111</v>
      </c>
      <c r="B192" s="5" t="s">
        <v>275</v>
      </c>
      <c r="C192" s="126" t="s">
        <v>80</v>
      </c>
      <c r="D192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92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92" s="126">
        <f>VLOOKUP(woodflow[[#This Row],[From]],woodstock[#All],4,FALSE)</f>
        <v>2021</v>
      </c>
      <c r="G192" s="5" t="str">
        <f>VLOOKUP(woodflow[[#This Row],[From]],woodstock[#All],5,FALSE)</f>
        <v>OAS</v>
      </c>
      <c r="H192" s="135" t="str">
        <f>VLOOKUP(woodflow[[#This Row],[From]],woodstock[#All],7,FALSE)</f>
        <v>19</v>
      </c>
      <c r="I192" s="135" t="str">
        <f>VLOOKUP(woodflow[[#This Row],[to]],woodstock[#All],7,FALSE)</f>
        <v>53</v>
      </c>
      <c r="J192" s="135" t="str">
        <f>VLOOKUP(woodflow[[#This Row],[From]],woodstock[#All],8,FALSE)</f>
        <v>0</v>
      </c>
      <c r="K192" s="135" t="str">
        <f>VLOOKUP(woodflow[[#This Row],[to]],woodstock[#All],8,FALSE)</f>
        <v>0</v>
      </c>
      <c r="L192" s="136" t="str">
        <f>VLOOKUP(woodflow[[#This Row],[From]],woodstock[#All],9,FALSE)</f>
        <v>nan</v>
      </c>
      <c r="M192" s="136" t="str">
        <f>VLOOKUP(woodflow[[#This Row],[to]],woodstock[#All],9,FALSE)</f>
        <v>nan</v>
      </c>
      <c r="N192" s="131">
        <v>0</v>
      </c>
      <c r="O192" s="126" t="s">
        <v>213</v>
      </c>
      <c r="P192" s="126"/>
      <c r="Q192" s="126"/>
      <c r="R192" s="1"/>
      <c r="S192" s="1"/>
      <c r="T192" s="1"/>
      <c r="U192" s="1"/>
      <c r="V192" s="1"/>
    </row>
    <row r="193" spans="1:22" x14ac:dyDescent="0.3">
      <c r="A193" s="5" t="str">
        <f>CONCATENATE("F",IF(B193&lt;&gt;"",COUNTA($B$2:B193),""))</f>
        <v>F112</v>
      </c>
      <c r="B193" s="5" t="s">
        <v>275</v>
      </c>
      <c r="C193" s="126" t="s">
        <v>242</v>
      </c>
      <c r="D193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9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93" s="126">
        <f>VLOOKUP(woodflow[[#This Row],[From]],woodstock[#All],4,FALSE)</f>
        <v>2021</v>
      </c>
      <c r="G193" s="5" t="str">
        <f>VLOOKUP(woodflow[[#This Row],[From]],woodstock[#All],5,FALSE)</f>
        <v>OAS</v>
      </c>
      <c r="H193" s="135" t="str">
        <f>VLOOKUP(woodflow[[#This Row],[From]],woodstock[#All],7,FALSE)</f>
        <v>19</v>
      </c>
      <c r="I193" s="135" t="str">
        <f>VLOOKUP(woodflow[[#This Row],[to]],woodstock[#All],7,FALSE)</f>
        <v>54</v>
      </c>
      <c r="J193" s="135" t="str">
        <f>VLOOKUP(woodflow[[#This Row],[From]],woodstock[#All],8,FALSE)</f>
        <v>0</v>
      </c>
      <c r="K193" s="135" t="str">
        <f>VLOOKUP(woodflow[[#This Row],[to]],woodstock[#All],8,FALSE)</f>
        <v>0</v>
      </c>
      <c r="L193" s="136" t="str">
        <f>VLOOKUP(woodflow[[#This Row],[From]],woodstock[#All],9,FALSE)</f>
        <v>nan</v>
      </c>
      <c r="M193" s="136" t="str">
        <f>VLOOKUP(woodflow[[#This Row],[to]],woodstock[#All],9,FALSE)</f>
        <v>nan</v>
      </c>
      <c r="N193" s="131">
        <v>0</v>
      </c>
      <c r="O193" s="126" t="s">
        <v>213</v>
      </c>
      <c r="P193" s="126"/>
      <c r="Q193" s="126"/>
      <c r="R193" s="1"/>
      <c r="S193" s="1"/>
      <c r="T193" s="1"/>
      <c r="U193" s="1"/>
      <c r="V193" s="1"/>
    </row>
    <row r="194" spans="1:22" x14ac:dyDescent="0.3">
      <c r="A194" s="5" t="str">
        <f>CONCATENATE("F",IF(B194&lt;&gt;"",COUNTA($B$2:B194),""))</f>
        <v>F113</v>
      </c>
      <c r="B194" s="5" t="s">
        <v>275</v>
      </c>
      <c r="C194" s="126" t="s">
        <v>74</v>
      </c>
      <c r="D194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4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0.96052217703710641</v>
      </c>
      <c r="F194" s="126">
        <f>VLOOKUP(woodflow[[#This Row],[From]],woodstock[#All],4,FALSE)</f>
        <v>2021</v>
      </c>
      <c r="G194" s="5" t="str">
        <f>VLOOKUP(woodflow[[#This Row],[From]],woodstock[#All],5,FALSE)</f>
        <v>OAS</v>
      </c>
      <c r="H194" s="135" t="str">
        <f>VLOOKUP(woodflow[[#This Row],[From]],woodstock[#All],7,FALSE)</f>
        <v>19</v>
      </c>
      <c r="I194" s="135" t="str">
        <f>VLOOKUP(woodflow[[#This Row],[to]],woodstock[#All],7,FALSE)</f>
        <v>55</v>
      </c>
      <c r="J194" s="135" t="str">
        <f>VLOOKUP(woodflow[[#This Row],[From]],woodstock[#All],8,FALSE)</f>
        <v>0</v>
      </c>
      <c r="K194" s="135" t="str">
        <f>VLOOKUP(woodflow[[#This Row],[to]],woodstock[#All],8,FALSE)</f>
        <v>0</v>
      </c>
      <c r="L194" s="136" t="str">
        <f>VLOOKUP(woodflow[[#This Row],[From]],woodstock[#All],9,FALSE)</f>
        <v>nan</v>
      </c>
      <c r="M194" s="136" t="str">
        <f>VLOOKUP(woodflow[[#This Row],[to]],woodstock[#All],9,FALSE)</f>
        <v>nan</v>
      </c>
      <c r="N194" s="131">
        <f>$N$188*woodratio!I54</f>
        <v>0.96052217703710641</v>
      </c>
      <c r="O194" s="126" t="s">
        <v>549</v>
      </c>
      <c r="P194" s="126" t="s">
        <v>240</v>
      </c>
      <c r="Q194" s="126"/>
      <c r="R194" s="1"/>
      <c r="S194" s="1"/>
      <c r="T194" s="1"/>
      <c r="U194" s="1"/>
      <c r="V194" s="1"/>
    </row>
    <row r="195" spans="1:22" x14ac:dyDescent="0.3">
      <c r="A195" s="5" t="str">
        <f>CONCATENATE("F",IF(B195&lt;&gt;"",COUNTA($B$2:B195),""))</f>
        <v>F</v>
      </c>
      <c r="B195" s="126"/>
      <c r="C195" s="126"/>
      <c r="D195" s="133"/>
      <c r="E195" s="133"/>
      <c r="F195" s="126"/>
      <c r="G195" s="5"/>
      <c r="H195" s="135"/>
      <c r="I195" s="135"/>
      <c r="J195" s="135"/>
      <c r="K195" s="135"/>
      <c r="L195" s="136"/>
      <c r="M195" s="136"/>
      <c r="N195" s="131"/>
      <c r="O195" s="126"/>
      <c r="P195" s="126"/>
      <c r="Q195" s="126"/>
      <c r="R195" s="1"/>
      <c r="S195" s="1"/>
      <c r="T195" s="1"/>
      <c r="U195" s="1"/>
      <c r="V195" s="1"/>
    </row>
    <row r="196" spans="1:22" x14ac:dyDescent="0.3">
      <c r="A196" s="5" t="str">
        <f>CONCATENATE("F",IF(B196&lt;&gt;"",COUNTA($B$2:B196),""))</f>
        <v>F</v>
      </c>
      <c r="B196" s="126"/>
      <c r="C196" s="126"/>
      <c r="D196" s="133"/>
      <c r="E196" s="133"/>
      <c r="F196" s="126"/>
      <c r="G196" s="5"/>
      <c r="H196" s="135"/>
      <c r="I196" s="135"/>
      <c r="J196" s="135"/>
      <c r="K196" s="135"/>
      <c r="L196" s="136"/>
      <c r="M196" s="136"/>
      <c r="N196" s="131"/>
      <c r="O196" s="126"/>
      <c r="P196" s="126"/>
      <c r="Q196" s="126"/>
      <c r="R196" s="1"/>
      <c r="S196" s="1"/>
      <c r="T196" s="1"/>
      <c r="U196" s="1"/>
      <c r="V196" s="1"/>
    </row>
    <row r="197" spans="1:22" x14ac:dyDescent="0.3">
      <c r="A197" s="5" t="str">
        <f>CONCATENATE("F",IF(B197&lt;&gt;"",COUNTA($B$2:B197),""))</f>
        <v>F114</v>
      </c>
      <c r="B197" s="126" t="s">
        <v>49</v>
      </c>
      <c r="C197" s="126" t="s">
        <v>44</v>
      </c>
      <c r="D197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7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1.0000000000000001E-5</v>
      </c>
      <c r="F197" s="126">
        <f>VLOOKUP(woodflow[[#This Row],[From]],woodstock[#All],4,FALSE)</f>
        <v>2021</v>
      </c>
      <c r="G197" s="5" t="str">
        <f>VLOOKUP(woodflow[[#This Row],[From]],woodstock[#All],5,FALSE)</f>
        <v>OAS</v>
      </c>
      <c r="H197" s="135" t="str">
        <f>VLOOKUP(woodflow[[#This Row],[From]],woodstock[#All],7,FALSE)</f>
        <v>20</v>
      </c>
      <c r="I197" s="135" t="str">
        <f>VLOOKUP(woodflow[[#This Row],[to]],woodstock[#All],7,FALSE)</f>
        <v>21</v>
      </c>
      <c r="J197" s="135" t="str">
        <f>VLOOKUP(woodflow[[#This Row],[From]],woodstock[#All],8,FALSE)</f>
        <v>0</v>
      </c>
      <c r="K197" s="135" t="str">
        <f>VLOOKUP(woodflow[[#This Row],[to]],woodstock[#All],8,FALSE)</f>
        <v>0</v>
      </c>
      <c r="L197" s="136" t="str">
        <f>VLOOKUP(woodflow[[#This Row],[From]],woodstock[#All],9,FALSE)</f>
        <v>nan</v>
      </c>
      <c r="M197" s="136" t="str">
        <f>VLOOKUP(woodflow[[#This Row],[to]],woodstock[#All],9,FALSE)</f>
        <v>nan</v>
      </c>
      <c r="N197" s="131">
        <f>1*10^-5</f>
        <v>1.0000000000000001E-5</v>
      </c>
      <c r="O197" s="126" t="s">
        <v>549</v>
      </c>
      <c r="P197" s="139" t="s">
        <v>349</v>
      </c>
      <c r="Q197" s="126"/>
      <c r="R197" s="1"/>
      <c r="S197" s="1"/>
      <c r="T197" s="1"/>
      <c r="U197" s="1"/>
      <c r="V197" s="1"/>
    </row>
    <row r="198" spans="1:22" x14ac:dyDescent="0.3">
      <c r="A198" s="5" t="str">
        <f>CONCATENATE("F",IF(B198&lt;&gt;"",COUNTA($B$2:B198),""))</f>
        <v>F</v>
      </c>
      <c r="B198" s="126"/>
      <c r="C198" s="126"/>
      <c r="D198" s="133"/>
      <c r="E198" s="133"/>
      <c r="F198" s="126"/>
      <c r="G198" s="5"/>
      <c r="H198" s="135"/>
      <c r="I198" s="135"/>
      <c r="J198" s="135"/>
      <c r="K198" s="135"/>
      <c r="L198" s="136"/>
      <c r="M198" s="136"/>
      <c r="N198" s="131"/>
      <c r="O198" s="126"/>
      <c r="P198" s="126"/>
      <c r="Q198" s="126"/>
      <c r="R198" s="1"/>
      <c r="S198" s="1"/>
      <c r="T198" s="1"/>
      <c r="U198" s="1"/>
      <c r="V198" s="1"/>
    </row>
    <row r="199" spans="1:22" x14ac:dyDescent="0.3">
      <c r="A199" s="5" t="str">
        <f>CONCATENATE("F",IF(B199&lt;&gt;"",COUNTA($B$2:B199),""))</f>
        <v>F</v>
      </c>
      <c r="B199" s="126"/>
      <c r="C199" s="126"/>
      <c r="D199" s="133"/>
      <c r="E199" s="133"/>
      <c r="F199" s="126"/>
      <c r="G199" s="5"/>
      <c r="H199" s="135"/>
      <c r="I199" s="135"/>
      <c r="J199" s="135"/>
      <c r="K199" s="135"/>
      <c r="L199" s="136"/>
      <c r="M199" s="136"/>
      <c r="N199" s="131"/>
      <c r="O199" s="126"/>
      <c r="P199" s="126"/>
      <c r="Q199" s="126"/>
      <c r="R199" s="1"/>
      <c r="S199" s="1"/>
      <c r="T199" s="1"/>
      <c r="U199" s="1"/>
      <c r="V199" s="1"/>
    </row>
    <row r="200" spans="1:22" x14ac:dyDescent="0.3">
      <c r="A200" s="5" t="str">
        <f>CONCATENATE("F",IF(B200&lt;&gt;"",COUNTA($B$2:B200),""))</f>
        <v>F115</v>
      </c>
      <c r="B200" s="126" t="s">
        <v>49</v>
      </c>
      <c r="C200" s="126" t="s">
        <v>51</v>
      </c>
      <c r="D200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2.9019901319999994</v>
      </c>
      <c r="E200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0" s="126">
        <f>VLOOKUP(woodflow[[#This Row],[From]],woodstock[#All],4,FALSE)</f>
        <v>2021</v>
      </c>
      <c r="G200" s="5" t="str">
        <f>VLOOKUP(woodflow[[#This Row],[From]],woodstock[#All],5,FALSE)</f>
        <v>OAS</v>
      </c>
      <c r="H200" s="135" t="str">
        <f>VLOOKUP(woodflow[[#This Row],[From]],woodstock[#All],7,FALSE)</f>
        <v>20</v>
      </c>
      <c r="I200" s="135" t="str">
        <f>VLOOKUP(woodflow[[#This Row],[to]],woodstock[#All],7,FALSE)</f>
        <v>15</v>
      </c>
      <c r="J200" s="135" t="str">
        <f>VLOOKUP(woodflow[[#This Row],[From]],woodstock[#All],8,FALSE)</f>
        <v>0</v>
      </c>
      <c r="K200" s="135" t="str">
        <f>VLOOKUP(woodflow[[#This Row],[to]],woodstock[#All],8,FALSE)</f>
        <v>1</v>
      </c>
      <c r="L200" s="136" t="str">
        <f>VLOOKUP(woodflow[[#This Row],[From]],woodstock[#All],9,FALSE)</f>
        <v>nan</v>
      </c>
      <c r="M200" s="136" t="str">
        <f>VLOOKUP(woodflow[[#This Row],[to]],woodstock[#All],9,FALSE)</f>
        <v>37-38-39-40-41-42</v>
      </c>
      <c r="N200" s="131">
        <f>'faostat-data'!Q57+'faostat-data'!Q58-'faostat-data'!Q59</f>
        <v>2.9019901319999994</v>
      </c>
      <c r="O200" s="126" t="s">
        <v>556</v>
      </c>
      <c r="P200" s="126"/>
      <c r="Q200" s="126" t="s">
        <v>234</v>
      </c>
      <c r="R200" s="1"/>
      <c r="S200" s="1"/>
      <c r="T200" s="1"/>
      <c r="U200" s="1"/>
      <c r="V200" s="1"/>
    </row>
    <row r="201" spans="1:22" x14ac:dyDescent="0.3">
      <c r="A201" s="5" t="str">
        <f>CONCATENATE("F",IF(B201&lt;&gt;"",COUNTA($B$2:B201),""))</f>
        <v>F116</v>
      </c>
      <c r="B201" s="126" t="s">
        <v>49</v>
      </c>
      <c r="C201" s="126" t="s">
        <v>36</v>
      </c>
      <c r="D201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01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1" s="126">
        <f>VLOOKUP(woodflow[[#This Row],[From]],woodstock[#All],4,FALSE)</f>
        <v>2021</v>
      </c>
      <c r="G201" s="5" t="str">
        <f>VLOOKUP(woodflow[[#This Row],[From]],woodstock[#All],5,FALSE)</f>
        <v>OAS</v>
      </c>
      <c r="H201" s="135" t="str">
        <f>VLOOKUP(woodflow[[#This Row],[From]],woodstock[#All],7,FALSE)</f>
        <v>20</v>
      </c>
      <c r="I201" s="135" t="str">
        <f>VLOOKUP(woodflow[[#This Row],[to]],woodstock[#All],7,FALSE)</f>
        <v>37</v>
      </c>
      <c r="J201" s="135" t="str">
        <f>VLOOKUP(woodflow[[#This Row],[From]],woodstock[#All],8,FALSE)</f>
        <v>0</v>
      </c>
      <c r="K201" s="135" t="str">
        <f>VLOOKUP(woodflow[[#This Row],[to]],woodstock[#All],8,FALSE)</f>
        <v>0</v>
      </c>
      <c r="L201" s="136" t="str">
        <f>VLOOKUP(woodflow[[#This Row],[From]],woodstock[#All],9,FALSE)</f>
        <v>nan</v>
      </c>
      <c r="M201" s="136" t="str">
        <f>VLOOKUP(woodflow[[#This Row],[to]],woodstock[#All],9,FALSE)</f>
        <v>nan</v>
      </c>
      <c r="N201" s="131">
        <v>0</v>
      </c>
      <c r="O201" s="126" t="s">
        <v>213</v>
      </c>
      <c r="P201" s="126"/>
      <c r="Q201" s="126"/>
      <c r="R201" s="1"/>
      <c r="S201" s="1"/>
      <c r="T201" s="1"/>
      <c r="U201" s="1"/>
      <c r="V201" s="1"/>
    </row>
    <row r="202" spans="1:22" x14ac:dyDescent="0.3">
      <c r="A202" s="5" t="str">
        <f>CONCATENATE("F",IF(B202&lt;&gt;"",COUNTA($B$2:B202),""))</f>
        <v>F117</v>
      </c>
      <c r="B202" s="126" t="s">
        <v>49</v>
      </c>
      <c r="C202" s="126" t="s">
        <v>37</v>
      </c>
      <c r="D202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2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0.43529851979999989</v>
      </c>
      <c r="F202" s="126">
        <f>VLOOKUP(woodflow[[#This Row],[From]],woodstock[#All],4,FALSE)</f>
        <v>2021</v>
      </c>
      <c r="G202" s="5" t="str">
        <f>VLOOKUP(woodflow[[#This Row],[From]],woodstock[#All],5,FALSE)</f>
        <v>OAS</v>
      </c>
      <c r="H202" s="135" t="str">
        <f>VLOOKUP(woodflow[[#This Row],[From]],woodstock[#All],7,FALSE)</f>
        <v>20</v>
      </c>
      <c r="I202" s="135" t="str">
        <f>VLOOKUP(woodflow[[#This Row],[to]],woodstock[#All],7,FALSE)</f>
        <v>38</v>
      </c>
      <c r="J202" s="135" t="str">
        <f>VLOOKUP(woodflow[[#This Row],[From]],woodstock[#All],8,FALSE)</f>
        <v>0</v>
      </c>
      <c r="K202" s="135" t="str">
        <f>VLOOKUP(woodflow[[#This Row],[to]],woodstock[#All],8,FALSE)</f>
        <v>0</v>
      </c>
      <c r="L202" s="136" t="str">
        <f>VLOOKUP(woodflow[[#This Row],[From]],woodstock[#All],9,FALSE)</f>
        <v>nan</v>
      </c>
      <c r="M202" s="136" t="str">
        <f>VLOOKUP(woodflow[[#This Row],[to]],woodstock[#All],9,FALSE)</f>
        <v>nan</v>
      </c>
      <c r="N202" s="131">
        <f>$N$200*woodratio!I57</f>
        <v>0.43529851979999989</v>
      </c>
      <c r="O202" s="126" t="s">
        <v>549</v>
      </c>
      <c r="P202" s="126" t="s">
        <v>240</v>
      </c>
      <c r="Q202" s="126"/>
      <c r="R202" s="1"/>
      <c r="S202" s="1"/>
      <c r="T202" s="1"/>
      <c r="U202" s="1"/>
      <c r="V202" s="1"/>
    </row>
    <row r="203" spans="1:22" x14ac:dyDescent="0.3">
      <c r="A203" s="5" t="str">
        <f>CONCATENATE("F",IF(B203&lt;&gt;"",COUNTA($B$2:B203),""))</f>
        <v>F118</v>
      </c>
      <c r="B203" s="126" t="s">
        <v>49</v>
      </c>
      <c r="C203" s="126" t="s">
        <v>39</v>
      </c>
      <c r="D203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3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0.15960945725999998</v>
      </c>
      <c r="F203" s="126">
        <f>VLOOKUP(woodflow[[#This Row],[From]],woodstock[#All],4,FALSE)</f>
        <v>2021</v>
      </c>
      <c r="G203" s="5" t="str">
        <f>VLOOKUP(woodflow[[#This Row],[From]],woodstock[#All],5,FALSE)</f>
        <v>OAS</v>
      </c>
      <c r="H203" s="135" t="str">
        <f>VLOOKUP(woodflow[[#This Row],[From]],woodstock[#All],7,FALSE)</f>
        <v>20</v>
      </c>
      <c r="I203" s="135" t="str">
        <f>VLOOKUP(woodflow[[#This Row],[to]],woodstock[#All],7,FALSE)</f>
        <v>39</v>
      </c>
      <c r="J203" s="135" t="str">
        <f>VLOOKUP(woodflow[[#This Row],[From]],woodstock[#All],8,FALSE)</f>
        <v>0</v>
      </c>
      <c r="K203" s="135" t="str">
        <f>VLOOKUP(woodflow[[#This Row],[to]],woodstock[#All],8,FALSE)</f>
        <v>0</v>
      </c>
      <c r="L203" s="136" t="str">
        <f>VLOOKUP(woodflow[[#This Row],[From]],woodstock[#All],9,FALSE)</f>
        <v>nan</v>
      </c>
      <c r="M203" s="136" t="str">
        <f>VLOOKUP(woodflow[[#This Row],[to]],woodstock[#All],9,FALSE)</f>
        <v>nan</v>
      </c>
      <c r="N203" s="131">
        <f>$N$200*woodratio!I58</f>
        <v>0.15960945725999998</v>
      </c>
      <c r="O203" s="126" t="s">
        <v>549</v>
      </c>
      <c r="P203" s="126" t="s">
        <v>240</v>
      </c>
      <c r="Q203" s="126"/>
      <c r="R203" s="1"/>
      <c r="S203" s="1"/>
      <c r="T203" s="1"/>
      <c r="U203" s="1"/>
      <c r="V203" s="1"/>
    </row>
    <row r="204" spans="1:22" x14ac:dyDescent="0.3">
      <c r="A204" s="5" t="str">
        <f>CONCATENATE("F",IF(B204&lt;&gt;"",COUNTA($B$2:B204),""))</f>
        <v>F119</v>
      </c>
      <c r="B204" s="126" t="s">
        <v>49</v>
      </c>
      <c r="C204" s="126" t="s">
        <v>40</v>
      </c>
      <c r="D204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4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1.1462861021399999</v>
      </c>
      <c r="F204" s="126">
        <f>VLOOKUP(woodflow[[#This Row],[From]],woodstock[#All],4,FALSE)</f>
        <v>2021</v>
      </c>
      <c r="G204" s="5" t="str">
        <f>VLOOKUP(woodflow[[#This Row],[From]],woodstock[#All],5,FALSE)</f>
        <v>OAS</v>
      </c>
      <c r="H204" s="135" t="str">
        <f>VLOOKUP(woodflow[[#This Row],[From]],woodstock[#All],7,FALSE)</f>
        <v>20</v>
      </c>
      <c r="I204" s="135" t="str">
        <f>VLOOKUP(woodflow[[#This Row],[to]],woodstock[#All],7,FALSE)</f>
        <v>40</v>
      </c>
      <c r="J204" s="135" t="str">
        <f>VLOOKUP(woodflow[[#This Row],[From]],woodstock[#All],8,FALSE)</f>
        <v>0</v>
      </c>
      <c r="K204" s="135" t="str">
        <f>VLOOKUP(woodflow[[#This Row],[to]],woodstock[#All],8,FALSE)</f>
        <v>0</v>
      </c>
      <c r="L204" s="136" t="str">
        <f>VLOOKUP(woodflow[[#This Row],[From]],woodstock[#All],9,FALSE)</f>
        <v>nan</v>
      </c>
      <c r="M204" s="136" t="str">
        <f>VLOOKUP(woodflow[[#This Row],[to]],woodstock[#All],9,FALSE)</f>
        <v>nan</v>
      </c>
      <c r="N204" s="131">
        <f>$N$200*woodratio!I59</f>
        <v>1.1462861021399999</v>
      </c>
      <c r="O204" s="126" t="s">
        <v>549</v>
      </c>
      <c r="P204" s="126" t="s">
        <v>240</v>
      </c>
      <c r="Q204" s="126"/>
      <c r="R204" s="1"/>
      <c r="S204" s="1"/>
      <c r="T204" s="1"/>
      <c r="U204" s="1"/>
      <c r="V204" s="1"/>
    </row>
    <row r="205" spans="1:22" x14ac:dyDescent="0.3">
      <c r="A205" s="5" t="str">
        <f>CONCATENATE("F",IF(B205&lt;&gt;"",COUNTA($B$2:B205),""))</f>
        <v>F120</v>
      </c>
      <c r="B205" s="126" t="s">
        <v>49</v>
      </c>
      <c r="C205" s="126" t="s">
        <v>41</v>
      </c>
      <c r="D205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5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0.58039802639999993</v>
      </c>
      <c r="F205" s="126">
        <f>VLOOKUP(woodflow[[#This Row],[From]],woodstock[#All],4,FALSE)</f>
        <v>2021</v>
      </c>
      <c r="G205" s="5" t="str">
        <f>VLOOKUP(woodflow[[#This Row],[From]],woodstock[#All],5,FALSE)</f>
        <v>OAS</v>
      </c>
      <c r="H205" s="135" t="str">
        <f>VLOOKUP(woodflow[[#This Row],[From]],woodstock[#All],7,FALSE)</f>
        <v>20</v>
      </c>
      <c r="I205" s="135" t="str">
        <f>VLOOKUP(woodflow[[#This Row],[to]],woodstock[#All],7,FALSE)</f>
        <v>41</v>
      </c>
      <c r="J205" s="135" t="str">
        <f>VLOOKUP(woodflow[[#This Row],[From]],woodstock[#All],8,FALSE)</f>
        <v>0</v>
      </c>
      <c r="K205" s="135" t="str">
        <f>VLOOKUP(woodflow[[#This Row],[to]],woodstock[#All],8,FALSE)</f>
        <v>0</v>
      </c>
      <c r="L205" s="136" t="str">
        <f>VLOOKUP(woodflow[[#This Row],[From]],woodstock[#All],9,FALSE)</f>
        <v>nan</v>
      </c>
      <c r="M205" s="136" t="str">
        <f>VLOOKUP(woodflow[[#This Row],[to]],woodstock[#All],9,FALSE)</f>
        <v>nan</v>
      </c>
      <c r="N205" s="131">
        <f>$N$200*woodratio!I60</f>
        <v>0.58039802639999993</v>
      </c>
      <c r="O205" s="126" t="s">
        <v>549</v>
      </c>
      <c r="P205" s="126" t="s">
        <v>240</v>
      </c>
      <c r="Q205" s="126"/>
      <c r="R205" s="1"/>
      <c r="S205" s="1"/>
      <c r="T205" s="1"/>
      <c r="U205" s="1"/>
      <c r="V205" s="1"/>
    </row>
    <row r="206" spans="1:22" x14ac:dyDescent="0.3">
      <c r="A206" s="5" t="str">
        <f>CONCATENATE("F",IF(B206&lt;&gt;"",COUNTA($B$2:B206),""))</f>
        <v>F121</v>
      </c>
      <c r="B206" s="126" t="s">
        <v>49</v>
      </c>
      <c r="C206" s="126" t="s">
        <v>38</v>
      </c>
      <c r="D206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6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0.58039802639999993</v>
      </c>
      <c r="F206" s="126">
        <f>VLOOKUP(woodflow[[#This Row],[From]],woodstock[#All],4,FALSE)</f>
        <v>2021</v>
      </c>
      <c r="G206" s="5" t="str">
        <f>VLOOKUP(woodflow[[#This Row],[From]],woodstock[#All],5,FALSE)</f>
        <v>OAS</v>
      </c>
      <c r="H206" s="135" t="str">
        <f>VLOOKUP(woodflow[[#This Row],[From]],woodstock[#All],7,FALSE)</f>
        <v>20</v>
      </c>
      <c r="I206" s="135" t="str">
        <f>VLOOKUP(woodflow[[#This Row],[to]],woodstock[#All],7,FALSE)</f>
        <v>42</v>
      </c>
      <c r="J206" s="135" t="str">
        <f>VLOOKUP(woodflow[[#This Row],[From]],woodstock[#All],8,FALSE)</f>
        <v>0</v>
      </c>
      <c r="K206" s="135" t="str">
        <f>VLOOKUP(woodflow[[#This Row],[to]],woodstock[#All],8,FALSE)</f>
        <v>0</v>
      </c>
      <c r="L206" s="136" t="str">
        <f>VLOOKUP(woodflow[[#This Row],[From]],woodstock[#All],9,FALSE)</f>
        <v>nan</v>
      </c>
      <c r="M206" s="136" t="str">
        <f>VLOOKUP(woodflow[[#This Row],[to]],woodstock[#All],9,FALSE)</f>
        <v>nan</v>
      </c>
      <c r="N206" s="131">
        <f>$N$200*woodratio!I61</f>
        <v>0.58039802639999993</v>
      </c>
      <c r="O206" s="126" t="s">
        <v>549</v>
      </c>
      <c r="P206" s="126" t="s">
        <v>240</v>
      </c>
      <c r="Q206" s="126"/>
      <c r="R206" s="1"/>
      <c r="S206" s="1"/>
      <c r="T206" s="1"/>
      <c r="U206" s="1"/>
      <c r="V206" s="1"/>
    </row>
    <row r="207" spans="1:22" x14ac:dyDescent="0.3">
      <c r="A207" s="5" t="str">
        <f>CONCATENATE("F",IF(B207&lt;&gt;"",COUNTA($B$2:B207),""))</f>
        <v>F</v>
      </c>
      <c r="B207" s="126"/>
      <c r="C207" s="126"/>
      <c r="D207" s="133"/>
      <c r="E207" s="133"/>
      <c r="F207" s="126"/>
      <c r="G207" s="5"/>
      <c r="H207" s="135"/>
      <c r="I207" s="135"/>
      <c r="J207" s="135"/>
      <c r="K207" s="135"/>
      <c r="L207" s="136"/>
      <c r="M207" s="136"/>
      <c r="N207" s="131"/>
      <c r="O207" s="126"/>
      <c r="P207" s="126"/>
      <c r="Q207" s="126"/>
      <c r="R207" s="1"/>
      <c r="S207" s="1"/>
      <c r="T207" s="1"/>
      <c r="U207" s="1"/>
      <c r="V207" s="1"/>
    </row>
    <row r="208" spans="1:22" x14ac:dyDescent="0.3">
      <c r="A208" s="5" t="str">
        <f>CONCATENATE("F",IF(B208&lt;&gt;"",COUNTA($B$2:B208),""))</f>
        <v>F</v>
      </c>
      <c r="B208" s="126"/>
      <c r="C208" s="126"/>
      <c r="D208" s="133"/>
      <c r="E208" s="133"/>
      <c r="F208" s="126"/>
      <c r="G208" s="5"/>
      <c r="H208" s="135"/>
      <c r="I208" s="135"/>
      <c r="J208" s="135"/>
      <c r="K208" s="135"/>
      <c r="L208" s="136"/>
      <c r="M208" s="136"/>
      <c r="N208" s="131"/>
      <c r="O208" s="126"/>
      <c r="P208" s="126"/>
      <c r="Q208" s="126"/>
      <c r="R208" s="1"/>
      <c r="S208" s="1"/>
      <c r="T208" s="1"/>
      <c r="U208" s="1"/>
      <c r="V208" s="1"/>
    </row>
    <row r="209" spans="1:22" x14ac:dyDescent="0.3">
      <c r="A209" s="5" t="str">
        <f>CONCATENATE("F",IF(B209&lt;&gt;"",COUNTA($B$2:B209),""))</f>
        <v>F122</v>
      </c>
      <c r="B209" s="126" t="s">
        <v>49</v>
      </c>
      <c r="C209" s="126" t="s">
        <v>29</v>
      </c>
      <c r="D209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3.0424769517413797</v>
      </c>
      <c r="E20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9" s="126">
        <f>VLOOKUP(woodflow[[#This Row],[From]],woodstock[#All],4,FALSE)</f>
        <v>2021</v>
      </c>
      <c r="G209" s="5" t="str">
        <f>VLOOKUP(woodflow[[#This Row],[From]],woodstock[#All],5,FALSE)</f>
        <v>OAS</v>
      </c>
      <c r="H209" s="135" t="str">
        <f>VLOOKUP(woodflow[[#This Row],[From]],woodstock[#All],7,FALSE)</f>
        <v>20</v>
      </c>
      <c r="I209" s="135" t="str">
        <f>VLOOKUP(woodflow[[#This Row],[to]],woodstock[#All],7,FALSE)</f>
        <v>50</v>
      </c>
      <c r="J209" s="135" t="str">
        <f>VLOOKUP(woodflow[[#This Row],[From]],woodstock[#All],8,FALSE)</f>
        <v>0</v>
      </c>
      <c r="K209" s="135" t="str">
        <f>VLOOKUP(woodflow[[#This Row],[to]],woodstock[#All],8,FALSE)</f>
        <v>0</v>
      </c>
      <c r="L209" s="136" t="str">
        <f>VLOOKUP(woodflow[[#This Row],[From]],woodstock[#All],9,FALSE)</f>
        <v>nan</v>
      </c>
      <c r="M209" s="136" t="str">
        <f>VLOOKUP(woodflow[[#This Row],[to]],woodstock[#All],9,FALSE)</f>
        <v>nan</v>
      </c>
      <c r="N209" s="131">
        <f>'faostat-data'!Q57/'production-mass-balance'!B42*SUM('production-mass-balance'!B37:B41)</f>
        <v>3.0424769517413797</v>
      </c>
      <c r="O209" s="126" t="s">
        <v>556</v>
      </c>
      <c r="P209" s="126" t="s">
        <v>456</v>
      </c>
      <c r="Q209" s="126" t="s">
        <v>234</v>
      </c>
      <c r="R209" s="1"/>
      <c r="S209" s="1"/>
      <c r="T209" s="1"/>
      <c r="U209" s="1"/>
      <c r="V209" s="1"/>
    </row>
    <row r="210" spans="1:22" x14ac:dyDescent="0.3">
      <c r="A210" s="5" t="str">
        <f>CONCATENATE("F",IF(B210&lt;&gt;"",COUNTA($B$2:B210),""))</f>
        <v>F</v>
      </c>
      <c r="B210" s="126"/>
      <c r="C210" s="126"/>
      <c r="D210" s="133"/>
      <c r="E210" s="133"/>
      <c r="F210" s="126"/>
      <c r="G210" s="5"/>
      <c r="H210" s="135"/>
      <c r="I210" s="135"/>
      <c r="J210" s="135"/>
      <c r="K210" s="135"/>
      <c r="L210" s="136"/>
      <c r="M210" s="136"/>
      <c r="N210" s="131"/>
      <c r="O210" s="126"/>
      <c r="P210" s="126"/>
      <c r="Q210" s="126"/>
      <c r="R210" s="1"/>
      <c r="S210" s="1"/>
      <c r="T210" s="1"/>
      <c r="U210" s="1"/>
      <c r="V210" s="1"/>
    </row>
    <row r="211" spans="1:22" x14ac:dyDescent="0.3">
      <c r="A211" s="5" t="str">
        <f>CONCATENATE("F",IF(B211&lt;&gt;"",COUNTA($B$2:B211),""))</f>
        <v>F</v>
      </c>
      <c r="B211" s="126"/>
      <c r="C211" s="126"/>
      <c r="D211" s="133"/>
      <c r="E211" s="133"/>
      <c r="F211" s="126"/>
      <c r="G211" s="5"/>
      <c r="H211" s="135"/>
      <c r="I211" s="135"/>
      <c r="J211" s="135"/>
      <c r="K211" s="135"/>
      <c r="L211" s="136"/>
      <c r="M211" s="136"/>
      <c r="N211" s="131"/>
      <c r="O211" s="126"/>
      <c r="P211" s="126"/>
      <c r="Q211" s="126"/>
      <c r="R211" s="1"/>
      <c r="S211" s="1"/>
      <c r="T211" s="1"/>
      <c r="U211" s="1"/>
      <c r="V211" s="1"/>
    </row>
    <row r="212" spans="1:22" x14ac:dyDescent="0.3">
      <c r="A212" s="5" t="str">
        <f>CONCATENATE("F",IF(B212&lt;&gt;"",COUNTA($B$2:B212),""))</f>
        <v>F123</v>
      </c>
      <c r="B212" s="126" t="s">
        <v>44</v>
      </c>
      <c r="C212" s="126" t="s">
        <v>51</v>
      </c>
      <c r="D212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5.3328859560000001</v>
      </c>
      <c r="E212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12" s="126">
        <f>VLOOKUP(woodflow[[#This Row],[From]],woodstock[#All],4,FALSE)</f>
        <v>2021</v>
      </c>
      <c r="G212" s="5" t="str">
        <f>VLOOKUP(woodflow[[#This Row],[From]],woodstock[#All],5,FALSE)</f>
        <v>OAS</v>
      </c>
      <c r="H212" s="135" t="str">
        <f>VLOOKUP(woodflow[[#This Row],[From]],woodstock[#All],7,FALSE)</f>
        <v>21</v>
      </c>
      <c r="I212" s="135" t="str">
        <f>VLOOKUP(woodflow[[#This Row],[to]],woodstock[#All],7,FALSE)</f>
        <v>15</v>
      </c>
      <c r="J212" s="135" t="str">
        <f>VLOOKUP(woodflow[[#This Row],[From]],woodstock[#All],8,FALSE)</f>
        <v>0</v>
      </c>
      <c r="K212" s="135" t="str">
        <f>VLOOKUP(woodflow[[#This Row],[to]],woodstock[#All],8,FALSE)</f>
        <v>1</v>
      </c>
      <c r="L212" s="136" t="str">
        <f>VLOOKUP(woodflow[[#This Row],[From]],woodstock[#All],9,FALSE)</f>
        <v>nan</v>
      </c>
      <c r="M212" s="136" t="str">
        <f>VLOOKUP(woodflow[[#This Row],[to]],woodstock[#All],9,FALSE)</f>
        <v>37-38-39-40-41-42</v>
      </c>
      <c r="N212" s="131">
        <f>'faostat-data'!Q60+'faostat-data'!Q61-'faostat-data'!Q62</f>
        <v>5.3328859560000001</v>
      </c>
      <c r="O212" s="126" t="s">
        <v>556</v>
      </c>
      <c r="P212" s="126"/>
      <c r="Q212" s="126" t="s">
        <v>234</v>
      </c>
      <c r="R212" s="1"/>
      <c r="S212" s="1"/>
      <c r="T212" s="1"/>
      <c r="U212" s="1"/>
      <c r="V212" s="1"/>
    </row>
    <row r="213" spans="1:22" x14ac:dyDescent="0.3">
      <c r="A213" s="5" t="str">
        <f>CONCATENATE("F",IF(B213&lt;&gt;"",COUNTA($B$2:B213),""))</f>
        <v>F124</v>
      </c>
      <c r="B213" s="126" t="s">
        <v>44</v>
      </c>
      <c r="C213" s="126" t="s">
        <v>36</v>
      </c>
      <c r="D213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1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13" s="126">
        <f>VLOOKUP(woodflow[[#This Row],[From]],woodstock[#All],4,FALSE)</f>
        <v>2021</v>
      </c>
      <c r="G213" s="5" t="str">
        <f>VLOOKUP(woodflow[[#This Row],[From]],woodstock[#All],5,FALSE)</f>
        <v>OAS</v>
      </c>
      <c r="H213" s="135" t="str">
        <f>VLOOKUP(woodflow[[#This Row],[From]],woodstock[#All],7,FALSE)</f>
        <v>21</v>
      </c>
      <c r="I213" s="135" t="str">
        <f>VLOOKUP(woodflow[[#This Row],[to]],woodstock[#All],7,FALSE)</f>
        <v>37</v>
      </c>
      <c r="J213" s="135" t="str">
        <f>VLOOKUP(woodflow[[#This Row],[From]],woodstock[#All],8,FALSE)</f>
        <v>0</v>
      </c>
      <c r="K213" s="135" t="str">
        <f>VLOOKUP(woodflow[[#This Row],[to]],woodstock[#All],8,FALSE)</f>
        <v>0</v>
      </c>
      <c r="L213" s="136" t="str">
        <f>VLOOKUP(woodflow[[#This Row],[From]],woodstock[#All],9,FALSE)</f>
        <v>nan</v>
      </c>
      <c r="M213" s="136" t="str">
        <f>VLOOKUP(woodflow[[#This Row],[to]],woodstock[#All],9,FALSE)</f>
        <v>nan</v>
      </c>
      <c r="N213" s="131">
        <v>0</v>
      </c>
      <c r="O213" s="126" t="s">
        <v>213</v>
      </c>
      <c r="P213" s="126"/>
      <c r="Q213" s="126"/>
      <c r="R213" s="1"/>
      <c r="S213" s="1"/>
      <c r="T213" s="1"/>
      <c r="U213" s="1"/>
      <c r="V213" s="1"/>
    </row>
    <row r="214" spans="1:22" x14ac:dyDescent="0.3">
      <c r="A214" s="5" t="str">
        <f>CONCATENATE("F",IF(B214&lt;&gt;"",COUNTA($B$2:B214),""))</f>
        <v>F125</v>
      </c>
      <c r="B214" s="126" t="s">
        <v>44</v>
      </c>
      <c r="C214" s="126" t="s">
        <v>37</v>
      </c>
      <c r="D214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4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0.42663087648000003</v>
      </c>
      <c r="F214" s="126">
        <f>VLOOKUP(woodflow[[#This Row],[From]],woodstock[#All],4,FALSE)</f>
        <v>2021</v>
      </c>
      <c r="G214" s="5" t="str">
        <f>VLOOKUP(woodflow[[#This Row],[From]],woodstock[#All],5,FALSE)</f>
        <v>OAS</v>
      </c>
      <c r="H214" s="135" t="str">
        <f>VLOOKUP(woodflow[[#This Row],[From]],woodstock[#All],7,FALSE)</f>
        <v>21</v>
      </c>
      <c r="I214" s="135" t="str">
        <f>VLOOKUP(woodflow[[#This Row],[to]],woodstock[#All],7,FALSE)</f>
        <v>38</v>
      </c>
      <c r="J214" s="135" t="str">
        <f>VLOOKUP(woodflow[[#This Row],[From]],woodstock[#All],8,FALSE)</f>
        <v>0</v>
      </c>
      <c r="K214" s="135" t="str">
        <f>VLOOKUP(woodflow[[#This Row],[to]],woodstock[#All],8,FALSE)</f>
        <v>0</v>
      </c>
      <c r="L214" s="136" t="str">
        <f>VLOOKUP(woodflow[[#This Row],[From]],woodstock[#All],9,FALSE)</f>
        <v>nan</v>
      </c>
      <c r="M214" s="136" t="str">
        <f>VLOOKUP(woodflow[[#This Row],[to]],woodstock[#All],9,FALSE)</f>
        <v>nan</v>
      </c>
      <c r="N214" s="131">
        <f>$N$212*woodratio!I64</f>
        <v>0.42663087648000003</v>
      </c>
      <c r="O214" s="126" t="s">
        <v>549</v>
      </c>
      <c r="P214" s="126" t="s">
        <v>240</v>
      </c>
      <c r="Q214" s="126"/>
      <c r="R214" s="1"/>
      <c r="S214" s="1"/>
      <c r="T214" s="1"/>
      <c r="U214" s="1"/>
      <c r="V214" s="1"/>
    </row>
    <row r="215" spans="1:22" x14ac:dyDescent="0.3">
      <c r="A215" s="5" t="str">
        <f>CONCATENATE("F",IF(B215&lt;&gt;"",COUNTA($B$2:B215),""))</f>
        <v>F126</v>
      </c>
      <c r="B215" s="126" t="s">
        <v>44</v>
      </c>
      <c r="C215" s="126" t="s">
        <v>39</v>
      </c>
      <c r="D215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5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1.0665771912000001E-2</v>
      </c>
      <c r="F215" s="126">
        <f>VLOOKUP(woodflow[[#This Row],[From]],woodstock[#All],4,FALSE)</f>
        <v>2021</v>
      </c>
      <c r="G215" s="5" t="str">
        <f>VLOOKUP(woodflow[[#This Row],[From]],woodstock[#All],5,FALSE)</f>
        <v>OAS</v>
      </c>
      <c r="H215" s="135" t="str">
        <f>VLOOKUP(woodflow[[#This Row],[From]],woodstock[#All],7,FALSE)</f>
        <v>21</v>
      </c>
      <c r="I215" s="135" t="str">
        <f>VLOOKUP(woodflow[[#This Row],[to]],woodstock[#All],7,FALSE)</f>
        <v>39</v>
      </c>
      <c r="J215" s="135" t="str">
        <f>VLOOKUP(woodflow[[#This Row],[From]],woodstock[#All],8,FALSE)</f>
        <v>0</v>
      </c>
      <c r="K215" s="135" t="str">
        <f>VLOOKUP(woodflow[[#This Row],[to]],woodstock[#All],8,FALSE)</f>
        <v>0</v>
      </c>
      <c r="L215" s="136" t="str">
        <f>VLOOKUP(woodflow[[#This Row],[From]],woodstock[#All],9,FALSE)</f>
        <v>nan</v>
      </c>
      <c r="M215" s="136" t="str">
        <f>VLOOKUP(woodflow[[#This Row],[to]],woodstock[#All],9,FALSE)</f>
        <v>nan</v>
      </c>
      <c r="N215" s="131">
        <f>$N$212*woodratio!I65</f>
        <v>1.0665771912000001E-2</v>
      </c>
      <c r="O215" s="126" t="s">
        <v>549</v>
      </c>
      <c r="P215" s="126" t="s">
        <v>240</v>
      </c>
      <c r="Q215" s="126"/>
      <c r="R215" s="1"/>
      <c r="S215" s="1"/>
      <c r="T215" s="1"/>
      <c r="U215" s="1"/>
      <c r="V215" s="1"/>
    </row>
    <row r="216" spans="1:22" x14ac:dyDescent="0.3">
      <c r="A216" s="5" t="str">
        <f>CONCATENATE("F",IF(B216&lt;&gt;"",COUNTA($B$2:B216),""))</f>
        <v>F127</v>
      </c>
      <c r="B216" s="126" t="s">
        <v>44</v>
      </c>
      <c r="C216" s="126" t="s">
        <v>40</v>
      </c>
      <c r="D216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6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2.1331543824000003</v>
      </c>
      <c r="F216" s="126">
        <f>VLOOKUP(woodflow[[#This Row],[From]],woodstock[#All],4,FALSE)</f>
        <v>2021</v>
      </c>
      <c r="G216" s="5" t="str">
        <f>VLOOKUP(woodflow[[#This Row],[From]],woodstock[#All],5,FALSE)</f>
        <v>OAS</v>
      </c>
      <c r="H216" s="135" t="str">
        <f>VLOOKUP(woodflow[[#This Row],[From]],woodstock[#All],7,FALSE)</f>
        <v>21</v>
      </c>
      <c r="I216" s="135" t="str">
        <f>VLOOKUP(woodflow[[#This Row],[to]],woodstock[#All],7,FALSE)</f>
        <v>40</v>
      </c>
      <c r="J216" s="135" t="str">
        <f>VLOOKUP(woodflow[[#This Row],[From]],woodstock[#All],8,FALSE)</f>
        <v>0</v>
      </c>
      <c r="K216" s="135" t="str">
        <f>VLOOKUP(woodflow[[#This Row],[to]],woodstock[#All],8,FALSE)</f>
        <v>0</v>
      </c>
      <c r="L216" s="136" t="str">
        <f>VLOOKUP(woodflow[[#This Row],[From]],woodstock[#All],9,FALSE)</f>
        <v>nan</v>
      </c>
      <c r="M216" s="136" t="str">
        <f>VLOOKUP(woodflow[[#This Row],[to]],woodstock[#All],9,FALSE)</f>
        <v>nan</v>
      </c>
      <c r="N216" s="131">
        <f>$N$212*woodratio!I66</f>
        <v>2.1331543824000003</v>
      </c>
      <c r="O216" s="126" t="s">
        <v>549</v>
      </c>
      <c r="P216" s="126" t="s">
        <v>240</v>
      </c>
      <c r="Q216" s="126"/>
      <c r="R216" s="1"/>
      <c r="S216" s="1"/>
      <c r="T216" s="1"/>
      <c r="U216" s="1"/>
      <c r="V216" s="1"/>
    </row>
    <row r="217" spans="1:22" x14ac:dyDescent="0.3">
      <c r="A217" s="5" t="str">
        <f>CONCATENATE("F",IF(B217&lt;&gt;"",COUNTA($B$2:B217),""))</f>
        <v>F128</v>
      </c>
      <c r="B217" s="126" t="s">
        <v>44</v>
      </c>
      <c r="C217" s="126" t="s">
        <v>41</v>
      </c>
      <c r="D217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7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1.4292134362080002</v>
      </c>
      <c r="F217" s="126">
        <f>VLOOKUP(woodflow[[#This Row],[From]],woodstock[#All],4,FALSE)</f>
        <v>2021</v>
      </c>
      <c r="G217" s="5" t="str">
        <f>VLOOKUP(woodflow[[#This Row],[From]],woodstock[#All],5,FALSE)</f>
        <v>OAS</v>
      </c>
      <c r="H217" s="135" t="str">
        <f>VLOOKUP(woodflow[[#This Row],[From]],woodstock[#All],7,FALSE)</f>
        <v>21</v>
      </c>
      <c r="I217" s="135" t="str">
        <f>VLOOKUP(woodflow[[#This Row],[to]],woodstock[#All],7,FALSE)</f>
        <v>41</v>
      </c>
      <c r="J217" s="135" t="str">
        <f>VLOOKUP(woodflow[[#This Row],[From]],woodstock[#All],8,FALSE)</f>
        <v>0</v>
      </c>
      <c r="K217" s="135" t="str">
        <f>VLOOKUP(woodflow[[#This Row],[to]],woodstock[#All],8,FALSE)</f>
        <v>0</v>
      </c>
      <c r="L217" s="136" t="str">
        <f>VLOOKUP(woodflow[[#This Row],[From]],woodstock[#All],9,FALSE)</f>
        <v>nan</v>
      </c>
      <c r="M217" s="136" t="str">
        <f>VLOOKUP(woodflow[[#This Row],[to]],woodstock[#All],9,FALSE)</f>
        <v>nan</v>
      </c>
      <c r="N217" s="131">
        <f>$N$212*woodratio!I67</f>
        <v>1.4292134362080002</v>
      </c>
      <c r="O217" s="126" t="s">
        <v>549</v>
      </c>
      <c r="P217" s="126" t="s">
        <v>240</v>
      </c>
      <c r="Q217" s="126"/>
      <c r="R217" s="1"/>
      <c r="S217" s="1"/>
      <c r="T217" s="1"/>
      <c r="U217" s="1"/>
      <c r="V217" s="1"/>
    </row>
    <row r="218" spans="1:22" x14ac:dyDescent="0.3">
      <c r="A218" s="5" t="str">
        <f>CONCATENATE("F",IF(B218&lt;&gt;"",COUNTA($B$2:B218),""))</f>
        <v>F129</v>
      </c>
      <c r="B218" s="126" t="s">
        <v>44</v>
      </c>
      <c r="C218" s="126" t="s">
        <v>38</v>
      </c>
      <c r="D218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8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1.333221489</v>
      </c>
      <c r="F218" s="126">
        <f>VLOOKUP(woodflow[[#This Row],[From]],woodstock[#All],4,FALSE)</f>
        <v>2021</v>
      </c>
      <c r="G218" s="5" t="str">
        <f>VLOOKUP(woodflow[[#This Row],[From]],woodstock[#All],5,FALSE)</f>
        <v>OAS</v>
      </c>
      <c r="H218" s="135" t="str">
        <f>VLOOKUP(woodflow[[#This Row],[From]],woodstock[#All],7,FALSE)</f>
        <v>21</v>
      </c>
      <c r="I218" s="135" t="str">
        <f>VLOOKUP(woodflow[[#This Row],[to]],woodstock[#All],7,FALSE)</f>
        <v>42</v>
      </c>
      <c r="J218" s="135" t="str">
        <f>VLOOKUP(woodflow[[#This Row],[From]],woodstock[#All],8,FALSE)</f>
        <v>0</v>
      </c>
      <c r="K218" s="135" t="str">
        <f>VLOOKUP(woodflow[[#This Row],[to]],woodstock[#All],8,FALSE)</f>
        <v>0</v>
      </c>
      <c r="L218" s="136" t="str">
        <f>VLOOKUP(woodflow[[#This Row],[From]],woodstock[#All],9,FALSE)</f>
        <v>nan</v>
      </c>
      <c r="M218" s="136" t="str">
        <f>VLOOKUP(woodflow[[#This Row],[to]],woodstock[#All],9,FALSE)</f>
        <v>nan</v>
      </c>
      <c r="N218" s="131">
        <f>$N$212*woodratio!I68</f>
        <v>1.333221489</v>
      </c>
      <c r="O218" s="126" t="s">
        <v>549</v>
      </c>
      <c r="P218" s="126" t="s">
        <v>240</v>
      </c>
      <c r="Q218" s="126"/>
      <c r="R218" s="1"/>
      <c r="S218" s="1"/>
      <c r="T218" s="1"/>
      <c r="U218" s="1"/>
      <c r="V218" s="1"/>
    </row>
    <row r="219" spans="1:22" x14ac:dyDescent="0.3">
      <c r="A219" s="5" t="str">
        <f>CONCATENATE("F",IF(B219&lt;&gt;"",COUNTA($B$2:B219),""))</f>
        <v>F</v>
      </c>
      <c r="B219" s="126"/>
      <c r="C219" s="126"/>
      <c r="D219" s="133"/>
      <c r="E219" s="133"/>
      <c r="F219" s="126"/>
      <c r="G219" s="5"/>
      <c r="H219" s="135"/>
      <c r="I219" s="135"/>
      <c r="J219" s="135"/>
      <c r="K219" s="135"/>
      <c r="L219" s="136"/>
      <c r="M219" s="136"/>
      <c r="N219" s="131"/>
      <c r="O219" s="126"/>
      <c r="P219" s="126"/>
      <c r="Q219" s="126"/>
      <c r="R219" s="1"/>
      <c r="S219" s="1"/>
      <c r="T219" s="1"/>
      <c r="U219" s="1"/>
      <c r="V219" s="1"/>
    </row>
    <row r="220" spans="1:22" x14ac:dyDescent="0.3">
      <c r="A220" s="5" t="str">
        <f>CONCATENATE("F",IF(B220&lt;&gt;"",COUNTA($B$2:B220),""))</f>
        <v>F</v>
      </c>
      <c r="B220" s="126"/>
      <c r="C220" s="126"/>
      <c r="D220" s="133"/>
      <c r="E220" s="133"/>
      <c r="F220" s="126"/>
      <c r="G220" s="5"/>
      <c r="H220" s="135"/>
      <c r="I220" s="135"/>
      <c r="J220" s="135"/>
      <c r="K220" s="135"/>
      <c r="L220" s="136"/>
      <c r="M220" s="136"/>
      <c r="N220" s="131"/>
      <c r="O220" s="126"/>
      <c r="P220" s="126"/>
      <c r="Q220" s="126"/>
      <c r="R220" s="1"/>
      <c r="S220" s="1"/>
      <c r="T220" s="1"/>
      <c r="U220" s="1"/>
      <c r="V220" s="1"/>
    </row>
    <row r="221" spans="1:22" x14ac:dyDescent="0.3">
      <c r="A221" s="5" t="str">
        <f>CONCATENATE("F",IF(B221&lt;&gt;"",COUNTA($B$2:B221),""))</f>
        <v>F130</v>
      </c>
      <c r="B221" s="126" t="s">
        <v>44</v>
      </c>
      <c r="C221" s="126" t="s">
        <v>58</v>
      </c>
      <c r="D221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4.9663275409396563</v>
      </c>
      <c r="E221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1" s="126">
        <f>VLOOKUP(woodflow[[#This Row],[From]],woodstock[#All],4,FALSE)</f>
        <v>2021</v>
      </c>
      <c r="G221" s="5" t="str">
        <f>VLOOKUP(woodflow[[#This Row],[From]],woodstock[#All],5,FALSE)</f>
        <v>OAS</v>
      </c>
      <c r="H221" s="135" t="str">
        <f>VLOOKUP(woodflow[[#This Row],[From]],woodstock[#All],7,FALSE)</f>
        <v>21</v>
      </c>
      <c r="I221" s="135" t="str">
        <f>VLOOKUP(woodflow[[#This Row],[to]],woodstock[#All],7,FALSE)</f>
        <v>18</v>
      </c>
      <c r="J221" s="135" t="str">
        <f>VLOOKUP(woodflow[[#This Row],[From]],woodstock[#All],8,FALSE)</f>
        <v>0</v>
      </c>
      <c r="K221" s="135" t="str">
        <f>VLOOKUP(woodflow[[#This Row],[to]],woodstock[#All],8,FALSE)</f>
        <v>1</v>
      </c>
      <c r="L221" s="136" t="str">
        <f>VLOOKUP(woodflow[[#This Row],[From]],woodstock[#All],9,FALSE)</f>
        <v>nan</v>
      </c>
      <c r="M221" s="136" t="str">
        <f>VLOOKUP(woodflow[[#This Row],[to]],woodstock[#All],9,FALSE)</f>
        <v>50-51-52-53-54-55</v>
      </c>
      <c r="N221" s="131">
        <f>'faostat-data'!Q60/'production-mass-balance'!B42*SUM('production-mass-balance'!B37:B41)</f>
        <v>4.9663275409396563</v>
      </c>
      <c r="O221" s="126" t="s">
        <v>556</v>
      </c>
      <c r="P221" s="126" t="s">
        <v>456</v>
      </c>
      <c r="Q221" s="126" t="s">
        <v>234</v>
      </c>
      <c r="R221" s="1"/>
      <c r="S221" s="1"/>
      <c r="T221" s="1"/>
      <c r="U221" s="1"/>
      <c r="V221" s="1"/>
    </row>
    <row r="222" spans="1:22" x14ac:dyDescent="0.3">
      <c r="A222" s="5" t="str">
        <f>CONCATENATE("F",IF(B222&lt;&gt;"",COUNTA($B$2:B222),""))</f>
        <v>F131</v>
      </c>
      <c r="B222" s="126" t="s">
        <v>44</v>
      </c>
      <c r="C222" s="126" t="s">
        <v>29</v>
      </c>
      <c r="D222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3.7523363642655179</v>
      </c>
      <c r="E222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2" s="126">
        <f>VLOOKUP(woodflow[[#This Row],[From]],woodstock[#All],4,FALSE)</f>
        <v>2021</v>
      </c>
      <c r="G222" s="5" t="str">
        <f>VLOOKUP(woodflow[[#This Row],[From]],woodstock[#All],5,FALSE)</f>
        <v>OAS</v>
      </c>
      <c r="H222" s="135" t="str">
        <f>VLOOKUP(woodflow[[#This Row],[From]],woodstock[#All],7,FALSE)</f>
        <v>21</v>
      </c>
      <c r="I222" s="135" t="str">
        <f>VLOOKUP(woodflow[[#This Row],[to]],woodstock[#All],7,FALSE)</f>
        <v>50</v>
      </c>
      <c r="J222" s="135" t="str">
        <f>VLOOKUP(woodflow[[#This Row],[From]],woodstock[#All],8,FALSE)</f>
        <v>0</v>
      </c>
      <c r="K222" s="135" t="str">
        <f>VLOOKUP(woodflow[[#This Row],[to]],woodstock[#All],8,FALSE)</f>
        <v>0</v>
      </c>
      <c r="L222" s="136" t="str">
        <f>VLOOKUP(woodflow[[#This Row],[From]],woodstock[#All],9,FALSE)</f>
        <v>nan</v>
      </c>
      <c r="M222" s="136" t="str">
        <f>VLOOKUP(woodflow[[#This Row],[to]],woodstock[#All],9,FALSE)</f>
        <v>nan</v>
      </c>
      <c r="N222" s="131">
        <f>$N$221*woodratio!I71</f>
        <v>3.7523363642655179</v>
      </c>
      <c r="O222" s="126" t="s">
        <v>556</v>
      </c>
      <c r="P222" s="126" t="s">
        <v>456</v>
      </c>
      <c r="Q222" s="126"/>
      <c r="R222" s="1"/>
      <c r="S222" s="1"/>
      <c r="T222" s="1"/>
      <c r="U222" s="1"/>
      <c r="V222" s="1"/>
    </row>
    <row r="223" spans="1:22" x14ac:dyDescent="0.3">
      <c r="A223" s="5" t="str">
        <f>CONCATENATE("F",IF(B223&lt;&gt;"",COUNTA($B$2:B223),""))</f>
        <v>F132</v>
      </c>
      <c r="B223" s="126" t="s">
        <v>44</v>
      </c>
      <c r="C223" s="126" t="s">
        <v>73</v>
      </c>
      <c r="D223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0.11036283424310479</v>
      </c>
      <c r="E22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3" s="126">
        <f>VLOOKUP(woodflow[[#This Row],[From]],woodstock[#All],4,FALSE)</f>
        <v>2021</v>
      </c>
      <c r="G223" s="5" t="str">
        <f>VLOOKUP(woodflow[[#This Row],[From]],woodstock[#All],5,FALSE)</f>
        <v>OAS</v>
      </c>
      <c r="H223" s="135" t="str">
        <f>VLOOKUP(woodflow[[#This Row],[From]],woodstock[#All],7,FALSE)</f>
        <v>21</v>
      </c>
      <c r="I223" s="135" t="str">
        <f>VLOOKUP(woodflow[[#This Row],[to]],woodstock[#All],7,FALSE)</f>
        <v>51</v>
      </c>
      <c r="J223" s="135" t="str">
        <f>VLOOKUP(woodflow[[#This Row],[From]],woodstock[#All],8,FALSE)</f>
        <v>0</v>
      </c>
      <c r="K223" s="135" t="str">
        <f>VLOOKUP(woodflow[[#This Row],[to]],woodstock[#All],8,FALSE)</f>
        <v>0</v>
      </c>
      <c r="L223" s="136" t="str">
        <f>VLOOKUP(woodflow[[#This Row],[From]],woodstock[#All],9,FALSE)</f>
        <v>nan</v>
      </c>
      <c r="M223" s="136" t="str">
        <f>VLOOKUP(woodflow[[#This Row],[to]],woodstock[#All],9,FALSE)</f>
        <v>nan</v>
      </c>
      <c r="N223" s="131">
        <f>$N$221*woodratio!I72</f>
        <v>0.11036283424310479</v>
      </c>
      <c r="O223" s="126" t="s">
        <v>556</v>
      </c>
      <c r="P223" s="126" t="s">
        <v>456</v>
      </c>
      <c r="Q223" s="126"/>
      <c r="R223" s="1"/>
      <c r="S223" s="1"/>
      <c r="T223" s="1"/>
      <c r="U223" s="1"/>
      <c r="V223" s="1"/>
    </row>
    <row r="224" spans="1:22" x14ac:dyDescent="0.3">
      <c r="A224" s="5" t="str">
        <f>CONCATENATE("F",IF(B224&lt;&gt;"",COUNTA($B$2:B224),""))</f>
        <v>F133</v>
      </c>
      <c r="B224" s="126" t="s">
        <v>44</v>
      </c>
      <c r="C224" s="126" t="s">
        <v>30</v>
      </c>
      <c r="D224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0.77253983970172435</v>
      </c>
      <c r="E224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4" s="126">
        <f>VLOOKUP(woodflow[[#This Row],[From]],woodstock[#All],4,FALSE)</f>
        <v>2021</v>
      </c>
      <c r="G224" s="5" t="str">
        <f>VLOOKUP(woodflow[[#This Row],[From]],woodstock[#All],5,FALSE)</f>
        <v>OAS</v>
      </c>
      <c r="H224" s="135" t="str">
        <f>VLOOKUP(woodflow[[#This Row],[From]],woodstock[#All],7,FALSE)</f>
        <v>21</v>
      </c>
      <c r="I224" s="135" t="str">
        <f>VLOOKUP(woodflow[[#This Row],[to]],woodstock[#All],7,FALSE)</f>
        <v>52</v>
      </c>
      <c r="J224" s="135" t="str">
        <f>VLOOKUP(woodflow[[#This Row],[From]],woodstock[#All],8,FALSE)</f>
        <v>0</v>
      </c>
      <c r="K224" s="135" t="str">
        <f>VLOOKUP(woodflow[[#This Row],[to]],woodstock[#All],8,FALSE)</f>
        <v>0</v>
      </c>
      <c r="L224" s="136" t="str">
        <f>VLOOKUP(woodflow[[#This Row],[From]],woodstock[#All],9,FALSE)</f>
        <v>nan</v>
      </c>
      <c r="M224" s="136" t="str">
        <f>VLOOKUP(woodflow[[#This Row],[to]],woodstock[#All],9,FALSE)</f>
        <v>nan</v>
      </c>
      <c r="N224" s="131">
        <f>$N$221*woodratio!I73</f>
        <v>0.77253983970172435</v>
      </c>
      <c r="O224" s="126" t="s">
        <v>556</v>
      </c>
      <c r="P224" s="126" t="s">
        <v>456</v>
      </c>
      <c r="Q224" s="126"/>
      <c r="R224" s="1"/>
      <c r="S224" s="1"/>
      <c r="T224" s="1"/>
      <c r="U224" s="1"/>
      <c r="V224" s="1"/>
    </row>
    <row r="225" spans="1:22" x14ac:dyDescent="0.3">
      <c r="A225" s="5" t="str">
        <f>CONCATENATE("F",IF(B225&lt;&gt;"",COUNTA($B$2:B225),""))</f>
        <v>F134</v>
      </c>
      <c r="B225" s="126" t="s">
        <v>44</v>
      </c>
      <c r="C225" s="126" t="s">
        <v>80</v>
      </c>
      <c r="D225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25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5" s="126">
        <f>VLOOKUP(woodflow[[#This Row],[From]],woodstock[#All],4,FALSE)</f>
        <v>2021</v>
      </c>
      <c r="G225" s="5" t="str">
        <f>VLOOKUP(woodflow[[#This Row],[From]],woodstock[#All],5,FALSE)</f>
        <v>OAS</v>
      </c>
      <c r="H225" s="135" t="str">
        <f>VLOOKUP(woodflow[[#This Row],[From]],woodstock[#All],7,FALSE)</f>
        <v>21</v>
      </c>
      <c r="I225" s="135" t="str">
        <f>VLOOKUP(woodflow[[#This Row],[to]],woodstock[#All],7,FALSE)</f>
        <v>53</v>
      </c>
      <c r="J225" s="135" t="str">
        <f>VLOOKUP(woodflow[[#This Row],[From]],woodstock[#All],8,FALSE)</f>
        <v>0</v>
      </c>
      <c r="K225" s="135" t="str">
        <f>VLOOKUP(woodflow[[#This Row],[to]],woodstock[#All],8,FALSE)</f>
        <v>0</v>
      </c>
      <c r="L225" s="136" t="str">
        <f>VLOOKUP(woodflow[[#This Row],[From]],woodstock[#All],9,FALSE)</f>
        <v>nan</v>
      </c>
      <c r="M225" s="136" t="str">
        <f>VLOOKUP(woodflow[[#This Row],[to]],woodstock[#All],9,FALSE)</f>
        <v>nan</v>
      </c>
      <c r="N225" s="131">
        <v>0</v>
      </c>
      <c r="O225" s="126" t="s">
        <v>213</v>
      </c>
      <c r="P225" s="126"/>
      <c r="Q225" s="126"/>
      <c r="R225" s="1"/>
      <c r="S225" s="1"/>
      <c r="T225" s="1"/>
      <c r="U225" s="1"/>
      <c r="V225" s="1"/>
    </row>
    <row r="226" spans="1:22" x14ac:dyDescent="0.3">
      <c r="A226" s="5" t="str">
        <f>CONCATENATE("F",IF(B226&lt;&gt;"",COUNTA($B$2:B226),""))</f>
        <v>F135</v>
      </c>
      <c r="B226" s="126" t="s">
        <v>44</v>
      </c>
      <c r="C226" s="126" t="s">
        <v>242</v>
      </c>
      <c r="D226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2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6" s="126">
        <f>VLOOKUP(woodflow[[#This Row],[From]],woodstock[#All],4,FALSE)</f>
        <v>2021</v>
      </c>
      <c r="G226" s="5" t="str">
        <f>VLOOKUP(woodflow[[#This Row],[From]],woodstock[#All],5,FALSE)</f>
        <v>OAS</v>
      </c>
      <c r="H226" s="135" t="str">
        <f>VLOOKUP(woodflow[[#This Row],[From]],woodstock[#All],7,FALSE)</f>
        <v>21</v>
      </c>
      <c r="I226" s="135" t="str">
        <f>VLOOKUP(woodflow[[#This Row],[to]],woodstock[#All],7,FALSE)</f>
        <v>54</v>
      </c>
      <c r="J226" s="135" t="str">
        <f>VLOOKUP(woodflow[[#This Row],[From]],woodstock[#All],8,FALSE)</f>
        <v>0</v>
      </c>
      <c r="K226" s="135" t="str">
        <f>VLOOKUP(woodflow[[#This Row],[to]],woodstock[#All],8,FALSE)</f>
        <v>0</v>
      </c>
      <c r="L226" s="136" t="str">
        <f>VLOOKUP(woodflow[[#This Row],[From]],woodstock[#All],9,FALSE)</f>
        <v>nan</v>
      </c>
      <c r="M226" s="136" t="str">
        <f>VLOOKUP(woodflow[[#This Row],[to]],woodstock[#All],9,FALSE)</f>
        <v>nan</v>
      </c>
      <c r="N226" s="131">
        <v>0</v>
      </c>
      <c r="O226" s="126" t="s">
        <v>213</v>
      </c>
      <c r="P226" s="126"/>
      <c r="Q226" s="126"/>
      <c r="R226" s="1"/>
      <c r="S226" s="1"/>
      <c r="T226" s="1"/>
      <c r="U226" s="1"/>
      <c r="V226" s="1"/>
    </row>
    <row r="227" spans="1:22" x14ac:dyDescent="0.3">
      <c r="A227" s="5" t="str">
        <f>CONCATENATE("F",IF(B227&lt;&gt;"",COUNTA($B$2:B227),""))</f>
        <v>F136</v>
      </c>
      <c r="B227" s="126" t="s">
        <v>44</v>
      </c>
      <c r="C227" s="126" t="s">
        <v>74</v>
      </c>
      <c r="D227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0.33108850272930945</v>
      </c>
      <c r="E22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7" s="126">
        <f>VLOOKUP(woodflow[[#This Row],[From]],woodstock[#All],4,FALSE)</f>
        <v>2021</v>
      </c>
      <c r="G227" s="5" t="str">
        <f>VLOOKUP(woodflow[[#This Row],[From]],woodstock[#All],5,FALSE)</f>
        <v>OAS</v>
      </c>
      <c r="H227" s="135" t="str">
        <f>VLOOKUP(woodflow[[#This Row],[From]],woodstock[#All],7,FALSE)</f>
        <v>21</v>
      </c>
      <c r="I227" s="135" t="str">
        <f>VLOOKUP(woodflow[[#This Row],[to]],woodstock[#All],7,FALSE)</f>
        <v>55</v>
      </c>
      <c r="J227" s="135" t="str">
        <f>VLOOKUP(woodflow[[#This Row],[From]],woodstock[#All],8,FALSE)</f>
        <v>0</v>
      </c>
      <c r="K227" s="135" t="str">
        <f>VLOOKUP(woodflow[[#This Row],[to]],woodstock[#All],8,FALSE)</f>
        <v>0</v>
      </c>
      <c r="L227" s="136" t="str">
        <f>VLOOKUP(woodflow[[#This Row],[From]],woodstock[#All],9,FALSE)</f>
        <v>nan</v>
      </c>
      <c r="M227" s="136" t="str">
        <f>VLOOKUP(woodflow[[#This Row],[to]],woodstock[#All],9,FALSE)</f>
        <v>nan</v>
      </c>
      <c r="N227" s="131">
        <f>$N$221*woodratio!I74</f>
        <v>0.33108850272930945</v>
      </c>
      <c r="O227" s="126" t="s">
        <v>556</v>
      </c>
      <c r="P227" s="126" t="s">
        <v>456</v>
      </c>
      <c r="Q227" s="126"/>
      <c r="R227" s="1"/>
      <c r="S227" s="1"/>
      <c r="T227" s="1"/>
      <c r="U227" s="1"/>
      <c r="V227" s="1"/>
    </row>
    <row r="228" spans="1:22" x14ac:dyDescent="0.3">
      <c r="A228" s="5" t="str">
        <f>CONCATENATE("F",IF(B228&lt;&gt;"",COUNTA($B$2:B228),""))</f>
        <v>F</v>
      </c>
      <c r="B228" s="126"/>
      <c r="C228" s="126"/>
      <c r="D228" s="133"/>
      <c r="E228" s="133"/>
      <c r="F228" s="126"/>
      <c r="G228" s="5"/>
      <c r="H228" s="135"/>
      <c r="I228" s="135"/>
      <c r="J228" s="135"/>
      <c r="K228" s="135"/>
      <c r="L228" s="136"/>
      <c r="M228" s="136"/>
      <c r="N228" s="131"/>
      <c r="O228" s="126"/>
      <c r="P228" s="126"/>
      <c r="Q228" s="126"/>
      <c r="R228" s="1"/>
      <c r="S228" s="1"/>
      <c r="T228" s="1"/>
      <c r="U228" s="1"/>
      <c r="V228" s="1"/>
    </row>
    <row r="229" spans="1:22" x14ac:dyDescent="0.3">
      <c r="A229" s="5" t="str">
        <f>CONCATENATE("F",IF(B229&lt;&gt;"",COUNTA($B$2:B229),""))</f>
        <v>F</v>
      </c>
      <c r="B229" s="126"/>
      <c r="C229" s="126"/>
      <c r="D229" s="133"/>
      <c r="E229" s="133"/>
      <c r="F229" s="126"/>
      <c r="G229" s="5"/>
      <c r="H229" s="135"/>
      <c r="I229" s="135"/>
      <c r="J229" s="135"/>
      <c r="K229" s="135"/>
      <c r="L229" s="136"/>
      <c r="M229" s="136"/>
      <c r="N229" s="131"/>
      <c r="O229" s="126"/>
      <c r="P229" s="126"/>
      <c r="Q229" s="126"/>
      <c r="R229" s="1"/>
      <c r="S229" s="1"/>
      <c r="T229" s="1"/>
      <c r="U229" s="1"/>
      <c r="V229" s="1"/>
    </row>
    <row r="230" spans="1:22" x14ac:dyDescent="0.3">
      <c r="A230" s="5" t="str">
        <f>CONCATENATE("F",IF(B230&lt;&gt;"",COUNTA($B$2:B230),""))</f>
        <v>F137</v>
      </c>
      <c r="B230" s="126" t="s">
        <v>45</v>
      </c>
      <c r="C230" s="126" t="s">
        <v>51</v>
      </c>
      <c r="D230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2.5812238672708716</v>
      </c>
      <c r="E230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0" s="126">
        <f>VLOOKUP(woodflow[[#This Row],[From]],woodstock[#All],4,FALSE)</f>
        <v>2021</v>
      </c>
      <c r="G230" s="5" t="str">
        <f>VLOOKUP(woodflow[[#This Row],[From]],woodstock[#All],5,FALSE)</f>
        <v>OAS</v>
      </c>
      <c r="H230" s="135" t="str">
        <f>VLOOKUP(woodflow[[#This Row],[From]],woodstock[#All],7,FALSE)</f>
        <v>22</v>
      </c>
      <c r="I230" s="135" t="str">
        <f>VLOOKUP(woodflow[[#This Row],[to]],woodstock[#All],7,FALSE)</f>
        <v>15</v>
      </c>
      <c r="J230" s="135" t="str">
        <f>VLOOKUP(woodflow[[#This Row],[From]],woodstock[#All],8,FALSE)</f>
        <v>0</v>
      </c>
      <c r="K230" s="135" t="str">
        <f>VLOOKUP(woodflow[[#This Row],[to]],woodstock[#All],8,FALSE)</f>
        <v>1</v>
      </c>
      <c r="L230" s="136" t="str">
        <f>VLOOKUP(woodflow[[#This Row],[From]],woodstock[#All],9,FALSE)</f>
        <v>nan</v>
      </c>
      <c r="M230" s="136" t="str">
        <f>VLOOKUP(woodflow[[#This Row],[to]],woodstock[#All],9,FALSE)</f>
        <v>37-38-39-40-41-42</v>
      </c>
      <c r="N230" s="131">
        <f>'faostat-data'!Q66+'faostat-data'!Q67-'faostat-data'!Q68</f>
        <v>2.5812238672708716</v>
      </c>
      <c r="O230" s="126" t="s">
        <v>556</v>
      </c>
      <c r="P230" s="126"/>
      <c r="Q230" s="126" t="s">
        <v>234</v>
      </c>
      <c r="R230" s="1"/>
      <c r="S230" s="1"/>
      <c r="T230" s="1"/>
      <c r="U230" s="1"/>
      <c r="V230" s="1"/>
    </row>
    <row r="231" spans="1:22" x14ac:dyDescent="0.3">
      <c r="A231" s="5" t="str">
        <f>CONCATENATE("F",IF(B231&lt;&gt;"",COUNTA($B$2:B231),""))</f>
        <v>F138</v>
      </c>
      <c r="B231" s="126" t="s">
        <v>45</v>
      </c>
      <c r="C231" s="126" t="s">
        <v>36</v>
      </c>
      <c r="D231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31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1" s="126">
        <f>VLOOKUP(woodflow[[#This Row],[From]],woodstock[#All],4,FALSE)</f>
        <v>2021</v>
      </c>
      <c r="G231" s="5" t="str">
        <f>VLOOKUP(woodflow[[#This Row],[From]],woodstock[#All],5,FALSE)</f>
        <v>OAS</v>
      </c>
      <c r="H231" s="135" t="str">
        <f>VLOOKUP(woodflow[[#This Row],[From]],woodstock[#All],7,FALSE)</f>
        <v>22</v>
      </c>
      <c r="I231" s="135" t="str">
        <f>VLOOKUP(woodflow[[#This Row],[to]],woodstock[#All],7,FALSE)</f>
        <v>37</v>
      </c>
      <c r="J231" s="135" t="str">
        <f>VLOOKUP(woodflow[[#This Row],[From]],woodstock[#All],8,FALSE)</f>
        <v>0</v>
      </c>
      <c r="K231" s="135" t="str">
        <f>VLOOKUP(woodflow[[#This Row],[to]],woodstock[#All],8,FALSE)</f>
        <v>0</v>
      </c>
      <c r="L231" s="136" t="str">
        <f>VLOOKUP(woodflow[[#This Row],[From]],woodstock[#All],9,FALSE)</f>
        <v>nan</v>
      </c>
      <c r="M231" s="136" t="str">
        <f>VLOOKUP(woodflow[[#This Row],[to]],woodstock[#All],9,FALSE)</f>
        <v>nan</v>
      </c>
      <c r="N231" s="131">
        <v>0</v>
      </c>
      <c r="O231" s="126" t="s">
        <v>213</v>
      </c>
      <c r="P231" s="126"/>
      <c r="Q231" s="126"/>
      <c r="R231" s="1"/>
      <c r="S231" s="1"/>
      <c r="T231" s="1"/>
      <c r="U231" s="1"/>
      <c r="V231" s="1"/>
    </row>
    <row r="232" spans="1:22" x14ac:dyDescent="0.3">
      <c r="A232" s="5" t="str">
        <f>CONCATENATE("F",IF(B232&lt;&gt;"",COUNTA($B$2:B232),""))</f>
        <v>F139</v>
      </c>
      <c r="B232" s="126" t="s">
        <v>45</v>
      </c>
      <c r="C232" s="126" t="s">
        <v>37</v>
      </c>
      <c r="D232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2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5.1624477345417433E-2</v>
      </c>
      <c r="F232" s="126">
        <f>VLOOKUP(woodflow[[#This Row],[From]],woodstock[#All],4,FALSE)</f>
        <v>2021</v>
      </c>
      <c r="G232" s="5" t="str">
        <f>VLOOKUP(woodflow[[#This Row],[From]],woodstock[#All],5,FALSE)</f>
        <v>OAS</v>
      </c>
      <c r="H232" s="135" t="str">
        <f>VLOOKUP(woodflow[[#This Row],[From]],woodstock[#All],7,FALSE)</f>
        <v>22</v>
      </c>
      <c r="I232" s="135" t="str">
        <f>VLOOKUP(woodflow[[#This Row],[to]],woodstock[#All],7,FALSE)</f>
        <v>38</v>
      </c>
      <c r="J232" s="135" t="str">
        <f>VLOOKUP(woodflow[[#This Row],[From]],woodstock[#All],8,FALSE)</f>
        <v>0</v>
      </c>
      <c r="K232" s="135" t="str">
        <f>VLOOKUP(woodflow[[#This Row],[to]],woodstock[#All],8,FALSE)</f>
        <v>0</v>
      </c>
      <c r="L232" s="136" t="str">
        <f>VLOOKUP(woodflow[[#This Row],[From]],woodstock[#All],9,FALSE)</f>
        <v>nan</v>
      </c>
      <c r="M232" s="136" t="str">
        <f>VLOOKUP(woodflow[[#This Row],[to]],woodstock[#All],9,FALSE)</f>
        <v>nan</v>
      </c>
      <c r="N232" s="131">
        <f>$N$230*woodratio!I77</f>
        <v>5.1624477345417433E-2</v>
      </c>
      <c r="O232" s="126" t="s">
        <v>549</v>
      </c>
      <c r="P232" s="126" t="s">
        <v>240</v>
      </c>
      <c r="Q232" s="126"/>
      <c r="R232" s="1"/>
      <c r="S232" s="1"/>
      <c r="T232" s="1"/>
      <c r="U232" s="1"/>
      <c r="V232" s="1"/>
    </row>
    <row r="233" spans="1:22" x14ac:dyDescent="0.3">
      <c r="A233" s="5" t="str">
        <f>CONCATENATE("F",IF(B233&lt;&gt;"",COUNTA($B$2:B233),""))</f>
        <v>F140</v>
      </c>
      <c r="B233" s="126" t="s">
        <v>45</v>
      </c>
      <c r="C233" s="126" t="s">
        <v>39</v>
      </c>
      <c r="D233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3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3" s="126">
        <f>VLOOKUP(woodflow[[#This Row],[From]],woodstock[#All],4,FALSE)</f>
        <v>2021</v>
      </c>
      <c r="G233" s="5" t="str">
        <f>VLOOKUP(woodflow[[#This Row],[From]],woodstock[#All],5,FALSE)</f>
        <v>OAS</v>
      </c>
      <c r="H233" s="135" t="str">
        <f>VLOOKUP(woodflow[[#This Row],[From]],woodstock[#All],7,FALSE)</f>
        <v>22</v>
      </c>
      <c r="I233" s="135" t="str">
        <f>VLOOKUP(woodflow[[#This Row],[to]],woodstock[#All],7,FALSE)</f>
        <v>39</v>
      </c>
      <c r="J233" s="135" t="str">
        <f>VLOOKUP(woodflow[[#This Row],[From]],woodstock[#All],8,FALSE)</f>
        <v>0</v>
      </c>
      <c r="K233" s="135" t="str">
        <f>VLOOKUP(woodflow[[#This Row],[to]],woodstock[#All],8,FALSE)</f>
        <v>0</v>
      </c>
      <c r="L233" s="136" t="str">
        <f>VLOOKUP(woodflow[[#This Row],[From]],woodstock[#All],9,FALSE)</f>
        <v>nan</v>
      </c>
      <c r="M233" s="136" t="str">
        <f>VLOOKUP(woodflow[[#This Row],[to]],woodstock[#All],9,FALSE)</f>
        <v>nan</v>
      </c>
      <c r="N233" s="131">
        <v>0</v>
      </c>
      <c r="O233" s="126" t="s">
        <v>213</v>
      </c>
      <c r="P233" s="126"/>
      <c r="Q233" s="126"/>
      <c r="R233" s="1"/>
      <c r="S233" s="1"/>
      <c r="T233" s="1"/>
      <c r="U233" s="1"/>
      <c r="V233" s="1"/>
    </row>
    <row r="234" spans="1:22" x14ac:dyDescent="0.3">
      <c r="A234" s="5" t="str">
        <f>CONCATENATE("F",IF(B234&lt;&gt;"",COUNTA($B$2:B234),""))</f>
        <v>F141</v>
      </c>
      <c r="B234" s="126" t="s">
        <v>45</v>
      </c>
      <c r="C234" s="126" t="s">
        <v>40</v>
      </c>
      <c r="D234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4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0.69693044416313543</v>
      </c>
      <c r="F234" s="126">
        <f>VLOOKUP(woodflow[[#This Row],[From]],woodstock[#All],4,FALSE)</f>
        <v>2021</v>
      </c>
      <c r="G234" s="5" t="str">
        <f>VLOOKUP(woodflow[[#This Row],[From]],woodstock[#All],5,FALSE)</f>
        <v>OAS</v>
      </c>
      <c r="H234" s="135" t="str">
        <f>VLOOKUP(woodflow[[#This Row],[From]],woodstock[#All],7,FALSE)</f>
        <v>22</v>
      </c>
      <c r="I234" s="135" t="str">
        <f>VLOOKUP(woodflow[[#This Row],[to]],woodstock[#All],7,FALSE)</f>
        <v>40</v>
      </c>
      <c r="J234" s="135" t="str">
        <f>VLOOKUP(woodflow[[#This Row],[From]],woodstock[#All],8,FALSE)</f>
        <v>0</v>
      </c>
      <c r="K234" s="135" t="str">
        <f>VLOOKUP(woodflow[[#This Row],[to]],woodstock[#All],8,FALSE)</f>
        <v>0</v>
      </c>
      <c r="L234" s="136" t="str">
        <f>VLOOKUP(woodflow[[#This Row],[From]],woodstock[#All],9,FALSE)</f>
        <v>nan</v>
      </c>
      <c r="M234" s="136" t="str">
        <f>VLOOKUP(woodflow[[#This Row],[to]],woodstock[#All],9,FALSE)</f>
        <v>nan</v>
      </c>
      <c r="N234" s="131">
        <f>$N$230*woodratio!I78</f>
        <v>0.69693044416313543</v>
      </c>
      <c r="O234" s="126" t="s">
        <v>549</v>
      </c>
      <c r="P234" s="126" t="s">
        <v>240</v>
      </c>
      <c r="Q234" s="126"/>
      <c r="R234" s="1"/>
      <c r="S234" s="1"/>
      <c r="T234" s="1"/>
      <c r="U234" s="1"/>
      <c r="V234" s="1"/>
    </row>
    <row r="235" spans="1:22" x14ac:dyDescent="0.3">
      <c r="A235" s="5" t="str">
        <f>CONCATENATE("F",IF(B235&lt;&gt;"",COUNTA($B$2:B235),""))</f>
        <v>F142</v>
      </c>
      <c r="B235" s="126" t="s">
        <v>45</v>
      </c>
      <c r="C235" s="126" t="s">
        <v>41</v>
      </c>
      <c r="D235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5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1.7036077523987754</v>
      </c>
      <c r="F235" s="126">
        <f>VLOOKUP(woodflow[[#This Row],[From]],woodstock[#All],4,FALSE)</f>
        <v>2021</v>
      </c>
      <c r="G235" s="5" t="str">
        <f>VLOOKUP(woodflow[[#This Row],[From]],woodstock[#All],5,FALSE)</f>
        <v>OAS</v>
      </c>
      <c r="H235" s="135" t="str">
        <f>VLOOKUP(woodflow[[#This Row],[From]],woodstock[#All],7,FALSE)</f>
        <v>22</v>
      </c>
      <c r="I235" s="135" t="str">
        <f>VLOOKUP(woodflow[[#This Row],[to]],woodstock[#All],7,FALSE)</f>
        <v>41</v>
      </c>
      <c r="J235" s="135" t="str">
        <f>VLOOKUP(woodflow[[#This Row],[From]],woodstock[#All],8,FALSE)</f>
        <v>0</v>
      </c>
      <c r="K235" s="135" t="str">
        <f>VLOOKUP(woodflow[[#This Row],[to]],woodstock[#All],8,FALSE)</f>
        <v>0</v>
      </c>
      <c r="L235" s="136" t="str">
        <f>VLOOKUP(woodflow[[#This Row],[From]],woodstock[#All],9,FALSE)</f>
        <v>nan</v>
      </c>
      <c r="M235" s="136" t="str">
        <f>VLOOKUP(woodflow[[#This Row],[to]],woodstock[#All],9,FALSE)</f>
        <v>nan</v>
      </c>
      <c r="N235" s="131">
        <f>$N$230*woodratio!I79</f>
        <v>1.7036077523987754</v>
      </c>
      <c r="O235" s="126" t="s">
        <v>549</v>
      </c>
      <c r="P235" s="126" t="s">
        <v>240</v>
      </c>
      <c r="Q235" s="126"/>
      <c r="R235" s="1"/>
      <c r="S235" s="1"/>
      <c r="T235" s="1"/>
      <c r="U235" s="1"/>
      <c r="V235" s="1"/>
    </row>
    <row r="236" spans="1:22" x14ac:dyDescent="0.3">
      <c r="A236" s="5" t="str">
        <f>CONCATENATE("F",IF(B236&lt;&gt;"",COUNTA($B$2:B236),""))</f>
        <v>F143</v>
      </c>
      <c r="B236" s="126" t="s">
        <v>45</v>
      </c>
      <c r="C236" s="126" t="s">
        <v>38</v>
      </c>
      <c r="D236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6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0.12906119336354357</v>
      </c>
      <c r="F236" s="126">
        <f>VLOOKUP(woodflow[[#This Row],[From]],woodstock[#All],4,FALSE)</f>
        <v>2021</v>
      </c>
      <c r="G236" s="5" t="str">
        <f>VLOOKUP(woodflow[[#This Row],[From]],woodstock[#All],5,FALSE)</f>
        <v>OAS</v>
      </c>
      <c r="H236" s="135" t="str">
        <f>VLOOKUP(woodflow[[#This Row],[From]],woodstock[#All],7,FALSE)</f>
        <v>22</v>
      </c>
      <c r="I236" s="135" t="str">
        <f>VLOOKUP(woodflow[[#This Row],[to]],woodstock[#All],7,FALSE)</f>
        <v>42</v>
      </c>
      <c r="J236" s="135" t="str">
        <f>VLOOKUP(woodflow[[#This Row],[From]],woodstock[#All],8,FALSE)</f>
        <v>0</v>
      </c>
      <c r="K236" s="135" t="str">
        <f>VLOOKUP(woodflow[[#This Row],[to]],woodstock[#All],8,FALSE)</f>
        <v>0</v>
      </c>
      <c r="L236" s="136" t="str">
        <f>VLOOKUP(woodflow[[#This Row],[From]],woodstock[#All],9,FALSE)</f>
        <v>nan</v>
      </c>
      <c r="M236" s="136" t="str">
        <f>VLOOKUP(woodflow[[#This Row],[to]],woodstock[#All],9,FALSE)</f>
        <v>nan</v>
      </c>
      <c r="N236" s="131">
        <f>$N$230*woodratio!I80</f>
        <v>0.12906119336354357</v>
      </c>
      <c r="O236" s="126" t="s">
        <v>549</v>
      </c>
      <c r="P236" s="126" t="s">
        <v>240</v>
      </c>
      <c r="Q236" s="126"/>
      <c r="R236" s="1"/>
      <c r="S236" s="1"/>
      <c r="T236" s="1"/>
      <c r="U236" s="1"/>
      <c r="V236" s="1"/>
    </row>
    <row r="237" spans="1:22" x14ac:dyDescent="0.3">
      <c r="A237" s="5" t="str">
        <f>CONCATENATE("F",IF(B237&lt;&gt;"",COUNTA($B$2:B237),""))</f>
        <v>F</v>
      </c>
      <c r="B237" s="126"/>
      <c r="C237" s="126"/>
      <c r="D237" s="133"/>
      <c r="E237" s="133"/>
      <c r="F237" s="126"/>
      <c r="G237" s="5"/>
      <c r="H237" s="135"/>
      <c r="I237" s="135"/>
      <c r="J237" s="135"/>
      <c r="K237" s="135"/>
      <c r="L237" s="136"/>
      <c r="M237" s="136"/>
      <c r="N237" s="131"/>
      <c r="O237" s="126"/>
      <c r="P237" s="126"/>
      <c r="Q237" s="126"/>
      <c r="R237" s="1"/>
      <c r="S237" s="1"/>
      <c r="T237" s="1"/>
      <c r="U237" s="1"/>
      <c r="V237" s="1"/>
    </row>
    <row r="238" spans="1:22" x14ac:dyDescent="0.3">
      <c r="A238" s="5" t="str">
        <f>CONCATENATE("F",IF(B238&lt;&gt;"",COUNTA($B$2:B238),""))</f>
        <v>F</v>
      </c>
      <c r="B238" s="126"/>
      <c r="C238" s="126"/>
      <c r="D238" s="133"/>
      <c r="E238" s="133"/>
      <c r="F238" s="126"/>
      <c r="G238" s="5"/>
      <c r="H238" s="135"/>
      <c r="I238" s="135"/>
      <c r="J238" s="135"/>
      <c r="K238" s="135"/>
      <c r="L238" s="136"/>
      <c r="M238" s="136"/>
      <c r="N238" s="131"/>
      <c r="O238" s="126"/>
      <c r="P238" s="126"/>
      <c r="Q238" s="126"/>
      <c r="R238" s="1"/>
      <c r="S238" s="1"/>
      <c r="T238" s="1"/>
      <c r="U238" s="1"/>
      <c r="V238" s="1"/>
    </row>
    <row r="239" spans="1:22" x14ac:dyDescent="0.3">
      <c r="A239" s="5" t="str">
        <f>CONCATENATE("F",IF(B239&lt;&gt;"",COUNTA($B$2:B239),""))</f>
        <v>F144</v>
      </c>
      <c r="B239" s="126" t="s">
        <v>46</v>
      </c>
      <c r="C239" s="126" t="s">
        <v>51</v>
      </c>
      <c r="D239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4.9560654479571441E-2</v>
      </c>
      <c r="E23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9" s="126">
        <f>VLOOKUP(woodflow[[#This Row],[From]],woodstock[#All],4,FALSE)</f>
        <v>2021</v>
      </c>
      <c r="G239" s="5" t="str">
        <f>VLOOKUP(woodflow[[#This Row],[From]],woodstock[#All],5,FALSE)</f>
        <v>OAS</v>
      </c>
      <c r="H239" s="135" t="str">
        <f>VLOOKUP(woodflow[[#This Row],[From]],woodstock[#All],7,FALSE)</f>
        <v>23</v>
      </c>
      <c r="I239" s="135" t="str">
        <f>VLOOKUP(woodflow[[#This Row],[to]],woodstock[#All],7,FALSE)</f>
        <v>15</v>
      </c>
      <c r="J239" s="135" t="str">
        <f>VLOOKUP(woodflow[[#This Row],[From]],woodstock[#All],8,FALSE)</f>
        <v>0</v>
      </c>
      <c r="K239" s="135" t="str">
        <f>VLOOKUP(woodflow[[#This Row],[to]],woodstock[#All],8,FALSE)</f>
        <v>1</v>
      </c>
      <c r="L239" s="136" t="str">
        <f>VLOOKUP(woodflow[[#This Row],[From]],woodstock[#All],9,FALSE)</f>
        <v>nan</v>
      </c>
      <c r="M239" s="136" t="str">
        <f>VLOOKUP(woodflow[[#This Row],[to]],woodstock[#All],9,FALSE)</f>
        <v>37-38-39-40-41-42</v>
      </c>
      <c r="N239" s="131">
        <f>'faostat-data'!Q69+'faostat-data'!Q70-'faostat-data'!Q71</f>
        <v>4.9560654479571441E-2</v>
      </c>
      <c r="O239" s="126" t="s">
        <v>556</v>
      </c>
      <c r="P239" s="126"/>
      <c r="Q239" s="126" t="s">
        <v>234</v>
      </c>
      <c r="R239" s="1"/>
      <c r="S239" s="1"/>
      <c r="T239" s="1"/>
      <c r="U239" s="1"/>
      <c r="V239" s="1"/>
    </row>
    <row r="240" spans="1:22" x14ac:dyDescent="0.3">
      <c r="A240" s="5" t="str">
        <f>CONCATENATE("F",IF(B240&lt;&gt;"",COUNTA($B$2:B240),""))</f>
        <v>F145</v>
      </c>
      <c r="B240" s="126" t="s">
        <v>46</v>
      </c>
      <c r="C240" s="126" t="s">
        <v>36</v>
      </c>
      <c r="D240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40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0" s="126">
        <f>VLOOKUP(woodflow[[#This Row],[From]],woodstock[#All],4,FALSE)</f>
        <v>2021</v>
      </c>
      <c r="G240" s="5" t="str">
        <f>VLOOKUP(woodflow[[#This Row],[From]],woodstock[#All],5,FALSE)</f>
        <v>OAS</v>
      </c>
      <c r="H240" s="135" t="str">
        <f>VLOOKUP(woodflow[[#This Row],[From]],woodstock[#All],7,FALSE)</f>
        <v>23</v>
      </c>
      <c r="I240" s="135" t="str">
        <f>VLOOKUP(woodflow[[#This Row],[to]],woodstock[#All],7,FALSE)</f>
        <v>37</v>
      </c>
      <c r="J240" s="135" t="str">
        <f>VLOOKUP(woodflow[[#This Row],[From]],woodstock[#All],8,FALSE)</f>
        <v>0</v>
      </c>
      <c r="K240" s="135" t="str">
        <f>VLOOKUP(woodflow[[#This Row],[to]],woodstock[#All],8,FALSE)</f>
        <v>0</v>
      </c>
      <c r="L240" s="136" t="str">
        <f>VLOOKUP(woodflow[[#This Row],[From]],woodstock[#All],9,FALSE)</f>
        <v>nan</v>
      </c>
      <c r="M240" s="136" t="str">
        <f>VLOOKUP(woodflow[[#This Row],[to]],woodstock[#All],9,FALSE)</f>
        <v>nan</v>
      </c>
      <c r="N240" s="131">
        <v>0</v>
      </c>
      <c r="O240" s="126" t="s">
        <v>213</v>
      </c>
      <c r="P240" s="126"/>
      <c r="Q240" s="126"/>
      <c r="R240" s="1"/>
      <c r="S240" s="1"/>
      <c r="T240" s="1"/>
      <c r="U240" s="1"/>
      <c r="V240" s="1"/>
    </row>
    <row r="241" spans="1:22" x14ac:dyDescent="0.3">
      <c r="A241" s="5" t="str">
        <f>CONCATENATE("F",IF(B241&lt;&gt;"",COUNTA($B$2:B241),""))</f>
        <v>F146</v>
      </c>
      <c r="B241" s="126" t="s">
        <v>46</v>
      </c>
      <c r="C241" s="126" t="s">
        <v>37</v>
      </c>
      <c r="D241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1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2.9736392687742864E-3</v>
      </c>
      <c r="F241" s="126">
        <f>VLOOKUP(woodflow[[#This Row],[From]],woodstock[#All],4,FALSE)</f>
        <v>2021</v>
      </c>
      <c r="G241" s="5" t="str">
        <f>VLOOKUP(woodflow[[#This Row],[From]],woodstock[#All],5,FALSE)</f>
        <v>OAS</v>
      </c>
      <c r="H241" s="135" t="str">
        <f>VLOOKUP(woodflow[[#This Row],[From]],woodstock[#All],7,FALSE)</f>
        <v>23</v>
      </c>
      <c r="I241" s="135" t="str">
        <f>VLOOKUP(woodflow[[#This Row],[to]],woodstock[#All],7,FALSE)</f>
        <v>38</v>
      </c>
      <c r="J241" s="135" t="str">
        <f>VLOOKUP(woodflow[[#This Row],[From]],woodstock[#All],8,FALSE)</f>
        <v>0</v>
      </c>
      <c r="K241" s="135" t="str">
        <f>VLOOKUP(woodflow[[#This Row],[to]],woodstock[#All],8,FALSE)</f>
        <v>0</v>
      </c>
      <c r="L241" s="136" t="str">
        <f>VLOOKUP(woodflow[[#This Row],[From]],woodstock[#All],9,FALSE)</f>
        <v>nan</v>
      </c>
      <c r="M241" s="136" t="str">
        <f>VLOOKUP(woodflow[[#This Row],[to]],woodstock[#All],9,FALSE)</f>
        <v>nan</v>
      </c>
      <c r="N241" s="131">
        <f>$N$239*woodratio!I83</f>
        <v>2.9736392687742864E-3</v>
      </c>
      <c r="O241" s="126" t="s">
        <v>549</v>
      </c>
      <c r="P241" s="126" t="s">
        <v>240</v>
      </c>
      <c r="Q241" s="126"/>
      <c r="R241" s="1"/>
      <c r="S241" s="1"/>
      <c r="T241" s="1"/>
      <c r="U241" s="1"/>
      <c r="V241" s="1"/>
    </row>
    <row r="242" spans="1:22" x14ac:dyDescent="0.3">
      <c r="A242" s="5" t="str">
        <f>CONCATENATE("F",IF(B242&lt;&gt;"",COUNTA($B$2:B242),""))</f>
        <v>F147</v>
      </c>
      <c r="B242" s="126" t="s">
        <v>46</v>
      </c>
      <c r="C242" s="126" t="s">
        <v>39</v>
      </c>
      <c r="D242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4.9560654479571443E-5</v>
      </c>
      <c r="E242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2" s="126">
        <f>VLOOKUP(woodflow[[#This Row],[From]],woodstock[#All],4,FALSE)</f>
        <v>2021</v>
      </c>
      <c r="G242" s="5" t="str">
        <f>VLOOKUP(woodflow[[#This Row],[From]],woodstock[#All],5,FALSE)</f>
        <v>OAS</v>
      </c>
      <c r="H242" s="135" t="str">
        <f>VLOOKUP(woodflow[[#This Row],[From]],woodstock[#All],7,FALSE)</f>
        <v>23</v>
      </c>
      <c r="I242" s="135" t="str">
        <f>VLOOKUP(woodflow[[#This Row],[to]],woodstock[#All],7,FALSE)</f>
        <v>39</v>
      </c>
      <c r="J242" s="135" t="str">
        <f>VLOOKUP(woodflow[[#This Row],[From]],woodstock[#All],8,FALSE)</f>
        <v>0</v>
      </c>
      <c r="K242" s="135" t="str">
        <f>VLOOKUP(woodflow[[#This Row],[to]],woodstock[#All],8,FALSE)</f>
        <v>0</v>
      </c>
      <c r="L242" s="136" t="str">
        <f>VLOOKUP(woodflow[[#This Row],[From]],woodstock[#All],9,FALSE)</f>
        <v>nan</v>
      </c>
      <c r="M242" s="136" t="str">
        <f>VLOOKUP(woodflow[[#This Row],[to]],woodstock[#All],9,FALSE)</f>
        <v>nan</v>
      </c>
      <c r="N242" s="131">
        <f>$N$239*woodratio!I84</f>
        <v>4.9560654479571443E-5</v>
      </c>
      <c r="O242" s="126" t="s">
        <v>556</v>
      </c>
      <c r="P242" s="126" t="s">
        <v>240</v>
      </c>
      <c r="Q242" s="126"/>
      <c r="R242" s="1"/>
      <c r="S242" s="1"/>
      <c r="T242" s="1"/>
      <c r="U242" s="1"/>
      <c r="V242" s="1"/>
    </row>
    <row r="243" spans="1:22" x14ac:dyDescent="0.3">
      <c r="A243" s="5" t="str">
        <f>CONCATENATE("F",IF(B243&lt;&gt;"",COUNTA($B$2:B243),""))</f>
        <v>F148</v>
      </c>
      <c r="B243" s="126" t="s">
        <v>46</v>
      </c>
      <c r="C243" s="126" t="s">
        <v>40</v>
      </c>
      <c r="D243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3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4.2076995653156153E-2</v>
      </c>
      <c r="F243" s="126">
        <f>VLOOKUP(woodflow[[#This Row],[From]],woodstock[#All],4,FALSE)</f>
        <v>2021</v>
      </c>
      <c r="G243" s="5" t="str">
        <f>VLOOKUP(woodflow[[#This Row],[From]],woodstock[#All],5,FALSE)</f>
        <v>OAS</v>
      </c>
      <c r="H243" s="135" t="str">
        <f>VLOOKUP(woodflow[[#This Row],[From]],woodstock[#All],7,FALSE)</f>
        <v>23</v>
      </c>
      <c r="I243" s="135" t="str">
        <f>VLOOKUP(woodflow[[#This Row],[to]],woodstock[#All],7,FALSE)</f>
        <v>40</v>
      </c>
      <c r="J243" s="135" t="str">
        <f>VLOOKUP(woodflow[[#This Row],[From]],woodstock[#All],8,FALSE)</f>
        <v>0</v>
      </c>
      <c r="K243" s="135" t="str">
        <f>VLOOKUP(woodflow[[#This Row],[to]],woodstock[#All],8,FALSE)</f>
        <v>0</v>
      </c>
      <c r="L243" s="136" t="str">
        <f>VLOOKUP(woodflow[[#This Row],[From]],woodstock[#All],9,FALSE)</f>
        <v>nan</v>
      </c>
      <c r="M243" s="136" t="str">
        <f>VLOOKUP(woodflow[[#This Row],[to]],woodstock[#All],9,FALSE)</f>
        <v>nan</v>
      </c>
      <c r="N243" s="131">
        <f>$N$239*woodratio!I85</f>
        <v>4.2076995653156153E-2</v>
      </c>
      <c r="O243" s="126" t="s">
        <v>549</v>
      </c>
      <c r="P243" s="126" t="s">
        <v>240</v>
      </c>
      <c r="Q243" s="126"/>
      <c r="R243" s="1"/>
      <c r="S243" s="1"/>
      <c r="T243" s="1"/>
      <c r="U243" s="1"/>
      <c r="V243" s="1"/>
    </row>
    <row r="244" spans="1:22" x14ac:dyDescent="0.3">
      <c r="A244" s="5" t="str">
        <f>CONCATENATE("F",IF(B244&lt;&gt;"",COUNTA($B$2:B244),""))</f>
        <v>F149</v>
      </c>
      <c r="B244" s="126" t="s">
        <v>46</v>
      </c>
      <c r="C244" s="126" t="s">
        <v>41</v>
      </c>
      <c r="D244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4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1.4868196343871432E-3</v>
      </c>
      <c r="F244" s="126">
        <f>VLOOKUP(woodflow[[#This Row],[From]],woodstock[#All],4,FALSE)</f>
        <v>2021</v>
      </c>
      <c r="G244" s="5" t="str">
        <f>VLOOKUP(woodflow[[#This Row],[From]],woodstock[#All],5,FALSE)</f>
        <v>OAS</v>
      </c>
      <c r="H244" s="135" t="str">
        <f>VLOOKUP(woodflow[[#This Row],[From]],woodstock[#All],7,FALSE)</f>
        <v>23</v>
      </c>
      <c r="I244" s="135" t="str">
        <f>VLOOKUP(woodflow[[#This Row],[to]],woodstock[#All],7,FALSE)</f>
        <v>41</v>
      </c>
      <c r="J244" s="135" t="str">
        <f>VLOOKUP(woodflow[[#This Row],[From]],woodstock[#All],8,FALSE)</f>
        <v>0</v>
      </c>
      <c r="K244" s="135" t="str">
        <f>VLOOKUP(woodflow[[#This Row],[to]],woodstock[#All],8,FALSE)</f>
        <v>0</v>
      </c>
      <c r="L244" s="136" t="str">
        <f>VLOOKUP(woodflow[[#This Row],[From]],woodstock[#All],9,FALSE)</f>
        <v>nan</v>
      </c>
      <c r="M244" s="136" t="str">
        <f>VLOOKUP(woodflow[[#This Row],[to]],woodstock[#All],9,FALSE)</f>
        <v>nan</v>
      </c>
      <c r="N244" s="131">
        <f>$N$239*woodratio!I86</f>
        <v>1.4868196343871432E-3</v>
      </c>
      <c r="O244" s="126" t="s">
        <v>549</v>
      </c>
      <c r="P244" s="126" t="s">
        <v>240</v>
      </c>
      <c r="Q244" s="126"/>
      <c r="R244" s="1"/>
      <c r="S244" s="1"/>
      <c r="T244" s="1"/>
      <c r="U244" s="1"/>
      <c r="V244" s="1"/>
    </row>
    <row r="245" spans="1:22" x14ac:dyDescent="0.3">
      <c r="A245" s="5" t="str">
        <f>CONCATENATE("F",IF(B245&lt;&gt;"",COUNTA($B$2:B245),""))</f>
        <v>F150</v>
      </c>
      <c r="B245" s="126" t="s">
        <v>46</v>
      </c>
      <c r="C245" s="126" t="s">
        <v>38</v>
      </c>
      <c r="D245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5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2.9736392687742864E-3</v>
      </c>
      <c r="F245" s="126">
        <f>VLOOKUP(woodflow[[#This Row],[From]],woodstock[#All],4,FALSE)</f>
        <v>2021</v>
      </c>
      <c r="G245" s="5" t="str">
        <f>VLOOKUP(woodflow[[#This Row],[From]],woodstock[#All],5,FALSE)</f>
        <v>OAS</v>
      </c>
      <c r="H245" s="135" t="str">
        <f>VLOOKUP(woodflow[[#This Row],[From]],woodstock[#All],7,FALSE)</f>
        <v>23</v>
      </c>
      <c r="I245" s="135" t="str">
        <f>VLOOKUP(woodflow[[#This Row],[to]],woodstock[#All],7,FALSE)</f>
        <v>42</v>
      </c>
      <c r="J245" s="135" t="str">
        <f>VLOOKUP(woodflow[[#This Row],[From]],woodstock[#All],8,FALSE)</f>
        <v>0</v>
      </c>
      <c r="K245" s="135" t="str">
        <f>VLOOKUP(woodflow[[#This Row],[to]],woodstock[#All],8,FALSE)</f>
        <v>0</v>
      </c>
      <c r="L245" s="136" t="str">
        <f>VLOOKUP(woodflow[[#This Row],[From]],woodstock[#All],9,FALSE)</f>
        <v>nan</v>
      </c>
      <c r="M245" s="136" t="str">
        <f>VLOOKUP(woodflow[[#This Row],[to]],woodstock[#All],9,FALSE)</f>
        <v>nan</v>
      </c>
      <c r="N245" s="131">
        <f>$N$239*woodratio!I87</f>
        <v>2.9736392687742864E-3</v>
      </c>
      <c r="O245" s="126" t="s">
        <v>549</v>
      </c>
      <c r="P245" s="126" t="s">
        <v>240</v>
      </c>
      <c r="Q245" s="126"/>
      <c r="R245" s="1"/>
      <c r="S245" s="1"/>
      <c r="T245" s="1"/>
      <c r="U245" s="1"/>
      <c r="V245" s="1"/>
    </row>
    <row r="246" spans="1:22" x14ac:dyDescent="0.3">
      <c r="A246" s="5" t="str">
        <f>CONCATENATE("F",IF(B246&lt;&gt;"",COUNTA($B$2:B246),""))</f>
        <v>F</v>
      </c>
      <c r="B246" s="126"/>
      <c r="C246" s="126"/>
      <c r="D246" s="133"/>
      <c r="E246" s="133"/>
      <c r="F246" s="126"/>
      <c r="G246" s="5"/>
      <c r="H246" s="135"/>
      <c r="I246" s="135"/>
      <c r="J246" s="135"/>
      <c r="K246" s="135"/>
      <c r="L246" s="136"/>
      <c r="M246" s="136"/>
      <c r="N246" s="131"/>
      <c r="O246" s="126"/>
      <c r="P246" s="126"/>
      <c r="Q246" s="126"/>
      <c r="R246" s="1"/>
      <c r="S246" s="1"/>
      <c r="T246" s="1"/>
      <c r="U246" s="1"/>
      <c r="V246" s="1"/>
    </row>
    <row r="247" spans="1:22" x14ac:dyDescent="0.3">
      <c r="A247" s="5" t="str">
        <f>CONCATENATE("F",IF(B247&lt;&gt;"",COUNTA($B$2:B247),""))</f>
        <v>F</v>
      </c>
      <c r="B247" s="126"/>
      <c r="C247" s="126"/>
      <c r="D247" s="133"/>
      <c r="E247" s="133"/>
      <c r="F247" s="126"/>
      <c r="G247" s="5"/>
      <c r="H247" s="135"/>
      <c r="I247" s="135"/>
      <c r="J247" s="135"/>
      <c r="K247" s="135"/>
      <c r="L247" s="136"/>
      <c r="M247" s="136"/>
      <c r="N247" s="131"/>
      <c r="O247" s="126"/>
      <c r="P247" s="126"/>
      <c r="Q247" s="126"/>
      <c r="R247" s="1"/>
      <c r="S247" s="1"/>
      <c r="T247" s="1"/>
      <c r="U247" s="1"/>
      <c r="V247" s="1"/>
    </row>
    <row r="248" spans="1:22" x14ac:dyDescent="0.3">
      <c r="A248" s="5" t="str">
        <f>CONCATENATE("F",IF(B248&lt;&gt;"",COUNTA($B$2:B248),""))</f>
        <v>F151</v>
      </c>
      <c r="B248" s="126" t="s">
        <v>46</v>
      </c>
      <c r="C248" s="126" t="s">
        <v>73</v>
      </c>
      <c r="D24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4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8" s="126">
        <f>VLOOKUP(woodflow[[#This Row],[From]],woodstock[#All],4,FALSE)</f>
        <v>2021</v>
      </c>
      <c r="G248" s="5" t="str">
        <f>VLOOKUP(woodflow[[#This Row],[From]],woodstock[#All],5,FALSE)</f>
        <v>OAS</v>
      </c>
      <c r="H248" s="135" t="str">
        <f>VLOOKUP(woodflow[[#This Row],[From]],woodstock[#All],7,FALSE)</f>
        <v>23</v>
      </c>
      <c r="I248" s="135" t="str">
        <f>VLOOKUP(woodflow[[#This Row],[to]],woodstock[#All],7,FALSE)</f>
        <v>51</v>
      </c>
      <c r="J248" s="135" t="str">
        <f>VLOOKUP(woodflow[[#This Row],[From]],woodstock[#All],8,FALSE)</f>
        <v>0</v>
      </c>
      <c r="K248" s="135" t="str">
        <f>VLOOKUP(woodflow[[#This Row],[to]],woodstock[#All],8,FALSE)</f>
        <v>0</v>
      </c>
      <c r="L248" s="136" t="str">
        <f>VLOOKUP(woodflow[[#This Row],[From]],woodstock[#All],9,FALSE)</f>
        <v>nan</v>
      </c>
      <c r="M248" s="136" t="str">
        <f>VLOOKUP(woodflow[[#This Row],[to]],woodstock[#All],9,FALSE)</f>
        <v>nan</v>
      </c>
      <c r="N248" s="131">
        <f>'faostat-data'!Q69/'production-mass-balance'!B55*SUM('production-mass-balance'!B52)</f>
        <v>0</v>
      </c>
      <c r="O248" s="126" t="s">
        <v>556</v>
      </c>
      <c r="P248" s="126" t="s">
        <v>456</v>
      </c>
      <c r="Q248" s="126" t="s">
        <v>234</v>
      </c>
      <c r="R248" s="1"/>
      <c r="S248" s="1"/>
      <c r="T248" s="1"/>
      <c r="U248" s="1"/>
      <c r="V248" s="1"/>
    </row>
    <row r="249" spans="1:22" x14ac:dyDescent="0.3">
      <c r="A249" s="5" t="str">
        <f>CONCATENATE("F",IF(B249&lt;&gt;"",COUNTA($B$2:B249),""))</f>
        <v>F</v>
      </c>
      <c r="B249" s="126"/>
      <c r="C249" s="126"/>
      <c r="D249" s="133"/>
      <c r="E249" s="133"/>
      <c r="F249" s="126"/>
      <c r="G249" s="5"/>
      <c r="H249" s="135"/>
      <c r="I249" s="135"/>
      <c r="J249" s="135"/>
      <c r="K249" s="135"/>
      <c r="L249" s="136"/>
      <c r="M249" s="136"/>
      <c r="N249" s="131"/>
      <c r="O249" s="126"/>
      <c r="P249" s="126"/>
      <c r="Q249" s="126"/>
      <c r="R249" s="1"/>
      <c r="S249" s="1"/>
      <c r="T249" s="1"/>
      <c r="U249" s="1"/>
      <c r="V249" s="1"/>
    </row>
    <row r="250" spans="1:22" x14ac:dyDescent="0.3">
      <c r="A250" s="5" t="str">
        <f>CONCATENATE("F",IF(B250&lt;&gt;"",COUNTA($B$2:B250),""))</f>
        <v>F</v>
      </c>
      <c r="B250" s="126"/>
      <c r="C250" s="126"/>
      <c r="D250" s="133"/>
      <c r="E250" s="133"/>
      <c r="F250" s="126"/>
      <c r="G250" s="5"/>
      <c r="H250" s="135"/>
      <c r="I250" s="135"/>
      <c r="J250" s="135"/>
      <c r="K250" s="135"/>
      <c r="L250" s="136"/>
      <c r="M250" s="136"/>
      <c r="N250" s="131"/>
      <c r="O250" s="126"/>
      <c r="P250" s="126"/>
      <c r="Q250" s="126"/>
      <c r="R250" s="1"/>
      <c r="S250" s="1"/>
      <c r="T250" s="1"/>
      <c r="U250" s="1"/>
      <c r="V250" s="1"/>
    </row>
    <row r="251" spans="1:22" x14ac:dyDescent="0.3">
      <c r="A251" s="5" t="str">
        <f>CONCATENATE("F",IF(B251&lt;&gt;"",COUNTA($B$2:B251),""))</f>
        <v>F152</v>
      </c>
      <c r="B251" s="126" t="s">
        <v>180</v>
      </c>
      <c r="C251" s="126" t="s">
        <v>51</v>
      </c>
      <c r="D251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0.31973627304000002</v>
      </c>
      <c r="E251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1" s="126">
        <f>VLOOKUP(woodflow[[#This Row],[From]],woodstock[#All],4,FALSE)</f>
        <v>2021</v>
      </c>
      <c r="G251" s="5" t="str">
        <f>VLOOKUP(woodflow[[#This Row],[From]],woodstock[#All],5,FALSE)</f>
        <v>OAS</v>
      </c>
      <c r="H251" s="135" t="str">
        <f>VLOOKUP(woodflow[[#This Row],[From]],woodstock[#All],7,FALSE)</f>
        <v>24</v>
      </c>
      <c r="I251" s="135" t="str">
        <f>VLOOKUP(woodflow[[#This Row],[to]],woodstock[#All],7,FALSE)</f>
        <v>15</v>
      </c>
      <c r="J251" s="135" t="str">
        <f>VLOOKUP(woodflow[[#This Row],[From]],woodstock[#All],8,FALSE)</f>
        <v>0</v>
      </c>
      <c r="K251" s="135" t="str">
        <f>VLOOKUP(woodflow[[#This Row],[to]],woodstock[#All],8,FALSE)</f>
        <v>1</v>
      </c>
      <c r="L251" s="136" t="str">
        <f>VLOOKUP(woodflow[[#This Row],[From]],woodstock[#All],9,FALSE)</f>
        <v>nan</v>
      </c>
      <c r="M251" s="136" t="str">
        <f>VLOOKUP(woodflow[[#This Row],[to]],woodstock[#All],9,FALSE)</f>
        <v>37-38-39-40-41-42</v>
      </c>
      <c r="N251" s="131">
        <f>'faostat-data'!Q72+'faostat-data'!Q73-'faostat-data'!Q74</f>
        <v>0.31973627304000002</v>
      </c>
      <c r="O251" s="126" t="s">
        <v>556</v>
      </c>
      <c r="P251" s="126"/>
      <c r="Q251" s="126" t="s">
        <v>234</v>
      </c>
      <c r="R251" s="1"/>
      <c r="S251" s="1"/>
      <c r="T251" s="1"/>
      <c r="U251" s="1"/>
      <c r="V251" s="1"/>
    </row>
    <row r="252" spans="1:22" x14ac:dyDescent="0.3">
      <c r="A252" s="5" t="str">
        <f>CONCATENATE("F",IF(B252&lt;&gt;"",COUNTA($B$2:B252),""))</f>
        <v>F153</v>
      </c>
      <c r="B252" s="126" t="s">
        <v>180</v>
      </c>
      <c r="C252" s="126" t="s">
        <v>36</v>
      </c>
      <c r="D252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52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2" s="126">
        <f>VLOOKUP(woodflow[[#This Row],[From]],woodstock[#All],4,FALSE)</f>
        <v>2021</v>
      </c>
      <c r="G252" s="5" t="str">
        <f>VLOOKUP(woodflow[[#This Row],[From]],woodstock[#All],5,FALSE)</f>
        <v>OAS</v>
      </c>
      <c r="H252" s="135" t="str">
        <f>VLOOKUP(woodflow[[#This Row],[From]],woodstock[#All],7,FALSE)</f>
        <v>24</v>
      </c>
      <c r="I252" s="135" t="str">
        <f>VLOOKUP(woodflow[[#This Row],[to]],woodstock[#All],7,FALSE)</f>
        <v>37</v>
      </c>
      <c r="J252" s="135" t="str">
        <f>VLOOKUP(woodflow[[#This Row],[From]],woodstock[#All],8,FALSE)</f>
        <v>0</v>
      </c>
      <c r="K252" s="135" t="str">
        <f>VLOOKUP(woodflow[[#This Row],[to]],woodstock[#All],8,FALSE)</f>
        <v>0</v>
      </c>
      <c r="L252" s="136" t="str">
        <f>VLOOKUP(woodflow[[#This Row],[From]],woodstock[#All],9,FALSE)</f>
        <v>nan</v>
      </c>
      <c r="M252" s="136" t="str">
        <f>VLOOKUP(woodflow[[#This Row],[to]],woodstock[#All],9,FALSE)</f>
        <v>nan</v>
      </c>
      <c r="N252" s="131">
        <v>0</v>
      </c>
      <c r="O252" s="126" t="s">
        <v>213</v>
      </c>
      <c r="P252" s="126"/>
      <c r="Q252" s="126"/>
      <c r="R252" s="1"/>
      <c r="S252" s="1"/>
      <c r="T252" s="1"/>
      <c r="U252" s="1"/>
      <c r="V252" s="1"/>
    </row>
    <row r="253" spans="1:22" x14ac:dyDescent="0.3">
      <c r="A253" s="5" t="str">
        <f>CONCATENATE("F",IF(B253&lt;&gt;"",COUNTA($B$2:B253),""))</f>
        <v>F154</v>
      </c>
      <c r="B253" s="126" t="s">
        <v>180</v>
      </c>
      <c r="C253" s="126" t="s">
        <v>37</v>
      </c>
      <c r="D253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3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7.9934068260000005E-2</v>
      </c>
      <c r="F253" s="126">
        <f>VLOOKUP(woodflow[[#This Row],[From]],woodstock[#All],4,FALSE)</f>
        <v>2021</v>
      </c>
      <c r="G253" s="5" t="str">
        <f>VLOOKUP(woodflow[[#This Row],[From]],woodstock[#All],5,FALSE)</f>
        <v>OAS</v>
      </c>
      <c r="H253" s="135" t="str">
        <f>VLOOKUP(woodflow[[#This Row],[From]],woodstock[#All],7,FALSE)</f>
        <v>24</v>
      </c>
      <c r="I253" s="135" t="str">
        <f>VLOOKUP(woodflow[[#This Row],[to]],woodstock[#All],7,FALSE)</f>
        <v>38</v>
      </c>
      <c r="J253" s="135" t="str">
        <f>VLOOKUP(woodflow[[#This Row],[From]],woodstock[#All],8,FALSE)</f>
        <v>0</v>
      </c>
      <c r="K253" s="135" t="str">
        <f>VLOOKUP(woodflow[[#This Row],[to]],woodstock[#All],8,FALSE)</f>
        <v>0</v>
      </c>
      <c r="L253" s="136" t="str">
        <f>VLOOKUP(woodflow[[#This Row],[From]],woodstock[#All],9,FALSE)</f>
        <v>nan</v>
      </c>
      <c r="M253" s="136" t="str">
        <f>VLOOKUP(woodflow[[#This Row],[to]],woodstock[#All],9,FALSE)</f>
        <v>nan</v>
      </c>
      <c r="N253" s="131">
        <f>$N$251*woodratio!I90</f>
        <v>7.9934068260000005E-2</v>
      </c>
      <c r="O253" s="126" t="s">
        <v>549</v>
      </c>
      <c r="P253" s="126" t="s">
        <v>240</v>
      </c>
      <c r="Q253" s="126"/>
      <c r="R253" s="1"/>
      <c r="S253" s="1"/>
      <c r="T253" s="1"/>
      <c r="U253" s="1"/>
      <c r="V253" s="1"/>
    </row>
    <row r="254" spans="1:22" x14ac:dyDescent="0.3">
      <c r="A254" s="5" t="str">
        <f>CONCATENATE("F",IF(B254&lt;&gt;"",COUNTA($B$2:B254),""))</f>
        <v>F155</v>
      </c>
      <c r="B254" s="126" t="s">
        <v>180</v>
      </c>
      <c r="C254" s="126" t="s">
        <v>39</v>
      </c>
      <c r="D254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54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4" s="126">
        <f>VLOOKUP(woodflow[[#This Row],[From]],woodstock[#All],4,FALSE)</f>
        <v>2021</v>
      </c>
      <c r="G254" s="5" t="str">
        <f>VLOOKUP(woodflow[[#This Row],[From]],woodstock[#All],5,FALSE)</f>
        <v>OAS</v>
      </c>
      <c r="H254" s="135" t="str">
        <f>VLOOKUP(woodflow[[#This Row],[From]],woodstock[#All],7,FALSE)</f>
        <v>24</v>
      </c>
      <c r="I254" s="135" t="str">
        <f>VLOOKUP(woodflow[[#This Row],[to]],woodstock[#All],7,FALSE)</f>
        <v>39</v>
      </c>
      <c r="J254" s="135" t="str">
        <f>VLOOKUP(woodflow[[#This Row],[From]],woodstock[#All],8,FALSE)</f>
        <v>0</v>
      </c>
      <c r="K254" s="135" t="str">
        <f>VLOOKUP(woodflow[[#This Row],[to]],woodstock[#All],8,FALSE)</f>
        <v>0</v>
      </c>
      <c r="L254" s="136" t="str">
        <f>VLOOKUP(woodflow[[#This Row],[From]],woodstock[#All],9,FALSE)</f>
        <v>nan</v>
      </c>
      <c r="M254" s="136" t="str">
        <f>VLOOKUP(woodflow[[#This Row],[to]],woodstock[#All],9,FALSE)</f>
        <v>nan</v>
      </c>
      <c r="N254" s="131">
        <v>0</v>
      </c>
      <c r="O254" s="126" t="s">
        <v>213</v>
      </c>
      <c r="P254" s="126"/>
      <c r="Q254" s="126"/>
      <c r="R254" s="1"/>
      <c r="S254" s="1"/>
      <c r="T254" s="1"/>
      <c r="U254" s="1"/>
      <c r="V254" s="1"/>
    </row>
    <row r="255" spans="1:22" x14ac:dyDescent="0.3">
      <c r="A255" s="5" t="str">
        <f>CONCATENATE("F",IF(B255&lt;&gt;"",COUNTA($B$2:B255),""))</f>
        <v>F156</v>
      </c>
      <c r="B255" s="126" t="s">
        <v>180</v>
      </c>
      <c r="C255" s="126" t="s">
        <v>40</v>
      </c>
      <c r="D255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5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3.1973627304000003E-2</v>
      </c>
      <c r="F255" s="126">
        <f>VLOOKUP(woodflow[[#This Row],[From]],woodstock[#All],4,FALSE)</f>
        <v>2021</v>
      </c>
      <c r="G255" s="5" t="str">
        <f>VLOOKUP(woodflow[[#This Row],[From]],woodstock[#All],5,FALSE)</f>
        <v>OAS</v>
      </c>
      <c r="H255" s="135" t="str">
        <f>VLOOKUP(woodflow[[#This Row],[From]],woodstock[#All],7,FALSE)</f>
        <v>24</v>
      </c>
      <c r="I255" s="135" t="str">
        <f>VLOOKUP(woodflow[[#This Row],[to]],woodstock[#All],7,FALSE)</f>
        <v>40</v>
      </c>
      <c r="J255" s="135" t="str">
        <f>VLOOKUP(woodflow[[#This Row],[From]],woodstock[#All],8,FALSE)</f>
        <v>0</v>
      </c>
      <c r="K255" s="135" t="str">
        <f>VLOOKUP(woodflow[[#This Row],[to]],woodstock[#All],8,FALSE)</f>
        <v>0</v>
      </c>
      <c r="L255" s="136" t="str">
        <f>VLOOKUP(woodflow[[#This Row],[From]],woodstock[#All],9,FALSE)</f>
        <v>nan</v>
      </c>
      <c r="M255" s="136" t="str">
        <f>VLOOKUP(woodflow[[#This Row],[to]],woodstock[#All],9,FALSE)</f>
        <v>nan</v>
      </c>
      <c r="N255" s="131">
        <f>$N$251*woodratio!I91</f>
        <v>3.1973627304000003E-2</v>
      </c>
      <c r="O255" s="126" t="s">
        <v>549</v>
      </c>
      <c r="P255" s="126" t="s">
        <v>240</v>
      </c>
      <c r="Q255" s="126"/>
      <c r="R255" s="1"/>
      <c r="S255" s="1"/>
      <c r="T255" s="1"/>
      <c r="U255" s="1"/>
      <c r="V255" s="1"/>
    </row>
    <row r="256" spans="1:22" x14ac:dyDescent="0.3">
      <c r="A256" s="5" t="str">
        <f>CONCATENATE("F",IF(B256&lt;&gt;"",COUNTA($B$2:B256),""))</f>
        <v>F157</v>
      </c>
      <c r="B256" s="126" t="s">
        <v>180</v>
      </c>
      <c r="C256" s="126" t="s">
        <v>41</v>
      </c>
      <c r="D256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6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4.7960440956000001E-2</v>
      </c>
      <c r="F256" s="126">
        <f>VLOOKUP(woodflow[[#This Row],[From]],woodstock[#All],4,FALSE)</f>
        <v>2021</v>
      </c>
      <c r="G256" s="5" t="str">
        <f>VLOOKUP(woodflow[[#This Row],[From]],woodstock[#All],5,FALSE)</f>
        <v>OAS</v>
      </c>
      <c r="H256" s="135" t="str">
        <f>VLOOKUP(woodflow[[#This Row],[From]],woodstock[#All],7,FALSE)</f>
        <v>24</v>
      </c>
      <c r="I256" s="135" t="str">
        <f>VLOOKUP(woodflow[[#This Row],[to]],woodstock[#All],7,FALSE)</f>
        <v>41</v>
      </c>
      <c r="J256" s="135" t="str">
        <f>VLOOKUP(woodflow[[#This Row],[From]],woodstock[#All],8,FALSE)</f>
        <v>0</v>
      </c>
      <c r="K256" s="135" t="str">
        <f>VLOOKUP(woodflow[[#This Row],[to]],woodstock[#All],8,FALSE)</f>
        <v>0</v>
      </c>
      <c r="L256" s="136" t="str">
        <f>VLOOKUP(woodflow[[#This Row],[From]],woodstock[#All],9,FALSE)</f>
        <v>nan</v>
      </c>
      <c r="M256" s="136" t="str">
        <f>VLOOKUP(woodflow[[#This Row],[to]],woodstock[#All],9,FALSE)</f>
        <v>nan</v>
      </c>
      <c r="N256" s="131">
        <f>$N$251*woodratio!I92</f>
        <v>4.7960440956000001E-2</v>
      </c>
      <c r="O256" s="126" t="s">
        <v>549</v>
      </c>
      <c r="P256" s="126" t="s">
        <v>240</v>
      </c>
      <c r="Q256" s="126"/>
      <c r="R256" s="1"/>
      <c r="S256" s="1"/>
      <c r="T256" s="1"/>
      <c r="U256" s="1"/>
      <c r="V256" s="1"/>
    </row>
    <row r="257" spans="1:22" x14ac:dyDescent="0.3">
      <c r="A257" s="5" t="str">
        <f>CONCATENATE("F",IF(B257&lt;&gt;"",COUNTA($B$2:B257),""))</f>
        <v>F158</v>
      </c>
      <c r="B257" s="126" t="s">
        <v>180</v>
      </c>
      <c r="C257" s="126" t="s">
        <v>38</v>
      </c>
      <c r="D257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7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0.15986813652000001</v>
      </c>
      <c r="F257" s="126">
        <f>VLOOKUP(woodflow[[#This Row],[From]],woodstock[#All],4,FALSE)</f>
        <v>2021</v>
      </c>
      <c r="G257" s="5" t="str">
        <f>VLOOKUP(woodflow[[#This Row],[From]],woodstock[#All],5,FALSE)</f>
        <v>OAS</v>
      </c>
      <c r="H257" s="135" t="str">
        <f>VLOOKUP(woodflow[[#This Row],[From]],woodstock[#All],7,FALSE)</f>
        <v>24</v>
      </c>
      <c r="I257" s="135" t="str">
        <f>VLOOKUP(woodflow[[#This Row],[to]],woodstock[#All],7,FALSE)</f>
        <v>42</v>
      </c>
      <c r="J257" s="135" t="str">
        <f>VLOOKUP(woodflow[[#This Row],[From]],woodstock[#All],8,FALSE)</f>
        <v>0</v>
      </c>
      <c r="K257" s="135" t="str">
        <f>VLOOKUP(woodflow[[#This Row],[to]],woodstock[#All],8,FALSE)</f>
        <v>0</v>
      </c>
      <c r="L257" s="136" t="str">
        <f>VLOOKUP(woodflow[[#This Row],[From]],woodstock[#All],9,FALSE)</f>
        <v>nan</v>
      </c>
      <c r="M257" s="136" t="str">
        <f>VLOOKUP(woodflow[[#This Row],[to]],woodstock[#All],9,FALSE)</f>
        <v>nan</v>
      </c>
      <c r="N257" s="131">
        <f>$N$251*woodratio!I93</f>
        <v>0.15986813652000001</v>
      </c>
      <c r="O257" s="126" t="s">
        <v>549</v>
      </c>
      <c r="P257" s="126" t="s">
        <v>240</v>
      </c>
      <c r="Q257" s="126"/>
      <c r="R257" s="1"/>
      <c r="S257" s="1"/>
      <c r="T257" s="1"/>
      <c r="U257" s="1"/>
      <c r="V257" s="1"/>
    </row>
    <row r="258" spans="1:22" x14ac:dyDescent="0.3">
      <c r="A258" s="5" t="str">
        <f>CONCATENATE("F",IF(B258&lt;&gt;"",COUNTA($B$2:B258),""))</f>
        <v>F</v>
      </c>
      <c r="B258" s="126"/>
      <c r="C258" s="126"/>
      <c r="D258" s="133"/>
      <c r="E258" s="133"/>
      <c r="F258" s="126"/>
      <c r="G258" s="5"/>
      <c r="H258" s="135"/>
      <c r="I258" s="135"/>
      <c r="J258" s="135"/>
      <c r="K258" s="135"/>
      <c r="L258" s="136"/>
      <c r="M258" s="136"/>
      <c r="N258" s="131"/>
      <c r="O258" s="126"/>
      <c r="P258" s="126"/>
      <c r="Q258" s="126"/>
      <c r="R258" s="1"/>
      <c r="S258" s="1"/>
      <c r="T258" s="1"/>
      <c r="U258" s="1"/>
      <c r="V258" s="1"/>
    </row>
    <row r="259" spans="1:22" x14ac:dyDescent="0.3">
      <c r="A259" s="5" t="str">
        <f>CONCATENATE("F",IF(B259&lt;&gt;"",COUNTA($B$2:B259),""))</f>
        <v>F</v>
      </c>
      <c r="B259" s="126"/>
      <c r="C259" s="126"/>
      <c r="D259" s="133"/>
      <c r="E259" s="133"/>
      <c r="F259" s="126"/>
      <c r="G259" s="5"/>
      <c r="H259" s="135"/>
      <c r="I259" s="135"/>
      <c r="J259" s="135"/>
      <c r="K259" s="135"/>
      <c r="L259" s="136"/>
      <c r="M259" s="136"/>
      <c r="N259" s="131"/>
      <c r="O259" s="126"/>
      <c r="P259" s="126"/>
      <c r="Q259" s="138"/>
      <c r="R259" s="1"/>
      <c r="S259" s="1"/>
      <c r="T259" s="1"/>
      <c r="U259" s="1"/>
      <c r="V259" s="1"/>
    </row>
    <row r="260" spans="1:22" x14ac:dyDescent="0.3">
      <c r="A260" s="5" t="str">
        <f>CONCATENATE("F",IF(B260&lt;&gt;"",COUNTA($B$2:B260),""))</f>
        <v>F159</v>
      </c>
      <c r="B260" s="126" t="s">
        <v>209</v>
      </c>
      <c r="C260" s="126" t="s">
        <v>51</v>
      </c>
      <c r="D260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3.9085529446205345</v>
      </c>
      <c r="E260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0" s="126">
        <f>VLOOKUP(woodflow[[#This Row],[From]],woodstock[#All],4,FALSE)</f>
        <v>2021</v>
      </c>
      <c r="G260" s="5" t="str">
        <f>VLOOKUP(woodflow[[#This Row],[From]],woodstock[#All],5,FALSE)</f>
        <v>OAS</v>
      </c>
      <c r="H260" s="135" t="str">
        <f>VLOOKUP(woodflow[[#This Row],[From]],woodstock[#All],7,FALSE)</f>
        <v>25</v>
      </c>
      <c r="I260" s="135" t="str">
        <f>VLOOKUP(woodflow[[#This Row],[to]],woodstock[#All],7,FALSE)</f>
        <v>15</v>
      </c>
      <c r="J260" s="135" t="str">
        <f>VLOOKUP(woodflow[[#This Row],[From]],woodstock[#All],8,FALSE)</f>
        <v>0</v>
      </c>
      <c r="K260" s="135" t="str">
        <f>VLOOKUP(woodflow[[#This Row],[to]],woodstock[#All],8,FALSE)</f>
        <v>1</v>
      </c>
      <c r="L260" s="136" t="str">
        <f>VLOOKUP(woodflow[[#This Row],[From]],woodstock[#All],9,FALSE)</f>
        <v>nan</v>
      </c>
      <c r="M260" s="136" t="str">
        <f>VLOOKUP(woodflow[[#This Row],[to]],woodstock[#All],9,FALSE)</f>
        <v>37-38-39-40-41-42</v>
      </c>
      <c r="N260" s="131">
        <f>'faostat-data'!Q75+'faostat-data'!Q76-'faostat-data'!Q77</f>
        <v>3.9085529446205345</v>
      </c>
      <c r="O260" s="126" t="s">
        <v>556</v>
      </c>
      <c r="P260" s="126"/>
      <c r="Q260" s="126" t="s">
        <v>234</v>
      </c>
      <c r="R260" s="1"/>
      <c r="S260" s="1"/>
      <c r="T260" s="1"/>
      <c r="U260" s="1"/>
      <c r="V260" s="1"/>
    </row>
    <row r="261" spans="1:22" x14ac:dyDescent="0.3">
      <c r="A261" s="5" t="str">
        <f>CONCATENATE("F",IF(B261&lt;&gt;"",COUNTA($B$2:B261),""))</f>
        <v>F160</v>
      </c>
      <c r="B261" s="126" t="s">
        <v>209</v>
      </c>
      <c r="C261" s="126" t="s">
        <v>36</v>
      </c>
      <c r="D261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61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1" s="126">
        <f>VLOOKUP(woodflow[[#This Row],[From]],woodstock[#All],4,FALSE)</f>
        <v>2021</v>
      </c>
      <c r="G261" s="5" t="str">
        <f>VLOOKUP(woodflow[[#This Row],[From]],woodstock[#All],5,FALSE)</f>
        <v>OAS</v>
      </c>
      <c r="H261" s="135" t="str">
        <f>VLOOKUP(woodflow[[#This Row],[From]],woodstock[#All],7,FALSE)</f>
        <v>25</v>
      </c>
      <c r="I261" s="135" t="str">
        <f>VLOOKUP(woodflow[[#This Row],[to]],woodstock[#All],7,FALSE)</f>
        <v>37</v>
      </c>
      <c r="J261" s="135" t="str">
        <f>VLOOKUP(woodflow[[#This Row],[From]],woodstock[#All],8,FALSE)</f>
        <v>0</v>
      </c>
      <c r="K261" s="135" t="str">
        <f>VLOOKUP(woodflow[[#This Row],[to]],woodstock[#All],8,FALSE)</f>
        <v>0</v>
      </c>
      <c r="L261" s="136" t="str">
        <f>VLOOKUP(woodflow[[#This Row],[From]],woodstock[#All],9,FALSE)</f>
        <v>nan</v>
      </c>
      <c r="M261" s="136" t="str">
        <f>VLOOKUP(woodflow[[#This Row],[to]],woodstock[#All],9,FALSE)</f>
        <v>nan</v>
      </c>
      <c r="N261" s="131">
        <v>0</v>
      </c>
      <c r="O261" s="126" t="s">
        <v>213</v>
      </c>
      <c r="P261" s="126"/>
      <c r="Q261" s="126"/>
      <c r="R261" s="1"/>
      <c r="S261" s="1"/>
      <c r="T261" s="1"/>
      <c r="U261" s="1"/>
      <c r="V261" s="1"/>
    </row>
    <row r="262" spans="1:22" x14ac:dyDescent="0.3">
      <c r="A262" s="5" t="str">
        <f>CONCATENATE("F",IF(B262&lt;&gt;"",COUNTA($B$2:B262),""))</f>
        <v>F161</v>
      </c>
      <c r="B262" s="126" t="s">
        <v>209</v>
      </c>
      <c r="C262" s="126" t="s">
        <v>37</v>
      </c>
      <c r="D262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2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0.23451317667723207</v>
      </c>
      <c r="F262" s="126">
        <f>VLOOKUP(woodflow[[#This Row],[From]],woodstock[#All],4,FALSE)</f>
        <v>2021</v>
      </c>
      <c r="G262" s="5" t="str">
        <f>VLOOKUP(woodflow[[#This Row],[From]],woodstock[#All],5,FALSE)</f>
        <v>OAS</v>
      </c>
      <c r="H262" s="135" t="str">
        <f>VLOOKUP(woodflow[[#This Row],[From]],woodstock[#All],7,FALSE)</f>
        <v>25</v>
      </c>
      <c r="I262" s="135" t="str">
        <f>VLOOKUP(woodflow[[#This Row],[to]],woodstock[#All],7,FALSE)</f>
        <v>38</v>
      </c>
      <c r="J262" s="135" t="str">
        <f>VLOOKUP(woodflow[[#This Row],[From]],woodstock[#All],8,FALSE)</f>
        <v>0</v>
      </c>
      <c r="K262" s="135" t="str">
        <f>VLOOKUP(woodflow[[#This Row],[to]],woodstock[#All],8,FALSE)</f>
        <v>0</v>
      </c>
      <c r="L262" s="136" t="str">
        <f>VLOOKUP(woodflow[[#This Row],[From]],woodstock[#All],9,FALSE)</f>
        <v>nan</v>
      </c>
      <c r="M262" s="136" t="str">
        <f>VLOOKUP(woodflow[[#This Row],[to]],woodstock[#All],9,FALSE)</f>
        <v>nan</v>
      </c>
      <c r="N262" s="131">
        <f>$N$260*woodratio!I96</f>
        <v>0.23451317667723207</v>
      </c>
      <c r="O262" s="126" t="s">
        <v>549</v>
      </c>
      <c r="P262" s="126" t="s">
        <v>240</v>
      </c>
      <c r="Q262" s="126"/>
      <c r="R262" s="1"/>
      <c r="S262" s="1"/>
      <c r="T262" s="1"/>
      <c r="U262" s="1"/>
      <c r="V262" s="1"/>
    </row>
    <row r="263" spans="1:22" x14ac:dyDescent="0.3">
      <c r="A263" s="5" t="str">
        <f>CONCATENATE("F",IF(B263&lt;&gt;"",COUNTA($B$2:B263),""))</f>
        <v>F162</v>
      </c>
      <c r="B263" s="126" t="s">
        <v>209</v>
      </c>
      <c r="C263" s="126" t="s">
        <v>39</v>
      </c>
      <c r="D263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6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3" s="126">
        <f>VLOOKUP(woodflow[[#This Row],[From]],woodstock[#All],4,FALSE)</f>
        <v>2021</v>
      </c>
      <c r="G263" s="5" t="str">
        <f>VLOOKUP(woodflow[[#This Row],[From]],woodstock[#All],5,FALSE)</f>
        <v>OAS</v>
      </c>
      <c r="H263" s="135" t="str">
        <f>VLOOKUP(woodflow[[#This Row],[From]],woodstock[#All],7,FALSE)</f>
        <v>25</v>
      </c>
      <c r="I263" s="135" t="str">
        <f>VLOOKUP(woodflow[[#This Row],[to]],woodstock[#All],7,FALSE)</f>
        <v>39</v>
      </c>
      <c r="J263" s="135" t="str">
        <f>VLOOKUP(woodflow[[#This Row],[From]],woodstock[#All],8,FALSE)</f>
        <v>0</v>
      </c>
      <c r="K263" s="135" t="str">
        <f>VLOOKUP(woodflow[[#This Row],[to]],woodstock[#All],8,FALSE)</f>
        <v>0</v>
      </c>
      <c r="L263" s="136" t="str">
        <f>VLOOKUP(woodflow[[#This Row],[From]],woodstock[#All],9,FALSE)</f>
        <v>nan</v>
      </c>
      <c r="M263" s="136" t="str">
        <f>VLOOKUP(woodflow[[#This Row],[to]],woodstock[#All],9,FALSE)</f>
        <v>nan</v>
      </c>
      <c r="N263" s="131">
        <v>0</v>
      </c>
      <c r="O263" s="126" t="s">
        <v>213</v>
      </c>
      <c r="P263" s="126"/>
      <c r="Q263" s="126"/>
      <c r="R263" s="1"/>
      <c r="S263" s="1"/>
      <c r="T263" s="1"/>
      <c r="U263" s="1"/>
      <c r="V263" s="1"/>
    </row>
    <row r="264" spans="1:22" x14ac:dyDescent="0.3">
      <c r="A264" s="5" t="str">
        <f>CONCATENATE("F",IF(B264&lt;&gt;"",COUNTA($B$2:B264),""))</f>
        <v>F163</v>
      </c>
      <c r="B264" s="126" t="s">
        <v>209</v>
      </c>
      <c r="C264" s="126" t="s">
        <v>40</v>
      </c>
      <c r="D264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4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1.1725658833861603</v>
      </c>
      <c r="F264" s="126">
        <f>VLOOKUP(woodflow[[#This Row],[From]],woodstock[#All],4,FALSE)</f>
        <v>2021</v>
      </c>
      <c r="G264" s="5" t="str">
        <f>VLOOKUP(woodflow[[#This Row],[From]],woodstock[#All],5,FALSE)</f>
        <v>OAS</v>
      </c>
      <c r="H264" s="135" t="str">
        <f>VLOOKUP(woodflow[[#This Row],[From]],woodstock[#All],7,FALSE)</f>
        <v>25</v>
      </c>
      <c r="I264" s="135" t="str">
        <f>VLOOKUP(woodflow[[#This Row],[to]],woodstock[#All],7,FALSE)</f>
        <v>40</v>
      </c>
      <c r="J264" s="135" t="str">
        <f>VLOOKUP(woodflow[[#This Row],[From]],woodstock[#All],8,FALSE)</f>
        <v>0</v>
      </c>
      <c r="K264" s="135" t="str">
        <f>VLOOKUP(woodflow[[#This Row],[to]],woodstock[#All],8,FALSE)</f>
        <v>0</v>
      </c>
      <c r="L264" s="136" t="str">
        <f>VLOOKUP(woodflow[[#This Row],[From]],woodstock[#All],9,FALSE)</f>
        <v>nan</v>
      </c>
      <c r="M264" s="136" t="str">
        <f>VLOOKUP(woodflow[[#This Row],[to]],woodstock[#All],9,FALSE)</f>
        <v>nan</v>
      </c>
      <c r="N264" s="131">
        <f>$N$260*woodratio!I97</f>
        <v>1.1725658833861603</v>
      </c>
      <c r="O264" s="126" t="s">
        <v>549</v>
      </c>
      <c r="P264" s="126" t="s">
        <v>240</v>
      </c>
      <c r="Q264" s="126"/>
      <c r="R264" s="1"/>
      <c r="S264" s="1"/>
      <c r="T264" s="1"/>
      <c r="U264" s="1"/>
      <c r="V264" s="1"/>
    </row>
    <row r="265" spans="1:22" x14ac:dyDescent="0.3">
      <c r="A265" s="5" t="str">
        <f>CONCATENATE("F",IF(B265&lt;&gt;"",COUNTA($B$2:B265),""))</f>
        <v>F164</v>
      </c>
      <c r="B265" s="126" t="s">
        <v>209</v>
      </c>
      <c r="C265" s="126" t="s">
        <v>41</v>
      </c>
      <c r="D265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5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2.2278751784337043</v>
      </c>
      <c r="F265" s="126">
        <f>VLOOKUP(woodflow[[#This Row],[From]],woodstock[#All],4,FALSE)</f>
        <v>2021</v>
      </c>
      <c r="G265" s="5" t="str">
        <f>VLOOKUP(woodflow[[#This Row],[From]],woodstock[#All],5,FALSE)</f>
        <v>OAS</v>
      </c>
      <c r="H265" s="135" t="str">
        <f>VLOOKUP(woodflow[[#This Row],[From]],woodstock[#All],7,FALSE)</f>
        <v>25</v>
      </c>
      <c r="I265" s="135" t="str">
        <f>VLOOKUP(woodflow[[#This Row],[to]],woodstock[#All],7,FALSE)</f>
        <v>41</v>
      </c>
      <c r="J265" s="135" t="str">
        <f>VLOOKUP(woodflow[[#This Row],[From]],woodstock[#All],8,FALSE)</f>
        <v>0</v>
      </c>
      <c r="K265" s="135" t="str">
        <f>VLOOKUP(woodflow[[#This Row],[to]],woodstock[#All],8,FALSE)</f>
        <v>0</v>
      </c>
      <c r="L265" s="136" t="str">
        <f>VLOOKUP(woodflow[[#This Row],[From]],woodstock[#All],9,FALSE)</f>
        <v>nan</v>
      </c>
      <c r="M265" s="136" t="str">
        <f>VLOOKUP(woodflow[[#This Row],[to]],woodstock[#All],9,FALSE)</f>
        <v>nan</v>
      </c>
      <c r="N265" s="131">
        <f>$N$260*woodratio!I98</f>
        <v>2.2278751784337043</v>
      </c>
      <c r="O265" s="126" t="s">
        <v>549</v>
      </c>
      <c r="P265" s="126" t="s">
        <v>240</v>
      </c>
      <c r="Q265" s="126"/>
      <c r="R265" s="1"/>
      <c r="S265" s="1"/>
      <c r="T265" s="1"/>
      <c r="U265" s="1"/>
      <c r="V265" s="1"/>
    </row>
    <row r="266" spans="1:22" x14ac:dyDescent="0.3">
      <c r="A266" s="5" t="str">
        <f>CONCATENATE("F",IF(B266&lt;&gt;"",COUNTA($B$2:B266),""))</f>
        <v>F165</v>
      </c>
      <c r="B266" s="126" t="s">
        <v>209</v>
      </c>
      <c r="C266" s="126" t="s">
        <v>38</v>
      </c>
      <c r="D266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6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0.27359870612343745</v>
      </c>
      <c r="F266" s="126">
        <f>VLOOKUP(woodflow[[#This Row],[From]],woodstock[#All],4,FALSE)</f>
        <v>2021</v>
      </c>
      <c r="G266" s="5" t="str">
        <f>VLOOKUP(woodflow[[#This Row],[From]],woodstock[#All],5,FALSE)</f>
        <v>OAS</v>
      </c>
      <c r="H266" s="135" t="str">
        <f>VLOOKUP(woodflow[[#This Row],[From]],woodstock[#All],7,FALSE)</f>
        <v>25</v>
      </c>
      <c r="I266" s="135" t="str">
        <f>VLOOKUP(woodflow[[#This Row],[to]],woodstock[#All],7,FALSE)</f>
        <v>42</v>
      </c>
      <c r="J266" s="135" t="str">
        <f>VLOOKUP(woodflow[[#This Row],[From]],woodstock[#All],8,FALSE)</f>
        <v>0</v>
      </c>
      <c r="K266" s="135" t="str">
        <f>VLOOKUP(woodflow[[#This Row],[to]],woodstock[#All],8,FALSE)</f>
        <v>0</v>
      </c>
      <c r="L266" s="136" t="str">
        <f>VLOOKUP(woodflow[[#This Row],[From]],woodstock[#All],9,FALSE)</f>
        <v>nan</v>
      </c>
      <c r="M266" s="136" t="str">
        <f>VLOOKUP(woodflow[[#This Row],[to]],woodstock[#All],9,FALSE)</f>
        <v>nan</v>
      </c>
      <c r="N266" s="131">
        <f>$N$260*woodratio!I99</f>
        <v>0.27359870612343745</v>
      </c>
      <c r="O266" s="126" t="s">
        <v>549</v>
      </c>
      <c r="P266" s="126" t="s">
        <v>240</v>
      </c>
      <c r="Q266" s="126"/>
      <c r="R266" s="1"/>
      <c r="S266" s="1"/>
      <c r="T266" s="1"/>
      <c r="U266" s="1"/>
      <c r="V266" s="1"/>
    </row>
    <row r="267" spans="1:22" x14ac:dyDescent="0.3">
      <c r="A267" s="5" t="str">
        <f>CONCATENATE("F",IF(B267&lt;&gt;"",COUNTA($B$2:B267),""))</f>
        <v>F</v>
      </c>
      <c r="B267" s="126"/>
      <c r="C267" s="126"/>
      <c r="D267" s="133"/>
      <c r="E267" s="133"/>
      <c r="F267" s="126"/>
      <c r="G267" s="5"/>
      <c r="H267" s="135"/>
      <c r="I267" s="135"/>
      <c r="J267" s="135"/>
      <c r="K267" s="135"/>
      <c r="L267" s="136"/>
      <c r="M267" s="136"/>
      <c r="N267" s="131"/>
      <c r="O267" s="126"/>
      <c r="P267" s="126"/>
      <c r="Q267" s="126"/>
      <c r="R267" s="1"/>
      <c r="S267" s="1"/>
      <c r="T267" s="1"/>
      <c r="U267" s="1"/>
      <c r="V267" s="1"/>
    </row>
    <row r="268" spans="1:22" x14ac:dyDescent="0.3">
      <c r="A268" s="5" t="str">
        <f>CONCATENATE("F",IF(B268&lt;&gt;"",COUNTA($B$2:B268),""))</f>
        <v>F</v>
      </c>
      <c r="B268" s="126"/>
      <c r="C268" s="126"/>
      <c r="D268" s="133"/>
      <c r="E268" s="133"/>
      <c r="F268" s="126"/>
      <c r="G268" s="5"/>
      <c r="H268" s="135"/>
      <c r="I268" s="135"/>
      <c r="J268" s="135"/>
      <c r="K268" s="135"/>
      <c r="L268" s="136"/>
      <c r="M268" s="136"/>
      <c r="N268" s="131"/>
      <c r="O268" s="126"/>
      <c r="P268" s="126"/>
      <c r="Q268" s="126"/>
      <c r="R268" s="1"/>
      <c r="S268" s="1"/>
      <c r="T268" s="1"/>
      <c r="U268" s="1"/>
      <c r="V268" s="1"/>
    </row>
    <row r="269" spans="1:22" x14ac:dyDescent="0.3">
      <c r="A269" s="5" t="str">
        <f>CONCATENATE("F",IF(B269&lt;&gt;"",COUNTA($B$2:B269),""))</f>
        <v>F166</v>
      </c>
      <c r="B269" s="126" t="s">
        <v>75</v>
      </c>
      <c r="C269" s="126" t="s">
        <v>40</v>
      </c>
      <c r="D269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6.8584224916125008E-2</v>
      </c>
      <c r="E26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9" s="126">
        <f>VLOOKUP(woodflow[[#This Row],[From]],woodstock[#All],4,FALSE)</f>
        <v>2021</v>
      </c>
      <c r="G269" s="5" t="str">
        <f>VLOOKUP(woodflow[[#This Row],[From]],woodstock[#All],5,FALSE)</f>
        <v>OAS</v>
      </c>
      <c r="H269" s="135" t="str">
        <f>VLOOKUP(woodflow[[#This Row],[From]],woodstock[#All],7,FALSE)</f>
        <v>26</v>
      </c>
      <c r="I269" s="135" t="str">
        <f>VLOOKUP(woodflow[[#This Row],[to]],woodstock[#All],7,FALSE)</f>
        <v>40</v>
      </c>
      <c r="J269" s="135" t="str">
        <f>VLOOKUP(woodflow[[#This Row],[From]],woodstock[#All],8,FALSE)</f>
        <v>0</v>
      </c>
      <c r="K269" s="135" t="str">
        <f>VLOOKUP(woodflow[[#This Row],[to]],woodstock[#All],8,FALSE)</f>
        <v>0</v>
      </c>
      <c r="L269" s="136" t="str">
        <f>VLOOKUP(woodflow[[#This Row],[From]],woodstock[#All],9,FALSE)</f>
        <v>nan</v>
      </c>
      <c r="M269" s="136" t="str">
        <f>VLOOKUP(woodflow[[#This Row],[to]],woodstock[#All],9,FALSE)</f>
        <v>nan</v>
      </c>
      <c r="N269" s="131">
        <f>('faostat-data'!Q78+'faostat-data'!Q79-'faostat-data'!Q80)</f>
        <v>6.8584224916125008E-2</v>
      </c>
      <c r="O269" s="126" t="s">
        <v>556</v>
      </c>
      <c r="P269" s="126"/>
      <c r="Q269" s="126" t="s">
        <v>234</v>
      </c>
      <c r="R269" s="1"/>
      <c r="S269" s="1"/>
      <c r="T269" s="1"/>
      <c r="U269" s="1"/>
      <c r="V269" s="1"/>
    </row>
    <row r="270" spans="1:22" x14ac:dyDescent="0.3">
      <c r="A270" s="5" t="str">
        <f>CONCATENATE("F",IF(B270&lt;&gt;"",COUNTA($B$2:B270),""))</f>
        <v>F</v>
      </c>
      <c r="B270" s="126"/>
      <c r="C270" s="126"/>
      <c r="D270" s="133"/>
      <c r="E270" s="133"/>
      <c r="F270" s="126"/>
      <c r="G270" s="5"/>
      <c r="H270" s="135"/>
      <c r="I270" s="135"/>
      <c r="J270" s="135"/>
      <c r="K270" s="135"/>
      <c r="L270" s="136"/>
      <c r="M270" s="136"/>
      <c r="N270" s="131"/>
      <c r="O270" s="126"/>
      <c r="P270" s="126"/>
      <c r="Q270" s="126"/>
      <c r="R270" s="1"/>
      <c r="S270" s="1"/>
      <c r="T270" s="1"/>
      <c r="U270" s="1"/>
      <c r="V270" s="1"/>
    </row>
    <row r="271" spans="1:22" x14ac:dyDescent="0.3">
      <c r="A271" s="5" t="str">
        <f>CONCATENATE("F",IF(B271&lt;&gt;"",COUNTA($B$2:B271),""))</f>
        <v>F</v>
      </c>
      <c r="B271" s="126"/>
      <c r="C271" s="126"/>
      <c r="D271" s="133"/>
      <c r="E271" s="133"/>
      <c r="F271" s="126"/>
      <c r="G271" s="5"/>
      <c r="H271" s="135"/>
      <c r="I271" s="135"/>
      <c r="J271" s="135"/>
      <c r="K271" s="135"/>
      <c r="L271" s="136"/>
      <c r="M271" s="136"/>
      <c r="N271" s="131"/>
      <c r="O271" s="126"/>
      <c r="P271" s="126"/>
      <c r="Q271" s="126"/>
      <c r="R271" s="1"/>
      <c r="S271" s="1"/>
      <c r="T271" s="1"/>
      <c r="U271" s="1"/>
      <c r="V271" s="1"/>
    </row>
    <row r="272" spans="1:22" x14ac:dyDescent="0.3">
      <c r="A272" s="5" t="str">
        <f>CONCATENATE("F",IF(B272&lt;&gt;"",COUNTA($B$2:B272),""))</f>
        <v>F167</v>
      </c>
      <c r="B272" s="5" t="s">
        <v>70</v>
      </c>
      <c r="C272" s="5" t="s">
        <v>50</v>
      </c>
      <c r="D272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2.58375282</v>
      </c>
      <c r="E272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2" s="126">
        <f>VLOOKUP(woodflow[[#This Row],[From]],woodstock[#All],4,FALSE)</f>
        <v>2021</v>
      </c>
      <c r="G272" s="5" t="str">
        <f>VLOOKUP(woodflow[[#This Row],[From]],woodstock[#All],5,FALSE)</f>
        <v>OAS</v>
      </c>
      <c r="H272" s="135" t="str">
        <f>VLOOKUP(woodflow[[#This Row],[From]],woodstock[#All],7,FALSE)</f>
        <v>27</v>
      </c>
      <c r="I272" s="135" t="str">
        <f>VLOOKUP(woodflow[[#This Row],[to]],woodstock[#All],7,FALSE)</f>
        <v>14</v>
      </c>
      <c r="J272" s="135" t="str">
        <f>VLOOKUP(woodflow[[#This Row],[From]],woodstock[#All],8,FALSE)</f>
        <v>0</v>
      </c>
      <c r="K272" s="135" t="str">
        <f>VLOOKUP(woodflow[[#This Row],[to]],woodstock[#All],8,FALSE)</f>
        <v>1</v>
      </c>
      <c r="L272" s="136" t="str">
        <f>VLOOKUP(woodflow[[#This Row],[From]],woodstock[#All],9,FALSE)</f>
        <v>nan</v>
      </c>
      <c r="M272" s="136" t="str">
        <f>VLOOKUP(woodflow[[#This Row],[to]],woodstock[#All],9,FALSE)</f>
        <v>32-33-34-35-36</v>
      </c>
      <c r="N272" s="131">
        <f>SUM(N273:N277)</f>
        <v>2.58375282</v>
      </c>
      <c r="O272" s="126" t="s">
        <v>556</v>
      </c>
      <c r="P272" s="126" t="s">
        <v>374</v>
      </c>
      <c r="Q272" s="4" t="s">
        <v>226</v>
      </c>
      <c r="R272" s="1"/>
      <c r="S272" s="51"/>
      <c r="T272" s="1"/>
      <c r="U272" s="1"/>
      <c r="V272" s="1"/>
    </row>
    <row r="273" spans="1:22" x14ac:dyDescent="0.3">
      <c r="A273" s="5" t="str">
        <f>CONCATENATE("F",IF(B273&lt;&gt;"",COUNTA($B$2:B273),""))</f>
        <v>F168</v>
      </c>
      <c r="B273" s="5" t="s">
        <v>70</v>
      </c>
      <c r="C273" s="5" t="s">
        <v>78</v>
      </c>
      <c r="D273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0.30370801999999997</v>
      </c>
      <c r="E27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3" s="126">
        <f>VLOOKUP(woodflow[[#This Row],[From]],woodstock[#All],4,FALSE)</f>
        <v>2021</v>
      </c>
      <c r="G273" s="5" t="str">
        <f>VLOOKUP(woodflow[[#This Row],[From]],woodstock[#All],5,FALSE)</f>
        <v>OAS</v>
      </c>
      <c r="H273" s="135" t="str">
        <f>VLOOKUP(woodflow[[#This Row],[From]],woodstock[#All],7,FALSE)</f>
        <v>27</v>
      </c>
      <c r="I273" s="135" t="str">
        <f>VLOOKUP(woodflow[[#This Row],[to]],woodstock[#All],7,FALSE)</f>
        <v>32</v>
      </c>
      <c r="J273" s="135" t="str">
        <f>VLOOKUP(woodflow[[#This Row],[From]],woodstock[#All],8,FALSE)</f>
        <v>0</v>
      </c>
      <c r="K273" s="135" t="str">
        <f>VLOOKUP(woodflow[[#This Row],[to]],woodstock[#All],8,FALSE)</f>
        <v>0</v>
      </c>
      <c r="L273" s="136" t="str">
        <f>VLOOKUP(woodflow[[#This Row],[From]],woodstock[#All],9,FALSE)</f>
        <v>nan</v>
      </c>
      <c r="M273" s="136" t="str">
        <f>VLOOKUP(woodflow[[#This Row],[to]],woodstock[#All],9,FALSE)</f>
        <v>nan</v>
      </c>
      <c r="N273" s="131">
        <f>('faostat-data'!Q123+(('faostat-data'!Q123)/'production-mass-balance'!$B$80*'production-mass-balance'!$B$79))*'supporting-percentages'!B11</f>
        <v>0.30370801999999997</v>
      </c>
      <c r="O273" s="126" t="s">
        <v>556</v>
      </c>
      <c r="P273" s="126" t="s">
        <v>374</v>
      </c>
      <c r="Q273" s="4" t="s">
        <v>226</v>
      </c>
      <c r="R273" s="1"/>
      <c r="S273" s="51"/>
      <c r="T273" s="1"/>
      <c r="U273" s="1"/>
      <c r="V273" s="1"/>
    </row>
    <row r="274" spans="1:22" x14ac:dyDescent="0.3">
      <c r="A274" s="5" t="str">
        <f>CONCATENATE("F",IF(B274&lt;&gt;"",COUNTA($B$2:B274),""))</f>
        <v>F169</v>
      </c>
      <c r="B274" s="5" t="s">
        <v>70</v>
      </c>
      <c r="C274" s="5" t="s">
        <v>79</v>
      </c>
      <c r="D274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4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4" s="126">
        <f>VLOOKUP(woodflow[[#This Row],[From]],woodstock[#All],4,FALSE)</f>
        <v>2021</v>
      </c>
      <c r="G274" s="5" t="str">
        <f>VLOOKUP(woodflow[[#This Row],[From]],woodstock[#All],5,FALSE)</f>
        <v>OAS</v>
      </c>
      <c r="H274" s="135" t="str">
        <f>VLOOKUP(woodflow[[#This Row],[From]],woodstock[#All],7,FALSE)</f>
        <v>27</v>
      </c>
      <c r="I274" s="135" t="str">
        <f>VLOOKUP(woodflow[[#This Row],[to]],woodstock[#All],7,FALSE)</f>
        <v>33</v>
      </c>
      <c r="J274" s="135" t="str">
        <f>VLOOKUP(woodflow[[#This Row],[From]],woodstock[#All],8,FALSE)</f>
        <v>0</v>
      </c>
      <c r="K274" s="135" t="str">
        <f>VLOOKUP(woodflow[[#This Row],[to]],woodstock[#All],8,FALSE)</f>
        <v>0</v>
      </c>
      <c r="L274" s="136" t="str">
        <f>VLOOKUP(woodflow[[#This Row],[From]],woodstock[#All],9,FALSE)</f>
        <v>nan</v>
      </c>
      <c r="M274" s="136" t="str">
        <f>VLOOKUP(woodflow[[#This Row],[to]],woodstock[#All],9,FALSE)</f>
        <v>nan</v>
      </c>
      <c r="N274" s="131">
        <v>0</v>
      </c>
      <c r="O274" s="126" t="s">
        <v>556</v>
      </c>
      <c r="P274" s="126" t="s">
        <v>374</v>
      </c>
      <c r="Q274" s="4" t="s">
        <v>226</v>
      </c>
      <c r="R274" s="1"/>
      <c r="S274" s="51"/>
      <c r="T274" s="1"/>
      <c r="U274" s="1"/>
      <c r="V274" s="1"/>
    </row>
    <row r="275" spans="1:22" x14ac:dyDescent="0.3">
      <c r="A275" s="5" t="str">
        <f>CONCATENATE("F",IF(B275&lt;&gt;"",COUNTA($B$2:B275),""))</f>
        <v>F170</v>
      </c>
      <c r="B275" s="5" t="s">
        <v>70</v>
      </c>
      <c r="C275" s="5" t="s">
        <v>67</v>
      </c>
      <c r="D275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5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5" s="126">
        <f>VLOOKUP(woodflow[[#This Row],[From]],woodstock[#All],4,FALSE)</f>
        <v>2021</v>
      </c>
      <c r="G275" s="5" t="str">
        <f>VLOOKUP(woodflow[[#This Row],[From]],woodstock[#All],5,FALSE)</f>
        <v>OAS</v>
      </c>
      <c r="H275" s="135" t="str">
        <f>VLOOKUP(woodflow[[#This Row],[From]],woodstock[#All],7,FALSE)</f>
        <v>27</v>
      </c>
      <c r="I275" s="135" t="str">
        <f>VLOOKUP(woodflow[[#This Row],[to]],woodstock[#All],7,FALSE)</f>
        <v>34</v>
      </c>
      <c r="J275" s="135" t="str">
        <f>VLOOKUP(woodflow[[#This Row],[From]],woodstock[#All],8,FALSE)</f>
        <v>0</v>
      </c>
      <c r="K275" s="135" t="str">
        <f>VLOOKUP(woodflow[[#This Row],[to]],woodstock[#All],8,FALSE)</f>
        <v>0</v>
      </c>
      <c r="L275" s="136" t="str">
        <f>VLOOKUP(woodflow[[#This Row],[From]],woodstock[#All],9,FALSE)</f>
        <v>nan</v>
      </c>
      <c r="M275" s="136" t="str">
        <f>VLOOKUP(woodflow[[#This Row],[to]],woodstock[#All],9,FALSE)</f>
        <v>nan</v>
      </c>
      <c r="N275" s="131">
        <v>0</v>
      </c>
      <c r="O275" s="126" t="s">
        <v>556</v>
      </c>
      <c r="P275" s="126" t="s">
        <v>374</v>
      </c>
      <c r="Q275" s="4" t="s">
        <v>226</v>
      </c>
      <c r="R275" s="1"/>
      <c r="S275" s="51"/>
      <c r="T275" s="1"/>
      <c r="U275" s="1"/>
      <c r="V275" s="1"/>
    </row>
    <row r="276" spans="1:22" x14ac:dyDescent="0.3">
      <c r="A276" s="5" t="str">
        <f>CONCATENATE("F",IF(B276&lt;&gt;"",COUNTA($B$2:B276),""))</f>
        <v>F171</v>
      </c>
      <c r="B276" s="5" t="s">
        <v>70</v>
      </c>
      <c r="C276" s="5" t="s">
        <v>68</v>
      </c>
      <c r="D276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2.2800447999999998</v>
      </c>
      <c r="E27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6" s="126">
        <f>VLOOKUP(woodflow[[#This Row],[From]],woodstock[#All],4,FALSE)</f>
        <v>2021</v>
      </c>
      <c r="G276" s="5" t="str">
        <f>VLOOKUP(woodflow[[#This Row],[From]],woodstock[#All],5,FALSE)</f>
        <v>OAS</v>
      </c>
      <c r="H276" s="135" t="str">
        <f>VLOOKUP(woodflow[[#This Row],[From]],woodstock[#All],7,FALSE)</f>
        <v>27</v>
      </c>
      <c r="I276" s="135" t="str">
        <f>VLOOKUP(woodflow[[#This Row],[to]],woodstock[#All],7,FALSE)</f>
        <v>35</v>
      </c>
      <c r="J276" s="135" t="str">
        <f>VLOOKUP(woodflow[[#This Row],[From]],woodstock[#All],8,FALSE)</f>
        <v>0</v>
      </c>
      <c r="K276" s="135" t="str">
        <f>VLOOKUP(woodflow[[#This Row],[to]],woodstock[#All],8,FALSE)</f>
        <v>0</v>
      </c>
      <c r="L276" s="136" t="str">
        <f>VLOOKUP(woodflow[[#This Row],[From]],woodstock[#All],9,FALSE)</f>
        <v>nan</v>
      </c>
      <c r="M276" s="136" t="str">
        <f>VLOOKUP(woodflow[[#This Row],[to]],woodstock[#All],9,FALSE)</f>
        <v>nan</v>
      </c>
      <c r="N276" s="131">
        <f>('faostat-data'!Q147+'faostat-data'!Q150+'faostat-data'!Q153+'faostat-data'!Q156+(((('faostat-data'!Q147+'faostat-data'!Q150+'faostat-data'!Q153+'faostat-data'!Q156)/'production-mass-balance'!$B$80)*'production-mass-balance'!$B$79)))*'supporting-percentages'!B26</f>
        <v>2.2800447999999998</v>
      </c>
      <c r="O276" s="126" t="s">
        <v>556</v>
      </c>
      <c r="P276" s="126" t="s">
        <v>374</v>
      </c>
      <c r="Q276" s="4" t="s">
        <v>226</v>
      </c>
      <c r="R276" s="1"/>
      <c r="S276" s="51"/>
      <c r="T276" s="1"/>
      <c r="U276" s="1"/>
      <c r="V276" s="1"/>
    </row>
    <row r="277" spans="1:22" x14ac:dyDescent="0.3">
      <c r="A277" s="5" t="str">
        <f>CONCATENATE("F",IF(B277&lt;&gt;"",COUNTA($B$2:B277),""))</f>
        <v>F172</v>
      </c>
      <c r="B277" s="5" t="s">
        <v>70</v>
      </c>
      <c r="C277" s="5" t="s">
        <v>69</v>
      </c>
      <c r="D277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7" s="126">
        <f>VLOOKUP(woodflow[[#This Row],[From]],woodstock[#All],4,FALSE)</f>
        <v>2021</v>
      </c>
      <c r="G277" s="5" t="str">
        <f>VLOOKUP(woodflow[[#This Row],[From]],woodstock[#All],5,FALSE)</f>
        <v>OAS</v>
      </c>
      <c r="H277" s="135" t="str">
        <f>VLOOKUP(woodflow[[#This Row],[From]],woodstock[#All],7,FALSE)</f>
        <v>27</v>
      </c>
      <c r="I277" s="135" t="str">
        <f>VLOOKUP(woodflow[[#This Row],[to]],woodstock[#All],7,FALSE)</f>
        <v>36</v>
      </c>
      <c r="J277" s="135" t="str">
        <f>VLOOKUP(woodflow[[#This Row],[From]],woodstock[#All],8,FALSE)</f>
        <v>0</v>
      </c>
      <c r="K277" s="135" t="str">
        <f>VLOOKUP(woodflow[[#This Row],[to]],woodstock[#All],8,FALSE)</f>
        <v>0</v>
      </c>
      <c r="L277" s="136" t="str">
        <f>VLOOKUP(woodflow[[#This Row],[From]],woodstock[#All],9,FALSE)</f>
        <v>nan</v>
      </c>
      <c r="M277" s="136" t="str">
        <f>VLOOKUP(woodflow[[#This Row],[to]],woodstock[#All],9,FALSE)</f>
        <v>nan</v>
      </c>
      <c r="N277" s="131">
        <v>0</v>
      </c>
      <c r="O277" s="126" t="s">
        <v>556</v>
      </c>
      <c r="P277" s="126" t="s">
        <v>374</v>
      </c>
      <c r="Q277" s="4" t="s">
        <v>226</v>
      </c>
      <c r="R277" s="1"/>
      <c r="S277" s="15"/>
      <c r="T277" s="1"/>
      <c r="U277" s="1"/>
      <c r="V277" s="1"/>
    </row>
    <row r="278" spans="1:22" x14ac:dyDescent="0.3">
      <c r="A278" s="5" t="str">
        <f>CONCATENATE("F",IF(B278&lt;&gt;"",COUNTA($B$2:B278),""))</f>
        <v>F</v>
      </c>
      <c r="B278" s="126"/>
      <c r="C278" s="126"/>
      <c r="D278" s="133"/>
      <c r="E278" s="133"/>
      <c r="F278" s="126"/>
      <c r="G278" s="5"/>
      <c r="H278" s="135"/>
      <c r="I278" s="135"/>
      <c r="J278" s="135"/>
      <c r="K278" s="135"/>
      <c r="L278" s="136"/>
      <c r="M278" s="136"/>
      <c r="N278" s="131"/>
      <c r="O278" s="126"/>
      <c r="P278" s="126"/>
      <c r="Q278" s="126"/>
      <c r="R278" s="1"/>
      <c r="S278" s="15"/>
      <c r="T278" s="1"/>
      <c r="U278" s="1"/>
      <c r="V278" s="1"/>
    </row>
    <row r="279" spans="1:22" x14ac:dyDescent="0.3">
      <c r="A279" s="5" t="str">
        <f>CONCATENATE("F",IF(B279&lt;&gt;"",COUNTA($B$2:B279),""))</f>
        <v>F</v>
      </c>
      <c r="B279" s="126"/>
      <c r="C279" s="126"/>
      <c r="D279" s="133"/>
      <c r="E279" s="133"/>
      <c r="F279" s="126"/>
      <c r="G279" s="5"/>
      <c r="H279" s="135"/>
      <c r="I279" s="135"/>
      <c r="J279" s="135"/>
      <c r="K279" s="135"/>
      <c r="L279" s="136"/>
      <c r="M279" s="136"/>
      <c r="N279" s="131"/>
      <c r="O279" s="126"/>
      <c r="P279" s="126"/>
      <c r="Q279" s="126"/>
      <c r="R279" s="1"/>
      <c r="S279" s="1"/>
      <c r="T279" s="1"/>
      <c r="U279" s="1"/>
      <c r="V279" s="1"/>
    </row>
    <row r="280" spans="1:22" x14ac:dyDescent="0.3">
      <c r="A280" s="5" t="str">
        <f>CONCATENATE("F",IF(B280&lt;&gt;"",COUNTA($B$2:B280),""))</f>
        <v>F173</v>
      </c>
      <c r="B280" s="5" t="s">
        <v>71</v>
      </c>
      <c r="C280" s="5" t="s">
        <v>50</v>
      </c>
      <c r="D280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12.099929319999999</v>
      </c>
      <c r="E280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0" s="126">
        <f>VLOOKUP(woodflow[[#This Row],[From]],woodstock[#All],4,FALSE)</f>
        <v>2021</v>
      </c>
      <c r="G280" s="5" t="str">
        <f>VLOOKUP(woodflow[[#This Row],[From]],woodstock[#All],5,FALSE)</f>
        <v>OAS</v>
      </c>
      <c r="H280" s="135" t="str">
        <f>VLOOKUP(woodflow[[#This Row],[From]],woodstock[#All],7,FALSE)</f>
        <v>28</v>
      </c>
      <c r="I280" s="135" t="str">
        <f>VLOOKUP(woodflow[[#This Row],[to]],woodstock[#All],7,FALSE)</f>
        <v>14</v>
      </c>
      <c r="J280" s="135" t="str">
        <f>VLOOKUP(woodflow[[#This Row],[From]],woodstock[#All],8,FALSE)</f>
        <v>0</v>
      </c>
      <c r="K280" s="135" t="str">
        <f>VLOOKUP(woodflow[[#This Row],[to]],woodstock[#All],8,FALSE)</f>
        <v>1</v>
      </c>
      <c r="L280" s="136" t="str">
        <f>VLOOKUP(woodflow[[#This Row],[From]],woodstock[#All],9,FALSE)</f>
        <v>nan</v>
      </c>
      <c r="M280" s="136" t="str">
        <f>VLOOKUP(woodflow[[#This Row],[to]],woodstock[#All],9,FALSE)</f>
        <v>32-33-34-35-36</v>
      </c>
      <c r="N280" s="131">
        <f>SUM(N281:N285)</f>
        <v>12.099929319999999</v>
      </c>
      <c r="O280" s="126" t="s">
        <v>556</v>
      </c>
      <c r="P280" s="126" t="s">
        <v>374</v>
      </c>
      <c r="Q280" s="4" t="s">
        <v>226</v>
      </c>
      <c r="R280" s="1"/>
      <c r="S280" s="1"/>
      <c r="T280" s="1"/>
      <c r="U280" s="1"/>
      <c r="V280" s="1"/>
    </row>
    <row r="281" spans="1:22" x14ac:dyDescent="0.3">
      <c r="A281" s="5" t="str">
        <f>CONCATENATE("F",IF(B281&lt;&gt;"",COUNTA($B$2:B281),""))</f>
        <v>F174</v>
      </c>
      <c r="B281" s="5" t="s">
        <v>71</v>
      </c>
      <c r="C281" s="5" t="s">
        <v>78</v>
      </c>
      <c r="D281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81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1" s="126">
        <f>VLOOKUP(woodflow[[#This Row],[From]],woodstock[#All],4,FALSE)</f>
        <v>2021</v>
      </c>
      <c r="G281" s="5" t="str">
        <f>VLOOKUP(woodflow[[#This Row],[From]],woodstock[#All],5,FALSE)</f>
        <v>OAS</v>
      </c>
      <c r="H281" s="135" t="str">
        <f>VLOOKUP(woodflow[[#This Row],[From]],woodstock[#All],7,FALSE)</f>
        <v>28</v>
      </c>
      <c r="I281" s="135" t="str">
        <f>VLOOKUP(woodflow[[#This Row],[to]],woodstock[#All],7,FALSE)</f>
        <v>32</v>
      </c>
      <c r="J281" s="135" t="str">
        <f>VLOOKUP(woodflow[[#This Row],[From]],woodstock[#All],8,FALSE)</f>
        <v>0</v>
      </c>
      <c r="K281" s="135" t="str">
        <f>VLOOKUP(woodflow[[#This Row],[to]],woodstock[#All],8,FALSE)</f>
        <v>0</v>
      </c>
      <c r="L281" s="136" t="str">
        <f>VLOOKUP(woodflow[[#This Row],[From]],woodstock[#All],9,FALSE)</f>
        <v>nan</v>
      </c>
      <c r="M281" s="136" t="str">
        <f>VLOOKUP(woodflow[[#This Row],[to]],woodstock[#All],9,FALSE)</f>
        <v>nan</v>
      </c>
      <c r="N281" s="131">
        <v>0</v>
      </c>
      <c r="O281" s="126" t="s">
        <v>556</v>
      </c>
      <c r="P281" s="126" t="s">
        <v>374</v>
      </c>
      <c r="Q281" s="4" t="s">
        <v>226</v>
      </c>
      <c r="R281" s="1"/>
      <c r="S281" s="1"/>
      <c r="T281" s="1"/>
      <c r="U281" s="1"/>
      <c r="V281" s="1"/>
    </row>
    <row r="282" spans="1:22" x14ac:dyDescent="0.3">
      <c r="A282" s="5" t="str">
        <f>CONCATENATE("F",IF(B282&lt;&gt;"",COUNTA($B$2:B282),""))</f>
        <v>F175</v>
      </c>
      <c r="B282" s="5" t="s">
        <v>71</v>
      </c>
      <c r="C282" s="5" t="s">
        <v>79</v>
      </c>
      <c r="D282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5.3648600000000002</v>
      </c>
      <c r="E282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2" s="126">
        <f>VLOOKUP(woodflow[[#This Row],[From]],woodstock[#All],4,FALSE)</f>
        <v>2021</v>
      </c>
      <c r="G282" s="5" t="str">
        <f>VLOOKUP(woodflow[[#This Row],[From]],woodstock[#All],5,FALSE)</f>
        <v>OAS</v>
      </c>
      <c r="H282" s="135" t="str">
        <f>VLOOKUP(woodflow[[#This Row],[From]],woodstock[#All],7,FALSE)</f>
        <v>28</v>
      </c>
      <c r="I282" s="135" t="str">
        <f>VLOOKUP(woodflow[[#This Row],[to]],woodstock[#All],7,FALSE)</f>
        <v>33</v>
      </c>
      <c r="J282" s="135" t="str">
        <f>VLOOKUP(woodflow[[#This Row],[From]],woodstock[#All],8,FALSE)</f>
        <v>0</v>
      </c>
      <c r="K282" s="135" t="str">
        <f>VLOOKUP(woodflow[[#This Row],[to]],woodstock[#All],8,FALSE)</f>
        <v>0</v>
      </c>
      <c r="L282" s="136" t="str">
        <f>VLOOKUP(woodflow[[#This Row],[From]],woodstock[#All],9,FALSE)</f>
        <v>nan</v>
      </c>
      <c r="M282" s="136" t="str">
        <f>VLOOKUP(woodflow[[#This Row],[to]],woodstock[#All],9,FALSE)</f>
        <v>nan</v>
      </c>
      <c r="N282" s="131">
        <f>('faostat-data'!Q126+(('faostat-data'!Q126)/'production-mass-balance'!$B$80*'production-mass-balance'!$B$79))*'supporting-percentages'!B15</f>
        <v>5.3648600000000002</v>
      </c>
      <c r="O282" s="126" t="s">
        <v>556</v>
      </c>
      <c r="P282" s="126" t="s">
        <v>374</v>
      </c>
      <c r="Q282" s="4" t="s">
        <v>226</v>
      </c>
      <c r="R282" s="1"/>
      <c r="S282" s="1"/>
      <c r="T282" s="1"/>
      <c r="U282" s="1"/>
      <c r="V282" s="1"/>
    </row>
    <row r="283" spans="1:22" x14ac:dyDescent="0.3">
      <c r="A283" s="5" t="str">
        <f>CONCATENATE("F",IF(B283&lt;&gt;"",COUNTA($B$2:B283),""))</f>
        <v>F176</v>
      </c>
      <c r="B283" s="5" t="s">
        <v>71</v>
      </c>
      <c r="C283" s="5" t="s">
        <v>67</v>
      </c>
      <c r="D283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1.3462099199999999</v>
      </c>
      <c r="E28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3" s="126">
        <f>VLOOKUP(woodflow[[#This Row],[From]],woodstock[#All],4,FALSE)</f>
        <v>2021</v>
      </c>
      <c r="G283" s="5" t="str">
        <f>VLOOKUP(woodflow[[#This Row],[From]],woodstock[#All],5,FALSE)</f>
        <v>OAS</v>
      </c>
      <c r="H283" s="135" t="str">
        <f>VLOOKUP(woodflow[[#This Row],[From]],woodstock[#All],7,FALSE)</f>
        <v>28</v>
      </c>
      <c r="I283" s="135" t="str">
        <f>VLOOKUP(woodflow[[#This Row],[to]],woodstock[#All],7,FALSE)</f>
        <v>34</v>
      </c>
      <c r="J283" s="135" t="str">
        <f>VLOOKUP(woodflow[[#This Row],[From]],woodstock[#All],8,FALSE)</f>
        <v>0</v>
      </c>
      <c r="K283" s="135" t="str">
        <f>VLOOKUP(woodflow[[#This Row],[to]],woodstock[#All],8,FALSE)</f>
        <v>0</v>
      </c>
      <c r="L283" s="136" t="str">
        <f>VLOOKUP(woodflow[[#This Row],[From]],woodstock[#All],9,FALSE)</f>
        <v>nan</v>
      </c>
      <c r="M283" s="136" t="str">
        <f>VLOOKUP(woodflow[[#This Row],[to]],woodstock[#All],9,FALSE)</f>
        <v>nan</v>
      </c>
      <c r="N283" s="131">
        <f>('faostat-data'!Q141+(('faostat-data'!Q141)/'production-mass-balance'!$B$80*'production-mass-balance'!$B$79))*'supporting-percentages'!B20</f>
        <v>1.3462099199999999</v>
      </c>
      <c r="O283" s="126" t="s">
        <v>556</v>
      </c>
      <c r="P283" s="126" t="s">
        <v>374</v>
      </c>
      <c r="Q283" s="4" t="s">
        <v>226</v>
      </c>
      <c r="R283" s="1"/>
      <c r="S283" s="1"/>
      <c r="T283" s="1"/>
      <c r="U283" s="1"/>
      <c r="V283" s="1"/>
    </row>
    <row r="284" spans="1:22" x14ac:dyDescent="0.3">
      <c r="A284" s="5" t="str">
        <f>CONCATENATE("F",IF(B284&lt;&gt;"",COUNTA($B$2:B284),""))</f>
        <v>F177</v>
      </c>
      <c r="B284" s="5" t="s">
        <v>71</v>
      </c>
      <c r="C284" s="5" t="s">
        <v>68</v>
      </c>
      <c r="D284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4.7673664000000002</v>
      </c>
      <c r="E284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4" s="126">
        <f>VLOOKUP(woodflow[[#This Row],[From]],woodstock[#All],4,FALSE)</f>
        <v>2021</v>
      </c>
      <c r="G284" s="5" t="str">
        <f>VLOOKUP(woodflow[[#This Row],[From]],woodstock[#All],5,FALSE)</f>
        <v>OAS</v>
      </c>
      <c r="H284" s="135" t="str">
        <f>VLOOKUP(woodflow[[#This Row],[From]],woodstock[#All],7,FALSE)</f>
        <v>28</v>
      </c>
      <c r="I284" s="135" t="str">
        <f>VLOOKUP(woodflow[[#This Row],[to]],woodstock[#All],7,FALSE)</f>
        <v>35</v>
      </c>
      <c r="J284" s="135" t="str">
        <f>VLOOKUP(woodflow[[#This Row],[From]],woodstock[#All],8,FALSE)</f>
        <v>0</v>
      </c>
      <c r="K284" s="135" t="str">
        <f>VLOOKUP(woodflow[[#This Row],[to]],woodstock[#All],8,FALSE)</f>
        <v>0</v>
      </c>
      <c r="L284" s="136" t="str">
        <f>VLOOKUP(woodflow[[#This Row],[From]],woodstock[#All],9,FALSE)</f>
        <v>nan</v>
      </c>
      <c r="M284" s="136" t="str">
        <f>VLOOKUP(woodflow[[#This Row],[to]],woodstock[#All],9,FALSE)</f>
        <v>nan</v>
      </c>
      <c r="N284" s="131">
        <f>('faostat-data'!Q147+'faostat-data'!Q150+'faostat-data'!Q153+'faostat-data'!Q156+(((('faostat-data'!Q147+'faostat-data'!Q150+'faostat-data'!Q153+'faostat-data'!Q156)/'production-mass-balance'!$B$80)*'production-mass-balance'!$B$79)))*'supporting-percentages'!B25</f>
        <v>4.7673664000000002</v>
      </c>
      <c r="O284" s="126" t="s">
        <v>556</v>
      </c>
      <c r="P284" s="126" t="s">
        <v>374</v>
      </c>
      <c r="Q284" s="4" t="s">
        <v>226</v>
      </c>
      <c r="R284" s="1"/>
      <c r="S284" s="1"/>
      <c r="T284" s="1"/>
      <c r="U284" s="1"/>
      <c r="V284" s="1"/>
    </row>
    <row r="285" spans="1:22" x14ac:dyDescent="0.3">
      <c r="A285" s="5" t="str">
        <f>CONCATENATE("F",IF(B285&lt;&gt;"",COUNTA($B$2:B285),""))</f>
        <v>F178</v>
      </c>
      <c r="B285" s="5" t="s">
        <v>71</v>
      </c>
      <c r="C285" s="5" t="s">
        <v>69</v>
      </c>
      <c r="D285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0.62149299999999996</v>
      </c>
      <c r="E285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5" s="126">
        <f>VLOOKUP(woodflow[[#This Row],[From]],woodstock[#All],4,FALSE)</f>
        <v>2021</v>
      </c>
      <c r="G285" s="5" t="str">
        <f>VLOOKUP(woodflow[[#This Row],[From]],woodstock[#All],5,FALSE)</f>
        <v>OAS</v>
      </c>
      <c r="H285" s="135" t="str">
        <f>VLOOKUP(woodflow[[#This Row],[From]],woodstock[#All],7,FALSE)</f>
        <v>28</v>
      </c>
      <c r="I285" s="135" t="str">
        <f>VLOOKUP(woodflow[[#This Row],[to]],woodstock[#All],7,FALSE)</f>
        <v>36</v>
      </c>
      <c r="J285" s="135" t="str">
        <f>VLOOKUP(woodflow[[#This Row],[From]],woodstock[#All],8,FALSE)</f>
        <v>0</v>
      </c>
      <c r="K285" s="135" t="str">
        <f>VLOOKUP(woodflow[[#This Row],[to]],woodstock[#All],8,FALSE)</f>
        <v>0</v>
      </c>
      <c r="L285" s="136" t="str">
        <f>VLOOKUP(woodflow[[#This Row],[From]],woodstock[#All],9,FALSE)</f>
        <v>nan</v>
      </c>
      <c r="M285" s="136" t="str">
        <f>VLOOKUP(woodflow[[#This Row],[to]],woodstock[#All],9,FALSE)</f>
        <v>nan</v>
      </c>
      <c r="N285" s="131">
        <f>(+'faostat-data'!Q159+(((+'faostat-data'!Q159)/'production-mass-balance'!$B$80)*'production-mass-balance'!$B$79))*'supporting-percentages'!B30</f>
        <v>0.62149299999999996</v>
      </c>
      <c r="O285" s="126" t="s">
        <v>556</v>
      </c>
      <c r="P285" s="126" t="s">
        <v>374</v>
      </c>
      <c r="Q285" s="4" t="s">
        <v>226</v>
      </c>
      <c r="R285" s="1"/>
      <c r="S285" s="1"/>
      <c r="T285" s="1"/>
      <c r="U285" s="1"/>
      <c r="V285" s="1"/>
    </row>
    <row r="286" spans="1:22" x14ac:dyDescent="0.3">
      <c r="A286" s="5" t="str">
        <f>CONCATENATE("F",IF(B286&lt;&gt;"",COUNTA($B$2:B286),""))</f>
        <v>F</v>
      </c>
      <c r="B286" s="126"/>
      <c r="C286" s="126"/>
      <c r="D286" s="133"/>
      <c r="E286" s="133"/>
      <c r="F286" s="126"/>
      <c r="G286" s="5"/>
      <c r="H286" s="135"/>
      <c r="I286" s="135"/>
      <c r="J286" s="135"/>
      <c r="K286" s="135"/>
      <c r="L286" s="136"/>
      <c r="M286" s="136"/>
      <c r="N286" s="131"/>
      <c r="O286" s="126"/>
      <c r="P286" s="126"/>
      <c r="Q286" s="126"/>
      <c r="R286" s="1"/>
      <c r="S286" s="1"/>
      <c r="T286" s="1"/>
      <c r="U286" s="1"/>
      <c r="V286" s="1"/>
    </row>
    <row r="287" spans="1:22" x14ac:dyDescent="0.3">
      <c r="A287" s="5" t="str">
        <f>CONCATENATE("F",IF(B287&lt;&gt;"",COUNTA($B$2:B287),""))</f>
        <v>F</v>
      </c>
      <c r="B287" s="126"/>
      <c r="C287" s="126"/>
      <c r="D287" s="133"/>
      <c r="E287" s="133"/>
      <c r="F287" s="126"/>
      <c r="G287" s="5"/>
      <c r="H287" s="135"/>
      <c r="I287" s="135"/>
      <c r="J287" s="135"/>
      <c r="K287" s="135"/>
      <c r="L287" s="136"/>
      <c r="M287" s="136"/>
      <c r="N287" s="131"/>
      <c r="O287" s="126"/>
      <c r="P287" s="126"/>
      <c r="Q287" s="126"/>
      <c r="R287" s="1"/>
      <c r="S287" s="1"/>
      <c r="T287" s="1"/>
      <c r="U287" s="1"/>
      <c r="V287" s="1"/>
    </row>
    <row r="288" spans="1:22" x14ac:dyDescent="0.3">
      <c r="A288" s="5" t="str">
        <f>CONCATENATE("F",IF(B288&lt;&gt;"",COUNTA($B$2:B288),""))</f>
        <v>F179</v>
      </c>
      <c r="B288" s="5" t="s">
        <v>77</v>
      </c>
      <c r="C288" s="5" t="s">
        <v>50</v>
      </c>
      <c r="D28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14.267582980000002</v>
      </c>
      <c r="E28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8" s="126">
        <f>VLOOKUP(woodflow[[#This Row],[From]],woodstock[#All],4,FALSE)</f>
        <v>2021</v>
      </c>
      <c r="G288" s="5" t="str">
        <f>VLOOKUP(woodflow[[#This Row],[From]],woodstock[#All],5,FALSE)</f>
        <v>OAS</v>
      </c>
      <c r="H288" s="135" t="str">
        <f>VLOOKUP(woodflow[[#This Row],[From]],woodstock[#All],7,FALSE)</f>
        <v>30</v>
      </c>
      <c r="I288" s="135" t="str">
        <f>VLOOKUP(woodflow[[#This Row],[to]],woodstock[#All],7,FALSE)</f>
        <v>14</v>
      </c>
      <c r="J288" s="135" t="str">
        <f>VLOOKUP(woodflow[[#This Row],[From]],woodstock[#All],8,FALSE)</f>
        <v>0</v>
      </c>
      <c r="K288" s="135" t="str">
        <f>VLOOKUP(woodflow[[#This Row],[to]],woodstock[#All],8,FALSE)</f>
        <v>1</v>
      </c>
      <c r="L288" s="136" t="str">
        <f>VLOOKUP(woodflow[[#This Row],[From]],woodstock[#All],9,FALSE)</f>
        <v>nan</v>
      </c>
      <c r="M288" s="136" t="str">
        <f>VLOOKUP(woodflow[[#This Row],[to]],woodstock[#All],9,FALSE)</f>
        <v>32-33-34-35-36</v>
      </c>
      <c r="N288" s="131">
        <f>SUM(N289:N293)</f>
        <v>14.267582980000002</v>
      </c>
      <c r="O288" s="126" t="s">
        <v>556</v>
      </c>
      <c r="P288" s="126" t="s">
        <v>374</v>
      </c>
      <c r="Q288" s="4" t="s">
        <v>226</v>
      </c>
      <c r="R288" s="1"/>
      <c r="S288" s="1"/>
      <c r="T288" s="1"/>
      <c r="U288" s="1"/>
      <c r="V288" s="1"/>
    </row>
    <row r="289" spans="1:22" x14ac:dyDescent="0.3">
      <c r="A289" s="5" t="str">
        <f>CONCATENATE("F",IF(B289&lt;&gt;"",COUNTA($B$2:B289),""))</f>
        <v>F180</v>
      </c>
      <c r="B289" s="5" t="s">
        <v>77</v>
      </c>
      <c r="C289" s="5" t="s">
        <v>78</v>
      </c>
      <c r="D289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0.93873388000000002</v>
      </c>
      <c r="E28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9" s="126">
        <f>VLOOKUP(woodflow[[#This Row],[From]],woodstock[#All],4,FALSE)</f>
        <v>2021</v>
      </c>
      <c r="G289" s="5" t="str">
        <f>VLOOKUP(woodflow[[#This Row],[From]],woodstock[#All],5,FALSE)</f>
        <v>OAS</v>
      </c>
      <c r="H289" s="135" t="str">
        <f>VLOOKUP(woodflow[[#This Row],[From]],woodstock[#All],7,FALSE)</f>
        <v>30</v>
      </c>
      <c r="I289" s="135" t="str">
        <f>VLOOKUP(woodflow[[#This Row],[to]],woodstock[#All],7,FALSE)</f>
        <v>32</v>
      </c>
      <c r="J289" s="135" t="str">
        <f>VLOOKUP(woodflow[[#This Row],[From]],woodstock[#All],8,FALSE)</f>
        <v>0</v>
      </c>
      <c r="K289" s="135" t="str">
        <f>VLOOKUP(woodflow[[#This Row],[to]],woodstock[#All],8,FALSE)</f>
        <v>0</v>
      </c>
      <c r="L289" s="136" t="str">
        <f>VLOOKUP(woodflow[[#This Row],[From]],woodstock[#All],9,FALSE)</f>
        <v>nan</v>
      </c>
      <c r="M289" s="136" t="str">
        <f>VLOOKUP(woodflow[[#This Row],[to]],woodstock[#All],9,FALSE)</f>
        <v>nan</v>
      </c>
      <c r="N289" s="131">
        <f>('faostat-data'!Q123+(('faostat-data'!Q123)/'production-mass-balance'!$B$80*'production-mass-balance'!$B$79))*'supporting-percentages'!B9</f>
        <v>0.93873388000000002</v>
      </c>
      <c r="O289" s="126" t="s">
        <v>556</v>
      </c>
      <c r="P289" s="126" t="s">
        <v>374</v>
      </c>
      <c r="Q289" s="4" t="s">
        <v>226</v>
      </c>
      <c r="R289" s="1"/>
      <c r="S289" s="1"/>
      <c r="T289" s="1"/>
      <c r="U289" s="1"/>
      <c r="V289" s="1"/>
    </row>
    <row r="290" spans="1:22" x14ac:dyDescent="0.3">
      <c r="A290" s="5" t="str">
        <f>CONCATENATE("F",IF(B290&lt;&gt;"",COUNTA($B$2:B290),""))</f>
        <v>F181</v>
      </c>
      <c r="B290" s="5" t="s">
        <v>77</v>
      </c>
      <c r="C290" s="5" t="s">
        <v>79</v>
      </c>
      <c r="D290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0.69224000000000008</v>
      </c>
      <c r="E290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0" s="126">
        <f>VLOOKUP(woodflow[[#This Row],[From]],woodstock[#All],4,FALSE)</f>
        <v>2021</v>
      </c>
      <c r="G290" s="5" t="str">
        <f>VLOOKUP(woodflow[[#This Row],[From]],woodstock[#All],5,FALSE)</f>
        <v>OAS</v>
      </c>
      <c r="H290" s="135" t="str">
        <f>VLOOKUP(woodflow[[#This Row],[From]],woodstock[#All],7,FALSE)</f>
        <v>30</v>
      </c>
      <c r="I290" s="135" t="str">
        <f>VLOOKUP(woodflow[[#This Row],[to]],woodstock[#All],7,FALSE)</f>
        <v>33</v>
      </c>
      <c r="J290" s="135" t="str">
        <f>VLOOKUP(woodflow[[#This Row],[From]],woodstock[#All],8,FALSE)</f>
        <v>0</v>
      </c>
      <c r="K290" s="135" t="str">
        <f>VLOOKUP(woodflow[[#This Row],[to]],woodstock[#All],8,FALSE)</f>
        <v>0</v>
      </c>
      <c r="L290" s="136" t="str">
        <f>VLOOKUP(woodflow[[#This Row],[From]],woodstock[#All],9,FALSE)</f>
        <v>nan</v>
      </c>
      <c r="M290" s="136" t="str">
        <f>VLOOKUP(woodflow[[#This Row],[to]],woodstock[#All],9,FALSE)</f>
        <v>nan</v>
      </c>
      <c r="N290" s="131">
        <f>('faostat-data'!Q126+(('faostat-data'!Q126)/'production-mass-balance'!$B$80*'production-mass-balance'!$B$79))*'supporting-percentages'!B14</f>
        <v>0.69224000000000008</v>
      </c>
      <c r="O290" s="126" t="s">
        <v>556</v>
      </c>
      <c r="P290" s="126" t="s">
        <v>374</v>
      </c>
      <c r="Q290" s="4" t="s">
        <v>226</v>
      </c>
      <c r="R290" s="1"/>
      <c r="S290" s="1"/>
      <c r="T290" s="1"/>
      <c r="U290" s="1"/>
      <c r="V290" s="1"/>
    </row>
    <row r="291" spans="1:22" x14ac:dyDescent="0.3">
      <c r="A291" s="5" t="str">
        <f>CONCATENATE("F",IF(B291&lt;&gt;"",COUNTA($B$2:B291),""))</f>
        <v>F182</v>
      </c>
      <c r="B291" s="5" t="s">
        <v>77</v>
      </c>
      <c r="C291" s="5" t="s">
        <v>67</v>
      </c>
      <c r="D291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0.69350207999999991</v>
      </c>
      <c r="E291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1" s="126">
        <f>VLOOKUP(woodflow[[#This Row],[From]],woodstock[#All],4,FALSE)</f>
        <v>2021</v>
      </c>
      <c r="G291" s="5" t="str">
        <f>VLOOKUP(woodflow[[#This Row],[From]],woodstock[#All],5,FALSE)</f>
        <v>OAS</v>
      </c>
      <c r="H291" s="135" t="str">
        <f>VLOOKUP(woodflow[[#This Row],[From]],woodstock[#All],7,FALSE)</f>
        <v>30</v>
      </c>
      <c r="I291" s="135" t="str">
        <f>VLOOKUP(woodflow[[#This Row],[to]],woodstock[#All],7,FALSE)</f>
        <v>34</v>
      </c>
      <c r="J291" s="135" t="str">
        <f>VLOOKUP(woodflow[[#This Row],[From]],woodstock[#All],8,FALSE)</f>
        <v>0</v>
      </c>
      <c r="K291" s="135" t="str">
        <f>VLOOKUP(woodflow[[#This Row],[to]],woodstock[#All],8,FALSE)</f>
        <v>0</v>
      </c>
      <c r="L291" s="136" t="str">
        <f>VLOOKUP(woodflow[[#This Row],[From]],woodstock[#All],9,FALSE)</f>
        <v>nan</v>
      </c>
      <c r="M291" s="136" t="str">
        <f>VLOOKUP(woodflow[[#This Row],[to]],woodstock[#All],9,FALSE)</f>
        <v>nan</v>
      </c>
      <c r="N291" s="131">
        <f>('faostat-data'!Q141+(('faostat-data'!Q141)/'production-mass-balance'!$B$80*'production-mass-balance'!$B$79))*'supporting-percentages'!B19</f>
        <v>0.69350207999999991</v>
      </c>
      <c r="O291" s="126" t="s">
        <v>556</v>
      </c>
      <c r="P291" s="126" t="s">
        <v>374</v>
      </c>
      <c r="Q291" s="4" t="s">
        <v>226</v>
      </c>
      <c r="R291" s="1"/>
      <c r="S291" s="1"/>
      <c r="T291" s="1"/>
      <c r="U291" s="1"/>
      <c r="V291" s="1"/>
    </row>
    <row r="292" spans="1:22" x14ac:dyDescent="0.3">
      <c r="A292" s="5" t="str">
        <f>CONCATENATE("F",IF(B292&lt;&gt;"",COUNTA($B$2:B292),""))</f>
        <v>F183</v>
      </c>
      <c r="B292" s="5" t="s">
        <v>77</v>
      </c>
      <c r="C292" s="5" t="s">
        <v>68</v>
      </c>
      <c r="D292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11.6075008</v>
      </c>
      <c r="E292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2" s="126">
        <f>VLOOKUP(woodflow[[#This Row],[From]],woodstock[#All],4,FALSE)</f>
        <v>2021</v>
      </c>
      <c r="G292" s="5" t="str">
        <f>VLOOKUP(woodflow[[#This Row],[From]],woodstock[#All],5,FALSE)</f>
        <v>OAS</v>
      </c>
      <c r="H292" s="135" t="str">
        <f>VLOOKUP(woodflow[[#This Row],[From]],woodstock[#All],7,FALSE)</f>
        <v>30</v>
      </c>
      <c r="I292" s="135" t="str">
        <f>VLOOKUP(woodflow[[#This Row],[to]],woodstock[#All],7,FALSE)</f>
        <v>35</v>
      </c>
      <c r="J292" s="135" t="str">
        <f>VLOOKUP(woodflow[[#This Row],[From]],woodstock[#All],8,FALSE)</f>
        <v>0</v>
      </c>
      <c r="K292" s="135" t="str">
        <f>VLOOKUP(woodflow[[#This Row],[to]],woodstock[#All],8,FALSE)</f>
        <v>0</v>
      </c>
      <c r="L292" s="136" t="str">
        <f>VLOOKUP(woodflow[[#This Row],[From]],woodstock[#All],9,FALSE)</f>
        <v>nan</v>
      </c>
      <c r="M292" s="136" t="str">
        <f>VLOOKUP(woodflow[[#This Row],[to]],woodstock[#All],9,FALSE)</f>
        <v>nan</v>
      </c>
      <c r="N292" s="131">
        <f>('faostat-data'!Q147+'faostat-data'!Q150+'faostat-data'!Q153+'faostat-data'!Q156+(((('faostat-data'!Q147+'faostat-data'!Q150+'faostat-data'!Q153+'faostat-data'!Q156)/'production-mass-balance'!$B$80)*'production-mass-balance'!$B$79)))*'supporting-percentages'!B24</f>
        <v>11.6075008</v>
      </c>
      <c r="O292" s="126" t="s">
        <v>556</v>
      </c>
      <c r="P292" s="126" t="s">
        <v>374</v>
      </c>
      <c r="Q292" s="4" t="s">
        <v>226</v>
      </c>
      <c r="R292" s="1"/>
      <c r="S292" s="1"/>
      <c r="T292" s="1"/>
      <c r="U292" s="1"/>
      <c r="V292" s="1"/>
    </row>
    <row r="293" spans="1:22" x14ac:dyDescent="0.3">
      <c r="A293" s="5" t="str">
        <f>CONCATENATE("F",IF(B293&lt;&gt;"",COUNTA($B$2:B293),""))</f>
        <v>F184</v>
      </c>
      <c r="B293" s="5" t="s">
        <v>77</v>
      </c>
      <c r="C293" s="5" t="s">
        <v>69</v>
      </c>
      <c r="D293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0.33560622000000001</v>
      </c>
      <c r="E29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3" s="126">
        <f>VLOOKUP(woodflow[[#This Row],[From]],woodstock[#All],4,FALSE)</f>
        <v>2021</v>
      </c>
      <c r="G293" s="5" t="str">
        <f>VLOOKUP(woodflow[[#This Row],[From]],woodstock[#All],5,FALSE)</f>
        <v>OAS</v>
      </c>
      <c r="H293" s="135" t="str">
        <f>VLOOKUP(woodflow[[#This Row],[From]],woodstock[#All],7,FALSE)</f>
        <v>30</v>
      </c>
      <c r="I293" s="135" t="str">
        <f>VLOOKUP(woodflow[[#This Row],[to]],woodstock[#All],7,FALSE)</f>
        <v>36</v>
      </c>
      <c r="J293" s="135" t="str">
        <f>VLOOKUP(woodflow[[#This Row],[From]],woodstock[#All],8,FALSE)</f>
        <v>0</v>
      </c>
      <c r="K293" s="135" t="str">
        <f>VLOOKUP(woodflow[[#This Row],[to]],woodstock[#All],8,FALSE)</f>
        <v>0</v>
      </c>
      <c r="L293" s="136" t="str">
        <f>VLOOKUP(woodflow[[#This Row],[From]],woodstock[#All],9,FALSE)</f>
        <v>nan</v>
      </c>
      <c r="M293" s="136" t="str">
        <f>VLOOKUP(woodflow[[#This Row],[to]],woodstock[#All],9,FALSE)</f>
        <v>nan</v>
      </c>
      <c r="N293" s="131">
        <f>(+'faostat-data'!Q159+(((+'faostat-data'!Q159)/'production-mass-balance'!$B$80)*'production-mass-balance'!$B$79))*'supporting-percentages'!B29</f>
        <v>0.33560622000000001</v>
      </c>
      <c r="O293" s="126" t="s">
        <v>556</v>
      </c>
      <c r="P293" s="126" t="s">
        <v>374</v>
      </c>
      <c r="Q293" s="4" t="s">
        <v>226</v>
      </c>
      <c r="R293" s="1"/>
      <c r="S293" s="1"/>
      <c r="T293" s="1"/>
      <c r="U293" s="1"/>
      <c r="V293" s="1"/>
    </row>
    <row r="294" spans="1:22" x14ac:dyDescent="0.3">
      <c r="A294" s="5" t="str">
        <f>CONCATENATE("F",IF(B294&lt;&gt;"",COUNTA($B$2:B294),""))</f>
        <v>F</v>
      </c>
      <c r="B294" s="126"/>
      <c r="C294" s="126"/>
      <c r="D294" s="133"/>
      <c r="E294" s="133"/>
      <c r="F294" s="126"/>
      <c r="G294" s="5"/>
      <c r="H294" s="135"/>
      <c r="I294" s="135"/>
      <c r="J294" s="135"/>
      <c r="K294" s="135"/>
      <c r="L294" s="136"/>
      <c r="M294" s="136"/>
      <c r="N294" s="131"/>
      <c r="O294" s="126"/>
      <c r="P294" s="126"/>
      <c r="Q294" s="126"/>
      <c r="R294" s="1"/>
      <c r="S294" s="1"/>
      <c r="T294" s="1"/>
      <c r="U294" s="1"/>
      <c r="V294" s="1"/>
    </row>
    <row r="295" spans="1:22" x14ac:dyDescent="0.3">
      <c r="A295" s="5" t="str">
        <f>CONCATENATE("F",IF(B295&lt;&gt;"",COUNTA($B$2:B295),""))</f>
        <v>F</v>
      </c>
      <c r="B295" s="126"/>
      <c r="C295" s="126"/>
      <c r="D295" s="133"/>
      <c r="E295" s="133"/>
      <c r="F295" s="126"/>
      <c r="G295" s="5"/>
      <c r="H295" s="135"/>
      <c r="I295" s="135"/>
      <c r="J295" s="135"/>
      <c r="K295" s="135"/>
      <c r="L295" s="136"/>
      <c r="M295" s="136"/>
      <c r="N295" s="131"/>
      <c r="O295" s="126"/>
      <c r="P295" s="126"/>
      <c r="Q295" s="126"/>
      <c r="R295" s="1"/>
      <c r="S295" s="1"/>
      <c r="T295" s="1"/>
      <c r="U295" s="1"/>
      <c r="V295" s="1"/>
    </row>
    <row r="296" spans="1:22" x14ac:dyDescent="0.3">
      <c r="A296" s="5" t="str">
        <f>CONCATENATE("F",IF(B296&lt;&gt;"",COUNTA($B$2:B296),""))</f>
        <v>F185</v>
      </c>
      <c r="B296" s="126" t="s">
        <v>43</v>
      </c>
      <c r="C296" s="5" t="s">
        <v>50</v>
      </c>
      <c r="D296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5.0926038800000004</v>
      </c>
      <c r="E29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6" s="126">
        <f>VLOOKUP(woodflow[[#This Row],[From]],woodstock[#All],4,FALSE)</f>
        <v>2021</v>
      </c>
      <c r="G296" s="5" t="str">
        <f>VLOOKUP(woodflow[[#This Row],[From]],woodstock[#All],5,FALSE)</f>
        <v>OAS</v>
      </c>
      <c r="H296" s="135" t="str">
        <f>VLOOKUP(woodflow[[#This Row],[From]],woodstock[#All],7,FALSE)</f>
        <v>31</v>
      </c>
      <c r="I296" s="135" t="str">
        <f>VLOOKUP(woodflow[[#This Row],[to]],woodstock[#All],7,FALSE)</f>
        <v>14</v>
      </c>
      <c r="J296" s="135" t="str">
        <f>VLOOKUP(woodflow[[#This Row],[From]],woodstock[#All],8,FALSE)</f>
        <v>0</v>
      </c>
      <c r="K296" s="135" t="str">
        <f>VLOOKUP(woodflow[[#This Row],[to]],woodstock[#All],8,FALSE)</f>
        <v>1</v>
      </c>
      <c r="L296" s="136" t="str">
        <f>VLOOKUP(woodflow[[#This Row],[From]],woodstock[#All],9,FALSE)</f>
        <v>nan</v>
      </c>
      <c r="M296" s="136" t="str">
        <f>VLOOKUP(woodflow[[#This Row],[to]],woodstock[#All],9,FALSE)</f>
        <v>32-33-34-35-36</v>
      </c>
      <c r="N296" s="131">
        <f>SUM(N297:N301)</f>
        <v>5.0926038800000004</v>
      </c>
      <c r="O296" s="126" t="s">
        <v>556</v>
      </c>
      <c r="P296" s="126" t="s">
        <v>374</v>
      </c>
      <c r="Q296" s="4" t="s">
        <v>226</v>
      </c>
      <c r="R296" s="1"/>
      <c r="S296" s="1"/>
      <c r="T296" s="1"/>
      <c r="U296" s="1"/>
      <c r="V296" s="1"/>
    </row>
    <row r="297" spans="1:22" x14ac:dyDescent="0.3">
      <c r="A297" s="5" t="str">
        <f>CONCATENATE("F",IF(B297&lt;&gt;"",COUNTA($B$2:B297),""))</f>
        <v>F186</v>
      </c>
      <c r="B297" s="126" t="s">
        <v>43</v>
      </c>
      <c r="C297" s="5" t="s">
        <v>78</v>
      </c>
      <c r="D297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0.13804910000000001</v>
      </c>
      <c r="E29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7" s="126">
        <f>VLOOKUP(woodflow[[#This Row],[From]],woodstock[#All],4,FALSE)</f>
        <v>2021</v>
      </c>
      <c r="G297" s="5" t="str">
        <f>VLOOKUP(woodflow[[#This Row],[From]],woodstock[#All],5,FALSE)</f>
        <v>OAS</v>
      </c>
      <c r="H297" s="135" t="str">
        <f>VLOOKUP(woodflow[[#This Row],[From]],woodstock[#All],7,FALSE)</f>
        <v>31</v>
      </c>
      <c r="I297" s="135" t="str">
        <f>VLOOKUP(woodflow[[#This Row],[to]],woodstock[#All],7,FALSE)</f>
        <v>32</v>
      </c>
      <c r="J297" s="135" t="str">
        <f>VLOOKUP(woodflow[[#This Row],[From]],woodstock[#All],8,FALSE)</f>
        <v>0</v>
      </c>
      <c r="K297" s="135" t="str">
        <f>VLOOKUP(woodflow[[#This Row],[to]],woodstock[#All],8,FALSE)</f>
        <v>0</v>
      </c>
      <c r="L297" s="136" t="str">
        <f>VLOOKUP(woodflow[[#This Row],[From]],woodstock[#All],9,FALSE)</f>
        <v>nan</v>
      </c>
      <c r="M297" s="136" t="str">
        <f>VLOOKUP(woodflow[[#This Row],[to]],woodstock[#All],9,FALSE)</f>
        <v>nan</v>
      </c>
      <c r="N297" s="131">
        <f>('faostat-data'!Q123+(('faostat-data'!Q123)/'production-mass-balance'!$B$80*'production-mass-balance'!$B$79))*'supporting-percentages'!B12</f>
        <v>0.13804910000000001</v>
      </c>
      <c r="O297" s="126" t="s">
        <v>556</v>
      </c>
      <c r="P297" s="126" t="s">
        <v>374</v>
      </c>
      <c r="Q297" s="4" t="s">
        <v>226</v>
      </c>
      <c r="R297" s="1"/>
      <c r="S297" s="1"/>
      <c r="T297" s="1"/>
      <c r="U297" s="1"/>
      <c r="V297" s="1"/>
    </row>
    <row r="298" spans="1:22" x14ac:dyDescent="0.3">
      <c r="A298" s="5" t="str">
        <f>CONCATENATE("F",IF(B298&lt;&gt;"",COUNTA($B$2:B298),""))</f>
        <v>F187</v>
      </c>
      <c r="B298" s="126" t="s">
        <v>43</v>
      </c>
      <c r="C298" s="5" t="s">
        <v>79</v>
      </c>
      <c r="D29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2.5958999999999999</v>
      </c>
      <c r="E29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8" s="126">
        <f>VLOOKUP(woodflow[[#This Row],[From]],woodstock[#All],4,FALSE)</f>
        <v>2021</v>
      </c>
      <c r="G298" s="5" t="str">
        <f>VLOOKUP(woodflow[[#This Row],[From]],woodstock[#All],5,FALSE)</f>
        <v>OAS</v>
      </c>
      <c r="H298" s="135" t="str">
        <f>VLOOKUP(woodflow[[#This Row],[From]],woodstock[#All],7,FALSE)</f>
        <v>31</v>
      </c>
      <c r="I298" s="135" t="str">
        <f>VLOOKUP(woodflow[[#This Row],[to]],woodstock[#All],7,FALSE)</f>
        <v>33</v>
      </c>
      <c r="J298" s="135" t="str">
        <f>VLOOKUP(woodflow[[#This Row],[From]],woodstock[#All],8,FALSE)</f>
        <v>0</v>
      </c>
      <c r="K298" s="135" t="str">
        <f>VLOOKUP(woodflow[[#This Row],[to]],woodstock[#All],8,FALSE)</f>
        <v>0</v>
      </c>
      <c r="L298" s="136" t="str">
        <f>VLOOKUP(woodflow[[#This Row],[From]],woodstock[#All],9,FALSE)</f>
        <v>nan</v>
      </c>
      <c r="M298" s="136" t="str">
        <f>VLOOKUP(woodflow[[#This Row],[to]],woodstock[#All],9,FALSE)</f>
        <v>nan</v>
      </c>
      <c r="N298" s="131">
        <f>('faostat-data'!Q126+(('faostat-data'!Q126)/'production-mass-balance'!$B$80*'production-mass-balance'!$B$79))*'supporting-percentages'!B17</f>
        <v>2.5958999999999999</v>
      </c>
      <c r="O298" s="126" t="s">
        <v>556</v>
      </c>
      <c r="P298" s="126" t="s">
        <v>374</v>
      </c>
      <c r="Q298" s="4" t="s">
        <v>226</v>
      </c>
      <c r="R298" s="1"/>
      <c r="S298" s="1"/>
      <c r="T298" s="1"/>
      <c r="U298" s="1"/>
      <c r="V298" s="1"/>
    </row>
    <row r="299" spans="1:22" x14ac:dyDescent="0.3">
      <c r="A299" s="5" t="str">
        <f>CONCATENATE("F",IF(B299&lt;&gt;"",COUNTA($B$2:B299),""))</f>
        <v>F188</v>
      </c>
      <c r="B299" s="126" t="s">
        <v>43</v>
      </c>
      <c r="C299" s="5" t="s">
        <v>67</v>
      </c>
      <c r="D299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9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9" s="126">
        <f>VLOOKUP(woodflow[[#This Row],[From]],woodstock[#All],4,FALSE)</f>
        <v>2021</v>
      </c>
      <c r="G299" s="5" t="str">
        <f>VLOOKUP(woodflow[[#This Row],[From]],woodstock[#All],5,FALSE)</f>
        <v>OAS</v>
      </c>
      <c r="H299" s="135" t="str">
        <f>VLOOKUP(woodflow[[#This Row],[From]],woodstock[#All],7,FALSE)</f>
        <v>31</v>
      </c>
      <c r="I299" s="135" t="str">
        <f>VLOOKUP(woodflow[[#This Row],[to]],woodstock[#All],7,FALSE)</f>
        <v>34</v>
      </c>
      <c r="J299" s="135" t="str">
        <f>VLOOKUP(woodflow[[#This Row],[From]],woodstock[#All],8,FALSE)</f>
        <v>0</v>
      </c>
      <c r="K299" s="135" t="str">
        <f>VLOOKUP(woodflow[[#This Row],[to]],woodstock[#All],8,FALSE)</f>
        <v>0</v>
      </c>
      <c r="L299" s="136" t="str">
        <f>VLOOKUP(woodflow[[#This Row],[From]],woodstock[#All],9,FALSE)</f>
        <v>nan</v>
      </c>
      <c r="M299" s="136" t="str">
        <f>VLOOKUP(woodflow[[#This Row],[to]],woodstock[#All],9,FALSE)</f>
        <v>nan</v>
      </c>
      <c r="N299" s="131">
        <v>0</v>
      </c>
      <c r="O299" s="126" t="s">
        <v>556</v>
      </c>
      <c r="P299" s="126" t="s">
        <v>374</v>
      </c>
      <c r="Q299" s="4" t="s">
        <v>226</v>
      </c>
      <c r="R299" s="1"/>
      <c r="S299" s="1"/>
      <c r="T299" s="1"/>
      <c r="U299" s="1"/>
      <c r="V299" s="1"/>
    </row>
    <row r="300" spans="1:22" x14ac:dyDescent="0.3">
      <c r="A300" s="5" t="str">
        <f>CONCATENATE("F",IF(B300&lt;&gt;"",COUNTA($B$2:B300),""))</f>
        <v>F189</v>
      </c>
      <c r="B300" s="126" t="s">
        <v>43</v>
      </c>
      <c r="C300" s="5" t="s">
        <v>68</v>
      </c>
      <c r="D300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2.0727679999999999</v>
      </c>
      <c r="E300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0" s="126">
        <f>VLOOKUP(woodflow[[#This Row],[From]],woodstock[#All],4,FALSE)</f>
        <v>2021</v>
      </c>
      <c r="G300" s="5" t="str">
        <f>VLOOKUP(woodflow[[#This Row],[From]],woodstock[#All],5,FALSE)</f>
        <v>OAS</v>
      </c>
      <c r="H300" s="135" t="str">
        <f>VLOOKUP(woodflow[[#This Row],[From]],woodstock[#All],7,FALSE)</f>
        <v>31</v>
      </c>
      <c r="I300" s="135" t="str">
        <f>VLOOKUP(woodflow[[#This Row],[to]],woodstock[#All],7,FALSE)</f>
        <v>35</v>
      </c>
      <c r="J300" s="135" t="str">
        <f>VLOOKUP(woodflow[[#This Row],[From]],woodstock[#All],8,FALSE)</f>
        <v>0</v>
      </c>
      <c r="K300" s="135" t="str">
        <f>VLOOKUP(woodflow[[#This Row],[to]],woodstock[#All],8,FALSE)</f>
        <v>0</v>
      </c>
      <c r="L300" s="136" t="str">
        <f>VLOOKUP(woodflow[[#This Row],[From]],woodstock[#All],9,FALSE)</f>
        <v>nan</v>
      </c>
      <c r="M300" s="136" t="str">
        <f>VLOOKUP(woodflow[[#This Row],[to]],woodstock[#All],9,FALSE)</f>
        <v>nan</v>
      </c>
      <c r="N300" s="131">
        <f>('faostat-data'!Q147+'faostat-data'!Q150+'faostat-data'!Q153+'faostat-data'!Q156+(((('faostat-data'!Q147+'faostat-data'!Q150+'faostat-data'!Q153+'faostat-data'!Q156)/'production-mass-balance'!$B$80)*'production-mass-balance'!$B$79)))*'supporting-percentages'!B27</f>
        <v>2.0727679999999999</v>
      </c>
      <c r="O300" s="126" t="s">
        <v>556</v>
      </c>
      <c r="P300" s="126" t="s">
        <v>374</v>
      </c>
      <c r="Q300" s="4" t="s">
        <v>226</v>
      </c>
      <c r="R300" s="1"/>
      <c r="S300" s="1"/>
      <c r="T300" s="1"/>
      <c r="U300" s="1"/>
      <c r="V300" s="1"/>
    </row>
    <row r="301" spans="1:22" x14ac:dyDescent="0.3">
      <c r="A301" s="5" t="str">
        <f>CONCATENATE("F",IF(B301&lt;&gt;"",COUNTA($B$2:B301),""))</f>
        <v>F190</v>
      </c>
      <c r="B301" s="126" t="s">
        <v>43</v>
      </c>
      <c r="C301" s="5" t="s">
        <v>69</v>
      </c>
      <c r="D301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0.28588678000000001</v>
      </c>
      <c r="E301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1" s="126">
        <f>VLOOKUP(woodflow[[#This Row],[From]],woodstock[#All],4,FALSE)</f>
        <v>2021</v>
      </c>
      <c r="G301" s="5" t="str">
        <f>VLOOKUP(woodflow[[#This Row],[From]],woodstock[#All],5,FALSE)</f>
        <v>OAS</v>
      </c>
      <c r="H301" s="135" t="str">
        <f>VLOOKUP(woodflow[[#This Row],[From]],woodstock[#All],7,FALSE)</f>
        <v>31</v>
      </c>
      <c r="I301" s="135" t="str">
        <f>VLOOKUP(woodflow[[#This Row],[to]],woodstock[#All],7,FALSE)</f>
        <v>36</v>
      </c>
      <c r="J301" s="135" t="str">
        <f>VLOOKUP(woodflow[[#This Row],[From]],woodstock[#All],8,FALSE)</f>
        <v>0</v>
      </c>
      <c r="K301" s="135" t="str">
        <f>VLOOKUP(woodflow[[#This Row],[to]],woodstock[#All],8,FALSE)</f>
        <v>0</v>
      </c>
      <c r="L301" s="136" t="str">
        <f>VLOOKUP(woodflow[[#This Row],[From]],woodstock[#All],9,FALSE)</f>
        <v>nan</v>
      </c>
      <c r="M301" s="136" t="str">
        <f>VLOOKUP(woodflow[[#This Row],[to]],woodstock[#All],9,FALSE)</f>
        <v>nan</v>
      </c>
      <c r="N301" s="131">
        <f>(+'faostat-data'!Q159+(((+'faostat-data'!Q159)/'production-mass-balance'!$B$80)*'production-mass-balance'!$B$79))*'supporting-percentages'!B32</f>
        <v>0.28588678000000001</v>
      </c>
      <c r="O301" s="126" t="s">
        <v>556</v>
      </c>
      <c r="P301" s="126" t="s">
        <v>374</v>
      </c>
      <c r="Q301" s="4" t="s">
        <v>226</v>
      </c>
      <c r="R301" s="1"/>
      <c r="S301" s="1"/>
      <c r="T301" s="1"/>
      <c r="U301" s="1"/>
      <c r="V301" s="1"/>
    </row>
    <row r="302" spans="1:22" x14ac:dyDescent="0.3">
      <c r="A302" s="5" t="str">
        <f>CONCATENATE("F",IF(B302&lt;&gt;"",COUNTA($B$2:B302),""))</f>
        <v>F</v>
      </c>
      <c r="B302" s="126"/>
      <c r="C302" s="126"/>
      <c r="D302" s="133"/>
      <c r="E302" s="133"/>
      <c r="F302" s="126"/>
      <c r="G302" s="5"/>
      <c r="H302" s="135"/>
      <c r="I302" s="135"/>
      <c r="J302" s="135"/>
      <c r="K302" s="135"/>
      <c r="L302" s="136"/>
      <c r="M302" s="136"/>
      <c r="N302" s="131"/>
      <c r="O302" s="126"/>
      <c r="P302" s="126"/>
      <c r="Q302" s="126"/>
      <c r="R302" s="1"/>
      <c r="S302" s="1"/>
      <c r="T302" s="1"/>
      <c r="U302" s="1"/>
      <c r="V302" s="1"/>
    </row>
    <row r="303" spans="1:22" x14ac:dyDescent="0.3">
      <c r="A303" s="5" t="str">
        <f>CONCATENATE("F",IF(B303&lt;&gt;"",COUNTA($B$2:B303),""))</f>
        <v>F</v>
      </c>
      <c r="B303" s="126"/>
      <c r="C303" s="126"/>
      <c r="D303" s="133"/>
      <c r="E303" s="133"/>
      <c r="F303" s="126"/>
      <c r="G303" s="5"/>
      <c r="H303" s="135"/>
      <c r="I303" s="135"/>
      <c r="J303" s="135"/>
      <c r="K303" s="135"/>
      <c r="L303" s="136"/>
      <c r="M303" s="136"/>
      <c r="N303" s="131"/>
      <c r="O303" s="126"/>
      <c r="P303" s="126"/>
      <c r="Q303" s="126"/>
      <c r="R303" s="1"/>
      <c r="S303" s="1"/>
      <c r="T303" s="1"/>
      <c r="U303" s="1"/>
      <c r="V303" s="1"/>
    </row>
    <row r="304" spans="1:22" x14ac:dyDescent="0.3">
      <c r="A304" s="5" t="str">
        <f>CONCATENATE("F",IF(B304&lt;&gt;"",COUNTA($B$2:B304),""))</f>
        <v>F191</v>
      </c>
      <c r="B304" s="126" t="s">
        <v>42</v>
      </c>
      <c r="C304" s="126" t="s">
        <v>80</v>
      </c>
      <c r="D304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20.205880954478573</v>
      </c>
      <c r="E304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4" s="126">
        <f>VLOOKUP(woodflow[[#This Row],[From]],woodstock[#All],4,FALSE)</f>
        <v>2021</v>
      </c>
      <c r="G304" s="5" t="str">
        <f>VLOOKUP(woodflow[[#This Row],[From]],woodstock[#All],5,FALSE)</f>
        <v>OAS</v>
      </c>
      <c r="H304" s="135" t="str">
        <f>VLOOKUP(woodflow[[#This Row],[From]],woodstock[#All],7,FALSE)</f>
        <v>13</v>
      </c>
      <c r="I304" s="135" t="str">
        <f>VLOOKUP(woodflow[[#This Row],[to]],woodstock[#All],7,FALSE)</f>
        <v>53</v>
      </c>
      <c r="J304" s="135" t="str">
        <f>VLOOKUP(woodflow[[#This Row],[From]],woodstock[#All],8,FALSE)</f>
        <v>1</v>
      </c>
      <c r="K304" s="135" t="str">
        <f>VLOOKUP(woodflow[[#This Row],[to]],woodstock[#All],8,FALSE)</f>
        <v>0</v>
      </c>
      <c r="L304" s="136" t="str">
        <f>VLOOKUP(woodflow[[#This Row],[From]],woodstock[#All],9,FALSE)</f>
        <v>27-28-29-30</v>
      </c>
      <c r="M304" s="136" t="str">
        <f>VLOOKUP(woodflow[[#This Row],[to]],woodstock[#All],9,FALSE)</f>
        <v>nan</v>
      </c>
      <c r="N304" s="131">
        <f>SUM(N305:N308)</f>
        <v>20.205880954478573</v>
      </c>
      <c r="O304" s="126" t="s">
        <v>556</v>
      </c>
      <c r="P304" s="126" t="s">
        <v>239</v>
      </c>
      <c r="Q304" s="4"/>
      <c r="R304" s="1"/>
      <c r="S304" s="1"/>
      <c r="T304" s="1"/>
      <c r="U304" s="1"/>
      <c r="V304" s="1"/>
    </row>
    <row r="305" spans="1:22" x14ac:dyDescent="0.3">
      <c r="A305" s="5" t="str">
        <f>CONCATENATE("F",IF(B305&lt;&gt;"",COUNTA($B$2:B305),""))</f>
        <v>F192</v>
      </c>
      <c r="B305" s="126" t="s">
        <v>70</v>
      </c>
      <c r="C305" s="126" t="s">
        <v>80</v>
      </c>
      <c r="D305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0.17628092808064502</v>
      </c>
      <c r="E305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5" s="126">
        <f>VLOOKUP(woodflow[[#This Row],[From]],woodstock[#All],4,FALSE)</f>
        <v>2021</v>
      </c>
      <c r="G305" s="5" t="str">
        <f>VLOOKUP(woodflow[[#This Row],[From]],woodstock[#All],5,FALSE)</f>
        <v>OAS</v>
      </c>
      <c r="H305" s="135" t="str">
        <f>VLOOKUP(woodflow[[#This Row],[From]],woodstock[#All],7,FALSE)</f>
        <v>27</v>
      </c>
      <c r="I305" s="135" t="str">
        <f>VLOOKUP(woodflow[[#This Row],[to]],woodstock[#All],7,FALSE)</f>
        <v>53</v>
      </c>
      <c r="J305" s="135" t="str">
        <f>VLOOKUP(woodflow[[#This Row],[From]],woodstock[#All],8,FALSE)</f>
        <v>0</v>
      </c>
      <c r="K305" s="135" t="str">
        <f>VLOOKUP(woodflow[[#This Row],[to]],woodstock[#All],8,FALSE)</f>
        <v>0</v>
      </c>
      <c r="L305" s="136" t="str">
        <f>VLOOKUP(woodflow[[#This Row],[From]],woodstock[#All],9,FALSE)</f>
        <v>nan</v>
      </c>
      <c r="M305" s="136" t="str">
        <f>VLOOKUP(woodflow[[#This Row],[to]],woodstock[#All],9,FALSE)</f>
        <v>nan</v>
      </c>
      <c r="N305" s="131">
        <f>(N272-'faostat-data'!Q85+'faostat-data'!Q86)/'production-mass-balance'!B64*'production-mass-balance'!B63</f>
        <v>0.17628092808064502</v>
      </c>
      <c r="O305" s="126" t="s">
        <v>556</v>
      </c>
      <c r="P305" s="126" t="s">
        <v>456</v>
      </c>
      <c r="Q305" s="4"/>
      <c r="R305" s="1"/>
      <c r="S305" s="1"/>
      <c r="T305" s="1"/>
      <c r="U305" s="1"/>
      <c r="V305" s="1"/>
    </row>
    <row r="306" spans="1:22" x14ac:dyDescent="0.3">
      <c r="A306" s="5" t="str">
        <f>CONCATENATE("F",IF(B306&lt;&gt;"",COUNTA($B$2:B306),""))</f>
        <v>F193</v>
      </c>
      <c r="B306" s="126" t="s">
        <v>71</v>
      </c>
      <c r="C306" s="126" t="s">
        <v>80</v>
      </c>
      <c r="D306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13.644490836708334</v>
      </c>
      <c r="E30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6" s="126">
        <f>VLOOKUP(woodflow[[#This Row],[From]],woodstock[#All],4,FALSE)</f>
        <v>2021</v>
      </c>
      <c r="G306" s="5" t="str">
        <f>VLOOKUP(woodflow[[#This Row],[From]],woodstock[#All],5,FALSE)</f>
        <v>OAS</v>
      </c>
      <c r="H306" s="135" t="str">
        <f>VLOOKUP(woodflow[[#This Row],[From]],woodstock[#All],7,FALSE)</f>
        <v>28</v>
      </c>
      <c r="I306" s="135" t="str">
        <f>VLOOKUP(woodflow[[#This Row],[to]],woodstock[#All],7,FALSE)</f>
        <v>53</v>
      </c>
      <c r="J306" s="135" t="str">
        <f>VLOOKUP(woodflow[[#This Row],[From]],woodstock[#All],8,FALSE)</f>
        <v>0</v>
      </c>
      <c r="K306" s="135" t="str">
        <f>VLOOKUP(woodflow[[#This Row],[to]],woodstock[#All],8,FALSE)</f>
        <v>0</v>
      </c>
      <c r="L306" s="136" t="str">
        <f>VLOOKUP(woodflow[[#This Row],[From]],woodstock[#All],9,FALSE)</f>
        <v>nan</v>
      </c>
      <c r="M306" s="136" t="str">
        <f>VLOOKUP(woodflow[[#This Row],[to]],woodstock[#All],9,FALSE)</f>
        <v>nan</v>
      </c>
      <c r="N306" s="131">
        <f>(N280-'faostat-data'!Q94+'faostat-data'!Q95)/'production-mass-balance'!B68*'production-mass-balance'!B67</f>
        <v>13.644490836708334</v>
      </c>
      <c r="O306" s="126" t="s">
        <v>556</v>
      </c>
      <c r="P306" s="126" t="s">
        <v>456</v>
      </c>
      <c r="Q306" s="4"/>
      <c r="R306" s="1"/>
      <c r="S306" s="1"/>
      <c r="T306" s="1"/>
      <c r="U306" s="1"/>
      <c r="V306" s="1"/>
    </row>
    <row r="307" spans="1:22" x14ac:dyDescent="0.3">
      <c r="A307" s="5" t="str">
        <f>CONCATENATE("F",IF(B307&lt;&gt;"",COUNTA($B$2:B307),""))</f>
        <v>F194</v>
      </c>
      <c r="B307" s="126" t="s">
        <v>72</v>
      </c>
      <c r="C307" s="126" t="s">
        <v>80</v>
      </c>
      <c r="D307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2.8013142857142856</v>
      </c>
      <c r="E30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7" s="126">
        <f>VLOOKUP(woodflow[[#This Row],[From]],woodstock[#All],4,FALSE)</f>
        <v>2021</v>
      </c>
      <c r="G307" s="5" t="str">
        <f>VLOOKUP(woodflow[[#This Row],[From]],woodstock[#All],5,FALSE)</f>
        <v>OAS</v>
      </c>
      <c r="H307" s="135" t="str">
        <f>VLOOKUP(woodflow[[#This Row],[From]],woodstock[#All],7,FALSE)</f>
        <v>29</v>
      </c>
      <c r="I307" s="135" t="str">
        <f>VLOOKUP(woodflow[[#This Row],[to]],woodstock[#All],7,FALSE)</f>
        <v>53</v>
      </c>
      <c r="J307" s="135" t="str">
        <f>VLOOKUP(woodflow[[#This Row],[From]],woodstock[#All],8,FALSE)</f>
        <v>0</v>
      </c>
      <c r="K307" s="135" t="str">
        <f>VLOOKUP(woodflow[[#This Row],[to]],woodstock[#All],8,FALSE)</f>
        <v>0</v>
      </c>
      <c r="L307" s="136" t="str">
        <f>VLOOKUP(woodflow[[#This Row],[From]],woodstock[#All],9,FALSE)</f>
        <v>nan</v>
      </c>
      <c r="M307" s="136" t="str">
        <f>VLOOKUP(woodflow[[#This Row],[to]],woodstock[#All],9,FALSE)</f>
        <v>nan</v>
      </c>
      <c r="N307" s="131">
        <f>'faostat-data'!Q111/'production-mass-balance'!B72*'production-mass-balance'!B71</f>
        <v>2.8013142857142856</v>
      </c>
      <c r="O307" s="126" t="s">
        <v>556</v>
      </c>
      <c r="P307" s="126" t="s">
        <v>456</v>
      </c>
      <c r="Q307" s="4"/>
      <c r="R307" s="1"/>
      <c r="S307" s="1"/>
      <c r="T307" s="1"/>
      <c r="U307" s="1"/>
      <c r="V307" s="1"/>
    </row>
    <row r="308" spans="1:22" x14ac:dyDescent="0.3">
      <c r="A308" s="5" t="str">
        <f>CONCATENATE("F",IF(B308&lt;&gt;"",COUNTA($B$2:B308),""))</f>
        <v>F195</v>
      </c>
      <c r="B308" s="126" t="s">
        <v>77</v>
      </c>
      <c r="C308" s="126" t="s">
        <v>80</v>
      </c>
      <c r="D30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3.5837949039753081</v>
      </c>
      <c r="E30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8" s="126">
        <f>VLOOKUP(woodflow[[#This Row],[From]],woodstock[#All],4,FALSE)</f>
        <v>2021</v>
      </c>
      <c r="G308" s="5" t="str">
        <f>VLOOKUP(woodflow[[#This Row],[From]],woodstock[#All],5,FALSE)</f>
        <v>OAS</v>
      </c>
      <c r="H308" s="135" t="str">
        <f>VLOOKUP(woodflow[[#This Row],[From]],woodstock[#All],7,FALSE)</f>
        <v>30</v>
      </c>
      <c r="I308" s="135" t="str">
        <f>VLOOKUP(woodflow[[#This Row],[to]],woodstock[#All],7,FALSE)</f>
        <v>53</v>
      </c>
      <c r="J308" s="135" t="str">
        <f>VLOOKUP(woodflow[[#This Row],[From]],woodstock[#All],8,FALSE)</f>
        <v>0</v>
      </c>
      <c r="K308" s="135" t="str">
        <f>VLOOKUP(woodflow[[#This Row],[to]],woodstock[#All],8,FALSE)</f>
        <v>0</v>
      </c>
      <c r="L308" s="136" t="str">
        <f>VLOOKUP(woodflow[[#This Row],[From]],woodstock[#All],9,FALSE)</f>
        <v>nan</v>
      </c>
      <c r="M308" s="136" t="str">
        <f>VLOOKUP(woodflow[[#This Row],[to]],woodstock[#All],9,FALSE)</f>
        <v>nan</v>
      </c>
      <c r="N308" s="131">
        <f>(N288-'faostat-data'!Q118+'faostat-data'!Q119)/'production-mass-balance'!B76*'production-mass-balance'!B75</f>
        <v>3.5837949039753081</v>
      </c>
      <c r="O308" s="126" t="s">
        <v>556</v>
      </c>
      <c r="P308" s="126" t="s">
        <v>456</v>
      </c>
      <c r="Q308" s="4"/>
      <c r="R308" s="1"/>
      <c r="S308" s="1"/>
      <c r="T308" s="1"/>
      <c r="U308" s="1"/>
      <c r="V308" s="1"/>
    </row>
    <row r="309" spans="1:22" x14ac:dyDescent="0.3">
      <c r="A309" s="5" t="str">
        <f>CONCATENATE("F",IF(B309&lt;&gt;"",COUNTA($B$2:B309),""))</f>
        <v>F</v>
      </c>
      <c r="B309" s="126"/>
      <c r="C309" s="126"/>
      <c r="D309" s="133"/>
      <c r="E309" s="133"/>
      <c r="F309" s="126"/>
      <c r="G309" s="5"/>
      <c r="H309" s="135"/>
      <c r="I309" s="135"/>
      <c r="J309" s="135"/>
      <c r="K309" s="135"/>
      <c r="L309" s="136"/>
      <c r="M309" s="136"/>
      <c r="N309" s="131"/>
      <c r="O309" s="126"/>
      <c r="P309" s="126"/>
      <c r="Q309" s="4"/>
      <c r="R309" s="1"/>
      <c r="S309" s="1"/>
      <c r="T309" s="1"/>
      <c r="U309" s="1"/>
      <c r="V309" s="1"/>
    </row>
    <row r="310" spans="1:22" x14ac:dyDescent="0.3">
      <c r="A310" s="5" t="str">
        <f>CONCATENATE("F",IF(B310&lt;&gt;"",COUNTA($B$2:B310),""))</f>
        <v>F</v>
      </c>
      <c r="B310" s="126"/>
      <c r="C310" s="126"/>
      <c r="D310" s="133"/>
      <c r="E310" s="133"/>
      <c r="F310" s="126"/>
      <c r="G310" s="5"/>
      <c r="H310" s="135"/>
      <c r="I310" s="135"/>
      <c r="J310" s="135"/>
      <c r="K310" s="135"/>
      <c r="L310" s="136"/>
      <c r="M310" s="136"/>
      <c r="N310" s="131"/>
      <c r="O310" s="126"/>
      <c r="P310" s="126"/>
      <c r="Q310" s="126"/>
      <c r="R310" s="1"/>
      <c r="S310" s="1"/>
      <c r="T310" s="1"/>
      <c r="U310" s="1"/>
      <c r="V310" s="1"/>
    </row>
    <row r="311" spans="1:22" x14ac:dyDescent="0.3">
      <c r="A311" s="5" t="str">
        <f>CONCATENATE("F",IF(B311&lt;&gt;"",COUNTA($B$2:B311),""))</f>
        <v>F196</v>
      </c>
      <c r="B311" s="126" t="s">
        <v>72</v>
      </c>
      <c r="C311" s="126" t="s">
        <v>35</v>
      </c>
      <c r="D311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1.1619885825000003</v>
      </c>
      <c r="E311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1" s="126">
        <f>VLOOKUP(woodflow[[#This Row],[From]],woodstock[#All],4,FALSE)</f>
        <v>2021</v>
      </c>
      <c r="G311" s="5" t="str">
        <f>VLOOKUP(woodflow[[#This Row],[From]],woodstock[#All],5,FALSE)</f>
        <v>OAS</v>
      </c>
      <c r="H311" s="135" t="str">
        <f>VLOOKUP(woodflow[[#This Row],[From]],woodstock[#All],7,FALSE)</f>
        <v>29</v>
      </c>
      <c r="I311" s="135" t="str">
        <f>VLOOKUP(woodflow[[#This Row],[to]],woodstock[#All],7,FALSE)</f>
        <v>48</v>
      </c>
      <c r="J311" s="135" t="str">
        <f>VLOOKUP(woodflow[[#This Row],[From]],woodstock[#All],8,FALSE)</f>
        <v>0</v>
      </c>
      <c r="K311" s="135" t="str">
        <f>VLOOKUP(woodflow[[#This Row],[to]],woodstock[#All],8,FALSE)</f>
        <v>0</v>
      </c>
      <c r="L311" s="136" t="str">
        <f>VLOOKUP(woodflow[[#This Row],[From]],woodstock[#All],9,FALSE)</f>
        <v>nan</v>
      </c>
      <c r="M311" s="136" t="str">
        <f>VLOOKUP(woodflow[[#This Row],[to]],woodstock[#All],9,FALSE)</f>
        <v>nan</v>
      </c>
      <c r="N311" s="131">
        <f>'faostat-data'!Q111+'faostat-data'!Q112-'faostat-data'!Q113</f>
        <v>1.1619885825000003</v>
      </c>
      <c r="O311" s="126" t="s">
        <v>556</v>
      </c>
      <c r="P311" s="126" t="s">
        <v>457</v>
      </c>
      <c r="Q311" s="126"/>
      <c r="R311" s="1"/>
      <c r="S311" s="1"/>
      <c r="T311" s="1"/>
      <c r="U311" s="1"/>
      <c r="V311" s="1"/>
    </row>
    <row r="312" spans="1:22" x14ac:dyDescent="0.3">
      <c r="A312" s="5" t="str">
        <f>CONCATENATE("F",IF(B312&lt;&gt;"",COUNTA($B$2:B312),""))</f>
        <v>F</v>
      </c>
      <c r="B312" s="126"/>
      <c r="C312" s="126"/>
      <c r="D312" s="133"/>
      <c r="E312" s="133"/>
      <c r="F312" s="126"/>
      <c r="G312" s="5"/>
      <c r="H312" s="135"/>
      <c r="I312" s="135"/>
      <c r="J312" s="135"/>
      <c r="K312" s="135"/>
      <c r="L312" s="136"/>
      <c r="M312" s="136"/>
      <c r="N312" s="131"/>
      <c r="O312" s="126"/>
      <c r="P312" s="126"/>
      <c r="Q312" s="126"/>
      <c r="R312" s="1"/>
      <c r="S312" s="1"/>
      <c r="T312" s="1"/>
      <c r="U312" s="1"/>
      <c r="V312" s="1"/>
    </row>
    <row r="313" spans="1:22" x14ac:dyDescent="0.3">
      <c r="A313" s="5" t="str">
        <f>CONCATENATE("F",IF(B313&lt;&gt;"",COUNTA($B$2:B313),""))</f>
        <v>F</v>
      </c>
      <c r="B313" s="126"/>
      <c r="C313" s="126"/>
      <c r="D313" s="133"/>
      <c r="E313" s="133"/>
      <c r="F313" s="126"/>
      <c r="G313" s="5"/>
      <c r="H313" s="135"/>
      <c r="I313" s="135"/>
      <c r="J313" s="135"/>
      <c r="K313" s="135"/>
      <c r="L313" s="136"/>
      <c r="M313" s="136"/>
      <c r="N313" s="131"/>
      <c r="O313" s="126"/>
      <c r="P313" s="126"/>
      <c r="Q313" s="126"/>
      <c r="R313" s="1"/>
      <c r="S313" s="1"/>
      <c r="T313" s="1"/>
      <c r="U313" s="1"/>
      <c r="V313" s="1"/>
    </row>
    <row r="314" spans="1:22" x14ac:dyDescent="0.3">
      <c r="A314" s="5" t="str">
        <f>CONCATENATE("F",IF(B314&lt;&gt;"",COUNTA($B$2:B314),""))</f>
        <v>F197</v>
      </c>
      <c r="B314" s="126" t="s">
        <v>50</v>
      </c>
      <c r="C314" s="126" t="s">
        <v>31</v>
      </c>
      <c r="D314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11.7733402245</v>
      </c>
      <c r="E314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4" s="126">
        <f>VLOOKUP(woodflow[[#This Row],[From]],woodstock[#All],4,FALSE)</f>
        <v>2021</v>
      </c>
      <c r="G314" s="5" t="str">
        <f>VLOOKUP(woodflow[[#This Row],[From]],woodstock[#All],5,FALSE)</f>
        <v>OAS</v>
      </c>
      <c r="H314" s="135" t="str">
        <f>VLOOKUP(woodflow[[#This Row],[From]],woodstock[#All],7,FALSE)</f>
        <v>14</v>
      </c>
      <c r="I314" s="135" t="str">
        <f>VLOOKUP(woodflow[[#This Row],[to]],woodstock[#All],7,FALSE)</f>
        <v>44</v>
      </c>
      <c r="J314" s="135" t="str">
        <f>VLOOKUP(woodflow[[#This Row],[From]],woodstock[#All],8,FALSE)</f>
        <v>1</v>
      </c>
      <c r="K314" s="135" t="str">
        <f>VLOOKUP(woodflow[[#This Row],[to]],woodstock[#All],8,FALSE)</f>
        <v>0</v>
      </c>
      <c r="L314" s="136" t="str">
        <f>VLOOKUP(woodflow[[#This Row],[From]],woodstock[#All],9,FALSE)</f>
        <v>32-33-34-35-36</v>
      </c>
      <c r="M314" s="136" t="str">
        <f>VLOOKUP(woodflow[[#This Row],[to]],woodstock[#All],9,FALSE)</f>
        <v>nan</v>
      </c>
      <c r="N314" s="131">
        <f>SUM(N315:N319)</f>
        <v>11.7733402245</v>
      </c>
      <c r="O314" s="126" t="s">
        <v>556</v>
      </c>
      <c r="P314" s="126" t="s">
        <v>239</v>
      </c>
      <c r="Q314" s="126"/>
      <c r="R314" s="1"/>
      <c r="S314" s="1"/>
      <c r="T314" s="1"/>
      <c r="U314" s="1"/>
      <c r="V314" s="1"/>
    </row>
    <row r="315" spans="1:22" x14ac:dyDescent="0.3">
      <c r="A315" s="5" t="str">
        <f>CONCATENATE("F",IF(B315&lt;&gt;"",COUNTA($B$2:B315),""))</f>
        <v>F198</v>
      </c>
      <c r="B315" s="126" t="s">
        <v>78</v>
      </c>
      <c r="C315" s="126" t="s">
        <v>31</v>
      </c>
      <c r="D315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1.3639666705</v>
      </c>
      <c r="E315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5" s="126">
        <f>VLOOKUP(woodflow[[#This Row],[From]],woodstock[#All],4,FALSE)</f>
        <v>2021</v>
      </c>
      <c r="G315" s="5" t="str">
        <f>VLOOKUP(woodflow[[#This Row],[From]],woodstock[#All],5,FALSE)</f>
        <v>OAS</v>
      </c>
      <c r="H315" s="135" t="str">
        <f>VLOOKUP(woodflow[[#This Row],[From]],woodstock[#All],7,FALSE)</f>
        <v>32</v>
      </c>
      <c r="I315" s="135" t="str">
        <f>VLOOKUP(woodflow[[#This Row],[to]],woodstock[#All],7,FALSE)</f>
        <v>44</v>
      </c>
      <c r="J315" s="135" t="str">
        <f>VLOOKUP(woodflow[[#This Row],[From]],woodstock[#All],8,FALSE)</f>
        <v>0</v>
      </c>
      <c r="K315" s="135" t="str">
        <f>VLOOKUP(woodflow[[#This Row],[to]],woodstock[#All],8,FALSE)</f>
        <v>0</v>
      </c>
      <c r="L315" s="136" t="str">
        <f>VLOOKUP(woodflow[[#This Row],[From]],woodstock[#All],9,FALSE)</f>
        <v>nan</v>
      </c>
      <c r="M315" s="136" t="str">
        <f>VLOOKUP(woodflow[[#This Row],[to]],woodstock[#All],9,FALSE)</f>
        <v>nan</v>
      </c>
      <c r="N315" s="131">
        <f>'faostat-data'!Q123+'faostat-data'!Q124-'faostat-data'!Q125</f>
        <v>1.3639666705</v>
      </c>
      <c r="O315" s="126" t="s">
        <v>556</v>
      </c>
      <c r="P315" s="126"/>
      <c r="Q315" s="126" t="s">
        <v>234</v>
      </c>
      <c r="R315" s="1"/>
      <c r="S315" s="1"/>
      <c r="T315" s="1"/>
      <c r="U315" s="1"/>
      <c r="V315" s="1"/>
    </row>
    <row r="316" spans="1:22" x14ac:dyDescent="0.3">
      <c r="A316" s="5" t="str">
        <f>CONCATENATE("F",IF(B316&lt;&gt;"",COUNTA($B$2:B316),""))</f>
        <v>F199</v>
      </c>
      <c r="B316" s="126" t="s">
        <v>79</v>
      </c>
      <c r="C316" s="126" t="s">
        <v>31</v>
      </c>
      <c r="D316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7.3891624387500006</v>
      </c>
      <c r="E31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6" s="126">
        <f>VLOOKUP(woodflow[[#This Row],[From]],woodstock[#All],4,FALSE)</f>
        <v>2021</v>
      </c>
      <c r="G316" s="5" t="str">
        <f>VLOOKUP(woodflow[[#This Row],[From]],woodstock[#All],5,FALSE)</f>
        <v>OAS</v>
      </c>
      <c r="H316" s="135" t="str">
        <f>VLOOKUP(woodflow[[#This Row],[From]],woodstock[#All],7,FALSE)</f>
        <v>33</v>
      </c>
      <c r="I316" s="135" t="str">
        <f>VLOOKUP(woodflow[[#This Row],[to]],woodstock[#All],7,FALSE)</f>
        <v>44</v>
      </c>
      <c r="J316" s="135" t="str">
        <f>VLOOKUP(woodflow[[#This Row],[From]],woodstock[#All],8,FALSE)</f>
        <v>0</v>
      </c>
      <c r="K316" s="135" t="str">
        <f>VLOOKUP(woodflow[[#This Row],[to]],woodstock[#All],8,FALSE)</f>
        <v>0</v>
      </c>
      <c r="L316" s="136" t="str">
        <f>VLOOKUP(woodflow[[#This Row],[From]],woodstock[#All],9,FALSE)</f>
        <v>nan</v>
      </c>
      <c r="M316" s="136" t="str">
        <f>VLOOKUP(woodflow[[#This Row],[to]],woodstock[#All],9,FALSE)</f>
        <v>nan</v>
      </c>
      <c r="N316" s="131">
        <f>'faostat-data'!Q126+'faostat-data'!Q127-'faostat-data'!Q128</f>
        <v>7.3891624387500006</v>
      </c>
      <c r="O316" s="126" t="s">
        <v>556</v>
      </c>
      <c r="P316" s="126"/>
      <c r="Q316" s="126" t="s">
        <v>234</v>
      </c>
      <c r="R316" s="1"/>
      <c r="S316" s="1"/>
      <c r="T316" s="1"/>
      <c r="U316" s="1"/>
      <c r="V316" s="1"/>
    </row>
    <row r="317" spans="1:22" x14ac:dyDescent="0.3">
      <c r="A317" s="5" t="str">
        <f>CONCATENATE("F",IF(B317&lt;&gt;"",COUNTA($B$2:B317),""))</f>
        <v>F200</v>
      </c>
      <c r="B317" s="126" t="s">
        <v>67</v>
      </c>
      <c r="C317" s="126" t="s">
        <v>31</v>
      </c>
      <c r="D317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1.7884370539999999</v>
      </c>
      <c r="E31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7" s="126">
        <f>VLOOKUP(woodflow[[#This Row],[From]],woodstock[#All],4,FALSE)</f>
        <v>2021</v>
      </c>
      <c r="G317" s="5" t="str">
        <f>VLOOKUP(woodflow[[#This Row],[From]],woodstock[#All],5,FALSE)</f>
        <v>OAS</v>
      </c>
      <c r="H317" s="135" t="str">
        <f>VLOOKUP(woodflow[[#This Row],[From]],woodstock[#All],7,FALSE)</f>
        <v>34</v>
      </c>
      <c r="I317" s="135" t="str">
        <f>VLOOKUP(woodflow[[#This Row],[to]],woodstock[#All],7,FALSE)</f>
        <v>44</v>
      </c>
      <c r="J317" s="135" t="str">
        <f>VLOOKUP(woodflow[[#This Row],[From]],woodstock[#All],8,FALSE)</f>
        <v>0</v>
      </c>
      <c r="K317" s="135" t="str">
        <f>VLOOKUP(woodflow[[#This Row],[to]],woodstock[#All],8,FALSE)</f>
        <v>0</v>
      </c>
      <c r="L317" s="136" t="str">
        <f>VLOOKUP(woodflow[[#This Row],[From]],woodstock[#All],9,FALSE)</f>
        <v>nan</v>
      </c>
      <c r="M317" s="136" t="str">
        <f>VLOOKUP(woodflow[[#This Row],[to]],woodstock[#All],9,FALSE)</f>
        <v>nan</v>
      </c>
      <c r="N317" s="131">
        <f>'faostat-data'!Q141+'faostat-data'!Q142-'faostat-data'!Q143</f>
        <v>1.7884370539999999</v>
      </c>
      <c r="O317" s="126" t="s">
        <v>556</v>
      </c>
      <c r="P317" s="126"/>
      <c r="Q317" s="126" t="s">
        <v>234</v>
      </c>
      <c r="R317" s="1"/>
      <c r="S317" s="1"/>
      <c r="T317" s="1"/>
      <c r="U317" s="1"/>
      <c r="V317" s="1"/>
    </row>
    <row r="318" spans="1:22" x14ac:dyDescent="0.3">
      <c r="A318" s="5" t="str">
        <f>CONCATENATE("F",IF(B318&lt;&gt;"",COUNTA($B$2:B318),""))</f>
        <v>F201</v>
      </c>
      <c r="B318" s="126" t="s">
        <v>68</v>
      </c>
      <c r="C318" s="126" t="s">
        <v>31</v>
      </c>
      <c r="D31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1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8" s="126">
        <f>VLOOKUP(woodflow[[#This Row],[From]],woodstock[#All],4,FALSE)</f>
        <v>2021</v>
      </c>
      <c r="G318" s="5" t="str">
        <f>VLOOKUP(woodflow[[#This Row],[From]],woodstock[#All],5,FALSE)</f>
        <v>OAS</v>
      </c>
      <c r="H318" s="135" t="str">
        <f>VLOOKUP(woodflow[[#This Row],[From]],woodstock[#All],7,FALSE)</f>
        <v>35</v>
      </c>
      <c r="I318" s="135" t="str">
        <f>VLOOKUP(woodflow[[#This Row],[to]],woodstock[#All],7,FALSE)</f>
        <v>44</v>
      </c>
      <c r="J318" s="135" t="str">
        <f>VLOOKUP(woodflow[[#This Row],[From]],woodstock[#All],8,FALSE)</f>
        <v>0</v>
      </c>
      <c r="K318" s="135" t="str">
        <f>VLOOKUP(woodflow[[#This Row],[to]],woodstock[#All],8,FALSE)</f>
        <v>0</v>
      </c>
      <c r="L318" s="136" t="str">
        <f>VLOOKUP(woodflow[[#This Row],[From]],woodstock[#All],9,FALSE)</f>
        <v>nan</v>
      </c>
      <c r="M318" s="136" t="str">
        <f>VLOOKUP(woodflow[[#This Row],[to]],woodstock[#All],9,FALSE)</f>
        <v>nan</v>
      </c>
      <c r="N318" s="131">
        <v>0</v>
      </c>
      <c r="O318" s="126" t="s">
        <v>213</v>
      </c>
      <c r="P318" s="126"/>
      <c r="Q318" s="126"/>
      <c r="R318" s="1"/>
      <c r="S318" s="1"/>
      <c r="T318" s="1"/>
      <c r="U318" s="1"/>
      <c r="V318" s="1"/>
    </row>
    <row r="319" spans="1:22" x14ac:dyDescent="0.3">
      <c r="A319" s="5" t="str">
        <f>CONCATENATE("F",IF(B319&lt;&gt;"",COUNTA($B$2:B319),""))</f>
        <v>F202</v>
      </c>
      <c r="B319" s="126" t="s">
        <v>69</v>
      </c>
      <c r="C319" s="126" t="s">
        <v>31</v>
      </c>
      <c r="D319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1.2317740612499999</v>
      </c>
      <c r="E31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9" s="126">
        <f>VLOOKUP(woodflow[[#This Row],[From]],woodstock[#All],4,FALSE)</f>
        <v>2021</v>
      </c>
      <c r="G319" s="5" t="str">
        <f>VLOOKUP(woodflow[[#This Row],[From]],woodstock[#All],5,FALSE)</f>
        <v>OAS</v>
      </c>
      <c r="H319" s="135" t="str">
        <f>VLOOKUP(woodflow[[#This Row],[From]],woodstock[#All],7,FALSE)</f>
        <v>36</v>
      </c>
      <c r="I319" s="135" t="str">
        <f>VLOOKUP(woodflow[[#This Row],[to]],woodstock[#All],7,FALSE)</f>
        <v>44</v>
      </c>
      <c r="J319" s="135" t="str">
        <f>VLOOKUP(woodflow[[#This Row],[From]],woodstock[#All],8,FALSE)</f>
        <v>0</v>
      </c>
      <c r="K319" s="135" t="str">
        <f>VLOOKUP(woodflow[[#This Row],[to]],woodstock[#All],8,FALSE)</f>
        <v>0</v>
      </c>
      <c r="L319" s="136" t="str">
        <f>VLOOKUP(woodflow[[#This Row],[From]],woodstock[#All],9,FALSE)</f>
        <v>nan</v>
      </c>
      <c r="M319" s="136" t="str">
        <f>VLOOKUP(woodflow[[#This Row],[to]],woodstock[#All],9,FALSE)</f>
        <v>nan</v>
      </c>
      <c r="N319" s="131">
        <f>+'faostat-data'!Q159+'faostat-data'!Q160-'faostat-data'!Q161</f>
        <v>1.2317740612499999</v>
      </c>
      <c r="O319" s="126" t="s">
        <v>556</v>
      </c>
      <c r="P319" s="126"/>
      <c r="Q319" s="126" t="s">
        <v>234</v>
      </c>
      <c r="R319" s="1"/>
      <c r="S319" s="1"/>
      <c r="T319" s="1"/>
      <c r="U319" s="1"/>
      <c r="V319" s="1"/>
    </row>
    <row r="320" spans="1:22" x14ac:dyDescent="0.3">
      <c r="A320" s="5" t="str">
        <f>CONCATENATE("F",IF(B320&lt;&gt;"",COUNTA($B$2:B320),""))</f>
        <v>F</v>
      </c>
      <c r="B320" s="126"/>
      <c r="C320" s="126"/>
      <c r="D320" s="133"/>
      <c r="E320" s="133"/>
      <c r="F320" s="126"/>
      <c r="G320" s="5"/>
      <c r="H320" s="135"/>
      <c r="I320" s="135"/>
      <c r="J320" s="135"/>
      <c r="K320" s="135"/>
      <c r="L320" s="136"/>
      <c r="M320" s="136"/>
      <c r="N320" s="131"/>
      <c r="O320" s="126"/>
      <c r="P320" s="126"/>
      <c r="Q320" s="126"/>
      <c r="R320" s="1"/>
      <c r="S320" s="1"/>
      <c r="T320" s="1"/>
      <c r="U320" s="1"/>
      <c r="V320" s="1"/>
    </row>
    <row r="321" spans="1:22" x14ac:dyDescent="0.3">
      <c r="A321" s="5" t="str">
        <f>CONCATENATE("F",IF(B321&lt;&gt;"",COUNTA($B$2:B321),""))</f>
        <v>F</v>
      </c>
      <c r="B321" s="126"/>
      <c r="C321" s="126"/>
      <c r="D321" s="133"/>
      <c r="E321" s="133"/>
      <c r="F321" s="126"/>
      <c r="G321" s="5"/>
      <c r="H321" s="135"/>
      <c r="I321" s="135"/>
      <c r="J321" s="135"/>
      <c r="K321" s="135"/>
      <c r="L321" s="136"/>
      <c r="M321" s="136"/>
      <c r="N321" s="131"/>
      <c r="O321" s="126"/>
      <c r="P321" s="126"/>
      <c r="Q321" s="126"/>
      <c r="R321" s="1"/>
      <c r="S321" s="1"/>
      <c r="T321" s="1"/>
      <c r="U321" s="1"/>
      <c r="V321" s="1"/>
    </row>
    <row r="322" spans="1:22" x14ac:dyDescent="0.3">
      <c r="A322" s="5" t="str">
        <f>CONCATENATE("F",IF(B322&lt;&gt;"",COUNTA($B$2:B322),""))</f>
        <v>F203</v>
      </c>
      <c r="B322" s="126" t="s">
        <v>68</v>
      </c>
      <c r="C322" s="126" t="s">
        <v>32</v>
      </c>
      <c r="D322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20.323681811250001</v>
      </c>
      <c r="E322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2" s="126">
        <f>VLOOKUP(woodflow[[#This Row],[From]],woodstock[#All],4,FALSE)</f>
        <v>2021</v>
      </c>
      <c r="G322" s="5" t="str">
        <f>VLOOKUP(woodflow[[#This Row],[From]],woodstock[#All],5,FALSE)</f>
        <v>OAS</v>
      </c>
      <c r="H322" s="135" t="str">
        <f>VLOOKUP(woodflow[[#This Row],[From]],woodstock[#All],7,FALSE)</f>
        <v>35</v>
      </c>
      <c r="I322" s="135" t="str">
        <f>VLOOKUP(woodflow[[#This Row],[to]],woodstock[#All],7,FALSE)</f>
        <v>45</v>
      </c>
      <c r="J322" s="135" t="str">
        <f>VLOOKUP(woodflow[[#This Row],[From]],woodstock[#All],8,FALSE)</f>
        <v>0</v>
      </c>
      <c r="K322" s="135" t="str">
        <f>VLOOKUP(woodflow[[#This Row],[to]],woodstock[#All],8,FALSE)</f>
        <v>0</v>
      </c>
      <c r="L322" s="136" t="str">
        <f>VLOOKUP(woodflow[[#This Row],[From]],woodstock[#All],9,FALSE)</f>
        <v>nan</v>
      </c>
      <c r="M322" s="136" t="str">
        <f>VLOOKUP(woodflow[[#This Row],[to]],woodstock[#All],9,FALSE)</f>
        <v>nan</v>
      </c>
      <c r="N322" s="131">
        <f>'faostat-data'!Q147+'faostat-data'!Q148-'faostat-data'!Q149+'faostat-data'!Q150+'faostat-data'!Q151-'faostat-data'!Q152+'faostat-data'!Q153+'faostat-data'!Q154-'faostat-data'!Q155+'faostat-data'!Q156+'faostat-data'!Q157-'faostat-data'!Q158</f>
        <v>20.323681811250001</v>
      </c>
      <c r="O322" s="126" t="s">
        <v>556</v>
      </c>
      <c r="P322" s="126"/>
      <c r="Q322" s="126" t="s">
        <v>234</v>
      </c>
      <c r="R322" s="1"/>
      <c r="S322" s="1"/>
      <c r="T322" s="1"/>
      <c r="U322" s="1"/>
      <c r="V322" s="15"/>
    </row>
    <row r="323" spans="1:22" x14ac:dyDescent="0.3">
      <c r="A323" s="5" t="str">
        <f>CONCATENATE("F",IF(B323&lt;&gt;"",COUNTA($B$2:B323),""))</f>
        <v>F</v>
      </c>
      <c r="B323" s="126"/>
      <c r="C323" s="126"/>
      <c r="D323" s="133"/>
      <c r="E323" s="133"/>
      <c r="F323" s="126"/>
      <c r="G323" s="5"/>
      <c r="H323" s="135"/>
      <c r="I323" s="135"/>
      <c r="J323" s="135"/>
      <c r="K323" s="135"/>
      <c r="L323" s="136"/>
      <c r="M323" s="136"/>
      <c r="N323" s="131"/>
      <c r="O323" s="126"/>
      <c r="P323" s="126"/>
      <c r="Q323" s="126"/>
      <c r="R323" s="1"/>
      <c r="S323" s="1"/>
      <c r="T323" s="1"/>
      <c r="U323" s="1"/>
      <c r="V323" s="1"/>
    </row>
    <row r="324" spans="1:22" x14ac:dyDescent="0.3">
      <c r="A324" s="5" t="str">
        <f>CONCATENATE("F",IF(B324&lt;&gt;"",COUNTA($B$2:B324),""))</f>
        <v>F</v>
      </c>
      <c r="B324" s="126"/>
      <c r="C324" s="126"/>
      <c r="D324" s="133"/>
      <c r="E324" s="133"/>
      <c r="F324" s="126"/>
      <c r="G324" s="5"/>
      <c r="H324" s="135"/>
      <c r="I324" s="135"/>
      <c r="J324" s="135"/>
      <c r="K324" s="135"/>
      <c r="L324" s="136"/>
      <c r="M324" s="136"/>
      <c r="N324" s="131"/>
      <c r="O324" s="126"/>
      <c r="P324" s="126"/>
      <c r="Q324" s="126"/>
      <c r="R324" s="1"/>
      <c r="S324" s="1"/>
      <c r="T324" s="1"/>
      <c r="U324" s="1"/>
      <c r="V324" s="1"/>
    </row>
    <row r="325" spans="1:22" x14ac:dyDescent="0.3">
      <c r="A325" s="5" t="str">
        <f>CONCATENATE("F",IF(B325&lt;&gt;"",COUNTA($B$2:B325),""))</f>
        <v>F204</v>
      </c>
      <c r="B325" s="126" t="s">
        <v>50</v>
      </c>
      <c r="C325" s="126" t="s">
        <v>242</v>
      </c>
      <c r="D325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1.7021934500000013</v>
      </c>
      <c r="E325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5" s="126">
        <f>VLOOKUP(woodflow[[#This Row],[From]],woodstock[#All],4,FALSE)</f>
        <v>2021</v>
      </c>
      <c r="G325" s="5" t="str">
        <f>VLOOKUP(woodflow[[#This Row],[From]],woodstock[#All],5,FALSE)</f>
        <v>OAS</v>
      </c>
      <c r="H325" s="135" t="str">
        <f>VLOOKUP(woodflow[[#This Row],[From]],woodstock[#All],7,FALSE)</f>
        <v>14</v>
      </c>
      <c r="I325" s="135" t="str">
        <f>VLOOKUP(woodflow[[#This Row],[to]],woodstock[#All],7,FALSE)</f>
        <v>54</v>
      </c>
      <c r="J325" s="135" t="str">
        <f>VLOOKUP(woodflow[[#This Row],[From]],woodstock[#All],8,FALSE)</f>
        <v>1</v>
      </c>
      <c r="K325" s="135" t="str">
        <f>VLOOKUP(woodflow[[#This Row],[to]],woodstock[#All],8,FALSE)</f>
        <v>0</v>
      </c>
      <c r="L325" s="136" t="str">
        <f>VLOOKUP(woodflow[[#This Row],[From]],woodstock[#All],9,FALSE)</f>
        <v>32-33-34-35-36</v>
      </c>
      <c r="M325" s="136" t="str">
        <f>VLOOKUP(woodflow[[#This Row],[to]],woodstock[#All],9,FALSE)</f>
        <v>nan</v>
      </c>
      <c r="N325" s="131">
        <f>SUM(N326:N330)</f>
        <v>1.7021934500000013</v>
      </c>
      <c r="O325" s="126" t="s">
        <v>556</v>
      </c>
      <c r="P325" s="126" t="s">
        <v>239</v>
      </c>
      <c r="Q325" s="126"/>
      <c r="R325" s="1"/>
      <c r="S325" s="1"/>
      <c r="T325" s="1"/>
      <c r="U325" s="1"/>
      <c r="V325" s="1"/>
    </row>
    <row r="326" spans="1:22" x14ac:dyDescent="0.3">
      <c r="A326" s="5" t="str">
        <f>CONCATENATE("F",IF(B326&lt;&gt;"",COUNTA($B$2:B326),""))</f>
        <v>F205</v>
      </c>
      <c r="B326" s="126" t="s">
        <v>78</v>
      </c>
      <c r="C326" s="126" t="s">
        <v>242</v>
      </c>
      <c r="D326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6.9024550000000059E-2</v>
      </c>
      <c r="E32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6" s="126">
        <f>VLOOKUP(woodflow[[#This Row],[From]],woodstock[#All],4,FALSE)</f>
        <v>2021</v>
      </c>
      <c r="G326" s="5" t="str">
        <f>VLOOKUP(woodflow[[#This Row],[From]],woodstock[#All],5,FALSE)</f>
        <v>OAS</v>
      </c>
      <c r="H326" s="135" t="str">
        <f>VLOOKUP(woodflow[[#This Row],[From]],woodstock[#All],7,FALSE)</f>
        <v>32</v>
      </c>
      <c r="I326" s="135" t="str">
        <f>VLOOKUP(woodflow[[#This Row],[to]],woodstock[#All],7,FALSE)</f>
        <v>54</v>
      </c>
      <c r="J326" s="135" t="str">
        <f>VLOOKUP(woodflow[[#This Row],[From]],woodstock[#All],8,FALSE)</f>
        <v>0</v>
      </c>
      <c r="K326" s="135" t="str">
        <f>VLOOKUP(woodflow[[#This Row],[to]],woodstock[#All],8,FALSE)</f>
        <v>0</v>
      </c>
      <c r="L326" s="136" t="str">
        <f>VLOOKUP(woodflow[[#This Row],[From]],woodstock[#All],9,FALSE)</f>
        <v>nan</v>
      </c>
      <c r="M326" s="136" t="str">
        <f>VLOOKUP(woodflow[[#This Row],[to]],woodstock[#All],9,FALSE)</f>
        <v>nan</v>
      </c>
      <c r="N326" s="131">
        <f>('faostat-data'!Q123)/'production-mass-balance'!$B$80*'production-mass-balance'!$B$79</f>
        <v>6.9024550000000059E-2</v>
      </c>
      <c r="O326" s="126" t="s">
        <v>556</v>
      </c>
      <c r="P326" s="126" t="s">
        <v>456</v>
      </c>
      <c r="Q326" s="126" t="s">
        <v>234</v>
      </c>
      <c r="R326" s="1"/>
      <c r="S326" s="1"/>
      <c r="T326" s="1"/>
      <c r="U326" s="1"/>
      <c r="V326" s="1"/>
    </row>
    <row r="327" spans="1:22" x14ac:dyDescent="0.3">
      <c r="A327" s="5" t="str">
        <f>CONCATENATE("F",IF(B327&lt;&gt;"",COUNTA($B$2:B327),""))</f>
        <v>F206</v>
      </c>
      <c r="B327" s="126" t="s">
        <v>79</v>
      </c>
      <c r="C327" s="126" t="s">
        <v>242</v>
      </c>
      <c r="D327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0.43265000000000042</v>
      </c>
      <c r="E32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7" s="126">
        <f>VLOOKUP(woodflow[[#This Row],[From]],woodstock[#All],4,FALSE)</f>
        <v>2021</v>
      </c>
      <c r="G327" s="5" t="str">
        <f>VLOOKUP(woodflow[[#This Row],[From]],woodstock[#All],5,FALSE)</f>
        <v>OAS</v>
      </c>
      <c r="H327" s="135" t="str">
        <f>VLOOKUP(woodflow[[#This Row],[From]],woodstock[#All],7,FALSE)</f>
        <v>33</v>
      </c>
      <c r="I327" s="135" t="str">
        <f>VLOOKUP(woodflow[[#This Row],[to]],woodstock[#All],7,FALSE)</f>
        <v>54</v>
      </c>
      <c r="J327" s="135" t="str">
        <f>VLOOKUP(woodflow[[#This Row],[From]],woodstock[#All],8,FALSE)</f>
        <v>0</v>
      </c>
      <c r="K327" s="135" t="str">
        <f>VLOOKUP(woodflow[[#This Row],[to]],woodstock[#All],8,FALSE)</f>
        <v>0</v>
      </c>
      <c r="L327" s="136" t="str">
        <f>VLOOKUP(woodflow[[#This Row],[From]],woodstock[#All],9,FALSE)</f>
        <v>nan</v>
      </c>
      <c r="M327" s="136" t="str">
        <f>VLOOKUP(woodflow[[#This Row],[to]],woodstock[#All],9,FALSE)</f>
        <v>nan</v>
      </c>
      <c r="N327" s="131">
        <f>('faostat-data'!Q126)/'production-mass-balance'!$B$80*'production-mass-balance'!$B$79</f>
        <v>0.43265000000000042</v>
      </c>
      <c r="O327" s="126" t="s">
        <v>556</v>
      </c>
      <c r="P327" s="126" t="s">
        <v>456</v>
      </c>
      <c r="Q327" s="126" t="s">
        <v>234</v>
      </c>
      <c r="R327" s="1"/>
      <c r="S327" s="1"/>
      <c r="T327" s="1"/>
      <c r="U327" s="1"/>
      <c r="V327" s="1"/>
    </row>
    <row r="328" spans="1:22" x14ac:dyDescent="0.3">
      <c r="A328" s="5" t="str">
        <f>CONCATENATE("F",IF(B328&lt;&gt;"",COUNTA($B$2:B328),""))</f>
        <v>F207</v>
      </c>
      <c r="B328" s="126" t="s">
        <v>67</v>
      </c>
      <c r="C328" s="126" t="s">
        <v>242</v>
      </c>
      <c r="D32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0.10198560000000008</v>
      </c>
      <c r="E32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8" s="126">
        <f>VLOOKUP(woodflow[[#This Row],[From]],woodstock[#All],4,FALSE)</f>
        <v>2021</v>
      </c>
      <c r="G328" s="5" t="str">
        <f>VLOOKUP(woodflow[[#This Row],[From]],woodstock[#All],5,FALSE)</f>
        <v>OAS</v>
      </c>
      <c r="H328" s="135" t="str">
        <f>VLOOKUP(woodflow[[#This Row],[From]],woodstock[#All],7,FALSE)</f>
        <v>34</v>
      </c>
      <c r="I328" s="135" t="str">
        <f>VLOOKUP(woodflow[[#This Row],[to]],woodstock[#All],7,FALSE)</f>
        <v>54</v>
      </c>
      <c r="J328" s="135" t="str">
        <f>VLOOKUP(woodflow[[#This Row],[From]],woodstock[#All],8,FALSE)</f>
        <v>0</v>
      </c>
      <c r="K328" s="135" t="str">
        <f>VLOOKUP(woodflow[[#This Row],[to]],woodstock[#All],8,FALSE)</f>
        <v>0</v>
      </c>
      <c r="L328" s="136" t="str">
        <f>VLOOKUP(woodflow[[#This Row],[From]],woodstock[#All],9,FALSE)</f>
        <v>nan</v>
      </c>
      <c r="M328" s="136" t="str">
        <f>VLOOKUP(woodflow[[#This Row],[to]],woodstock[#All],9,FALSE)</f>
        <v>nan</v>
      </c>
      <c r="N328" s="131">
        <f>('faostat-data'!Q141)/'production-mass-balance'!$B$80*'production-mass-balance'!$B$79</f>
        <v>0.10198560000000008</v>
      </c>
      <c r="O328" s="126" t="s">
        <v>556</v>
      </c>
      <c r="P328" s="126" t="s">
        <v>456</v>
      </c>
      <c r="Q328" s="126" t="s">
        <v>234</v>
      </c>
      <c r="R328" s="1"/>
      <c r="S328" s="1"/>
      <c r="T328" s="1"/>
      <c r="U328" s="1"/>
      <c r="V328" s="1"/>
    </row>
    <row r="329" spans="1:22" x14ac:dyDescent="0.3">
      <c r="A329" s="5" t="str">
        <f>CONCATENATE("F",IF(B329&lt;&gt;"",COUNTA($B$2:B329),""))</f>
        <v>F208</v>
      </c>
      <c r="B329" s="126" t="s">
        <v>68</v>
      </c>
      <c r="C329" s="126" t="s">
        <v>242</v>
      </c>
      <c r="D329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1.0363840000000009</v>
      </c>
      <c r="E32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9" s="126">
        <f>VLOOKUP(woodflow[[#This Row],[From]],woodstock[#All],4,FALSE)</f>
        <v>2021</v>
      </c>
      <c r="G329" s="5" t="str">
        <f>VLOOKUP(woodflow[[#This Row],[From]],woodstock[#All],5,FALSE)</f>
        <v>OAS</v>
      </c>
      <c r="H329" s="135" t="str">
        <f>VLOOKUP(woodflow[[#This Row],[From]],woodstock[#All],7,FALSE)</f>
        <v>35</v>
      </c>
      <c r="I329" s="135" t="str">
        <f>VLOOKUP(woodflow[[#This Row],[to]],woodstock[#All],7,FALSE)</f>
        <v>54</v>
      </c>
      <c r="J329" s="135" t="str">
        <f>VLOOKUP(woodflow[[#This Row],[From]],woodstock[#All],8,FALSE)</f>
        <v>0</v>
      </c>
      <c r="K329" s="135" t="str">
        <f>VLOOKUP(woodflow[[#This Row],[to]],woodstock[#All],8,FALSE)</f>
        <v>0</v>
      </c>
      <c r="L329" s="136" t="str">
        <f>VLOOKUP(woodflow[[#This Row],[From]],woodstock[#All],9,FALSE)</f>
        <v>nan</v>
      </c>
      <c r="M329" s="136" t="str">
        <f>VLOOKUP(woodflow[[#This Row],[to]],woodstock[#All],9,FALSE)</f>
        <v>nan</v>
      </c>
      <c r="N329" s="131">
        <f>(('faostat-data'!Q147+'faostat-data'!Q150+'faostat-data'!Q153+'faostat-data'!Q156)/'production-mass-balance'!$B$80*'production-mass-balance'!$B$79)</f>
        <v>1.0363840000000009</v>
      </c>
      <c r="O329" s="126" t="s">
        <v>556</v>
      </c>
      <c r="P329" s="126" t="s">
        <v>456</v>
      </c>
      <c r="Q329" s="126" t="s">
        <v>234</v>
      </c>
      <c r="R329" s="1"/>
      <c r="S329" s="1"/>
      <c r="T329" s="1"/>
      <c r="U329" s="1"/>
      <c r="V329" s="1"/>
    </row>
    <row r="330" spans="1:22" x14ac:dyDescent="0.3">
      <c r="A330" s="5" t="str">
        <f>CONCATENATE("F",IF(B330&lt;&gt;"",COUNTA($B$2:B330),""))</f>
        <v>F209</v>
      </c>
      <c r="B330" s="126" t="s">
        <v>69</v>
      </c>
      <c r="C330" s="126" t="s">
        <v>242</v>
      </c>
      <c r="D330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6.2149300000000053E-2</v>
      </c>
      <c r="E330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0" s="126">
        <f>VLOOKUP(woodflow[[#This Row],[From]],woodstock[#All],4,FALSE)</f>
        <v>2021</v>
      </c>
      <c r="G330" s="5" t="str">
        <f>VLOOKUP(woodflow[[#This Row],[From]],woodstock[#All],5,FALSE)</f>
        <v>OAS</v>
      </c>
      <c r="H330" s="135" t="str">
        <f>VLOOKUP(woodflow[[#This Row],[From]],woodstock[#All],7,FALSE)</f>
        <v>36</v>
      </c>
      <c r="I330" s="135" t="str">
        <f>VLOOKUP(woodflow[[#This Row],[to]],woodstock[#All],7,FALSE)</f>
        <v>54</v>
      </c>
      <c r="J330" s="135" t="str">
        <f>VLOOKUP(woodflow[[#This Row],[From]],woodstock[#All],8,FALSE)</f>
        <v>0</v>
      </c>
      <c r="K330" s="135" t="str">
        <f>VLOOKUP(woodflow[[#This Row],[to]],woodstock[#All],8,FALSE)</f>
        <v>0</v>
      </c>
      <c r="L330" s="136" t="str">
        <f>VLOOKUP(woodflow[[#This Row],[From]],woodstock[#All],9,FALSE)</f>
        <v>nan</v>
      </c>
      <c r="M330" s="136" t="str">
        <f>VLOOKUP(woodflow[[#This Row],[to]],woodstock[#All],9,FALSE)</f>
        <v>nan</v>
      </c>
      <c r="N330" s="131">
        <f>((+'faostat-data'!Q159)/'production-mass-balance'!$B$80)*'production-mass-balance'!$B$79</f>
        <v>6.2149300000000053E-2</v>
      </c>
      <c r="O330" s="126" t="s">
        <v>556</v>
      </c>
      <c r="P330" s="126" t="s">
        <v>456</v>
      </c>
      <c r="Q330" s="126" t="s">
        <v>234</v>
      </c>
      <c r="R330" s="1"/>
      <c r="S330" s="1"/>
      <c r="T330" s="1"/>
      <c r="U330" s="1"/>
      <c r="V330" s="1"/>
    </row>
    <row r="331" spans="1:22" x14ac:dyDescent="0.3">
      <c r="A331" s="5" t="str">
        <f>CONCATENATE("F",IF(B331&lt;&gt;"",COUNTA($B$2:B331),""))</f>
        <v>F</v>
      </c>
      <c r="B331" s="126"/>
      <c r="C331" s="126"/>
      <c r="D331" s="133"/>
      <c r="E331" s="133"/>
      <c r="F331" s="126"/>
      <c r="G331" s="5"/>
      <c r="H331" s="135"/>
      <c r="I331" s="135"/>
      <c r="J331" s="135"/>
      <c r="K331" s="135"/>
      <c r="L331" s="136"/>
      <c r="M331" s="136"/>
      <c r="N331" s="131"/>
      <c r="O331" s="126"/>
      <c r="P331" s="126"/>
      <c r="Q331" s="126"/>
      <c r="R331" s="1"/>
      <c r="S331" s="1"/>
      <c r="T331" s="1"/>
      <c r="U331" s="1"/>
      <c r="V331" s="1"/>
    </row>
    <row r="332" spans="1:22" x14ac:dyDescent="0.3">
      <c r="A332" s="5" t="str">
        <f>CONCATENATE("F",IF(B332&lt;&gt;"",COUNTA($B$2:B332),""))</f>
        <v>F</v>
      </c>
      <c r="B332" s="126"/>
      <c r="C332" s="126"/>
      <c r="D332" s="133"/>
      <c r="E332" s="133"/>
      <c r="F332" s="126"/>
      <c r="G332" s="5"/>
      <c r="H332" s="135"/>
      <c r="I332" s="135"/>
      <c r="J332" s="135"/>
      <c r="K332" s="135"/>
      <c r="L332" s="136"/>
      <c r="M332" s="136"/>
      <c r="N332" s="131"/>
      <c r="O332" s="126"/>
      <c r="P332" s="126"/>
      <c r="Q332" s="126"/>
      <c r="R332" s="1"/>
      <c r="S332" s="1"/>
      <c r="T332" s="1"/>
      <c r="U332" s="1"/>
      <c r="V332" s="1"/>
    </row>
    <row r="333" spans="1:22" x14ac:dyDescent="0.3">
      <c r="A333" s="5" t="str">
        <f>CONCATENATE("F",IF(B333&lt;&gt;"",COUNTA($B$2:B333),""))</f>
        <v>F210</v>
      </c>
      <c r="B333" s="126" t="s">
        <v>36</v>
      </c>
      <c r="C333" s="126" t="s">
        <v>59</v>
      </c>
      <c r="D333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2.7802248189388901</v>
      </c>
      <c r="E33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3" s="126">
        <f>VLOOKUP(woodflow[[#This Row],[From]],woodstock[#All],4,FALSE)</f>
        <v>2021</v>
      </c>
      <c r="G333" s="5" t="str">
        <f>VLOOKUP(woodflow[[#This Row],[From]],woodstock[#All],5,FALSE)</f>
        <v>OAS</v>
      </c>
      <c r="H333" s="135" t="str">
        <f>VLOOKUP(woodflow[[#This Row],[From]],woodstock[#All],7,FALSE)</f>
        <v>37</v>
      </c>
      <c r="I333" s="135" t="str">
        <f>VLOOKUP(woodflow[[#This Row],[to]],woodstock[#All],7,FALSE)</f>
        <v>17</v>
      </c>
      <c r="J333" s="135" t="str">
        <f>VLOOKUP(woodflow[[#This Row],[From]],woodstock[#All],8,FALSE)</f>
        <v>0</v>
      </c>
      <c r="K333" s="135" t="str">
        <f>VLOOKUP(woodflow[[#This Row],[to]],woodstock[#All],8,FALSE)</f>
        <v>1</v>
      </c>
      <c r="L333" s="136" t="str">
        <f>VLOOKUP(woodflow[[#This Row],[From]],woodstock[#All],9,FALSE)</f>
        <v>nan</v>
      </c>
      <c r="M333" s="136" t="str">
        <f>VLOOKUP(woodflow[[#This Row],[to]],woodstock[#All],9,FALSE)</f>
        <v>43-44-45-46-47-48-49</v>
      </c>
      <c r="N333" s="131">
        <f>((N86+N162+N171+N201+N213+N231+N240+N252+N261)*'production-mass-balance'!B86)+(N553-N634)</f>
        <v>2.7802248189388901</v>
      </c>
      <c r="O333" s="126" t="s">
        <v>556</v>
      </c>
      <c r="P333" s="126" t="s">
        <v>239</v>
      </c>
      <c r="Q333" s="126"/>
      <c r="R333" s="1"/>
      <c r="S333" s="1"/>
      <c r="T333" s="1"/>
      <c r="U333" s="1"/>
      <c r="V333" s="1"/>
    </row>
    <row r="334" spans="1:22" x14ac:dyDescent="0.3">
      <c r="A334" s="5" t="str">
        <f>CONCATENATE("F",IF(B334&lt;&gt;"",COUNTA($B$2:B334),""))</f>
        <v>F211</v>
      </c>
      <c r="B334" s="126" t="s">
        <v>36</v>
      </c>
      <c r="C334" s="126" t="s">
        <v>409</v>
      </c>
      <c r="D334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4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4" s="126">
        <f>VLOOKUP(woodflow[[#This Row],[From]],woodstock[#All],4,FALSE)</f>
        <v>2021</v>
      </c>
      <c r="G334" s="5" t="str">
        <f>VLOOKUP(woodflow[[#This Row],[From]],woodstock[#All],5,FALSE)</f>
        <v>OAS</v>
      </c>
      <c r="H334" s="135" t="str">
        <f>VLOOKUP(woodflow[[#This Row],[From]],woodstock[#All],7,FALSE)</f>
        <v>37</v>
      </c>
      <c r="I334" s="135" t="str">
        <f>VLOOKUP(woodflow[[#This Row],[to]],woodstock[#All],7,FALSE)</f>
        <v>43</v>
      </c>
      <c r="J334" s="135" t="str">
        <f>VLOOKUP(woodflow[[#This Row],[From]],woodstock[#All],8,FALSE)</f>
        <v>0</v>
      </c>
      <c r="K334" s="135" t="str">
        <f>VLOOKUP(woodflow[[#This Row],[to]],woodstock[#All],8,FALSE)</f>
        <v>0</v>
      </c>
      <c r="L334" s="136" t="str">
        <f>VLOOKUP(woodflow[[#This Row],[From]],woodstock[#All],9,FALSE)</f>
        <v>nan</v>
      </c>
      <c r="M334" s="136" t="str">
        <f>VLOOKUP(woodflow[[#This Row],[to]],woodstock[#All],9,FALSE)</f>
        <v>nan</v>
      </c>
      <c r="N334" s="131">
        <v>0</v>
      </c>
      <c r="O334" s="126" t="s">
        <v>213</v>
      </c>
      <c r="P334" s="126"/>
      <c r="Q334" s="126"/>
      <c r="R334" s="1"/>
      <c r="S334" s="1"/>
      <c r="T334" s="1"/>
      <c r="U334" s="1"/>
      <c r="V334" s="1"/>
    </row>
    <row r="335" spans="1:22" x14ac:dyDescent="0.3">
      <c r="A335" s="5" t="str">
        <f>CONCATENATE("F",IF(B335&lt;&gt;"",COUNTA($B$2:B335),""))</f>
        <v>F212</v>
      </c>
      <c r="B335" s="126" t="s">
        <v>36</v>
      </c>
      <c r="C335" s="126" t="s">
        <v>31</v>
      </c>
      <c r="D335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5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5" s="126">
        <f>VLOOKUP(woodflow[[#This Row],[From]],woodstock[#All],4,FALSE)</f>
        <v>2021</v>
      </c>
      <c r="G335" s="5" t="str">
        <f>VLOOKUP(woodflow[[#This Row],[From]],woodstock[#All],5,FALSE)</f>
        <v>OAS</v>
      </c>
      <c r="H335" s="135" t="str">
        <f>VLOOKUP(woodflow[[#This Row],[From]],woodstock[#All],7,FALSE)</f>
        <v>37</v>
      </c>
      <c r="I335" s="135" t="str">
        <f>VLOOKUP(woodflow[[#This Row],[to]],woodstock[#All],7,FALSE)</f>
        <v>44</v>
      </c>
      <c r="J335" s="135" t="str">
        <f>VLOOKUP(woodflow[[#This Row],[From]],woodstock[#All],8,FALSE)</f>
        <v>0</v>
      </c>
      <c r="K335" s="135" t="str">
        <f>VLOOKUP(woodflow[[#This Row],[to]],woodstock[#All],8,FALSE)</f>
        <v>0</v>
      </c>
      <c r="L335" s="136" t="str">
        <f>VLOOKUP(woodflow[[#This Row],[From]],woodstock[#All],9,FALSE)</f>
        <v>nan</v>
      </c>
      <c r="M335" s="136" t="str">
        <f>VLOOKUP(woodflow[[#This Row],[to]],woodstock[#All],9,FALSE)</f>
        <v>nan</v>
      </c>
      <c r="N335" s="131">
        <v>0</v>
      </c>
      <c r="O335" s="126" t="s">
        <v>213</v>
      </c>
      <c r="P335" s="126"/>
      <c r="Q335" s="126"/>
      <c r="R335" s="1"/>
      <c r="S335" s="1"/>
      <c r="T335" s="1"/>
      <c r="U335" s="1"/>
      <c r="V335" s="1"/>
    </row>
    <row r="336" spans="1:22" x14ac:dyDescent="0.3">
      <c r="A336" s="5" t="str">
        <f>CONCATENATE("F",IF(B336&lt;&gt;"",COUNTA($B$2:B336),""))</f>
        <v>F213</v>
      </c>
      <c r="B336" s="126" t="s">
        <v>36</v>
      </c>
      <c r="C336" s="126" t="s">
        <v>32</v>
      </c>
      <c r="D336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6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0.55604496378777801</v>
      </c>
      <c r="F336" s="126">
        <f>VLOOKUP(woodflow[[#This Row],[From]],woodstock[#All],4,FALSE)</f>
        <v>2021</v>
      </c>
      <c r="G336" s="5" t="str">
        <f>VLOOKUP(woodflow[[#This Row],[From]],woodstock[#All],5,FALSE)</f>
        <v>OAS</v>
      </c>
      <c r="H336" s="135" t="str">
        <f>VLOOKUP(woodflow[[#This Row],[From]],woodstock[#All],7,FALSE)</f>
        <v>37</v>
      </c>
      <c r="I336" s="135" t="str">
        <f>VLOOKUP(woodflow[[#This Row],[to]],woodstock[#All],7,FALSE)</f>
        <v>45</v>
      </c>
      <c r="J336" s="135" t="str">
        <f>VLOOKUP(woodflow[[#This Row],[From]],woodstock[#All],8,FALSE)</f>
        <v>0</v>
      </c>
      <c r="K336" s="135" t="str">
        <f>VLOOKUP(woodflow[[#This Row],[to]],woodstock[#All],8,FALSE)</f>
        <v>0</v>
      </c>
      <c r="L336" s="136" t="str">
        <f>VLOOKUP(woodflow[[#This Row],[From]],woodstock[#All],9,FALSE)</f>
        <v>nan</v>
      </c>
      <c r="M336" s="136" t="str">
        <f>VLOOKUP(woodflow[[#This Row],[to]],woodstock[#All],9,FALSE)</f>
        <v>nan</v>
      </c>
      <c r="N336" s="131">
        <f>$N$333*woodratio!I108</f>
        <v>0.55604496378777801</v>
      </c>
      <c r="O336" s="126" t="s">
        <v>549</v>
      </c>
      <c r="P336" s="126" t="s">
        <v>240</v>
      </c>
      <c r="Q336" s="126"/>
      <c r="R336" s="1"/>
      <c r="S336" s="1"/>
      <c r="T336" s="1"/>
      <c r="U336" s="1"/>
      <c r="V336" s="1"/>
    </row>
    <row r="337" spans="1:22" x14ac:dyDescent="0.3">
      <c r="A337" s="5" t="str">
        <f>CONCATENATE("F",IF(B337&lt;&gt;"",COUNTA($B$2:B337),""))</f>
        <v>F214</v>
      </c>
      <c r="B337" s="126" t="s">
        <v>36</v>
      </c>
      <c r="C337" s="126" t="s">
        <v>33</v>
      </c>
      <c r="D337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7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1.112089927575556</v>
      </c>
      <c r="F337" s="126">
        <f>VLOOKUP(woodflow[[#This Row],[From]],woodstock[#All],4,FALSE)</f>
        <v>2021</v>
      </c>
      <c r="G337" s="5" t="str">
        <f>VLOOKUP(woodflow[[#This Row],[From]],woodstock[#All],5,FALSE)</f>
        <v>OAS</v>
      </c>
      <c r="H337" s="135" t="str">
        <f>VLOOKUP(woodflow[[#This Row],[From]],woodstock[#All],7,FALSE)</f>
        <v>37</v>
      </c>
      <c r="I337" s="135" t="str">
        <f>VLOOKUP(woodflow[[#This Row],[to]],woodstock[#All],7,FALSE)</f>
        <v>46</v>
      </c>
      <c r="J337" s="135" t="str">
        <f>VLOOKUP(woodflow[[#This Row],[From]],woodstock[#All],8,FALSE)</f>
        <v>0</v>
      </c>
      <c r="K337" s="135" t="str">
        <f>VLOOKUP(woodflow[[#This Row],[to]],woodstock[#All],8,FALSE)</f>
        <v>0</v>
      </c>
      <c r="L337" s="136" t="str">
        <f>VLOOKUP(woodflow[[#This Row],[From]],woodstock[#All],9,FALSE)</f>
        <v>nan</v>
      </c>
      <c r="M337" s="136" t="str">
        <f>VLOOKUP(woodflow[[#This Row],[to]],woodstock[#All],9,FALSE)</f>
        <v>nan</v>
      </c>
      <c r="N337" s="131">
        <f>$N$333*woodratio!I109</f>
        <v>1.112089927575556</v>
      </c>
      <c r="O337" s="126" t="s">
        <v>549</v>
      </c>
      <c r="P337" s="126" t="s">
        <v>240</v>
      </c>
      <c r="Q337" s="126"/>
      <c r="R337" s="1"/>
      <c r="S337" s="1"/>
      <c r="T337" s="1"/>
      <c r="U337" s="1"/>
      <c r="V337" s="1"/>
    </row>
    <row r="338" spans="1:22" x14ac:dyDescent="0.3">
      <c r="A338" s="5" t="str">
        <f>CONCATENATE("F",IF(B338&lt;&gt;"",COUNTA($B$2:B338),""))</f>
        <v>F215</v>
      </c>
      <c r="B338" s="126" t="s">
        <v>36</v>
      </c>
      <c r="C338" s="126" t="s">
        <v>34</v>
      </c>
      <c r="D338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8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0.55604496378777801</v>
      </c>
      <c r="F338" s="126">
        <f>VLOOKUP(woodflow[[#This Row],[From]],woodstock[#All],4,FALSE)</f>
        <v>2021</v>
      </c>
      <c r="G338" s="5" t="str">
        <f>VLOOKUP(woodflow[[#This Row],[From]],woodstock[#All],5,FALSE)</f>
        <v>OAS</v>
      </c>
      <c r="H338" s="135" t="str">
        <f>VLOOKUP(woodflow[[#This Row],[From]],woodstock[#All],7,FALSE)</f>
        <v>37</v>
      </c>
      <c r="I338" s="135" t="str">
        <f>VLOOKUP(woodflow[[#This Row],[to]],woodstock[#All],7,FALSE)</f>
        <v>47</v>
      </c>
      <c r="J338" s="135" t="str">
        <f>VLOOKUP(woodflow[[#This Row],[From]],woodstock[#All],8,FALSE)</f>
        <v>0</v>
      </c>
      <c r="K338" s="135" t="str">
        <f>VLOOKUP(woodflow[[#This Row],[to]],woodstock[#All],8,FALSE)</f>
        <v>0</v>
      </c>
      <c r="L338" s="136" t="str">
        <f>VLOOKUP(woodflow[[#This Row],[From]],woodstock[#All],9,FALSE)</f>
        <v>nan</v>
      </c>
      <c r="M338" s="136" t="str">
        <f>VLOOKUP(woodflow[[#This Row],[to]],woodstock[#All],9,FALSE)</f>
        <v>nan</v>
      </c>
      <c r="N338" s="131">
        <f>$N$333*woodratio!I110</f>
        <v>0.55604496378777801</v>
      </c>
      <c r="O338" s="126" t="s">
        <v>549</v>
      </c>
      <c r="P338" s="126" t="s">
        <v>240</v>
      </c>
      <c r="Q338" s="126"/>
      <c r="R338" s="1"/>
      <c r="S338" s="1"/>
      <c r="T338" s="1"/>
      <c r="U338" s="1"/>
      <c r="V338" s="1"/>
    </row>
    <row r="339" spans="1:22" x14ac:dyDescent="0.3">
      <c r="A339" s="5" t="str">
        <f>CONCATENATE("F",IF(B339&lt;&gt;"",COUNTA($B$2:B339),""))</f>
        <v>F216</v>
      </c>
      <c r="B339" s="126" t="s">
        <v>36</v>
      </c>
      <c r="C339" s="126" t="s">
        <v>35</v>
      </c>
      <c r="D339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9" s="126">
        <f>VLOOKUP(woodflow[[#This Row],[From]],woodstock[#All],4,FALSE)</f>
        <v>2021</v>
      </c>
      <c r="G339" s="5" t="str">
        <f>VLOOKUP(woodflow[[#This Row],[From]],woodstock[#All],5,FALSE)</f>
        <v>OAS</v>
      </c>
      <c r="H339" s="135" t="str">
        <f>VLOOKUP(woodflow[[#This Row],[From]],woodstock[#All],7,FALSE)</f>
        <v>37</v>
      </c>
      <c r="I339" s="135" t="str">
        <f>VLOOKUP(woodflow[[#This Row],[to]],woodstock[#All],7,FALSE)</f>
        <v>48</v>
      </c>
      <c r="J339" s="135" t="str">
        <f>VLOOKUP(woodflow[[#This Row],[From]],woodstock[#All],8,FALSE)</f>
        <v>0</v>
      </c>
      <c r="K339" s="135" t="str">
        <f>VLOOKUP(woodflow[[#This Row],[to]],woodstock[#All],8,FALSE)</f>
        <v>0</v>
      </c>
      <c r="L339" s="136" t="str">
        <f>VLOOKUP(woodflow[[#This Row],[From]],woodstock[#All],9,FALSE)</f>
        <v>nan</v>
      </c>
      <c r="M339" s="136" t="str">
        <f>VLOOKUP(woodflow[[#This Row],[to]],woodstock[#All],9,FALSE)</f>
        <v>nan</v>
      </c>
      <c r="N339" s="131">
        <v>0</v>
      </c>
      <c r="O339" s="126" t="s">
        <v>213</v>
      </c>
      <c r="P339" s="126"/>
      <c r="Q339" s="126"/>
      <c r="R339" s="1"/>
      <c r="S339" s="1"/>
      <c r="T339" s="1"/>
      <c r="U339" s="1"/>
      <c r="V339" s="1"/>
    </row>
    <row r="340" spans="1:22" x14ac:dyDescent="0.3">
      <c r="A340" s="5" t="str">
        <f>CONCATENATE("F",IF(B340&lt;&gt;"",COUNTA($B$2:B340),""))</f>
        <v>F217</v>
      </c>
      <c r="B340" s="126" t="s">
        <v>36</v>
      </c>
      <c r="C340" s="126" t="s">
        <v>57</v>
      </c>
      <c r="D340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40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0.55604496378777801</v>
      </c>
      <c r="F340" s="126">
        <f>VLOOKUP(woodflow[[#This Row],[From]],woodstock[#All],4,FALSE)</f>
        <v>2021</v>
      </c>
      <c r="G340" s="5" t="str">
        <f>VLOOKUP(woodflow[[#This Row],[From]],woodstock[#All],5,FALSE)</f>
        <v>OAS</v>
      </c>
      <c r="H340" s="135" t="str">
        <f>VLOOKUP(woodflow[[#This Row],[From]],woodstock[#All],7,FALSE)</f>
        <v>37</v>
      </c>
      <c r="I340" s="135" t="str">
        <f>VLOOKUP(woodflow[[#This Row],[to]],woodstock[#All],7,FALSE)</f>
        <v>49</v>
      </c>
      <c r="J340" s="135" t="str">
        <f>VLOOKUP(woodflow[[#This Row],[From]],woodstock[#All],8,FALSE)</f>
        <v>0</v>
      </c>
      <c r="K340" s="135" t="str">
        <f>VLOOKUP(woodflow[[#This Row],[to]],woodstock[#All],8,FALSE)</f>
        <v>0</v>
      </c>
      <c r="L340" s="136" t="str">
        <f>VLOOKUP(woodflow[[#This Row],[From]],woodstock[#All],9,FALSE)</f>
        <v>nan</v>
      </c>
      <c r="M340" s="136" t="str">
        <f>VLOOKUP(woodflow[[#This Row],[to]],woodstock[#All],9,FALSE)</f>
        <v>nan</v>
      </c>
      <c r="N340" s="131">
        <f>$N$333*woodratio!I111</f>
        <v>0.55604496378777801</v>
      </c>
      <c r="O340" s="126" t="s">
        <v>549</v>
      </c>
      <c r="P340" s="126" t="s">
        <v>240</v>
      </c>
      <c r="Q340" s="126"/>
      <c r="R340" s="1"/>
      <c r="S340" s="1"/>
      <c r="T340" s="1"/>
      <c r="U340" s="1"/>
      <c r="V340" s="1"/>
    </row>
    <row r="341" spans="1:22" x14ac:dyDescent="0.3">
      <c r="A341" s="5" t="str">
        <f>CONCATENATE("F",IF(B341&lt;&gt;"",COUNTA($B$2:B341),""))</f>
        <v>F</v>
      </c>
      <c r="B341" s="126"/>
      <c r="C341" s="126"/>
      <c r="D341" s="133"/>
      <c r="E341" s="133"/>
      <c r="F341" s="126"/>
      <c r="G341" s="5"/>
      <c r="H341" s="135"/>
      <c r="I341" s="135"/>
      <c r="J341" s="135"/>
      <c r="K341" s="135"/>
      <c r="L341" s="136"/>
      <c r="M341" s="136"/>
      <c r="N341" s="131"/>
      <c r="O341" s="126"/>
      <c r="P341" s="126"/>
      <c r="Q341" s="126"/>
      <c r="R341" s="1"/>
      <c r="S341" s="1"/>
      <c r="T341" s="1"/>
      <c r="U341" s="1"/>
      <c r="V341" s="1"/>
    </row>
    <row r="342" spans="1:22" x14ac:dyDescent="0.3">
      <c r="A342" s="5" t="str">
        <f>CONCATENATE("F",IF(B342&lt;&gt;"",COUNTA($B$2:B342),""))</f>
        <v>F</v>
      </c>
      <c r="B342" s="126"/>
      <c r="C342" s="126"/>
      <c r="D342" s="133"/>
      <c r="E342" s="133"/>
      <c r="F342" s="126"/>
      <c r="G342" s="5"/>
      <c r="H342" s="135"/>
      <c r="I342" s="135"/>
      <c r="J342" s="135"/>
      <c r="K342" s="135"/>
      <c r="L342" s="136"/>
      <c r="M342" s="136"/>
      <c r="N342" s="131"/>
      <c r="O342" s="126"/>
      <c r="P342" s="126"/>
      <c r="Q342" s="126"/>
      <c r="R342" s="1"/>
      <c r="S342" s="1"/>
      <c r="T342" s="1"/>
      <c r="U342" s="1"/>
      <c r="V342" s="1"/>
    </row>
    <row r="343" spans="1:22" x14ac:dyDescent="0.3">
      <c r="A343" s="5" t="str">
        <f>CONCATENATE("F",IF(B343&lt;&gt;"",COUNTA($B$2:B343),""))</f>
        <v>F218</v>
      </c>
      <c r="B343" s="126" t="s">
        <v>36</v>
      </c>
      <c r="C343" s="126" t="s">
        <v>73</v>
      </c>
      <c r="D343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0.27620891238673434</v>
      </c>
      <c r="E34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3" s="126">
        <f>VLOOKUP(woodflow[[#This Row],[From]],woodstock[#All],4,FALSE)</f>
        <v>2021</v>
      </c>
      <c r="G343" s="5" t="str">
        <f>VLOOKUP(woodflow[[#This Row],[From]],woodstock[#All],5,FALSE)</f>
        <v>OAS</v>
      </c>
      <c r="H343" s="135" t="str">
        <f>VLOOKUP(woodflow[[#This Row],[From]],woodstock[#All],7,FALSE)</f>
        <v>37</v>
      </c>
      <c r="I343" s="135" t="str">
        <f>VLOOKUP(woodflow[[#This Row],[to]],woodstock[#All],7,FALSE)</f>
        <v>51</v>
      </c>
      <c r="J343" s="135" t="str">
        <f>VLOOKUP(woodflow[[#This Row],[From]],woodstock[#All],8,FALSE)</f>
        <v>0</v>
      </c>
      <c r="K343" s="135" t="str">
        <f>VLOOKUP(woodflow[[#This Row],[to]],woodstock[#All],8,FALSE)</f>
        <v>0</v>
      </c>
      <c r="L343" s="136" t="str">
        <f>VLOOKUP(woodflow[[#This Row],[From]],woodstock[#All],9,FALSE)</f>
        <v>nan</v>
      </c>
      <c r="M343" s="136" t="str">
        <f>VLOOKUP(woodflow[[#This Row],[to]],woodstock[#All],9,FALSE)</f>
        <v>nan</v>
      </c>
      <c r="N343" s="131">
        <f>(N86+N171+N162+N201+N213+N231+N240+N252+N261)*(SUM('production-mass-balance'!B83:B85))</f>
        <v>0.27620891238673434</v>
      </c>
      <c r="O343" s="126" t="s">
        <v>556</v>
      </c>
      <c r="P343" s="126" t="s">
        <v>456</v>
      </c>
      <c r="Q343" s="126"/>
      <c r="R343" s="1"/>
      <c r="S343" s="1"/>
      <c r="T343" s="1"/>
      <c r="U343" s="1"/>
      <c r="V343" s="1"/>
    </row>
    <row r="344" spans="1:22" x14ac:dyDescent="0.3">
      <c r="A344" s="5" t="str">
        <f>CONCATENATE("F",IF(B344&lt;&gt;"",COUNTA($B$2:B344),""))</f>
        <v>F</v>
      </c>
      <c r="B344" s="126"/>
      <c r="C344" s="126"/>
      <c r="D344" s="133"/>
      <c r="E344" s="133"/>
      <c r="F344" s="126"/>
      <c r="G344" s="5"/>
      <c r="H344" s="135"/>
      <c r="I344" s="135"/>
      <c r="J344" s="135"/>
      <c r="K344" s="135"/>
      <c r="L344" s="136"/>
      <c r="M344" s="136"/>
      <c r="N344" s="131"/>
      <c r="O344" s="126"/>
      <c r="P344" s="126"/>
      <c r="Q344" s="126"/>
      <c r="R344" s="1"/>
      <c r="S344" s="1"/>
      <c r="T344" s="1"/>
      <c r="U344" s="1"/>
      <c r="V344" s="1"/>
    </row>
    <row r="345" spans="1:22" x14ac:dyDescent="0.3">
      <c r="A345" s="5" t="str">
        <f>CONCATENATE("F",IF(B345&lt;&gt;"",COUNTA($B$2:B345),""))</f>
        <v>F</v>
      </c>
      <c r="B345" s="126"/>
      <c r="C345" s="126"/>
      <c r="D345" s="133"/>
      <c r="E345" s="133"/>
      <c r="F345" s="126"/>
      <c r="G345" s="5"/>
      <c r="H345" s="135"/>
      <c r="I345" s="135"/>
      <c r="J345" s="135"/>
      <c r="K345" s="135"/>
      <c r="L345" s="136"/>
      <c r="M345" s="136"/>
      <c r="N345" s="131"/>
      <c r="O345" s="126"/>
      <c r="P345" s="126"/>
      <c r="Q345" s="126"/>
      <c r="R345" s="1"/>
      <c r="S345" s="1"/>
      <c r="T345" s="1"/>
      <c r="U345" s="1"/>
      <c r="V345" s="1"/>
    </row>
    <row r="346" spans="1:22" x14ac:dyDescent="0.3">
      <c r="A346" s="5" t="str">
        <f>CONCATENATE("F",IF(B346&lt;&gt;"",COUNTA($B$2:B346),""))</f>
        <v>F219</v>
      </c>
      <c r="B346" s="126" t="s">
        <v>37</v>
      </c>
      <c r="C346" s="126" t="s">
        <v>32</v>
      </c>
      <c r="D346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3.5766748365392553</v>
      </c>
      <c r="E34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6" s="126">
        <f>VLOOKUP(woodflow[[#This Row],[From]],woodstock[#All],4,FALSE)</f>
        <v>2021</v>
      </c>
      <c r="G346" s="5" t="str">
        <f>VLOOKUP(woodflow[[#This Row],[From]],woodstock[#All],5,FALSE)</f>
        <v>OAS</v>
      </c>
      <c r="H346" s="135" t="str">
        <f>VLOOKUP(woodflow[[#This Row],[From]],woodstock[#All],7,FALSE)</f>
        <v>38</v>
      </c>
      <c r="I346" s="135" t="str">
        <f>VLOOKUP(woodflow[[#This Row],[to]],woodstock[#All],7,FALSE)</f>
        <v>45</v>
      </c>
      <c r="J346" s="135" t="str">
        <f>VLOOKUP(woodflow[[#This Row],[From]],woodstock[#All],8,FALSE)</f>
        <v>0</v>
      </c>
      <c r="K346" s="135" t="str">
        <f>VLOOKUP(woodflow[[#This Row],[to]],woodstock[#All],8,FALSE)</f>
        <v>0</v>
      </c>
      <c r="L346" s="136" t="str">
        <f>VLOOKUP(woodflow[[#This Row],[From]],woodstock[#All],9,FALSE)</f>
        <v>nan</v>
      </c>
      <c r="M346" s="136" t="str">
        <f>VLOOKUP(woodflow[[#This Row],[to]],woodstock[#All],9,FALSE)</f>
        <v>nan</v>
      </c>
      <c r="N346" s="131">
        <f>((N87+N163+N172+N202+N214+N232+N241+N253+N262)*'production-mass-balance'!B82)+(N555-N636)</f>
        <v>3.5766748365392553</v>
      </c>
      <c r="O346" s="126" t="s">
        <v>556</v>
      </c>
      <c r="P346" s="126" t="s">
        <v>456</v>
      </c>
      <c r="Q346" s="126"/>
      <c r="R346" s="1"/>
      <c r="S346" s="1"/>
      <c r="T346" s="1"/>
      <c r="U346" s="1"/>
      <c r="V346" s="1"/>
    </row>
    <row r="347" spans="1:22" x14ac:dyDescent="0.3">
      <c r="A347" s="5" t="str">
        <f>CONCATENATE("F",IF(B347&lt;&gt;"",COUNTA($B$2:B347),""))</f>
        <v>F</v>
      </c>
      <c r="B347" s="126"/>
      <c r="C347" s="126"/>
      <c r="D347" s="133"/>
      <c r="E347" s="133"/>
      <c r="F347" s="126"/>
      <c r="G347" s="5"/>
      <c r="H347" s="135"/>
      <c r="I347" s="135"/>
      <c r="J347" s="135"/>
      <c r="K347" s="135"/>
      <c r="L347" s="136"/>
      <c r="M347" s="136"/>
      <c r="N347" s="131"/>
      <c r="O347" s="126"/>
      <c r="P347" s="126"/>
      <c r="Q347" s="126"/>
      <c r="R347" s="1"/>
      <c r="S347" s="1"/>
      <c r="T347" s="1"/>
      <c r="U347" s="1"/>
      <c r="V347" s="1"/>
    </row>
    <row r="348" spans="1:22" x14ac:dyDescent="0.3">
      <c r="A348" s="5" t="str">
        <f>CONCATENATE("F",IF(B348&lt;&gt;"",COUNTA($B$2:B348),""))</f>
        <v>F</v>
      </c>
      <c r="B348" s="126"/>
      <c r="C348" s="126"/>
      <c r="D348" s="133"/>
      <c r="E348" s="133"/>
      <c r="F348" s="126"/>
      <c r="G348" s="5"/>
      <c r="H348" s="135"/>
      <c r="I348" s="135"/>
      <c r="J348" s="135"/>
      <c r="K348" s="135"/>
      <c r="L348" s="136"/>
      <c r="M348" s="136"/>
      <c r="N348" s="131"/>
      <c r="O348" s="126"/>
      <c r="P348" s="126"/>
      <c r="Q348" s="126"/>
      <c r="R348" s="1"/>
      <c r="S348" s="1"/>
      <c r="T348" s="1"/>
      <c r="U348" s="1"/>
      <c r="V348" s="1"/>
    </row>
    <row r="349" spans="1:22" x14ac:dyDescent="0.3">
      <c r="A349" s="5" t="str">
        <f>CONCATENATE("F",IF(B349&lt;&gt;"",COUNTA($B$2:B349),""))</f>
        <v>F220</v>
      </c>
      <c r="B349" s="126" t="s">
        <v>37</v>
      </c>
      <c r="C349" s="126" t="s">
        <v>73</v>
      </c>
      <c r="D349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0.35533438153341768</v>
      </c>
      <c r="E34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9" s="126">
        <f>VLOOKUP(woodflow[[#This Row],[From]],woodstock[#All],4,FALSE)</f>
        <v>2021</v>
      </c>
      <c r="G349" s="5" t="str">
        <f>VLOOKUP(woodflow[[#This Row],[From]],woodstock[#All],5,FALSE)</f>
        <v>OAS</v>
      </c>
      <c r="H349" s="135" t="str">
        <f>VLOOKUP(woodflow[[#This Row],[From]],woodstock[#All],7,FALSE)</f>
        <v>38</v>
      </c>
      <c r="I349" s="135" t="str">
        <f>VLOOKUP(woodflow[[#This Row],[to]],woodstock[#All],7,FALSE)</f>
        <v>51</v>
      </c>
      <c r="J349" s="135" t="str">
        <f>VLOOKUP(woodflow[[#This Row],[From]],woodstock[#All],8,FALSE)</f>
        <v>0</v>
      </c>
      <c r="K349" s="135" t="str">
        <f>VLOOKUP(woodflow[[#This Row],[to]],woodstock[#All],8,FALSE)</f>
        <v>0</v>
      </c>
      <c r="L349" s="136" t="str">
        <f>VLOOKUP(woodflow[[#This Row],[From]],woodstock[#All],9,FALSE)</f>
        <v>nan</v>
      </c>
      <c r="M349" s="136" t="str">
        <f>VLOOKUP(woodflow[[#This Row],[to]],woodstock[#All],9,FALSE)</f>
        <v>nan</v>
      </c>
      <c r="N349" s="131">
        <f>((N87+N163+N172+N202+N214+N232+N241+N253+N262)*(SUM('production-mass-balance'!B83:B85)))</f>
        <v>0.35533438153341768</v>
      </c>
      <c r="O349" s="126" t="s">
        <v>556</v>
      </c>
      <c r="P349" s="126" t="s">
        <v>456</v>
      </c>
      <c r="Q349" s="126"/>
      <c r="R349" s="1"/>
      <c r="S349" s="1"/>
      <c r="T349" s="1"/>
      <c r="U349" s="1"/>
      <c r="V349" s="1"/>
    </row>
    <row r="350" spans="1:22" x14ac:dyDescent="0.3">
      <c r="A350" s="5" t="str">
        <f>CONCATENATE("F",IF(B350&lt;&gt;"",COUNTA($B$2:B350),""))</f>
        <v>F</v>
      </c>
      <c r="B350" s="126"/>
      <c r="C350" s="126"/>
      <c r="D350" s="133"/>
      <c r="E350" s="133"/>
      <c r="F350" s="126"/>
      <c r="G350" s="5"/>
      <c r="H350" s="135"/>
      <c r="I350" s="135"/>
      <c r="J350" s="135"/>
      <c r="K350" s="135"/>
      <c r="L350" s="136"/>
      <c r="M350" s="136"/>
      <c r="N350" s="131"/>
      <c r="O350" s="126"/>
      <c r="P350" s="126"/>
      <c r="Q350" s="126"/>
      <c r="R350" s="1"/>
      <c r="S350" s="1"/>
      <c r="T350" s="1"/>
      <c r="U350" s="1"/>
      <c r="V350" s="1"/>
    </row>
    <row r="351" spans="1:22" x14ac:dyDescent="0.3">
      <c r="A351" s="5" t="str">
        <f>CONCATENATE("F",IF(B351&lt;&gt;"",COUNTA($B$2:B351),""))</f>
        <v>F</v>
      </c>
      <c r="B351" s="126"/>
      <c r="C351" s="126"/>
      <c r="D351" s="133"/>
      <c r="E351" s="133"/>
      <c r="F351" s="126"/>
      <c r="G351" s="5"/>
      <c r="H351" s="135"/>
      <c r="I351" s="135"/>
      <c r="J351" s="135"/>
      <c r="K351" s="135"/>
      <c r="L351" s="136"/>
      <c r="M351" s="136"/>
      <c r="N351" s="131"/>
      <c r="O351" s="126"/>
      <c r="P351" s="126"/>
      <c r="Q351" s="126"/>
      <c r="R351" s="1"/>
      <c r="S351" s="1"/>
      <c r="T351" s="1"/>
      <c r="U351" s="1"/>
      <c r="V351" s="1"/>
    </row>
    <row r="352" spans="1:22" x14ac:dyDescent="0.3">
      <c r="A352" s="5" t="str">
        <f>CONCATENATE("F",IF(B352&lt;&gt;"",COUNTA($B$2:B352),""))</f>
        <v>F221</v>
      </c>
      <c r="B352" s="126" t="s">
        <v>39</v>
      </c>
      <c r="C352" s="126" t="s">
        <v>33</v>
      </c>
      <c r="D352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0.38356435247710452</v>
      </c>
      <c r="E352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2" s="126">
        <f>VLOOKUP(woodflow[[#This Row],[From]],woodstock[#All],4,FALSE)</f>
        <v>2021</v>
      </c>
      <c r="G352" s="5" t="str">
        <f>VLOOKUP(woodflow[[#This Row],[From]],woodstock[#All],5,FALSE)</f>
        <v>OAS</v>
      </c>
      <c r="H352" s="135" t="str">
        <f>VLOOKUP(woodflow[[#This Row],[From]],woodstock[#All],7,FALSE)</f>
        <v>39</v>
      </c>
      <c r="I352" s="135" t="str">
        <f>VLOOKUP(woodflow[[#This Row],[to]],woodstock[#All],7,FALSE)</f>
        <v>46</v>
      </c>
      <c r="J352" s="135" t="str">
        <f>VLOOKUP(woodflow[[#This Row],[From]],woodstock[#All],8,FALSE)</f>
        <v>0</v>
      </c>
      <c r="K352" s="135" t="str">
        <f>VLOOKUP(woodflow[[#This Row],[to]],woodstock[#All],8,FALSE)</f>
        <v>0</v>
      </c>
      <c r="L352" s="136" t="str">
        <f>VLOOKUP(woodflow[[#This Row],[From]],woodstock[#All],9,FALSE)</f>
        <v>nan</v>
      </c>
      <c r="M352" s="136" t="str">
        <f>VLOOKUP(woodflow[[#This Row],[to]],woodstock[#All],9,FALSE)</f>
        <v>nan</v>
      </c>
      <c r="N352" s="131">
        <f>N164+N173+N203+N215+N242</f>
        <v>0.38356435247710452</v>
      </c>
      <c r="O352" s="126" t="s">
        <v>556</v>
      </c>
      <c r="P352" s="126" t="s">
        <v>239</v>
      </c>
      <c r="Q352" s="132" t="s">
        <v>461</v>
      </c>
      <c r="R352" s="1"/>
      <c r="S352" s="1"/>
      <c r="T352" s="1"/>
      <c r="U352" s="1"/>
      <c r="V352" s="1"/>
    </row>
    <row r="353" spans="1:22" x14ac:dyDescent="0.3">
      <c r="A353" s="5" t="str">
        <f>CONCATENATE("F",IF(B353&lt;&gt;"",COUNTA($B$2:B353),""))</f>
        <v>F</v>
      </c>
      <c r="B353" s="126"/>
      <c r="C353" s="126"/>
      <c r="D353" s="133"/>
      <c r="E353" s="133"/>
      <c r="F353" s="126"/>
      <c r="G353" s="5"/>
      <c r="H353" s="135"/>
      <c r="I353" s="135"/>
      <c r="J353" s="135"/>
      <c r="K353" s="135"/>
      <c r="L353" s="136"/>
      <c r="M353" s="136"/>
      <c r="N353" s="131"/>
      <c r="O353" s="126"/>
      <c r="P353" s="126"/>
      <c r="Q353" s="126"/>
      <c r="R353" s="1"/>
      <c r="S353" s="1"/>
      <c r="T353" s="1"/>
      <c r="U353" s="1"/>
      <c r="V353" s="1"/>
    </row>
    <row r="354" spans="1:22" x14ac:dyDescent="0.3">
      <c r="A354" s="5" t="str">
        <f>CONCATENATE("F",IF(B354&lt;&gt;"",COUNTA($B$2:B354),""))</f>
        <v>F</v>
      </c>
      <c r="B354" s="126"/>
      <c r="C354" s="126"/>
      <c r="D354" s="133"/>
      <c r="E354" s="133"/>
      <c r="F354" s="126"/>
      <c r="G354" s="5"/>
      <c r="H354" s="135"/>
      <c r="I354" s="135"/>
      <c r="J354" s="135"/>
      <c r="K354" s="135"/>
      <c r="L354" s="136"/>
      <c r="M354" s="136"/>
      <c r="N354" s="131"/>
      <c r="O354" s="126"/>
      <c r="P354" s="126"/>
      <c r="Q354" s="126"/>
      <c r="R354" s="1"/>
      <c r="S354" s="1"/>
      <c r="T354" s="1"/>
      <c r="U354" s="1"/>
      <c r="V354" s="1"/>
    </row>
    <row r="355" spans="1:22" x14ac:dyDescent="0.3">
      <c r="A355" s="5" t="str">
        <f>CONCATENATE("F",IF(B355&lt;&gt;"",COUNTA($B$2:B355),""))</f>
        <v>F222</v>
      </c>
      <c r="B355" s="126" t="s">
        <v>39</v>
      </c>
      <c r="C355" s="126" t="s">
        <v>73</v>
      </c>
      <c r="D355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3.4662584548192869E-2</v>
      </c>
      <c r="E355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5" s="126">
        <f>VLOOKUP(woodflow[[#This Row],[From]],woodstock[#All],4,FALSE)</f>
        <v>2021</v>
      </c>
      <c r="G355" s="5" t="str">
        <f>VLOOKUP(woodflow[[#This Row],[From]],woodstock[#All],5,FALSE)</f>
        <v>OAS</v>
      </c>
      <c r="H355" s="135" t="str">
        <f>VLOOKUP(woodflow[[#This Row],[From]],woodstock[#All],7,FALSE)</f>
        <v>39</v>
      </c>
      <c r="I355" s="135" t="str">
        <f>VLOOKUP(woodflow[[#This Row],[to]],woodstock[#All],7,FALSE)</f>
        <v>51</v>
      </c>
      <c r="J355" s="135" t="str">
        <f>VLOOKUP(woodflow[[#This Row],[From]],woodstock[#All],8,FALSE)</f>
        <v>0</v>
      </c>
      <c r="K355" s="135" t="str">
        <f>VLOOKUP(woodflow[[#This Row],[to]],woodstock[#All],8,FALSE)</f>
        <v>0</v>
      </c>
      <c r="L355" s="136" t="str">
        <f>VLOOKUP(woodflow[[#This Row],[From]],woodstock[#All],9,FALSE)</f>
        <v>nan</v>
      </c>
      <c r="M355" s="136" t="str">
        <f>VLOOKUP(woodflow[[#This Row],[to]],woodstock[#All],9,FALSE)</f>
        <v>nan</v>
      </c>
      <c r="N355" s="131">
        <f>(N88+N164+N173+N203+N215+N233+N242+N254+N263)*(SUM('production-mass-balance'!B83:B85))</f>
        <v>3.4662584548192869E-2</v>
      </c>
      <c r="O355" s="126" t="s">
        <v>556</v>
      </c>
      <c r="P355" s="126" t="s">
        <v>456</v>
      </c>
      <c r="Q355" s="126"/>
      <c r="R355" s="1"/>
      <c r="S355" s="1"/>
      <c r="T355" s="1"/>
      <c r="U355" s="1"/>
      <c r="V355" s="1"/>
    </row>
    <row r="356" spans="1:22" x14ac:dyDescent="0.3">
      <c r="A356" s="5" t="str">
        <f>CONCATENATE("F",IF(B356&lt;&gt;"",COUNTA($B$2:B356),""))</f>
        <v>F</v>
      </c>
      <c r="B356" s="126"/>
      <c r="C356" s="126"/>
      <c r="D356" s="133"/>
      <c r="E356" s="133"/>
      <c r="F356" s="126"/>
      <c r="G356" s="5"/>
      <c r="H356" s="135"/>
      <c r="I356" s="135"/>
      <c r="J356" s="135"/>
      <c r="K356" s="135"/>
      <c r="L356" s="136"/>
      <c r="M356" s="136"/>
      <c r="N356" s="131"/>
      <c r="O356" s="126"/>
      <c r="P356" s="126"/>
      <c r="Q356" s="126"/>
      <c r="R356" s="1"/>
      <c r="S356" s="1"/>
      <c r="T356" s="1"/>
      <c r="U356" s="1"/>
      <c r="V356" s="1"/>
    </row>
    <row r="357" spans="1:22" x14ac:dyDescent="0.3">
      <c r="A357" s="5" t="str">
        <f>CONCATENATE("F",IF(B357&lt;&gt;"",COUNTA($B$2:B357),""))</f>
        <v>F</v>
      </c>
      <c r="B357" s="126"/>
      <c r="C357" s="126"/>
      <c r="D357" s="133"/>
      <c r="E357" s="133"/>
      <c r="F357" s="126"/>
      <c r="G357" s="5"/>
      <c r="H357" s="135"/>
      <c r="I357" s="135"/>
      <c r="J357" s="135"/>
      <c r="K357" s="135"/>
      <c r="L357" s="136"/>
      <c r="M357" s="136"/>
      <c r="N357" s="131"/>
      <c r="O357" s="126"/>
      <c r="P357" s="126"/>
      <c r="Q357" s="126"/>
      <c r="R357" s="1"/>
      <c r="S357" s="1"/>
      <c r="T357" s="1"/>
      <c r="U357" s="1"/>
      <c r="V357" s="1"/>
    </row>
    <row r="358" spans="1:22" x14ac:dyDescent="0.3">
      <c r="A358" s="5" t="str">
        <f>CONCATENATE("F",IF(B358&lt;&gt;"",COUNTA($B$2:B358),""))</f>
        <v>F223</v>
      </c>
      <c r="B358" s="126" t="s">
        <v>40</v>
      </c>
      <c r="C358" s="126" t="s">
        <v>33</v>
      </c>
      <c r="D35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10.891074834098777</v>
      </c>
      <c r="E35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8" s="126">
        <f>VLOOKUP(woodflow[[#This Row],[From]],woodstock[#All],4,FALSE)</f>
        <v>2021</v>
      </c>
      <c r="G358" s="5" t="str">
        <f>VLOOKUP(woodflow[[#This Row],[From]],woodstock[#All],5,FALSE)</f>
        <v>OAS</v>
      </c>
      <c r="H358" s="135" t="str">
        <f>VLOOKUP(woodflow[[#This Row],[From]],woodstock[#All],7,FALSE)</f>
        <v>40</v>
      </c>
      <c r="I358" s="135" t="str">
        <f>VLOOKUP(woodflow[[#This Row],[to]],woodstock[#All],7,FALSE)</f>
        <v>46</v>
      </c>
      <c r="J358" s="135" t="str">
        <f>VLOOKUP(woodflow[[#This Row],[From]],woodstock[#All],8,FALSE)</f>
        <v>0</v>
      </c>
      <c r="K358" s="135" t="str">
        <f>VLOOKUP(woodflow[[#This Row],[to]],woodstock[#All],8,FALSE)</f>
        <v>0</v>
      </c>
      <c r="L358" s="136" t="str">
        <f>VLOOKUP(woodflow[[#This Row],[From]],woodstock[#All],9,FALSE)</f>
        <v>nan</v>
      </c>
      <c r="M358" s="136" t="str">
        <f>VLOOKUP(woodflow[[#This Row],[to]],woodstock[#All],9,FALSE)</f>
        <v>nan</v>
      </c>
      <c r="N358" s="131">
        <f>((N89+N165+N174+N204+N216+N234+N243+N255+N264+N269)*'production-mass-balance'!B82)+(N557-N638)</f>
        <v>10.891074834098777</v>
      </c>
      <c r="O358" s="126" t="s">
        <v>556</v>
      </c>
      <c r="P358" s="126" t="s">
        <v>456</v>
      </c>
      <c r="Q358" s="126"/>
      <c r="R358" s="1"/>
      <c r="S358" s="1"/>
      <c r="T358" s="1"/>
      <c r="U358" s="1"/>
      <c r="V358" s="1"/>
    </row>
    <row r="359" spans="1:22" x14ac:dyDescent="0.3">
      <c r="A359" s="5" t="str">
        <f>CONCATENATE("F",IF(B359&lt;&gt;"",COUNTA($B$2:B359),""))</f>
        <v>F</v>
      </c>
      <c r="B359" s="126"/>
      <c r="C359" s="126"/>
      <c r="D359" s="133"/>
      <c r="E359" s="133"/>
      <c r="F359" s="126"/>
      <c r="G359" s="5"/>
      <c r="H359" s="135"/>
      <c r="I359" s="135"/>
      <c r="J359" s="135"/>
      <c r="K359" s="135"/>
      <c r="L359" s="136"/>
      <c r="M359" s="136"/>
      <c r="N359" s="131"/>
      <c r="O359" s="126"/>
      <c r="P359" s="126"/>
      <c r="Q359" s="126"/>
      <c r="R359" s="1"/>
      <c r="S359" s="1"/>
      <c r="T359" s="1"/>
      <c r="U359" s="1"/>
      <c r="V359" s="1"/>
    </row>
    <row r="360" spans="1:22" x14ac:dyDescent="0.3">
      <c r="A360" s="5" t="str">
        <f>CONCATENATE("F",IF(B360&lt;&gt;"",COUNTA($B$2:B360),""))</f>
        <v>F</v>
      </c>
      <c r="B360" s="126"/>
      <c r="C360" s="126"/>
      <c r="D360" s="133"/>
      <c r="E360" s="133"/>
      <c r="F360" s="126"/>
      <c r="G360" s="5"/>
      <c r="H360" s="135"/>
      <c r="I360" s="135"/>
      <c r="J360" s="135"/>
      <c r="K360" s="135"/>
      <c r="L360" s="136"/>
      <c r="M360" s="136"/>
      <c r="N360" s="131"/>
      <c r="O360" s="126"/>
      <c r="P360" s="126"/>
      <c r="Q360" s="126"/>
      <c r="R360" s="1"/>
      <c r="S360" s="1"/>
      <c r="T360" s="1"/>
      <c r="U360" s="1"/>
      <c r="V360" s="1"/>
    </row>
    <row r="361" spans="1:22" x14ac:dyDescent="0.3">
      <c r="A361" s="5" t="str">
        <f>CONCATENATE("F",IF(B361&lt;&gt;"",COUNTA($B$2:B361),""))</f>
        <v>F224</v>
      </c>
      <c r="B361" s="126" t="s">
        <v>40</v>
      </c>
      <c r="C361" s="126" t="s">
        <v>73</v>
      </c>
      <c r="D361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1.0758051883714848</v>
      </c>
      <c r="E361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1" s="126">
        <f>VLOOKUP(woodflow[[#This Row],[From]],woodstock[#All],4,FALSE)</f>
        <v>2021</v>
      </c>
      <c r="G361" s="5" t="str">
        <f>VLOOKUP(woodflow[[#This Row],[From]],woodstock[#All],5,FALSE)</f>
        <v>OAS</v>
      </c>
      <c r="H361" s="135" t="str">
        <f>VLOOKUP(woodflow[[#This Row],[From]],woodstock[#All],7,FALSE)</f>
        <v>40</v>
      </c>
      <c r="I361" s="135" t="str">
        <f>VLOOKUP(woodflow[[#This Row],[to]],woodstock[#All],7,FALSE)</f>
        <v>51</v>
      </c>
      <c r="J361" s="135" t="str">
        <f>VLOOKUP(woodflow[[#This Row],[From]],woodstock[#All],8,FALSE)</f>
        <v>0</v>
      </c>
      <c r="K361" s="135" t="str">
        <f>VLOOKUP(woodflow[[#This Row],[to]],woodstock[#All],8,FALSE)</f>
        <v>0</v>
      </c>
      <c r="L361" s="136" t="str">
        <f>VLOOKUP(woodflow[[#This Row],[From]],woodstock[#All],9,FALSE)</f>
        <v>nan</v>
      </c>
      <c r="M361" s="136" t="str">
        <f>VLOOKUP(woodflow[[#This Row],[to]],woodstock[#All],9,FALSE)</f>
        <v>nan</v>
      </c>
      <c r="N361" s="131">
        <f>(N89+N165+N174+N204+N216+N234+N243+N255+N264)*(SUM('production-mass-balance'!B83:B85))</f>
        <v>1.0758051883714848</v>
      </c>
      <c r="O361" s="126" t="s">
        <v>556</v>
      </c>
      <c r="P361" s="126" t="s">
        <v>456</v>
      </c>
      <c r="Q361" s="126"/>
      <c r="R361" s="1"/>
      <c r="S361" s="1"/>
      <c r="T361" s="1"/>
      <c r="U361" s="1"/>
      <c r="V361" s="1"/>
    </row>
    <row r="362" spans="1:22" x14ac:dyDescent="0.3">
      <c r="A362" s="5" t="str">
        <f>CONCATENATE("F",IF(B362&lt;&gt;"",COUNTA($B$2:B362),""))</f>
        <v>F</v>
      </c>
      <c r="B362" s="126"/>
      <c r="C362" s="126"/>
      <c r="D362" s="133"/>
      <c r="E362" s="133"/>
      <c r="F362" s="126"/>
      <c r="G362" s="5"/>
      <c r="H362" s="135"/>
      <c r="I362" s="135"/>
      <c r="J362" s="135"/>
      <c r="K362" s="135"/>
      <c r="L362" s="136"/>
      <c r="M362" s="136"/>
      <c r="N362" s="131"/>
      <c r="O362" s="126"/>
      <c r="P362" s="126"/>
      <c r="Q362" s="126"/>
      <c r="R362" s="1"/>
      <c r="S362" s="1"/>
      <c r="T362" s="1"/>
      <c r="U362" s="1"/>
      <c r="V362" s="1"/>
    </row>
    <row r="363" spans="1:22" x14ac:dyDescent="0.3">
      <c r="A363" s="5" t="str">
        <f>CONCATENATE("F",IF(B363&lt;&gt;"",COUNTA($B$2:B363),""))</f>
        <v>F</v>
      </c>
      <c r="B363" s="126"/>
      <c r="C363" s="126"/>
      <c r="D363" s="133"/>
      <c r="E363" s="133"/>
      <c r="F363" s="126"/>
      <c r="G363" s="5"/>
      <c r="H363" s="135"/>
      <c r="I363" s="135"/>
      <c r="J363" s="135"/>
      <c r="K363" s="135"/>
      <c r="L363" s="136"/>
      <c r="M363" s="136"/>
      <c r="N363" s="131"/>
      <c r="O363" s="126"/>
      <c r="P363" s="126"/>
      <c r="Q363" s="126"/>
      <c r="R363" s="1"/>
      <c r="S363" s="1"/>
      <c r="T363" s="1"/>
      <c r="U363" s="1"/>
      <c r="V363" s="1"/>
    </row>
    <row r="364" spans="1:22" x14ac:dyDescent="0.3">
      <c r="A364" s="5" t="str">
        <f>CONCATENATE("F",IF(B364&lt;&gt;"",COUNTA($B$2:B364),""))</f>
        <v>F225</v>
      </c>
      <c r="B364" s="126" t="s">
        <v>41</v>
      </c>
      <c r="C364" s="126" t="s">
        <v>34</v>
      </c>
      <c r="D364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5.8371167192320925</v>
      </c>
      <c r="E364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4" s="126">
        <f>VLOOKUP(woodflow[[#This Row],[From]],woodstock[#All],4,FALSE)</f>
        <v>2021</v>
      </c>
      <c r="G364" s="5" t="str">
        <f>VLOOKUP(woodflow[[#This Row],[From]],woodstock[#All],5,FALSE)</f>
        <v>OAS</v>
      </c>
      <c r="H364" s="135" t="str">
        <f>VLOOKUP(woodflow[[#This Row],[From]],woodstock[#All],7,FALSE)</f>
        <v>41</v>
      </c>
      <c r="I364" s="135" t="str">
        <f>VLOOKUP(woodflow[[#This Row],[to]],woodstock[#All],7,FALSE)</f>
        <v>47</v>
      </c>
      <c r="J364" s="135" t="str">
        <f>VLOOKUP(woodflow[[#This Row],[From]],woodstock[#All],8,FALSE)</f>
        <v>0</v>
      </c>
      <c r="K364" s="135" t="str">
        <f>VLOOKUP(woodflow[[#This Row],[to]],woodstock[#All],8,FALSE)</f>
        <v>0</v>
      </c>
      <c r="L364" s="136" t="str">
        <f>VLOOKUP(woodflow[[#This Row],[From]],woodstock[#All],9,FALSE)</f>
        <v>nan</v>
      </c>
      <c r="M364" s="136" t="str">
        <f>VLOOKUP(woodflow[[#This Row],[to]],woodstock[#All],9,FALSE)</f>
        <v>nan</v>
      </c>
      <c r="N364" s="131">
        <f>((N90+N166+N175+N205+N217+N235+N244+N256+N265)*'production-mass-balance'!B82)+(N558-N639)</f>
        <v>5.8371167192320925</v>
      </c>
      <c r="O364" s="126" t="s">
        <v>556</v>
      </c>
      <c r="P364" s="126" t="s">
        <v>456</v>
      </c>
      <c r="Q364" s="126"/>
      <c r="R364" s="1"/>
      <c r="S364" s="1"/>
      <c r="T364" s="1"/>
      <c r="U364" s="1"/>
      <c r="V364" s="1"/>
    </row>
    <row r="365" spans="1:22" x14ac:dyDescent="0.3">
      <c r="A365" s="5" t="str">
        <f>CONCATENATE("F",IF(B365&lt;&gt;"",COUNTA($B$2:B365),""))</f>
        <v>F</v>
      </c>
      <c r="B365" s="126"/>
      <c r="C365" s="126"/>
      <c r="D365" s="133"/>
      <c r="E365" s="133"/>
      <c r="F365" s="126"/>
      <c r="G365" s="5"/>
      <c r="H365" s="135"/>
      <c r="I365" s="135"/>
      <c r="J365" s="135"/>
      <c r="K365" s="135"/>
      <c r="L365" s="136"/>
      <c r="M365" s="136"/>
      <c r="N365" s="131"/>
      <c r="O365" s="126"/>
      <c r="P365" s="126"/>
      <c r="Q365" s="126"/>
      <c r="R365" s="1"/>
      <c r="S365" s="1"/>
      <c r="T365" s="1"/>
      <c r="U365" s="1"/>
      <c r="V365" s="1"/>
    </row>
    <row r="366" spans="1:22" x14ac:dyDescent="0.3">
      <c r="A366" s="5" t="str">
        <f>CONCATENATE("F",IF(B366&lt;&gt;"",COUNTA($B$2:B366),""))</f>
        <v>F</v>
      </c>
      <c r="B366" s="126"/>
      <c r="C366" s="126"/>
      <c r="D366" s="133"/>
      <c r="E366" s="133"/>
      <c r="F366" s="126"/>
      <c r="G366" s="5"/>
      <c r="H366" s="135"/>
      <c r="I366" s="135"/>
      <c r="J366" s="135"/>
      <c r="K366" s="135"/>
      <c r="L366" s="136"/>
      <c r="M366" s="136"/>
      <c r="N366" s="131"/>
      <c r="O366" s="126"/>
      <c r="P366" s="126"/>
      <c r="Q366" s="126"/>
      <c r="R366" s="1"/>
      <c r="S366" s="1"/>
      <c r="T366" s="1"/>
      <c r="U366" s="1"/>
      <c r="V366" s="1"/>
    </row>
    <row r="367" spans="1:22" x14ac:dyDescent="0.3">
      <c r="A367" s="5" t="str">
        <f>CONCATENATE("F",IF(B367&lt;&gt;"",COUNTA($B$2:B367),""))</f>
        <v>F226</v>
      </c>
      <c r="B367" s="126" t="s">
        <v>41</v>
      </c>
      <c r="C367" s="126" t="s">
        <v>73</v>
      </c>
      <c r="D367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0.57990406010002504</v>
      </c>
      <c r="E36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7" s="126">
        <f>VLOOKUP(woodflow[[#This Row],[From]],woodstock[#All],4,FALSE)</f>
        <v>2021</v>
      </c>
      <c r="G367" s="5" t="str">
        <f>VLOOKUP(woodflow[[#This Row],[From]],woodstock[#All],5,FALSE)</f>
        <v>OAS</v>
      </c>
      <c r="H367" s="135" t="str">
        <f>VLOOKUP(woodflow[[#This Row],[From]],woodstock[#All],7,FALSE)</f>
        <v>41</v>
      </c>
      <c r="I367" s="135" t="str">
        <f>VLOOKUP(woodflow[[#This Row],[to]],woodstock[#All],7,FALSE)</f>
        <v>51</v>
      </c>
      <c r="J367" s="135" t="str">
        <f>VLOOKUP(woodflow[[#This Row],[From]],woodstock[#All],8,FALSE)</f>
        <v>0</v>
      </c>
      <c r="K367" s="135" t="str">
        <f>VLOOKUP(woodflow[[#This Row],[to]],woodstock[#All],8,FALSE)</f>
        <v>0</v>
      </c>
      <c r="L367" s="136" t="str">
        <f>VLOOKUP(woodflow[[#This Row],[From]],woodstock[#All],9,FALSE)</f>
        <v>nan</v>
      </c>
      <c r="M367" s="136" t="str">
        <f>VLOOKUP(woodflow[[#This Row],[to]],woodstock[#All],9,FALSE)</f>
        <v>nan</v>
      </c>
      <c r="N367" s="131">
        <f>(N90+N166+N175+N205+N217+N235+N244+N256+N265)*(SUM('production-mass-balance'!B83:B85))</f>
        <v>0.57990406010002504</v>
      </c>
      <c r="O367" s="126" t="s">
        <v>556</v>
      </c>
      <c r="P367" s="126" t="s">
        <v>456</v>
      </c>
      <c r="Q367" s="126"/>
      <c r="R367" s="1"/>
      <c r="S367" s="1"/>
      <c r="T367" s="1"/>
      <c r="U367" s="1"/>
      <c r="V367" s="1"/>
    </row>
    <row r="368" spans="1:22" x14ac:dyDescent="0.3">
      <c r="A368" s="5" t="str">
        <f>CONCATENATE("F",IF(B368&lt;&gt;"",COUNTA($B$2:B368),""))</f>
        <v>F</v>
      </c>
      <c r="B368" s="126"/>
      <c r="C368" s="126"/>
      <c r="D368" s="133"/>
      <c r="E368" s="133"/>
      <c r="F368" s="126"/>
      <c r="G368" s="5"/>
      <c r="H368" s="135"/>
      <c r="I368" s="135"/>
      <c r="J368" s="135"/>
      <c r="K368" s="135"/>
      <c r="L368" s="136"/>
      <c r="M368" s="136"/>
      <c r="N368" s="131"/>
      <c r="O368" s="126"/>
      <c r="P368" s="126"/>
      <c r="Q368" s="126"/>
      <c r="R368" s="1"/>
      <c r="S368" s="1"/>
      <c r="T368" s="1"/>
      <c r="U368" s="1"/>
      <c r="V368" s="1"/>
    </row>
    <row r="369" spans="1:22" x14ac:dyDescent="0.3">
      <c r="A369" s="5" t="str">
        <f>CONCATENATE("F",IF(B369&lt;&gt;"",COUNTA($B$2:B369),""))</f>
        <v>F</v>
      </c>
      <c r="B369" s="126"/>
      <c r="C369" s="126"/>
      <c r="D369" s="133"/>
      <c r="E369" s="133"/>
      <c r="F369" s="126"/>
      <c r="G369" s="5"/>
      <c r="H369" s="135"/>
      <c r="I369" s="135"/>
      <c r="J369" s="135"/>
      <c r="K369" s="135"/>
      <c r="L369" s="136"/>
      <c r="M369" s="136"/>
      <c r="N369" s="131"/>
      <c r="O369" s="126"/>
      <c r="P369" s="126"/>
      <c r="Q369" s="126"/>
      <c r="R369" s="1"/>
      <c r="S369" s="1"/>
      <c r="T369" s="1"/>
      <c r="U369" s="1"/>
      <c r="V369" s="1"/>
    </row>
    <row r="370" spans="1:22" x14ac:dyDescent="0.3">
      <c r="A370" s="5" t="str">
        <f>CONCATENATE("F",IF(B370&lt;&gt;"",COUNTA($B$2:B370),""))</f>
        <v>F227</v>
      </c>
      <c r="B370" s="126" t="s">
        <v>38</v>
      </c>
      <c r="C370" s="126" t="s">
        <v>57</v>
      </c>
      <c r="D370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3.2895860811738702</v>
      </c>
      <c r="E370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0" s="126">
        <f>VLOOKUP(woodflow[[#This Row],[From]],woodstock[#All],4,FALSE)</f>
        <v>2021</v>
      </c>
      <c r="G370" s="5" t="str">
        <f>VLOOKUP(woodflow[[#This Row],[From]],woodstock[#All],5,FALSE)</f>
        <v>OAS</v>
      </c>
      <c r="H370" s="135" t="str">
        <f>VLOOKUP(woodflow[[#This Row],[From]],woodstock[#All],7,FALSE)</f>
        <v>42</v>
      </c>
      <c r="I370" s="135" t="str">
        <f>VLOOKUP(woodflow[[#This Row],[to]],woodstock[#All],7,FALSE)</f>
        <v>49</v>
      </c>
      <c r="J370" s="135" t="str">
        <f>VLOOKUP(woodflow[[#This Row],[From]],woodstock[#All],8,FALSE)</f>
        <v>0</v>
      </c>
      <c r="K370" s="135" t="str">
        <f>VLOOKUP(woodflow[[#This Row],[to]],woodstock[#All],8,FALSE)</f>
        <v>0</v>
      </c>
      <c r="L370" s="136" t="str">
        <f>VLOOKUP(woodflow[[#This Row],[From]],woodstock[#All],9,FALSE)</f>
        <v>nan</v>
      </c>
      <c r="M370" s="136" t="str">
        <f>VLOOKUP(woodflow[[#This Row],[to]],woodstock[#All],9,FALSE)</f>
        <v>nan</v>
      </c>
      <c r="N370" s="131">
        <f>((N91+N167+N176+N206+N218+N236+N245+N257+N266)*'production-mass-balance'!B82)+(N559-N640)</f>
        <v>3.2895860811738702</v>
      </c>
      <c r="O370" s="126" t="s">
        <v>556</v>
      </c>
      <c r="P370" s="126" t="s">
        <v>456</v>
      </c>
      <c r="Q370" s="126"/>
      <c r="R370" s="1"/>
      <c r="S370" s="1"/>
      <c r="T370" s="1"/>
      <c r="U370" s="1"/>
      <c r="V370" s="1"/>
    </row>
    <row r="371" spans="1:22" x14ac:dyDescent="0.3">
      <c r="A371" s="5" t="str">
        <f>CONCATENATE("F",IF(B371&lt;&gt;"",COUNTA($B$2:B371),""))</f>
        <v>F</v>
      </c>
      <c r="B371" s="126"/>
      <c r="C371" s="126"/>
      <c r="D371" s="133"/>
      <c r="E371" s="133"/>
      <c r="F371" s="126"/>
      <c r="G371" s="5"/>
      <c r="H371" s="135"/>
      <c r="I371" s="135"/>
      <c r="J371" s="135"/>
      <c r="K371" s="135"/>
      <c r="L371" s="136"/>
      <c r="M371" s="136"/>
      <c r="N371" s="131"/>
      <c r="O371" s="126"/>
      <c r="P371" s="126"/>
      <c r="Q371" s="126"/>
      <c r="R371" s="1"/>
      <c r="S371" s="1"/>
      <c r="T371" s="1"/>
      <c r="U371" s="1"/>
      <c r="V371" s="1"/>
    </row>
    <row r="372" spans="1:22" x14ac:dyDescent="0.3">
      <c r="A372" s="5" t="str">
        <f>CONCATENATE("F",IF(B372&lt;&gt;"",COUNTA($B$2:B372),""))</f>
        <v>F</v>
      </c>
      <c r="B372" s="126"/>
      <c r="C372" s="126"/>
      <c r="D372" s="133"/>
      <c r="E372" s="133"/>
      <c r="F372" s="126"/>
      <c r="G372" s="5"/>
      <c r="H372" s="135"/>
      <c r="I372" s="135"/>
      <c r="J372" s="135"/>
      <c r="K372" s="135"/>
      <c r="L372" s="136"/>
      <c r="M372" s="136"/>
      <c r="N372" s="131"/>
      <c r="O372" s="126"/>
      <c r="P372" s="126"/>
      <c r="Q372" s="126"/>
      <c r="R372" s="1"/>
      <c r="S372" s="1"/>
      <c r="T372" s="1"/>
      <c r="U372" s="1"/>
      <c r="V372" s="1"/>
    </row>
    <row r="373" spans="1:22" x14ac:dyDescent="0.3">
      <c r="A373" s="5" t="str">
        <f>CONCATENATE("F",IF(B373&lt;&gt;"",COUNTA($B$2:B373),""))</f>
        <v>F228</v>
      </c>
      <c r="B373" s="126" t="s">
        <v>38</v>
      </c>
      <c r="C373" s="126" t="s">
        <v>73</v>
      </c>
      <c r="D373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0.32681277697188482</v>
      </c>
      <c r="E37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3" s="126">
        <f>VLOOKUP(woodflow[[#This Row],[From]],woodstock[#All],4,FALSE)</f>
        <v>2021</v>
      </c>
      <c r="G373" s="5" t="str">
        <f>VLOOKUP(woodflow[[#This Row],[From]],woodstock[#All],5,FALSE)</f>
        <v>OAS</v>
      </c>
      <c r="H373" s="135" t="str">
        <f>VLOOKUP(woodflow[[#This Row],[From]],woodstock[#All],7,FALSE)</f>
        <v>42</v>
      </c>
      <c r="I373" s="135" t="str">
        <f>VLOOKUP(woodflow[[#This Row],[to]],woodstock[#All],7,FALSE)</f>
        <v>51</v>
      </c>
      <c r="J373" s="135" t="str">
        <f>VLOOKUP(woodflow[[#This Row],[From]],woodstock[#All],8,FALSE)</f>
        <v>0</v>
      </c>
      <c r="K373" s="135" t="str">
        <f>VLOOKUP(woodflow[[#This Row],[to]],woodstock[#All],8,FALSE)</f>
        <v>0</v>
      </c>
      <c r="L373" s="136" t="str">
        <f>VLOOKUP(woodflow[[#This Row],[From]],woodstock[#All],9,FALSE)</f>
        <v>nan</v>
      </c>
      <c r="M373" s="136" t="str">
        <f>VLOOKUP(woodflow[[#This Row],[to]],woodstock[#All],9,FALSE)</f>
        <v>nan</v>
      </c>
      <c r="N373" s="131">
        <f>(N91+N167+N176+N206+N218+N236+N245+N257+N266)*(SUM('production-mass-balance'!B83:B85))</f>
        <v>0.32681277697188482</v>
      </c>
      <c r="O373" s="126" t="s">
        <v>556</v>
      </c>
      <c r="P373" s="126" t="s">
        <v>456</v>
      </c>
      <c r="Q373" s="126"/>
      <c r="R373" s="1"/>
      <c r="S373" s="1"/>
      <c r="T373" s="1"/>
      <c r="U373" s="1"/>
      <c r="V373" s="1"/>
    </row>
    <row r="374" spans="1:22" x14ac:dyDescent="0.3">
      <c r="A374" s="5" t="str">
        <f>CONCATENATE("F",IF(B374&lt;&gt;"",COUNTA($B$2:B374),""))</f>
        <v>F</v>
      </c>
      <c r="B374" s="126"/>
      <c r="C374" s="126"/>
      <c r="D374" s="133"/>
      <c r="E374" s="133"/>
      <c r="F374" s="126"/>
      <c r="G374" s="5"/>
      <c r="H374" s="135"/>
      <c r="I374" s="135"/>
      <c r="J374" s="135"/>
      <c r="K374" s="135"/>
      <c r="L374" s="136"/>
      <c r="M374" s="136"/>
      <c r="N374" s="131"/>
      <c r="O374" s="126"/>
      <c r="P374" s="126"/>
      <c r="Q374" s="126"/>
      <c r="R374" s="1"/>
      <c r="S374" s="1"/>
      <c r="T374" s="1"/>
      <c r="U374" s="1"/>
      <c r="V374" s="1"/>
    </row>
    <row r="375" spans="1:22" x14ac:dyDescent="0.3">
      <c r="A375" s="5" t="str">
        <f>CONCATENATE("F",IF(B375&lt;&gt;"",COUNTA($B$2:B375),""))</f>
        <v>F</v>
      </c>
      <c r="B375" s="126"/>
      <c r="C375" s="126"/>
      <c r="D375" s="133"/>
      <c r="E375" s="133"/>
      <c r="F375" s="126"/>
      <c r="G375" s="5"/>
      <c r="H375" s="135"/>
      <c r="I375" s="135"/>
      <c r="J375" s="135"/>
      <c r="K375" s="135"/>
      <c r="L375" s="136"/>
      <c r="M375" s="136"/>
      <c r="N375" s="131"/>
      <c r="O375" s="126"/>
      <c r="P375" s="126"/>
      <c r="Q375" s="126"/>
      <c r="R375" s="1"/>
      <c r="S375" s="1"/>
      <c r="T375" s="1"/>
      <c r="U375" s="1"/>
      <c r="V375" s="1"/>
    </row>
    <row r="376" spans="1:22" x14ac:dyDescent="0.3">
      <c r="A376" s="126" t="str">
        <f>CONCATENATE("F",IF(B376&lt;&gt;"",COUNTA($B$2:B376),""))</f>
        <v>F229</v>
      </c>
      <c r="B376" s="5" t="s">
        <v>59</v>
      </c>
      <c r="C376" s="5" t="s">
        <v>378</v>
      </c>
      <c r="D376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19.76587945007439</v>
      </c>
      <c r="E37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6" s="126">
        <f>VLOOKUP(woodflow[[#This Row],[From]],woodstock[#All],4,FALSE)</f>
        <v>2021</v>
      </c>
      <c r="G376" s="5" t="str">
        <f>VLOOKUP(woodflow[[#This Row],[From]],woodstock[#All],5,FALSE)</f>
        <v>OAS</v>
      </c>
      <c r="H376" s="135" t="str">
        <f>VLOOKUP(woodflow[[#This Row],[From]],woodstock[#All],7,FALSE)</f>
        <v>17</v>
      </c>
      <c r="I376" s="135" t="str">
        <f>VLOOKUP(woodflow[[#This Row],[to]],woodstock[#All],7,FALSE)</f>
        <v>56</v>
      </c>
      <c r="J376" s="135" t="str">
        <f>VLOOKUP(woodflow[[#This Row],[From]],woodstock[#All],8,FALSE)</f>
        <v>1</v>
      </c>
      <c r="K376" s="135" t="str">
        <f>VLOOKUP(woodflow[[#This Row],[to]],woodstock[#All],8,FALSE)</f>
        <v>0</v>
      </c>
      <c r="L376" s="136" t="str">
        <f>VLOOKUP(woodflow[[#This Row],[From]],woodstock[#All],9,FALSE)</f>
        <v>43-44-45-46-47-48-49</v>
      </c>
      <c r="M376" s="136" t="str">
        <f>VLOOKUP(woodflow[[#This Row],[to]],woodstock[#All],9,FALSE)</f>
        <v>nan</v>
      </c>
      <c r="N376" s="131">
        <f>N392</f>
        <v>19.76587945007439</v>
      </c>
      <c r="O376" s="126" t="s">
        <v>556</v>
      </c>
      <c r="P376" s="126" t="s">
        <v>239</v>
      </c>
      <c r="Q376" s="126"/>
      <c r="R376" s="1"/>
      <c r="S376" s="1"/>
      <c r="T376" s="1"/>
      <c r="U376" s="1"/>
      <c r="V376" s="1"/>
    </row>
    <row r="377" spans="1:22" x14ac:dyDescent="0.3">
      <c r="A377" s="126" t="str">
        <f>CONCATENATE("F",IF(B377&lt;&gt;"",COUNTA($B$2:B377),""))</f>
        <v>F230</v>
      </c>
      <c r="B377" s="5" t="s">
        <v>409</v>
      </c>
      <c r="C377" s="5" t="s">
        <v>378</v>
      </c>
      <c r="D377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7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7" s="126">
        <f>VLOOKUP(woodflow[[#This Row],[From]],woodstock[#All],4,FALSE)</f>
        <v>2021</v>
      </c>
      <c r="G377" s="5" t="str">
        <f>VLOOKUP(woodflow[[#This Row],[From]],woodstock[#All],5,FALSE)</f>
        <v>OAS</v>
      </c>
      <c r="H377" s="135" t="str">
        <f>VLOOKUP(woodflow[[#This Row],[From]],woodstock[#All],7,FALSE)</f>
        <v>43</v>
      </c>
      <c r="I377" s="135" t="str">
        <f>VLOOKUP(woodflow[[#This Row],[to]],woodstock[#All],7,FALSE)</f>
        <v>56</v>
      </c>
      <c r="J377" s="135" t="str">
        <f>VLOOKUP(woodflow[[#This Row],[From]],woodstock[#All],8,FALSE)</f>
        <v>0</v>
      </c>
      <c r="K377" s="135" t="str">
        <f>VLOOKUP(woodflow[[#This Row],[to]],woodstock[#All],8,FALSE)</f>
        <v>0</v>
      </c>
      <c r="L377" s="136" t="str">
        <f>VLOOKUP(woodflow[[#This Row],[From]],woodstock[#All],9,FALSE)</f>
        <v>nan</v>
      </c>
      <c r="M377" s="136" t="str">
        <f>VLOOKUP(woodflow[[#This Row],[to]],woodstock[#All],9,FALSE)</f>
        <v>nan</v>
      </c>
      <c r="N377" s="131">
        <v>0</v>
      </c>
      <c r="O377" s="126" t="s">
        <v>213</v>
      </c>
      <c r="P377" s="126"/>
      <c r="Q377" s="126"/>
      <c r="R377" s="1"/>
      <c r="S377" s="1"/>
      <c r="T377" s="1"/>
      <c r="U377" s="1"/>
      <c r="V377" s="1"/>
    </row>
    <row r="378" spans="1:22" x14ac:dyDescent="0.3">
      <c r="A378" s="126" t="str">
        <f>CONCATENATE("F",IF(B378&lt;&gt;"",COUNTA($B$2:B378),""))</f>
        <v>F231</v>
      </c>
      <c r="B378" s="5" t="s">
        <v>31</v>
      </c>
      <c r="C378" s="5" t="s">
        <v>378</v>
      </c>
      <c r="D37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7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8" s="126">
        <f>VLOOKUP(woodflow[[#This Row],[From]],woodstock[#All],4,FALSE)</f>
        <v>2021</v>
      </c>
      <c r="G378" s="5" t="str">
        <f>VLOOKUP(woodflow[[#This Row],[From]],woodstock[#All],5,FALSE)</f>
        <v>OAS</v>
      </c>
      <c r="H378" s="135" t="str">
        <f>VLOOKUP(woodflow[[#This Row],[From]],woodstock[#All],7,FALSE)</f>
        <v>44</v>
      </c>
      <c r="I378" s="135" t="str">
        <f>VLOOKUP(woodflow[[#This Row],[to]],woodstock[#All],7,FALSE)</f>
        <v>56</v>
      </c>
      <c r="J378" s="135" t="str">
        <f>VLOOKUP(woodflow[[#This Row],[From]],woodstock[#All],8,FALSE)</f>
        <v>0</v>
      </c>
      <c r="K378" s="135" t="str">
        <f>VLOOKUP(woodflow[[#This Row],[to]],woodstock[#All],8,FALSE)</f>
        <v>0</v>
      </c>
      <c r="L378" s="136" t="str">
        <f>VLOOKUP(woodflow[[#This Row],[From]],woodstock[#All],9,FALSE)</f>
        <v>nan</v>
      </c>
      <c r="M378" s="136" t="str">
        <f>VLOOKUP(woodflow[[#This Row],[to]],woodstock[#All],9,FALSE)</f>
        <v>nan</v>
      </c>
      <c r="N378" s="131">
        <v>0</v>
      </c>
      <c r="O378" s="126" t="s">
        <v>213</v>
      </c>
      <c r="P378" s="126"/>
      <c r="Q378" s="126"/>
      <c r="R378" s="1"/>
      <c r="S378" s="1"/>
      <c r="T378" s="1"/>
      <c r="U378" s="1"/>
      <c r="V378" s="1"/>
    </row>
    <row r="379" spans="1:22" x14ac:dyDescent="0.3">
      <c r="A379" s="126" t="str">
        <f>CONCATENATE("F",IF(B379&lt;&gt;"",COUNTA($B$2:B379),""))</f>
        <v>F232</v>
      </c>
      <c r="B379" s="5" t="s">
        <v>32</v>
      </c>
      <c r="C379" s="5" t="s">
        <v>378</v>
      </c>
      <c r="D379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79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3.8938782516646548</v>
      </c>
      <c r="F379" s="126">
        <f>VLOOKUP(woodflow[[#This Row],[From]],woodstock[#All],4,FALSE)</f>
        <v>2021</v>
      </c>
      <c r="G379" s="5" t="str">
        <f>VLOOKUP(woodflow[[#This Row],[From]],woodstock[#All],5,FALSE)</f>
        <v>OAS</v>
      </c>
      <c r="H379" s="135" t="str">
        <f>VLOOKUP(woodflow[[#This Row],[From]],woodstock[#All],7,FALSE)</f>
        <v>45</v>
      </c>
      <c r="I379" s="135" t="str">
        <f>VLOOKUP(woodflow[[#This Row],[to]],woodstock[#All],7,FALSE)</f>
        <v>56</v>
      </c>
      <c r="J379" s="135" t="str">
        <f>VLOOKUP(woodflow[[#This Row],[From]],woodstock[#All],8,FALSE)</f>
        <v>0</v>
      </c>
      <c r="K379" s="135" t="str">
        <f>VLOOKUP(woodflow[[#This Row],[to]],woodstock[#All],8,FALSE)</f>
        <v>0</v>
      </c>
      <c r="L379" s="136" t="str">
        <f>VLOOKUP(woodflow[[#This Row],[From]],woodstock[#All],9,FALSE)</f>
        <v>nan</v>
      </c>
      <c r="M379" s="136" t="str">
        <f>VLOOKUP(woodflow[[#This Row],[to]],woodstock[#All],9,FALSE)</f>
        <v>nan</v>
      </c>
      <c r="N379" s="131">
        <f>N376*woodratio!I114</f>
        <v>3.8938782516646548</v>
      </c>
      <c r="O379" s="126" t="s">
        <v>549</v>
      </c>
      <c r="P379" s="126" t="s">
        <v>239</v>
      </c>
      <c r="Q379" s="126"/>
      <c r="R379" s="1"/>
      <c r="S379" s="1"/>
      <c r="T379" s="1"/>
      <c r="U379" s="1"/>
      <c r="V379" s="1"/>
    </row>
    <row r="380" spans="1:22" x14ac:dyDescent="0.3">
      <c r="A380" s="126" t="str">
        <f>CONCATENATE("F",IF(B380&lt;&gt;"",COUNTA($B$2:B380),""))</f>
        <v>F233</v>
      </c>
      <c r="B380" s="5" t="s">
        <v>33</v>
      </c>
      <c r="C380" s="5" t="s">
        <v>378</v>
      </c>
      <c r="D380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0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13.697754458901551</v>
      </c>
      <c r="F380" s="126">
        <f>VLOOKUP(woodflow[[#This Row],[From]],woodstock[#All],4,FALSE)</f>
        <v>2021</v>
      </c>
      <c r="G380" s="5" t="str">
        <f>VLOOKUP(woodflow[[#This Row],[From]],woodstock[#All],5,FALSE)</f>
        <v>OAS</v>
      </c>
      <c r="H380" s="135" t="str">
        <f>VLOOKUP(woodflow[[#This Row],[From]],woodstock[#All],7,FALSE)</f>
        <v>46</v>
      </c>
      <c r="I380" s="135" t="str">
        <f>VLOOKUP(woodflow[[#This Row],[to]],woodstock[#All],7,FALSE)</f>
        <v>56</v>
      </c>
      <c r="J380" s="135" t="str">
        <f>VLOOKUP(woodflow[[#This Row],[From]],woodstock[#All],8,FALSE)</f>
        <v>0</v>
      </c>
      <c r="K380" s="135" t="str">
        <f>VLOOKUP(woodflow[[#This Row],[to]],woodstock[#All],8,FALSE)</f>
        <v>0</v>
      </c>
      <c r="L380" s="136" t="str">
        <f>VLOOKUP(woodflow[[#This Row],[From]],woodstock[#All],9,FALSE)</f>
        <v>nan</v>
      </c>
      <c r="M380" s="136" t="str">
        <f>VLOOKUP(woodflow[[#This Row],[to]],woodstock[#All],9,FALSE)</f>
        <v>nan</v>
      </c>
      <c r="N380" s="131">
        <f>N376*woodratio!I115</f>
        <v>13.697754458901551</v>
      </c>
      <c r="O380" s="126" t="s">
        <v>549</v>
      </c>
      <c r="P380" s="126" t="s">
        <v>239</v>
      </c>
      <c r="Q380" s="126"/>
      <c r="R380" s="1"/>
      <c r="S380" s="1"/>
      <c r="T380" s="1"/>
      <c r="U380" s="1"/>
      <c r="V380" s="1"/>
    </row>
    <row r="381" spans="1:22" x14ac:dyDescent="0.3">
      <c r="A381" s="126" t="str">
        <f>CONCATENATE("F",IF(B381&lt;&gt;"",COUNTA($B$2:B381),""))</f>
        <v>F234</v>
      </c>
      <c r="B381" s="5" t="s">
        <v>34</v>
      </c>
      <c r="C381" s="5" t="s">
        <v>378</v>
      </c>
      <c r="D381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1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1.0871233697540914</v>
      </c>
      <c r="F381" s="126">
        <f>VLOOKUP(woodflow[[#This Row],[From]],woodstock[#All],4,FALSE)</f>
        <v>2021</v>
      </c>
      <c r="G381" s="5" t="str">
        <f>VLOOKUP(woodflow[[#This Row],[From]],woodstock[#All],5,FALSE)</f>
        <v>OAS</v>
      </c>
      <c r="H381" s="135" t="str">
        <f>VLOOKUP(woodflow[[#This Row],[From]],woodstock[#All],7,FALSE)</f>
        <v>47</v>
      </c>
      <c r="I381" s="135" t="str">
        <f>VLOOKUP(woodflow[[#This Row],[to]],woodstock[#All],7,FALSE)</f>
        <v>56</v>
      </c>
      <c r="J381" s="135" t="str">
        <f>VLOOKUP(woodflow[[#This Row],[From]],woodstock[#All],8,FALSE)</f>
        <v>0</v>
      </c>
      <c r="K381" s="135" t="str">
        <f>VLOOKUP(woodflow[[#This Row],[to]],woodstock[#All],8,FALSE)</f>
        <v>0</v>
      </c>
      <c r="L381" s="136" t="str">
        <f>VLOOKUP(woodflow[[#This Row],[From]],woodstock[#All],9,FALSE)</f>
        <v>nan</v>
      </c>
      <c r="M381" s="136" t="str">
        <f>VLOOKUP(woodflow[[#This Row],[to]],woodstock[#All],9,FALSE)</f>
        <v>nan</v>
      </c>
      <c r="N381" s="131">
        <f>N376*woodratio!I116</f>
        <v>1.0871233697540914</v>
      </c>
      <c r="O381" s="126" t="s">
        <v>549</v>
      </c>
      <c r="P381" s="126" t="s">
        <v>239</v>
      </c>
      <c r="Q381" s="126"/>
      <c r="R381" s="1"/>
      <c r="S381" s="1"/>
      <c r="T381" s="1"/>
      <c r="U381" s="1"/>
      <c r="V381" s="1"/>
    </row>
    <row r="382" spans="1:22" x14ac:dyDescent="0.3">
      <c r="A382" s="126" t="str">
        <f>CONCATENATE("F",IF(B382&lt;&gt;"",COUNTA($B$2:B382),""))</f>
        <v>F235</v>
      </c>
      <c r="B382" s="5" t="s">
        <v>35</v>
      </c>
      <c r="C382" s="5" t="s">
        <v>378</v>
      </c>
      <c r="D382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82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2" s="126">
        <f>VLOOKUP(woodflow[[#This Row],[From]],woodstock[#All],4,FALSE)</f>
        <v>2021</v>
      </c>
      <c r="G382" s="5" t="str">
        <f>VLOOKUP(woodflow[[#This Row],[From]],woodstock[#All],5,FALSE)</f>
        <v>OAS</v>
      </c>
      <c r="H382" s="135" t="str">
        <f>VLOOKUP(woodflow[[#This Row],[From]],woodstock[#All],7,FALSE)</f>
        <v>48</v>
      </c>
      <c r="I382" s="135" t="str">
        <f>VLOOKUP(woodflow[[#This Row],[to]],woodstock[#All],7,FALSE)</f>
        <v>56</v>
      </c>
      <c r="J382" s="135" t="str">
        <f>VLOOKUP(woodflow[[#This Row],[From]],woodstock[#All],8,FALSE)</f>
        <v>0</v>
      </c>
      <c r="K382" s="135" t="str">
        <f>VLOOKUP(woodflow[[#This Row],[to]],woodstock[#All],8,FALSE)</f>
        <v>0</v>
      </c>
      <c r="L382" s="136" t="str">
        <f>VLOOKUP(woodflow[[#This Row],[From]],woodstock[#All],9,FALSE)</f>
        <v>nan</v>
      </c>
      <c r="M382" s="136" t="str">
        <f>VLOOKUP(woodflow[[#This Row],[to]],woodstock[#All],9,FALSE)</f>
        <v>nan</v>
      </c>
      <c r="N382" s="131">
        <v>0</v>
      </c>
      <c r="O382" s="126" t="s">
        <v>213</v>
      </c>
      <c r="P382" s="126"/>
      <c r="Q382" s="126"/>
      <c r="R382" s="1"/>
      <c r="S382" s="1"/>
      <c r="T382" s="1"/>
      <c r="U382" s="1"/>
      <c r="V382" s="1"/>
    </row>
    <row r="383" spans="1:22" x14ac:dyDescent="0.3">
      <c r="A383" s="126" t="str">
        <f>CONCATENATE("F",IF(B383&lt;&gt;"",COUNTA($B$2:B383),""))</f>
        <v>F236</v>
      </c>
      <c r="B383" s="5" t="s">
        <v>57</v>
      </c>
      <c r="C383" s="5" t="s">
        <v>378</v>
      </c>
      <c r="D383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3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1.0871233697540914</v>
      </c>
      <c r="F383" s="126">
        <f>VLOOKUP(woodflow[[#This Row],[From]],woodstock[#All],4,FALSE)</f>
        <v>2021</v>
      </c>
      <c r="G383" s="5" t="str">
        <f>VLOOKUP(woodflow[[#This Row],[From]],woodstock[#All],5,FALSE)</f>
        <v>OAS</v>
      </c>
      <c r="H383" s="135" t="str">
        <f>VLOOKUP(woodflow[[#This Row],[From]],woodstock[#All],7,FALSE)</f>
        <v>49</v>
      </c>
      <c r="I383" s="135" t="str">
        <f>VLOOKUP(woodflow[[#This Row],[to]],woodstock[#All],7,FALSE)</f>
        <v>56</v>
      </c>
      <c r="J383" s="135" t="str">
        <f>VLOOKUP(woodflow[[#This Row],[From]],woodstock[#All],8,FALSE)</f>
        <v>0</v>
      </c>
      <c r="K383" s="135" t="str">
        <f>VLOOKUP(woodflow[[#This Row],[to]],woodstock[#All],8,FALSE)</f>
        <v>0</v>
      </c>
      <c r="L383" s="136" t="str">
        <f>VLOOKUP(woodflow[[#This Row],[From]],woodstock[#All],9,FALSE)</f>
        <v>nan</v>
      </c>
      <c r="M383" s="136" t="str">
        <f>VLOOKUP(woodflow[[#This Row],[to]],woodstock[#All],9,FALSE)</f>
        <v>nan</v>
      </c>
      <c r="N383" s="131">
        <f>N376*woodratio!I117</f>
        <v>1.0871233697540914</v>
      </c>
      <c r="O383" s="126" t="s">
        <v>549</v>
      </c>
      <c r="P383" s="126" t="s">
        <v>239</v>
      </c>
      <c r="Q383" s="126"/>
      <c r="R383" s="1"/>
      <c r="S383" s="1"/>
      <c r="T383" s="1"/>
      <c r="U383" s="1"/>
      <c r="V383" s="1"/>
    </row>
    <row r="384" spans="1:22" x14ac:dyDescent="0.3">
      <c r="A384" s="126" t="str">
        <f>CONCATENATE("F",IF(B384&lt;&gt;"",COUNTA($B$2:B384),""))</f>
        <v>F</v>
      </c>
      <c r="B384" s="126"/>
      <c r="C384" s="126"/>
      <c r="D384" s="133"/>
      <c r="E384" s="133"/>
      <c r="F384" s="126"/>
      <c r="G384" s="126"/>
      <c r="H384" s="135"/>
      <c r="I384" s="135"/>
      <c r="J384" s="135"/>
      <c r="K384" s="135"/>
      <c r="L384" s="136"/>
      <c r="M384" s="136"/>
      <c r="N384" s="131"/>
      <c r="O384" s="126"/>
      <c r="P384" s="126"/>
      <c r="Q384" s="126"/>
      <c r="R384" s="1"/>
      <c r="S384" s="1"/>
      <c r="T384" s="1"/>
      <c r="U384" s="1"/>
      <c r="V384" s="1"/>
    </row>
    <row r="385" spans="1:22" x14ac:dyDescent="0.3">
      <c r="A385" s="5" t="str">
        <f>CONCATENATE("F",IF(B385&lt;&gt;"",COUNTA($B$2:B391),""))</f>
        <v>F</v>
      </c>
      <c r="B385" s="126"/>
      <c r="C385" s="126"/>
      <c r="D385" s="133"/>
      <c r="E385" s="133"/>
      <c r="F385" s="126"/>
      <c r="G385" s="5"/>
      <c r="H385" s="135"/>
      <c r="I385" s="135"/>
      <c r="J385" s="135"/>
      <c r="K385" s="135"/>
      <c r="L385" s="136"/>
      <c r="M385" s="136"/>
      <c r="N385" s="131"/>
      <c r="O385" s="126"/>
      <c r="P385" s="126"/>
      <c r="Q385" s="126"/>
      <c r="R385" s="1"/>
      <c r="S385" s="1"/>
      <c r="T385" s="1"/>
      <c r="U385" s="1"/>
      <c r="V385" s="1"/>
    </row>
    <row r="386" spans="1:22" x14ac:dyDescent="0.3">
      <c r="A386" s="5" t="str">
        <f>CONCATENATE("F",IF(B386&lt;&gt;"",COUNTA($B$2:B386),""))</f>
        <v>F237</v>
      </c>
      <c r="B386" s="126" t="s">
        <v>31</v>
      </c>
      <c r="C386" s="126" t="s">
        <v>379</v>
      </c>
      <c r="D386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10.713739604295</v>
      </c>
      <c r="E38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6" s="126">
        <f>VLOOKUP(woodflow[[#This Row],[From]],woodstock[#All],4,FALSE)</f>
        <v>2021</v>
      </c>
      <c r="G386" s="5" t="str">
        <f>VLOOKUP(woodflow[[#This Row],[From]],woodstock[#All],5,FALSE)</f>
        <v>OAS</v>
      </c>
      <c r="H386" s="135" t="str">
        <f>VLOOKUP(woodflow[[#This Row],[From]],woodstock[#All],7,FALSE)</f>
        <v>44</v>
      </c>
      <c r="I386" s="135" t="str">
        <f>VLOOKUP(woodflow[[#This Row],[to]],woodstock[#All],7,FALSE)</f>
        <v>57</v>
      </c>
      <c r="J386" s="135" t="str">
        <f>VLOOKUP(woodflow[[#This Row],[From]],woodstock[#All],8,FALSE)</f>
        <v>0</v>
      </c>
      <c r="K386" s="135" t="str">
        <f>VLOOKUP(woodflow[[#This Row],[to]],woodstock[#All],8,FALSE)</f>
        <v>0</v>
      </c>
      <c r="L386" s="136" t="str">
        <f>VLOOKUP(woodflow[[#This Row],[From]],woodstock[#All],9,FALSE)</f>
        <v>nan</v>
      </c>
      <c r="M386" s="136" t="str">
        <f>VLOOKUP(woodflow[[#This Row],[to]],woodstock[#All],9,FALSE)</f>
        <v>nan</v>
      </c>
      <c r="N386" s="131">
        <f>N314*(1-'supporting-percentages'!B74)</f>
        <v>10.713739604295</v>
      </c>
      <c r="O386" s="126" t="s">
        <v>556</v>
      </c>
      <c r="P386" s="126" t="s">
        <v>458</v>
      </c>
      <c r="Q386" s="132"/>
      <c r="R386" s="1"/>
      <c r="S386" s="1"/>
      <c r="T386" s="1"/>
      <c r="U386" s="1"/>
      <c r="V386" s="1"/>
    </row>
    <row r="387" spans="1:22" x14ac:dyDescent="0.3">
      <c r="A387" s="126" t="str">
        <f>CONCATENATE("F",IF(B387&lt;&gt;"",COUNTA($B$2:B387),""))</f>
        <v>F</v>
      </c>
      <c r="B387" s="126"/>
      <c r="C387" s="126"/>
      <c r="D387" s="133"/>
      <c r="E387" s="133"/>
      <c r="F387" s="126"/>
      <c r="G387" s="126"/>
      <c r="H387" s="135"/>
      <c r="I387" s="135"/>
      <c r="J387" s="135"/>
      <c r="K387" s="135"/>
      <c r="L387" s="136"/>
      <c r="M387" s="136"/>
      <c r="N387" s="131"/>
      <c r="O387" s="126"/>
      <c r="P387" s="126"/>
      <c r="Q387" s="137"/>
      <c r="R387" s="1"/>
      <c r="S387" s="1"/>
      <c r="T387" s="1"/>
      <c r="U387" s="1"/>
      <c r="V387" s="1"/>
    </row>
    <row r="388" spans="1:22" x14ac:dyDescent="0.3">
      <c r="A388" s="126" t="str">
        <f>CONCATENATE("F",IF(B388&lt;&gt;"",COUNTA($B$2:B388),""))</f>
        <v>F</v>
      </c>
      <c r="B388" s="126"/>
      <c r="C388" s="126"/>
      <c r="D388" s="133"/>
      <c r="E388" s="133"/>
      <c r="F388" s="126"/>
      <c r="G388" s="126"/>
      <c r="H388" s="135"/>
      <c r="I388" s="135"/>
      <c r="J388" s="135"/>
      <c r="K388" s="135"/>
      <c r="L388" s="136"/>
      <c r="M388" s="136"/>
      <c r="N388" s="131"/>
      <c r="O388" s="126"/>
      <c r="P388" s="126"/>
      <c r="Q388" s="137"/>
      <c r="R388" s="1"/>
      <c r="S388" s="1"/>
      <c r="T388" s="1"/>
      <c r="U388" s="1"/>
      <c r="V388" s="1"/>
    </row>
    <row r="389" spans="1:22" x14ac:dyDescent="0.3">
      <c r="A389" s="5" t="str">
        <f>CONCATENATE("F",IF(B389&lt;&gt;"",COUNTA($B$2:B389),""))</f>
        <v>F238</v>
      </c>
      <c r="B389" s="126" t="s">
        <v>32</v>
      </c>
      <c r="C389" s="5" t="s">
        <v>379</v>
      </c>
      <c r="D389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18.494550448237501</v>
      </c>
      <c r="E38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9" s="126">
        <f>VLOOKUP(woodflow[[#This Row],[From]],woodstock[#All],4,FALSE)</f>
        <v>2021</v>
      </c>
      <c r="G389" s="5" t="str">
        <f>VLOOKUP(woodflow[[#This Row],[From]],woodstock[#All],5,FALSE)</f>
        <v>OAS</v>
      </c>
      <c r="H389" s="135" t="str">
        <f>VLOOKUP(woodflow[[#This Row],[From]],woodstock[#All],7,FALSE)</f>
        <v>45</v>
      </c>
      <c r="I389" s="135" t="str">
        <f>VLOOKUP(woodflow[[#This Row],[to]],woodstock[#All],7,FALSE)</f>
        <v>57</v>
      </c>
      <c r="J389" s="135" t="str">
        <f>VLOOKUP(woodflow[[#This Row],[From]],woodstock[#All],8,FALSE)</f>
        <v>0</v>
      </c>
      <c r="K389" s="135" t="str">
        <f>VLOOKUP(woodflow[[#This Row],[to]],woodstock[#All],8,FALSE)</f>
        <v>0</v>
      </c>
      <c r="L389" s="136" t="str">
        <f>VLOOKUP(woodflow[[#This Row],[From]],woodstock[#All],9,FALSE)</f>
        <v>nan</v>
      </c>
      <c r="M389" s="136" t="str">
        <f>VLOOKUP(woodflow[[#This Row],[to]],woodstock[#All],9,FALSE)</f>
        <v>nan</v>
      </c>
      <c r="N389" s="131">
        <f>N322*(1-'supporting-percentages'!B74)</f>
        <v>18.494550448237501</v>
      </c>
      <c r="O389" s="126" t="s">
        <v>556</v>
      </c>
      <c r="P389" s="126" t="s">
        <v>458</v>
      </c>
      <c r="Q389" s="132"/>
      <c r="R389" s="1"/>
      <c r="S389" s="1"/>
      <c r="T389" s="1"/>
      <c r="U389" s="1"/>
      <c r="V389" s="1"/>
    </row>
    <row r="390" spans="1:22" x14ac:dyDescent="0.3">
      <c r="A390" s="5" t="str">
        <f>CONCATENATE("F",IF(B390&lt;&gt;"",COUNTA($B$2:B390),""))</f>
        <v>F</v>
      </c>
      <c r="B390" s="126"/>
      <c r="C390" s="126"/>
      <c r="D390" s="133"/>
      <c r="E390" s="133"/>
      <c r="F390" s="126"/>
      <c r="G390" s="5"/>
      <c r="H390" s="135"/>
      <c r="I390" s="135"/>
      <c r="J390" s="135"/>
      <c r="K390" s="135"/>
      <c r="L390" s="136"/>
      <c r="M390" s="136"/>
      <c r="N390" s="131"/>
      <c r="O390" s="126"/>
      <c r="P390" s="126"/>
      <c r="Q390" s="126"/>
      <c r="R390" s="1"/>
      <c r="S390" s="1"/>
      <c r="T390" s="1"/>
      <c r="U390" s="1"/>
      <c r="V390" s="1"/>
    </row>
    <row r="391" spans="1:22" x14ac:dyDescent="0.3">
      <c r="A391" s="126" t="str">
        <f>CONCATENATE("F",IF(B391&lt;&gt;"",COUNTA($B$2:B391),""))</f>
        <v>F</v>
      </c>
      <c r="B391" s="126"/>
      <c r="C391" s="126"/>
      <c r="D391" s="133"/>
      <c r="E391" s="133"/>
      <c r="F391" s="126"/>
      <c r="G391" s="126"/>
      <c r="H391" s="135"/>
      <c r="I391" s="135"/>
      <c r="J391" s="135"/>
      <c r="K391" s="135"/>
      <c r="L391" s="136"/>
      <c r="M391" s="136"/>
      <c r="N391" s="131"/>
      <c r="O391" s="126"/>
      <c r="P391" s="126"/>
      <c r="Q391" s="126"/>
      <c r="R391" s="1"/>
      <c r="S391" s="1"/>
      <c r="T391" s="1"/>
      <c r="U391" s="1"/>
      <c r="V391" s="1"/>
    </row>
    <row r="392" spans="1:22" x14ac:dyDescent="0.3">
      <c r="A392" s="5" t="str">
        <f>CONCATENATE("F",IF(B392&lt;&gt;"",COUNTA($B$2:B392),""))</f>
        <v>F239</v>
      </c>
      <c r="B392" s="5" t="s">
        <v>378</v>
      </c>
      <c r="C392" s="5" t="s">
        <v>357</v>
      </c>
      <c r="D392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19.76587945007439</v>
      </c>
      <c r="E392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92" s="126">
        <f>VLOOKUP(woodflow[[#This Row],[From]],woodstock[#All],4,FALSE)</f>
        <v>2021</v>
      </c>
      <c r="G392" s="5" t="str">
        <f>VLOOKUP(woodflow[[#This Row],[From]],woodstock[#All],5,FALSE)</f>
        <v>OAS</v>
      </c>
      <c r="H392" s="135" t="str">
        <f>VLOOKUP(woodflow[[#This Row],[From]],woodstock[#All],7,FALSE)</f>
        <v>56</v>
      </c>
      <c r="I392" s="135" t="str">
        <f>VLOOKUP(woodflow[[#This Row],[to]],woodstock[#All],7,FALSE)</f>
        <v>20</v>
      </c>
      <c r="J392" s="135" t="str">
        <f>VLOOKUP(woodflow[[#This Row],[From]],woodstock[#All],8,FALSE)</f>
        <v>0</v>
      </c>
      <c r="K392" s="135" t="str">
        <f>VLOOKUP(woodflow[[#This Row],[to]],woodstock[#All],8,FALSE)</f>
        <v>1</v>
      </c>
      <c r="L392" s="136" t="str">
        <f>VLOOKUP(woodflow[[#This Row],[From]],woodstock[#All],9,FALSE)</f>
        <v>nan</v>
      </c>
      <c r="M392" s="136" t="str">
        <f>VLOOKUP(woodflow[[#This Row],[to]],woodstock[#All],9,FALSE)</f>
        <v>58-59-60-61-62-63-64</v>
      </c>
      <c r="N392" s="131">
        <f>((VLOOKUP(woodflow[[#This Row],[location]],waste!A3:B5,2,FALSE)/10^6)*'conversion-factors'!E20)</f>
        <v>19.76587945007439</v>
      </c>
      <c r="O392" s="126" t="s">
        <v>556</v>
      </c>
      <c r="P392" s="126" t="s">
        <v>401</v>
      </c>
      <c r="Q392" s="126"/>
      <c r="R392" s="1"/>
      <c r="S392" s="1"/>
      <c r="T392" s="1"/>
      <c r="U392" s="1"/>
      <c r="V392" s="1"/>
    </row>
    <row r="393" spans="1:22" x14ac:dyDescent="0.3">
      <c r="A393" s="5" t="str">
        <f>CONCATENATE("F",IF(B393&lt;&gt;"",COUNTA($B$2:B393),""))</f>
        <v>F240</v>
      </c>
      <c r="B393" s="5" t="s">
        <v>378</v>
      </c>
      <c r="C393" s="5" t="s">
        <v>399</v>
      </c>
      <c r="D393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3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5.740776466697568</v>
      </c>
      <c r="F393" s="126">
        <f>VLOOKUP(woodflow[[#This Row],[From]],woodstock[#All],4,FALSE)</f>
        <v>2021</v>
      </c>
      <c r="G393" s="5" t="str">
        <f>VLOOKUP(woodflow[[#This Row],[From]],woodstock[#All],5,FALSE)</f>
        <v>OAS</v>
      </c>
      <c r="H393" s="135" t="str">
        <f>VLOOKUP(woodflow[[#This Row],[From]],woodstock[#All],7,FALSE)</f>
        <v>56</v>
      </c>
      <c r="I393" s="135" t="str">
        <f>VLOOKUP(woodflow[[#This Row],[to]],woodstock[#All],7,FALSE)</f>
        <v>21</v>
      </c>
      <c r="J393" s="135" t="str">
        <f>VLOOKUP(woodflow[[#This Row],[From]],woodstock[#All],8,FALSE)</f>
        <v>0</v>
      </c>
      <c r="K393" s="135" t="str">
        <f>VLOOKUP(woodflow[[#This Row],[to]],woodstock[#All],8,FALSE)</f>
        <v>1</v>
      </c>
      <c r="L393" s="136" t="str">
        <f>VLOOKUP(woodflow[[#This Row],[From]],woodstock[#All],9,FALSE)</f>
        <v>nan</v>
      </c>
      <c r="M393" s="136" t="str">
        <f>VLOOKUP(woodflow[[#This Row],[to]],woodstock[#All],9,FALSE)</f>
        <v>58-59-60-61</v>
      </c>
      <c r="N393" s="131">
        <f>SUM(N394:N397)</f>
        <v>5.740776466697568</v>
      </c>
      <c r="O393" s="126" t="s">
        <v>549</v>
      </c>
      <c r="P393" s="126" t="s">
        <v>239</v>
      </c>
      <c r="Q393" s="126"/>
      <c r="R393" s="1"/>
      <c r="S393" s="1"/>
      <c r="T393" s="1"/>
      <c r="U393" s="1"/>
      <c r="V393" s="1"/>
    </row>
    <row r="394" spans="1:22" x14ac:dyDescent="0.3">
      <c r="A394" s="5" t="str">
        <f>CONCATENATE("F",IF(B394&lt;&gt;"",COUNTA($B$2:B394),""))</f>
        <v>F241</v>
      </c>
      <c r="B394" s="5" t="s">
        <v>378</v>
      </c>
      <c r="C394" s="5" t="s">
        <v>358</v>
      </c>
      <c r="D394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4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3.3296503506845894</v>
      </c>
      <c r="F394" s="126">
        <f>VLOOKUP(woodflow[[#This Row],[From]],woodstock[#All],4,FALSE)</f>
        <v>2021</v>
      </c>
      <c r="G394" s="5" t="str">
        <f>VLOOKUP(woodflow[[#This Row],[From]],woodstock[#All],5,FALSE)</f>
        <v>OAS</v>
      </c>
      <c r="H394" s="135" t="str">
        <f>VLOOKUP(woodflow[[#This Row],[From]],woodstock[#All],7,FALSE)</f>
        <v>56</v>
      </c>
      <c r="I394" s="135" t="str">
        <f>VLOOKUP(woodflow[[#This Row],[to]],woodstock[#All],7,FALSE)</f>
        <v>58</v>
      </c>
      <c r="J394" s="135" t="str">
        <f>VLOOKUP(woodflow[[#This Row],[From]],woodstock[#All],8,FALSE)</f>
        <v>0</v>
      </c>
      <c r="K394" s="135" t="str">
        <f>VLOOKUP(woodflow[[#This Row],[to]],woodstock[#All],8,FALSE)</f>
        <v>0</v>
      </c>
      <c r="L394" s="136" t="str">
        <f>VLOOKUP(woodflow[[#This Row],[From]],woodstock[#All],9,FALSE)</f>
        <v>nan</v>
      </c>
      <c r="M394" s="136" t="str">
        <f>VLOOKUP(woodflow[[#This Row],[to]],woodstock[#All],9,FALSE)</f>
        <v>nan</v>
      </c>
      <c r="N394" s="131">
        <f>N392*woodratio!I120</f>
        <v>3.3296503506845894</v>
      </c>
      <c r="O394" s="126" t="s">
        <v>549</v>
      </c>
      <c r="P394" s="126" t="s">
        <v>240</v>
      </c>
      <c r="Q394" s="132"/>
      <c r="R394" s="1"/>
      <c r="S394" s="15"/>
      <c r="T394" s="1"/>
      <c r="U394" s="1"/>
      <c r="V394" s="1"/>
    </row>
    <row r="395" spans="1:22" x14ac:dyDescent="0.3">
      <c r="A395" s="5" t="str">
        <f>CONCATENATE("F",IF(B395&lt;&gt;"",COUNTA($B$2:B395),""))</f>
        <v>F242</v>
      </c>
      <c r="B395" s="5" t="s">
        <v>378</v>
      </c>
      <c r="C395" s="5" t="s">
        <v>539</v>
      </c>
      <c r="D395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5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1.5500096460083437</v>
      </c>
      <c r="F395" s="126">
        <f>VLOOKUP(woodflow[[#This Row],[From]],woodstock[#All],4,FALSE)</f>
        <v>2021</v>
      </c>
      <c r="G395" s="5" t="str">
        <f>VLOOKUP(woodflow[[#This Row],[From]],woodstock[#All],5,FALSE)</f>
        <v>OAS</v>
      </c>
      <c r="H395" s="135" t="str">
        <f>VLOOKUP(woodflow[[#This Row],[From]],woodstock[#All],7,FALSE)</f>
        <v>56</v>
      </c>
      <c r="I395" s="135" t="str">
        <f>VLOOKUP(woodflow[[#This Row],[to]],woodstock[#All],7,FALSE)</f>
        <v>59</v>
      </c>
      <c r="J395" s="135" t="str">
        <f>VLOOKUP(woodflow[[#This Row],[From]],woodstock[#All],8,FALSE)</f>
        <v>0</v>
      </c>
      <c r="K395" s="135" t="str">
        <f>VLOOKUP(woodflow[[#This Row],[to]],woodstock[#All],8,FALSE)</f>
        <v>0</v>
      </c>
      <c r="L395" s="136" t="str">
        <f>VLOOKUP(woodflow[[#This Row],[From]],woodstock[#All],9,FALSE)</f>
        <v>nan</v>
      </c>
      <c r="M395" s="136" t="str">
        <f>VLOOKUP(woodflow[[#This Row],[to]],woodstock[#All],9,FALSE)</f>
        <v>nan</v>
      </c>
      <c r="N395" s="131">
        <f>N392*woodratio!I121</f>
        <v>1.5500096460083437</v>
      </c>
      <c r="O395" s="126" t="s">
        <v>549</v>
      </c>
      <c r="P395" s="126" t="s">
        <v>240</v>
      </c>
      <c r="Q395" s="132"/>
      <c r="R395" s="1"/>
      <c r="S395" s="1"/>
      <c r="T395" s="1"/>
      <c r="U395" s="1"/>
      <c r="V395" s="1"/>
    </row>
    <row r="396" spans="1:22" x14ac:dyDescent="0.3">
      <c r="A396" s="5" t="str">
        <f>CONCATENATE("F",IF(B396&lt;&gt;"",COUNTA($B$2:B396),""))</f>
        <v>F243</v>
      </c>
      <c r="B396" s="5" t="s">
        <v>378</v>
      </c>
      <c r="C396" s="5" t="s">
        <v>540</v>
      </c>
      <c r="D396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9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96" s="126">
        <f>VLOOKUP(woodflow[[#This Row],[From]],woodstock[#All],4,FALSE)</f>
        <v>2021</v>
      </c>
      <c r="G396" s="5" t="str">
        <f>VLOOKUP(woodflow[[#This Row],[From]],woodstock[#All],5,FALSE)</f>
        <v>OAS</v>
      </c>
      <c r="H396" s="135" t="str">
        <f>VLOOKUP(woodflow[[#This Row],[From]],woodstock[#All],7,FALSE)</f>
        <v>56</v>
      </c>
      <c r="I396" s="135" t="str">
        <f>VLOOKUP(woodflow[[#This Row],[to]],woodstock[#All],7,FALSE)</f>
        <v>60</v>
      </c>
      <c r="J396" s="135" t="str">
        <f>VLOOKUP(woodflow[[#This Row],[From]],woodstock[#All],8,FALSE)</f>
        <v>0</v>
      </c>
      <c r="K396" s="135" t="str">
        <f>VLOOKUP(woodflow[[#This Row],[to]],woodstock[#All],8,FALSE)</f>
        <v>0</v>
      </c>
      <c r="L396" s="136" t="str">
        <f>VLOOKUP(woodflow[[#This Row],[From]],woodstock[#All],9,FALSE)</f>
        <v>nan</v>
      </c>
      <c r="M396" s="136" t="str">
        <f>VLOOKUP(woodflow[[#This Row],[to]],woodstock[#All],9,FALSE)</f>
        <v>nan</v>
      </c>
      <c r="N396" s="131">
        <v>0</v>
      </c>
      <c r="O396" s="126" t="s">
        <v>213</v>
      </c>
      <c r="P396" s="126"/>
      <c r="Q396" s="132"/>
      <c r="R396" s="1"/>
      <c r="S396" s="1"/>
      <c r="T396" s="1"/>
      <c r="U396" s="1"/>
      <c r="V396" s="1"/>
    </row>
    <row r="397" spans="1:22" x14ac:dyDescent="0.3">
      <c r="A397" s="5" t="str">
        <f>CONCATENATE("F",IF(B397&lt;&gt;"",COUNTA($B$2:B397),""))</f>
        <v>F244</v>
      </c>
      <c r="B397" s="5" t="s">
        <v>378</v>
      </c>
      <c r="C397" s="5" t="s">
        <v>398</v>
      </c>
      <c r="D397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7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0.8611164700046352</v>
      </c>
      <c r="F397" s="126">
        <f>VLOOKUP(woodflow[[#This Row],[From]],woodstock[#All],4,FALSE)</f>
        <v>2021</v>
      </c>
      <c r="G397" s="5" t="str">
        <f>VLOOKUP(woodflow[[#This Row],[From]],woodstock[#All],5,FALSE)</f>
        <v>OAS</v>
      </c>
      <c r="H397" s="135" t="str">
        <f>VLOOKUP(woodflow[[#This Row],[From]],woodstock[#All],7,FALSE)</f>
        <v>56</v>
      </c>
      <c r="I397" s="135" t="str">
        <f>VLOOKUP(woodflow[[#This Row],[to]],woodstock[#All],7,FALSE)</f>
        <v>61</v>
      </c>
      <c r="J397" s="135" t="str">
        <f>VLOOKUP(woodflow[[#This Row],[From]],woodstock[#All],8,FALSE)</f>
        <v>0</v>
      </c>
      <c r="K397" s="135" t="str">
        <f>VLOOKUP(woodflow[[#This Row],[to]],woodstock[#All],8,FALSE)</f>
        <v>0</v>
      </c>
      <c r="L397" s="136" t="str">
        <f>VLOOKUP(woodflow[[#This Row],[From]],woodstock[#All],9,FALSE)</f>
        <v>nan</v>
      </c>
      <c r="M397" s="136" t="str">
        <f>VLOOKUP(woodflow[[#This Row],[to]],woodstock[#All],9,FALSE)</f>
        <v>nan</v>
      </c>
      <c r="N397" s="131">
        <f>N392*woodratio!I122</f>
        <v>0.8611164700046352</v>
      </c>
      <c r="O397" s="126" t="s">
        <v>549</v>
      </c>
      <c r="P397" s="126" t="s">
        <v>240</v>
      </c>
      <c r="Q397" s="137"/>
      <c r="R397" s="1"/>
      <c r="S397" s="1"/>
      <c r="T397" s="1"/>
      <c r="U397" s="1"/>
      <c r="V397" s="1"/>
    </row>
    <row r="398" spans="1:22" x14ac:dyDescent="0.3">
      <c r="A398" s="5" t="str">
        <f>CONCATENATE("F",IF(B398&lt;&gt;"",COUNTA($B$2:B398),""))</f>
        <v>F245</v>
      </c>
      <c r="B398" s="5" t="s">
        <v>378</v>
      </c>
      <c r="C398" s="5" t="s">
        <v>404</v>
      </c>
      <c r="D398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8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14.025102983376822</v>
      </c>
      <c r="F398" s="126">
        <f>VLOOKUP(woodflow[[#This Row],[From]],woodstock[#All],4,FALSE)</f>
        <v>2021</v>
      </c>
      <c r="G398" s="5" t="str">
        <f>VLOOKUP(woodflow[[#This Row],[From]],woodstock[#All],5,FALSE)</f>
        <v>OAS</v>
      </c>
      <c r="H398" s="135" t="str">
        <f>VLOOKUP(woodflow[[#This Row],[From]],woodstock[#All],7,FALSE)</f>
        <v>56</v>
      </c>
      <c r="I398" s="135" t="str">
        <f>VLOOKUP(woodflow[[#This Row],[to]],woodstock[#All],7,FALSE)</f>
        <v>22</v>
      </c>
      <c r="J398" s="135" t="str">
        <f>VLOOKUP(woodflow[[#This Row],[From]],woodstock[#All],8,FALSE)</f>
        <v>0</v>
      </c>
      <c r="K398" s="135" t="str">
        <f>VLOOKUP(woodflow[[#This Row],[to]],woodstock[#All],8,FALSE)</f>
        <v>1</v>
      </c>
      <c r="L398" s="136" t="str">
        <f>VLOOKUP(woodflow[[#This Row],[From]],woodstock[#All],9,FALSE)</f>
        <v>nan</v>
      </c>
      <c r="M398" s="136" t="str">
        <f>VLOOKUP(woodflow[[#This Row],[to]],woodstock[#All],9,FALSE)</f>
        <v>62-63-64</v>
      </c>
      <c r="N398" s="131">
        <f>SUM(N399:N401)</f>
        <v>14.025102983376822</v>
      </c>
      <c r="O398" s="126" t="s">
        <v>549</v>
      </c>
      <c r="P398" s="126" t="s">
        <v>239</v>
      </c>
      <c r="Q398" s="137"/>
      <c r="R398" s="1"/>
      <c r="S398" s="15"/>
      <c r="T398" s="1"/>
      <c r="U398" s="1"/>
      <c r="V398" s="1"/>
    </row>
    <row r="399" spans="1:22" x14ac:dyDescent="0.3">
      <c r="A399" s="5" t="str">
        <f>CONCATENATE("F",IF(B399&lt;&gt;"",COUNTA($B$2:B399),""))</f>
        <v>F246</v>
      </c>
      <c r="B399" s="5" t="s">
        <v>378</v>
      </c>
      <c r="C399" s="5" t="s">
        <v>407</v>
      </c>
      <c r="D399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9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1.8298675983454884</v>
      </c>
      <c r="F399" s="126">
        <f>VLOOKUP(woodflow[[#This Row],[From]],woodstock[#All],4,FALSE)</f>
        <v>2021</v>
      </c>
      <c r="G399" s="5" t="str">
        <f>VLOOKUP(woodflow[[#This Row],[From]],woodstock[#All],5,FALSE)</f>
        <v>OAS</v>
      </c>
      <c r="H399" s="135" t="str">
        <f>VLOOKUP(woodflow[[#This Row],[From]],woodstock[#All],7,FALSE)</f>
        <v>56</v>
      </c>
      <c r="I399" s="135" t="str">
        <f>VLOOKUP(woodflow[[#This Row],[to]],woodstock[#All],7,FALSE)</f>
        <v>62</v>
      </c>
      <c r="J399" s="135" t="str">
        <f>VLOOKUP(woodflow[[#This Row],[From]],woodstock[#All],8,FALSE)</f>
        <v>0</v>
      </c>
      <c r="K399" s="135" t="str">
        <f>VLOOKUP(woodflow[[#This Row],[to]],woodstock[#All],8,FALSE)</f>
        <v>0</v>
      </c>
      <c r="L399" s="136" t="str">
        <f>VLOOKUP(woodflow[[#This Row],[From]],woodstock[#All],9,FALSE)</f>
        <v>nan</v>
      </c>
      <c r="M399" s="136" t="str">
        <f>VLOOKUP(woodflow[[#This Row],[to]],woodstock[#All],9,FALSE)</f>
        <v>nan</v>
      </c>
      <c r="N399" s="131">
        <f>N392*woodratio!I123</f>
        <v>1.8298675983454884</v>
      </c>
      <c r="O399" s="126" t="s">
        <v>549</v>
      </c>
      <c r="P399" s="126" t="s">
        <v>240</v>
      </c>
      <c r="Q399" s="137"/>
      <c r="R399" s="1"/>
      <c r="S399" s="15"/>
      <c r="T399" s="1"/>
      <c r="U399" s="1"/>
      <c r="V399" s="1"/>
    </row>
    <row r="400" spans="1:22" x14ac:dyDescent="0.3">
      <c r="A400" s="5" t="str">
        <f>CONCATENATE("F",IF(B400&lt;&gt;"",COUNTA($B$2:B400),""))</f>
        <v>F247</v>
      </c>
      <c r="B400" s="5" t="s">
        <v>378</v>
      </c>
      <c r="C400" s="5" t="s">
        <v>359</v>
      </c>
      <c r="D400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0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7.2496961863543055</v>
      </c>
      <c r="F400" s="126">
        <f>VLOOKUP(woodflow[[#This Row],[From]],woodstock[#All],4,FALSE)</f>
        <v>2021</v>
      </c>
      <c r="G400" s="5" t="str">
        <f>VLOOKUP(woodflow[[#This Row],[From]],woodstock[#All],5,FALSE)</f>
        <v>OAS</v>
      </c>
      <c r="H400" s="135" t="str">
        <f>VLOOKUP(woodflow[[#This Row],[From]],woodstock[#All],7,FALSE)</f>
        <v>56</v>
      </c>
      <c r="I400" s="135" t="str">
        <f>VLOOKUP(woodflow[[#This Row],[to]],woodstock[#All],7,FALSE)</f>
        <v>63</v>
      </c>
      <c r="J400" s="135" t="str">
        <f>VLOOKUP(woodflow[[#This Row],[From]],woodstock[#All],8,FALSE)</f>
        <v>0</v>
      </c>
      <c r="K400" s="135" t="str">
        <f>VLOOKUP(woodflow[[#This Row],[to]],woodstock[#All],8,FALSE)</f>
        <v>0</v>
      </c>
      <c r="L400" s="136" t="str">
        <f>VLOOKUP(woodflow[[#This Row],[From]],woodstock[#All],9,FALSE)</f>
        <v>nan</v>
      </c>
      <c r="M400" s="136" t="str">
        <f>VLOOKUP(woodflow[[#This Row],[to]],woodstock[#All],9,FALSE)</f>
        <v>nan</v>
      </c>
      <c r="N400" s="131">
        <f>N392*woodratio!I124</f>
        <v>7.2496961863543055</v>
      </c>
      <c r="O400" s="126" t="s">
        <v>549</v>
      </c>
      <c r="P400" s="126" t="s">
        <v>240</v>
      </c>
      <c r="Q400" s="126"/>
      <c r="R400" s="1"/>
      <c r="S400" s="1"/>
      <c r="T400" s="1"/>
      <c r="U400" s="1"/>
      <c r="V400" s="1"/>
    </row>
    <row r="401" spans="1:22" x14ac:dyDescent="0.3">
      <c r="A401" s="5" t="str">
        <f>CONCATENATE("F",IF(B401&lt;&gt;"",COUNTA($B$2:B401),""))</f>
        <v>F248</v>
      </c>
      <c r="B401" s="5" t="s">
        <v>378</v>
      </c>
      <c r="C401" s="5" t="s">
        <v>380</v>
      </c>
      <c r="D401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1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4.9455391986770278</v>
      </c>
      <c r="F401" s="126">
        <f>VLOOKUP(woodflow[[#This Row],[From]],woodstock[#All],4,FALSE)</f>
        <v>2021</v>
      </c>
      <c r="G401" s="5" t="str">
        <f>VLOOKUP(woodflow[[#This Row],[From]],woodstock[#All],5,FALSE)</f>
        <v>OAS</v>
      </c>
      <c r="H401" s="135" t="str">
        <f>VLOOKUP(woodflow[[#This Row],[From]],woodstock[#All],7,FALSE)</f>
        <v>56</v>
      </c>
      <c r="I401" s="135" t="str">
        <f>VLOOKUP(woodflow[[#This Row],[to]],woodstock[#All],7,FALSE)</f>
        <v>64</v>
      </c>
      <c r="J401" s="135" t="str">
        <f>VLOOKUP(woodflow[[#This Row],[From]],woodstock[#All],8,FALSE)</f>
        <v>0</v>
      </c>
      <c r="K401" s="135" t="str">
        <f>VLOOKUP(woodflow[[#This Row],[to]],woodstock[#All],8,FALSE)</f>
        <v>0</v>
      </c>
      <c r="L401" s="136" t="str">
        <f>VLOOKUP(woodflow[[#This Row],[From]],woodstock[#All],9,FALSE)</f>
        <v>nan</v>
      </c>
      <c r="M401" s="136" t="str">
        <f>VLOOKUP(woodflow[[#This Row],[to]],woodstock[#All],9,FALSE)</f>
        <v>nan</v>
      </c>
      <c r="N401" s="131">
        <f>N392*woodratio!I125</f>
        <v>4.9455391986770278</v>
      </c>
      <c r="O401" s="126" t="s">
        <v>549</v>
      </c>
      <c r="P401" s="126" t="s">
        <v>240</v>
      </c>
      <c r="Q401" s="126"/>
      <c r="R401" s="1"/>
      <c r="S401" s="1"/>
      <c r="T401" s="1"/>
      <c r="U401" s="1"/>
      <c r="V401" s="1"/>
    </row>
    <row r="402" spans="1:22" x14ac:dyDescent="0.3">
      <c r="A402" s="5" t="str">
        <f>CONCATENATE("F",IF(B402&lt;&gt;"",COUNTA($B$2:B402),""))</f>
        <v>F</v>
      </c>
      <c r="B402" s="126"/>
      <c r="C402" s="126"/>
      <c r="D402" s="133"/>
      <c r="E402" s="133"/>
      <c r="F402" s="126"/>
      <c r="G402" s="126"/>
      <c r="H402" s="135"/>
      <c r="I402" s="135"/>
      <c r="J402" s="135"/>
      <c r="K402" s="135"/>
      <c r="L402" s="136"/>
      <c r="M402" s="136"/>
      <c r="N402" s="131"/>
      <c r="O402" s="126"/>
      <c r="P402" s="126"/>
      <c r="Q402" s="126"/>
      <c r="R402" s="1"/>
      <c r="S402" s="1"/>
      <c r="T402" s="1"/>
      <c r="U402" s="1"/>
      <c r="V402" s="1"/>
    </row>
    <row r="403" spans="1:22" x14ac:dyDescent="0.3">
      <c r="A403" s="5" t="str">
        <f>CONCATENATE("F",IF(B403&lt;&gt;"",COUNTA($B$2:B403),""))</f>
        <v>F</v>
      </c>
      <c r="B403" s="126"/>
      <c r="C403" s="126"/>
      <c r="D403" s="133"/>
      <c r="E403" s="133"/>
      <c r="F403" s="126"/>
      <c r="G403" s="126"/>
      <c r="H403" s="135"/>
      <c r="I403" s="135"/>
      <c r="J403" s="135"/>
      <c r="K403" s="135"/>
      <c r="L403" s="136"/>
      <c r="M403" s="136"/>
      <c r="N403" s="131"/>
      <c r="O403" s="126"/>
      <c r="P403" s="126"/>
      <c r="Q403" s="126"/>
      <c r="R403" s="1"/>
      <c r="S403" s="1"/>
      <c r="T403" s="1"/>
      <c r="U403" s="1"/>
      <c r="V403" s="1"/>
    </row>
    <row r="404" spans="1:22" x14ac:dyDescent="0.3">
      <c r="A404" s="5" t="str">
        <f>CONCATENATE("F",IF(B404&lt;&gt;"",COUNTA($B$2:B404),""))</f>
        <v>F249</v>
      </c>
      <c r="B404" s="5" t="s">
        <v>379</v>
      </c>
      <c r="C404" s="5" t="s">
        <v>357</v>
      </c>
      <c r="D404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29.208290052532501</v>
      </c>
      <c r="E404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4" s="126">
        <f>VLOOKUP(woodflow[[#This Row],[From]],woodstock[#All],4,FALSE)</f>
        <v>2021</v>
      </c>
      <c r="G404" s="5" t="str">
        <f>VLOOKUP(woodflow[[#This Row],[From]],woodstock[#All],5,FALSE)</f>
        <v>OAS</v>
      </c>
      <c r="H404" s="135" t="str">
        <f>VLOOKUP(woodflow[[#This Row],[From]],woodstock[#All],7,FALSE)</f>
        <v>57</v>
      </c>
      <c r="I404" s="135" t="str">
        <f>VLOOKUP(woodflow[[#This Row],[to]],woodstock[#All],7,FALSE)</f>
        <v>20</v>
      </c>
      <c r="J404" s="135" t="str">
        <f>VLOOKUP(woodflow[[#This Row],[From]],woodstock[#All],8,FALSE)</f>
        <v>0</v>
      </c>
      <c r="K404" s="135" t="str">
        <f>VLOOKUP(woodflow[[#This Row],[to]],woodstock[#All],8,FALSE)</f>
        <v>1</v>
      </c>
      <c r="L404" s="136" t="str">
        <f>VLOOKUP(woodflow[[#This Row],[From]],woodstock[#All],9,FALSE)</f>
        <v>nan</v>
      </c>
      <c r="M404" s="136" t="str">
        <f>VLOOKUP(woodflow[[#This Row],[to]],woodstock[#All],9,FALSE)</f>
        <v>58-59-60-61-62-63-64</v>
      </c>
      <c r="N404" s="131">
        <f>((N314+N322)*'supporting-percentages'!B75)</f>
        <v>29.208290052532501</v>
      </c>
      <c r="O404" s="126" t="s">
        <v>556</v>
      </c>
      <c r="P404" s="126" t="s">
        <v>458</v>
      </c>
      <c r="Q404" s="132"/>
      <c r="R404" s="1"/>
      <c r="S404" s="15"/>
      <c r="T404" s="15"/>
      <c r="U404" s="15"/>
      <c r="V404" s="1"/>
    </row>
    <row r="405" spans="1:22" x14ac:dyDescent="0.3">
      <c r="A405" s="5" t="str">
        <f>CONCATENATE("F",IF(B405&lt;&gt;"",COUNTA($B$2:B405),""))</f>
        <v>F250</v>
      </c>
      <c r="B405" s="5" t="s">
        <v>379</v>
      </c>
      <c r="C405" s="5" t="s">
        <v>399</v>
      </c>
      <c r="D405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5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16.868141087895815</v>
      </c>
      <c r="F405" s="126">
        <f>VLOOKUP(woodflow[[#This Row],[From]],woodstock[#All],4,FALSE)</f>
        <v>2021</v>
      </c>
      <c r="G405" s="5" t="str">
        <f>VLOOKUP(woodflow[[#This Row],[From]],woodstock[#All],5,FALSE)</f>
        <v>OAS</v>
      </c>
      <c r="H405" s="135" t="str">
        <f>VLOOKUP(woodflow[[#This Row],[From]],woodstock[#All],7,FALSE)</f>
        <v>57</v>
      </c>
      <c r="I405" s="135" t="str">
        <f>VLOOKUP(woodflow[[#This Row],[to]],woodstock[#All],7,FALSE)</f>
        <v>21</v>
      </c>
      <c r="J405" s="135" t="str">
        <f>VLOOKUP(woodflow[[#This Row],[From]],woodstock[#All],8,FALSE)</f>
        <v>0</v>
      </c>
      <c r="K405" s="135" t="str">
        <f>VLOOKUP(woodflow[[#This Row],[to]],woodstock[#All],8,FALSE)</f>
        <v>1</v>
      </c>
      <c r="L405" s="136" t="str">
        <f>VLOOKUP(woodflow[[#This Row],[From]],woodstock[#All],9,FALSE)</f>
        <v>nan</v>
      </c>
      <c r="M405" s="136" t="str">
        <f>VLOOKUP(woodflow[[#This Row],[to]],woodstock[#All],9,FALSE)</f>
        <v>58-59-60-61</v>
      </c>
      <c r="N405" s="131">
        <f>N406+N407+N408+N409</f>
        <v>16.868141087895815</v>
      </c>
      <c r="O405" s="126" t="s">
        <v>549</v>
      </c>
      <c r="P405" s="126" t="s">
        <v>240</v>
      </c>
      <c r="Q405" s="137"/>
      <c r="R405" s="1"/>
      <c r="S405" s="1"/>
      <c r="T405" s="1"/>
      <c r="U405" s="1"/>
      <c r="V405" s="1"/>
    </row>
    <row r="406" spans="1:22" x14ac:dyDescent="0.3">
      <c r="A406" s="5" t="str">
        <f>CONCATENATE("F",IF(B406&lt;&gt;"",COUNTA($B$2:B406),""))</f>
        <v>F251</v>
      </c>
      <c r="B406" s="5" t="s">
        <v>379</v>
      </c>
      <c r="C406" s="5" t="s">
        <v>358</v>
      </c>
      <c r="D406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6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1.2402969587471777</v>
      </c>
      <c r="F406" s="126">
        <f>VLOOKUP(woodflow[[#This Row],[From]],woodstock[#All],4,FALSE)</f>
        <v>2021</v>
      </c>
      <c r="G406" s="5" t="str">
        <f>VLOOKUP(woodflow[[#This Row],[From]],woodstock[#All],5,FALSE)</f>
        <v>OAS</v>
      </c>
      <c r="H406" s="135" t="str">
        <f>VLOOKUP(woodflow[[#This Row],[From]],woodstock[#All],7,FALSE)</f>
        <v>57</v>
      </c>
      <c r="I406" s="135" t="str">
        <f>VLOOKUP(woodflow[[#This Row],[to]],woodstock[#All],7,FALSE)</f>
        <v>58</v>
      </c>
      <c r="J406" s="135" t="str">
        <f>VLOOKUP(woodflow[[#This Row],[From]],woodstock[#All],8,FALSE)</f>
        <v>0</v>
      </c>
      <c r="K406" s="135" t="str">
        <f>VLOOKUP(woodflow[[#This Row],[to]],woodstock[#All],8,FALSE)</f>
        <v>0</v>
      </c>
      <c r="L406" s="136" t="str">
        <f>VLOOKUP(woodflow[[#This Row],[From]],woodstock[#All],9,FALSE)</f>
        <v>nan</v>
      </c>
      <c r="M406" s="136" t="str">
        <f>VLOOKUP(woodflow[[#This Row],[to]],woodstock[#All],9,FALSE)</f>
        <v>nan</v>
      </c>
      <c r="N406" s="131">
        <f>N404*woodratio!I128</f>
        <v>1.2402969587471777</v>
      </c>
      <c r="O406" s="126" t="s">
        <v>549</v>
      </c>
      <c r="P406" s="126" t="s">
        <v>240</v>
      </c>
      <c r="Q406" s="132"/>
      <c r="R406" s="1"/>
      <c r="S406" s="1"/>
      <c r="T406" s="1"/>
      <c r="U406" s="1"/>
      <c r="V406" s="1"/>
    </row>
    <row r="407" spans="1:22" x14ac:dyDescent="0.3">
      <c r="A407" s="5" t="str">
        <f>CONCATENATE("F",IF(B407&lt;&gt;"",COUNTA($B$2:B407),""))</f>
        <v>F252</v>
      </c>
      <c r="B407" s="5" t="s">
        <v>379</v>
      </c>
      <c r="C407" s="5" t="s">
        <v>539</v>
      </c>
      <c r="D407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0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7" s="126">
        <f>VLOOKUP(woodflow[[#This Row],[From]],woodstock[#All],4,FALSE)</f>
        <v>2021</v>
      </c>
      <c r="G407" s="5" t="str">
        <f>VLOOKUP(woodflow[[#This Row],[From]],woodstock[#All],5,FALSE)</f>
        <v>OAS</v>
      </c>
      <c r="H407" s="135" t="str">
        <f>VLOOKUP(woodflow[[#This Row],[From]],woodstock[#All],7,FALSE)</f>
        <v>57</v>
      </c>
      <c r="I407" s="135" t="str">
        <f>VLOOKUP(woodflow[[#This Row],[to]],woodstock[#All],7,FALSE)</f>
        <v>59</v>
      </c>
      <c r="J407" s="135" t="str">
        <f>VLOOKUP(woodflow[[#This Row],[From]],woodstock[#All],8,FALSE)</f>
        <v>0</v>
      </c>
      <c r="K407" s="135" t="str">
        <f>VLOOKUP(woodflow[[#This Row],[to]],woodstock[#All],8,FALSE)</f>
        <v>0</v>
      </c>
      <c r="L407" s="136" t="str">
        <f>VLOOKUP(woodflow[[#This Row],[From]],woodstock[#All],9,FALSE)</f>
        <v>nan</v>
      </c>
      <c r="M407" s="136" t="str">
        <f>VLOOKUP(woodflow[[#This Row],[to]],woodstock[#All],9,FALSE)</f>
        <v>nan</v>
      </c>
      <c r="N407" s="131">
        <v>0</v>
      </c>
      <c r="O407" s="126" t="s">
        <v>213</v>
      </c>
      <c r="P407" s="126"/>
      <c r="Q407" s="126"/>
      <c r="R407" s="1"/>
      <c r="S407" s="1"/>
      <c r="T407" s="1"/>
      <c r="U407" s="1"/>
      <c r="V407" s="1"/>
    </row>
    <row r="408" spans="1:22" x14ac:dyDescent="0.3">
      <c r="A408" s="5" t="str">
        <f>CONCATENATE("F",IF(B408&lt;&gt;"",COUNTA($B$2:B408),""))</f>
        <v>F253</v>
      </c>
      <c r="B408" s="5" t="s">
        <v>379</v>
      </c>
      <c r="C408" s="5" t="s">
        <v>540</v>
      </c>
      <c r="D40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15.013887049999999</v>
      </c>
      <c r="E40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8" s="126">
        <f>VLOOKUP(woodflow[[#This Row],[From]],woodstock[#All],4,FALSE)</f>
        <v>2021</v>
      </c>
      <c r="G408" s="5" t="str">
        <f>VLOOKUP(woodflow[[#This Row],[From]],woodstock[#All],5,FALSE)</f>
        <v>OAS</v>
      </c>
      <c r="H408" s="135" t="str">
        <f>VLOOKUP(woodflow[[#This Row],[From]],woodstock[#All],7,FALSE)</f>
        <v>57</v>
      </c>
      <c r="I408" s="135" t="str">
        <f>VLOOKUP(woodflow[[#This Row],[to]],woodstock[#All],7,FALSE)</f>
        <v>60</v>
      </c>
      <c r="J408" s="135" t="str">
        <f>VLOOKUP(woodflow[[#This Row],[From]],woodstock[#All],8,FALSE)</f>
        <v>0</v>
      </c>
      <c r="K408" s="135" t="str">
        <f>VLOOKUP(woodflow[[#This Row],[to]],woodstock[#All],8,FALSE)</f>
        <v>0</v>
      </c>
      <c r="L408" s="136" t="str">
        <f>VLOOKUP(woodflow[[#This Row],[From]],woodstock[#All],9,FALSE)</f>
        <v>nan</v>
      </c>
      <c r="M408" s="136" t="str">
        <f>VLOOKUP(woodflow[[#This Row],[to]],woodstock[#All],9,FALSE)</f>
        <v>nan</v>
      </c>
      <c r="N408" s="131">
        <f>'faostat-data'!Q120-N325</f>
        <v>15.013887049999999</v>
      </c>
      <c r="O408" s="126" t="s">
        <v>556</v>
      </c>
      <c r="P408" s="126" t="s">
        <v>239</v>
      </c>
      <c r="Q408" s="140" t="s">
        <v>234</v>
      </c>
      <c r="R408" s="1"/>
      <c r="S408" s="1"/>
      <c r="T408" s="1"/>
      <c r="U408" s="1"/>
      <c r="V408" s="1"/>
    </row>
    <row r="409" spans="1:22" x14ac:dyDescent="0.3">
      <c r="A409" s="5" t="str">
        <f>CONCATENATE("F",IF(B409&lt;&gt;"",COUNTA($B$2:B409),""))</f>
        <v>F254</v>
      </c>
      <c r="B409" s="5" t="s">
        <v>379</v>
      </c>
      <c r="C409" s="5" t="s">
        <v>398</v>
      </c>
      <c r="D409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9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0.61395707914863795</v>
      </c>
      <c r="F409" s="126">
        <f>VLOOKUP(woodflow[[#This Row],[From]],woodstock[#All],4,FALSE)</f>
        <v>2021</v>
      </c>
      <c r="G409" s="5" t="str">
        <f>VLOOKUP(woodflow[[#This Row],[From]],woodstock[#All],5,FALSE)</f>
        <v>OAS</v>
      </c>
      <c r="H409" s="135" t="str">
        <f>VLOOKUP(woodflow[[#This Row],[From]],woodstock[#All],7,FALSE)</f>
        <v>57</v>
      </c>
      <c r="I409" s="135" t="str">
        <f>VLOOKUP(woodflow[[#This Row],[to]],woodstock[#All],7,FALSE)</f>
        <v>61</v>
      </c>
      <c r="J409" s="135" t="str">
        <f>VLOOKUP(woodflow[[#This Row],[From]],woodstock[#All],8,FALSE)</f>
        <v>0</v>
      </c>
      <c r="K409" s="135" t="str">
        <f>VLOOKUP(woodflow[[#This Row],[to]],woodstock[#All],8,FALSE)</f>
        <v>0</v>
      </c>
      <c r="L409" s="136" t="str">
        <f>VLOOKUP(woodflow[[#This Row],[From]],woodstock[#All],9,FALSE)</f>
        <v>nan</v>
      </c>
      <c r="M409" s="136" t="str">
        <f>VLOOKUP(woodflow[[#This Row],[to]],woodstock[#All],9,FALSE)</f>
        <v>nan</v>
      </c>
      <c r="N409" s="131">
        <f>N404*woodratio!I130</f>
        <v>0.61395707914863795</v>
      </c>
      <c r="O409" s="126" t="s">
        <v>549</v>
      </c>
      <c r="P409" s="126" t="s">
        <v>239</v>
      </c>
      <c r="Q409" s="141"/>
      <c r="R409" s="1"/>
      <c r="S409" s="1"/>
      <c r="T409" s="1"/>
      <c r="U409" s="1"/>
      <c r="V409" s="1"/>
    </row>
    <row r="410" spans="1:22" x14ac:dyDescent="0.3">
      <c r="A410" s="5" t="str">
        <f>CONCATENATE("F",IF(B410&lt;&gt;"",COUNTA($B$2:B410),""))</f>
        <v>F255</v>
      </c>
      <c r="B410" s="5" t="s">
        <v>379</v>
      </c>
      <c r="C410" s="5" t="s">
        <v>404</v>
      </c>
      <c r="D410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0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12.340148964636684</v>
      </c>
      <c r="F410" s="126">
        <f>VLOOKUP(woodflow[[#This Row],[From]],woodstock[#All],4,FALSE)</f>
        <v>2021</v>
      </c>
      <c r="G410" s="5" t="str">
        <f>VLOOKUP(woodflow[[#This Row],[From]],woodstock[#All],5,FALSE)</f>
        <v>OAS</v>
      </c>
      <c r="H410" s="135" t="str">
        <f>VLOOKUP(woodflow[[#This Row],[From]],woodstock[#All],7,FALSE)</f>
        <v>57</v>
      </c>
      <c r="I410" s="135" t="str">
        <f>VLOOKUP(woodflow[[#This Row],[to]],woodstock[#All],7,FALSE)</f>
        <v>22</v>
      </c>
      <c r="J410" s="135" t="str">
        <f>VLOOKUP(woodflow[[#This Row],[From]],woodstock[#All],8,FALSE)</f>
        <v>0</v>
      </c>
      <c r="K410" s="135" t="str">
        <f>VLOOKUP(woodflow[[#This Row],[to]],woodstock[#All],8,FALSE)</f>
        <v>1</v>
      </c>
      <c r="L410" s="136" t="str">
        <f>VLOOKUP(woodflow[[#This Row],[From]],woodstock[#All],9,FALSE)</f>
        <v>nan</v>
      </c>
      <c r="M410" s="136" t="str">
        <f>VLOOKUP(woodflow[[#This Row],[to]],woodstock[#All],9,FALSE)</f>
        <v>62-63-64</v>
      </c>
      <c r="N410" s="131">
        <f>N411+N412+N413</f>
        <v>12.340148964636684</v>
      </c>
      <c r="O410" s="126" t="s">
        <v>549</v>
      </c>
      <c r="P410" s="126" t="s">
        <v>239</v>
      </c>
      <c r="Q410" s="137"/>
      <c r="R410" s="1"/>
      <c r="S410" s="1"/>
      <c r="T410" s="1"/>
      <c r="U410" s="1"/>
      <c r="V410" s="1"/>
    </row>
    <row r="411" spans="1:22" x14ac:dyDescent="0.3">
      <c r="A411" s="5" t="str">
        <f>CONCATENATE("F",IF(B411&lt;&gt;"",COUNTA($B$2:B411),""))</f>
        <v>F256</v>
      </c>
      <c r="B411" s="5" t="s">
        <v>379</v>
      </c>
      <c r="C411" s="5" t="s">
        <v>407</v>
      </c>
      <c r="D411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1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0.53155583946307627</v>
      </c>
      <c r="F411" s="126">
        <f>VLOOKUP(woodflow[[#This Row],[From]],woodstock[#All],4,FALSE)</f>
        <v>2021</v>
      </c>
      <c r="G411" s="5" t="str">
        <f>VLOOKUP(woodflow[[#This Row],[From]],woodstock[#All],5,FALSE)</f>
        <v>OAS</v>
      </c>
      <c r="H411" s="135" t="str">
        <f>VLOOKUP(woodflow[[#This Row],[From]],woodstock[#All],7,FALSE)</f>
        <v>57</v>
      </c>
      <c r="I411" s="135" t="str">
        <f>VLOOKUP(woodflow[[#This Row],[to]],woodstock[#All],7,FALSE)</f>
        <v>62</v>
      </c>
      <c r="J411" s="135" t="str">
        <f>VLOOKUP(woodflow[[#This Row],[From]],woodstock[#All],8,FALSE)</f>
        <v>0</v>
      </c>
      <c r="K411" s="135" t="str">
        <f>VLOOKUP(woodflow[[#This Row],[to]],woodstock[#All],8,FALSE)</f>
        <v>0</v>
      </c>
      <c r="L411" s="136" t="str">
        <f>VLOOKUP(woodflow[[#This Row],[From]],woodstock[#All],9,FALSE)</f>
        <v>nan</v>
      </c>
      <c r="M411" s="136" t="str">
        <f>VLOOKUP(woodflow[[#This Row],[to]],woodstock[#All],9,FALSE)</f>
        <v>nan</v>
      </c>
      <c r="N411" s="131">
        <f>N404*woodratio!I131</f>
        <v>0.53155583946307627</v>
      </c>
      <c r="O411" s="126" t="s">
        <v>549</v>
      </c>
      <c r="P411" s="126" t="s">
        <v>240</v>
      </c>
      <c r="Q411" s="132"/>
      <c r="R411" s="1"/>
      <c r="S411" s="1"/>
      <c r="T411" s="1"/>
      <c r="U411" s="1"/>
      <c r="V411" s="1"/>
    </row>
    <row r="412" spans="1:22" x14ac:dyDescent="0.3">
      <c r="A412" s="5" t="str">
        <f>CONCATENATE("F",IF(B412&lt;&gt;"",COUNTA($B$2:B412),""))</f>
        <v>F257</v>
      </c>
      <c r="B412" s="5" t="s">
        <v>379</v>
      </c>
      <c r="C412" s="5" t="s">
        <v>359</v>
      </c>
      <c r="D412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2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7.0198491331178872</v>
      </c>
      <c r="F412" s="126">
        <f>VLOOKUP(woodflow[[#This Row],[From]],woodstock[#All],4,FALSE)</f>
        <v>2021</v>
      </c>
      <c r="G412" s="5" t="str">
        <f>VLOOKUP(woodflow[[#This Row],[From]],woodstock[#All],5,FALSE)</f>
        <v>OAS</v>
      </c>
      <c r="H412" s="135" t="str">
        <f>VLOOKUP(woodflow[[#This Row],[From]],woodstock[#All],7,FALSE)</f>
        <v>57</v>
      </c>
      <c r="I412" s="135" t="str">
        <f>VLOOKUP(woodflow[[#This Row],[to]],woodstock[#All],7,FALSE)</f>
        <v>63</v>
      </c>
      <c r="J412" s="135" t="str">
        <f>VLOOKUP(woodflow[[#This Row],[From]],woodstock[#All],8,FALSE)</f>
        <v>0</v>
      </c>
      <c r="K412" s="135" t="str">
        <f>VLOOKUP(woodflow[[#This Row],[to]],woodstock[#All],8,FALSE)</f>
        <v>0</v>
      </c>
      <c r="L412" s="136" t="str">
        <f>VLOOKUP(woodflow[[#This Row],[From]],woodstock[#All],9,FALSE)</f>
        <v>nan</v>
      </c>
      <c r="M412" s="136" t="str">
        <f>VLOOKUP(woodflow[[#This Row],[to]],woodstock[#All],9,FALSE)</f>
        <v>nan</v>
      </c>
      <c r="N412" s="131">
        <f>N404*woodratio!I132</f>
        <v>7.0198491331178872</v>
      </c>
      <c r="O412" s="126" t="s">
        <v>549</v>
      </c>
      <c r="P412" s="126" t="s">
        <v>240</v>
      </c>
      <c r="Q412" s="132"/>
      <c r="R412" s="1"/>
      <c r="S412" s="1"/>
      <c r="T412" s="1"/>
      <c r="U412" s="1"/>
      <c r="V412" s="1"/>
    </row>
    <row r="413" spans="1:22" x14ac:dyDescent="0.3">
      <c r="A413" s="5" t="str">
        <f>CONCATENATE("F",IF(B413&lt;&gt;"",COUNTA($B$2:B413),""))</f>
        <v>F258</v>
      </c>
      <c r="B413" s="5" t="s">
        <v>379</v>
      </c>
      <c r="C413" s="5" t="s">
        <v>380</v>
      </c>
      <c r="D413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3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4.7887439920557213</v>
      </c>
      <c r="F413" s="126">
        <f>VLOOKUP(woodflow[[#This Row],[From]],woodstock[#All],4,FALSE)</f>
        <v>2021</v>
      </c>
      <c r="G413" s="5" t="str">
        <f>VLOOKUP(woodflow[[#This Row],[From]],woodstock[#All],5,FALSE)</f>
        <v>OAS</v>
      </c>
      <c r="H413" s="135" t="str">
        <f>VLOOKUP(woodflow[[#This Row],[From]],woodstock[#All],7,FALSE)</f>
        <v>57</v>
      </c>
      <c r="I413" s="135" t="str">
        <f>VLOOKUP(woodflow[[#This Row],[to]],woodstock[#All],7,FALSE)</f>
        <v>64</v>
      </c>
      <c r="J413" s="135" t="str">
        <f>VLOOKUP(woodflow[[#This Row],[From]],woodstock[#All],8,FALSE)</f>
        <v>0</v>
      </c>
      <c r="K413" s="135" t="str">
        <f>VLOOKUP(woodflow[[#This Row],[to]],woodstock[#All],8,FALSE)</f>
        <v>0</v>
      </c>
      <c r="L413" s="136" t="str">
        <f>VLOOKUP(woodflow[[#This Row],[From]],woodstock[#All],9,FALSE)</f>
        <v>nan</v>
      </c>
      <c r="M413" s="136" t="str">
        <f>VLOOKUP(woodflow[[#This Row],[to]],woodstock[#All],9,FALSE)</f>
        <v>nan</v>
      </c>
      <c r="N413" s="131">
        <f>N404*woodratio!I133</f>
        <v>4.7887439920557213</v>
      </c>
      <c r="O413" s="126" t="s">
        <v>549</v>
      </c>
      <c r="P413" s="126" t="s">
        <v>240</v>
      </c>
      <c r="Q413" s="137"/>
      <c r="R413" s="1"/>
      <c r="S413" s="1"/>
      <c r="T413" s="1"/>
      <c r="U413" s="1"/>
      <c r="V413" s="1"/>
    </row>
    <row r="414" spans="1:22" x14ac:dyDescent="0.3">
      <c r="A414" s="5" t="str">
        <f>CONCATENATE("F",IF(B414&lt;&gt;"",COUNTA($B$2:B414),""))</f>
        <v>F</v>
      </c>
      <c r="B414" s="126"/>
      <c r="C414" s="126"/>
      <c r="D414" s="133"/>
      <c r="E414" s="133"/>
      <c r="F414" s="126"/>
      <c r="G414" s="5"/>
      <c r="H414" s="135"/>
      <c r="I414" s="135"/>
      <c r="J414" s="135"/>
      <c r="K414" s="135"/>
      <c r="L414" s="136"/>
      <c r="M414" s="136"/>
      <c r="N414" s="131"/>
      <c r="O414" s="126"/>
      <c r="P414" s="126"/>
      <c r="Q414" s="126"/>
      <c r="R414" s="1"/>
      <c r="S414" s="1"/>
      <c r="T414" s="1"/>
      <c r="U414" s="1"/>
      <c r="V414" s="1"/>
    </row>
    <row r="415" spans="1:22" x14ac:dyDescent="0.3">
      <c r="A415" s="5" t="str">
        <f>CONCATENATE("F",IF(B415&lt;&gt;"",COUNTA($B$2:B415),""))</f>
        <v>F</v>
      </c>
      <c r="B415" s="126"/>
      <c r="C415" s="126"/>
      <c r="D415" s="133"/>
      <c r="E415" s="133"/>
      <c r="F415" s="126"/>
      <c r="G415" s="126"/>
      <c r="H415" s="135"/>
      <c r="I415" s="135"/>
      <c r="J415" s="135"/>
      <c r="K415" s="135"/>
      <c r="L415" s="136"/>
      <c r="M415" s="136"/>
      <c r="N415" s="131"/>
      <c r="O415" s="126"/>
      <c r="P415" s="126"/>
      <c r="Q415" s="126"/>
      <c r="R415" s="1"/>
      <c r="S415" s="1"/>
      <c r="T415" s="1"/>
      <c r="U415" s="1"/>
      <c r="V415" s="1"/>
    </row>
    <row r="416" spans="1:22" x14ac:dyDescent="0.3">
      <c r="A416" s="5" t="str">
        <f>CONCATENATE("F",IF(B416&lt;&gt;"",COUNTA($B$2:B416),""))</f>
        <v>F259</v>
      </c>
      <c r="B416" s="126" t="s">
        <v>29</v>
      </c>
      <c r="C416" s="126" t="s">
        <v>53</v>
      </c>
      <c r="D416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4.4336566628643226</v>
      </c>
      <c r="E41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6" s="126" t="str">
        <f>VLOOKUP(woodflow[[#This Row],[From]],woodstock[#All],4,FALSE)</f>
        <v>2021</v>
      </c>
      <c r="G416" s="5" t="str">
        <f>VLOOKUP(woodflow[[#This Row],[From]],woodstock[#All],5,FALSE)</f>
        <v>OAS</v>
      </c>
      <c r="H416" s="135" t="str">
        <f>VLOOKUP(woodflow[[#This Row],[From]],woodstock[#All],7,FALSE)</f>
        <v>50</v>
      </c>
      <c r="I416" s="135" t="str">
        <f>VLOOKUP(woodflow[[#This Row],[to]],woodstock[#All],7,FALSE)</f>
        <v>15</v>
      </c>
      <c r="J416" s="135" t="str">
        <f>VLOOKUP(woodflow[[#This Row],[From]],woodstock[#All],8,FALSE)</f>
        <v>0</v>
      </c>
      <c r="K416" s="135" t="str">
        <f>VLOOKUP(woodflow[[#This Row],[to]],woodstock[#All],8,FALSE)</f>
        <v>0</v>
      </c>
      <c r="L416" s="136" t="str">
        <f>VLOOKUP(woodflow[[#This Row],[From]],woodstock[#All],9,FALSE)</f>
        <v>nan</v>
      </c>
      <c r="M416" s="136" t="str">
        <f>VLOOKUP(woodflow[[#This Row],[to]],woodstock[#All],9,FALSE)</f>
        <v>nan</v>
      </c>
      <c r="N416" s="131">
        <f>(N114+N180+N189+N209+N222)*'supporting-percentages'!B35</f>
        <v>4.4336566628643226</v>
      </c>
      <c r="O416" s="126" t="s">
        <v>556</v>
      </c>
      <c r="P416" s="126" t="s">
        <v>458</v>
      </c>
      <c r="Q416" s="126"/>
      <c r="R416" s="1"/>
      <c r="S416" s="1"/>
      <c r="T416" s="1"/>
      <c r="U416" s="1"/>
      <c r="V416" s="1"/>
    </row>
    <row r="417" spans="1:22" x14ac:dyDescent="0.3">
      <c r="A417" s="5" t="str">
        <f>CONCATENATE("F",IF(B417&lt;&gt;"",COUNTA($B$2:B417),""))</f>
        <v>F</v>
      </c>
      <c r="B417" s="126"/>
      <c r="C417" s="126"/>
      <c r="D417" s="133"/>
      <c r="E417" s="133"/>
      <c r="F417" s="126"/>
      <c r="G417" s="126"/>
      <c r="H417" s="135"/>
      <c r="I417" s="135"/>
      <c r="J417" s="135"/>
      <c r="K417" s="135"/>
      <c r="L417" s="136"/>
      <c r="M417" s="136"/>
      <c r="N417" s="131"/>
      <c r="O417" s="126"/>
      <c r="P417" s="126"/>
      <c r="Q417" s="126"/>
      <c r="R417" s="1"/>
      <c r="S417" s="1"/>
      <c r="T417" s="1"/>
      <c r="U417" s="1"/>
      <c r="V417" s="1"/>
    </row>
    <row r="418" spans="1:22" x14ac:dyDescent="0.3">
      <c r="A418" s="5" t="str">
        <f>CONCATENATE("F",IF(B418&lt;&gt;"",COUNTA($B$2:B418),""))</f>
        <v>F</v>
      </c>
      <c r="B418" s="126"/>
      <c r="C418" s="126"/>
      <c r="D418" s="133"/>
      <c r="E418" s="133"/>
      <c r="F418" s="126"/>
      <c r="G418" s="126"/>
      <c r="H418" s="135"/>
      <c r="I418" s="135"/>
      <c r="J418" s="135"/>
      <c r="K418" s="135"/>
      <c r="L418" s="136"/>
      <c r="M418" s="136"/>
      <c r="N418" s="131"/>
      <c r="O418" s="126"/>
      <c r="P418" s="126"/>
      <c r="Q418" s="126"/>
      <c r="R418" s="1"/>
      <c r="S418" s="1"/>
      <c r="T418" s="1"/>
      <c r="U418" s="1"/>
      <c r="V418" s="1"/>
    </row>
    <row r="419" spans="1:22" x14ac:dyDescent="0.3">
      <c r="A419" s="5" t="str">
        <f>CONCATENATE("F",IF(B419&lt;&gt;"",COUNTA($B$2:B419),""))</f>
        <v>F260</v>
      </c>
      <c r="B419" s="126" t="s">
        <v>29</v>
      </c>
      <c r="C419" s="5" t="s">
        <v>357</v>
      </c>
      <c r="D419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10.345198880016753</v>
      </c>
      <c r="E41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9" s="126" t="str">
        <f>VLOOKUP(woodflow[[#This Row],[From]],woodstock[#All],4,FALSE)</f>
        <v>2021</v>
      </c>
      <c r="G419" s="5" t="str">
        <f>VLOOKUP(woodflow[[#This Row],[From]],woodstock[#All],5,FALSE)</f>
        <v>OAS</v>
      </c>
      <c r="H419" s="135" t="str">
        <f>VLOOKUP(woodflow[[#This Row],[From]],woodstock[#All],7,FALSE)</f>
        <v>50</v>
      </c>
      <c r="I419" s="135" t="str">
        <f>VLOOKUP(woodflow[[#This Row],[to]],woodstock[#All],7,FALSE)</f>
        <v>20</v>
      </c>
      <c r="J419" s="135" t="str">
        <f>VLOOKUP(woodflow[[#This Row],[From]],woodstock[#All],8,FALSE)</f>
        <v>0</v>
      </c>
      <c r="K419" s="135" t="str">
        <f>VLOOKUP(woodflow[[#This Row],[to]],woodstock[#All],8,FALSE)</f>
        <v>1</v>
      </c>
      <c r="L419" s="136" t="str">
        <f>VLOOKUP(woodflow[[#This Row],[From]],woodstock[#All],9,FALSE)</f>
        <v>nan</v>
      </c>
      <c r="M419" s="136" t="str">
        <f>VLOOKUP(woodflow[[#This Row],[to]],woodstock[#All],9,FALSE)</f>
        <v>58-59-60-61-62-63-64</v>
      </c>
      <c r="N419" s="131">
        <f>(N114+N180+N189+N209+N222)*('supporting-percentages'!B36)</f>
        <v>10.345198880016753</v>
      </c>
      <c r="O419" s="126" t="s">
        <v>556</v>
      </c>
      <c r="P419" s="126" t="s">
        <v>458</v>
      </c>
      <c r="Q419" s="126"/>
      <c r="R419" s="1"/>
      <c r="S419" s="1"/>
      <c r="T419" s="1"/>
      <c r="U419" s="1"/>
      <c r="V419" s="1"/>
    </row>
    <row r="420" spans="1:22" x14ac:dyDescent="0.3">
      <c r="A420" s="5" t="str">
        <f>CONCATENATE("F",IF(B420&lt;&gt;"",COUNTA($B$2:B420),""))</f>
        <v>F261</v>
      </c>
      <c r="B420" s="126" t="s">
        <v>29</v>
      </c>
      <c r="C420" s="5" t="s">
        <v>399</v>
      </c>
      <c r="D420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0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8.8673133257286469</v>
      </c>
      <c r="F420" s="126" t="str">
        <f>VLOOKUP(woodflow[[#This Row],[From]],woodstock[#All],4,FALSE)</f>
        <v>2021</v>
      </c>
      <c r="G420" s="5" t="str">
        <f>VLOOKUP(woodflow[[#This Row],[From]],woodstock[#All],5,FALSE)</f>
        <v>OAS</v>
      </c>
      <c r="H420" s="135" t="str">
        <f>VLOOKUP(woodflow[[#This Row],[From]],woodstock[#All],7,FALSE)</f>
        <v>50</v>
      </c>
      <c r="I420" s="135" t="str">
        <f>VLOOKUP(woodflow[[#This Row],[to]],woodstock[#All],7,FALSE)</f>
        <v>21</v>
      </c>
      <c r="J420" s="135" t="str">
        <f>VLOOKUP(woodflow[[#This Row],[From]],woodstock[#All],8,FALSE)</f>
        <v>0</v>
      </c>
      <c r="K420" s="135" t="str">
        <f>VLOOKUP(woodflow[[#This Row],[to]],woodstock[#All],8,FALSE)</f>
        <v>1</v>
      </c>
      <c r="L420" s="136" t="str">
        <f>VLOOKUP(woodflow[[#This Row],[From]],woodstock[#All],9,FALSE)</f>
        <v>nan</v>
      </c>
      <c r="M420" s="136" t="str">
        <f>VLOOKUP(woodflow[[#This Row],[to]],woodstock[#All],9,FALSE)</f>
        <v>58-59-60-61</v>
      </c>
      <c r="N420" s="131">
        <f>N421+N422+N423+N424</f>
        <v>8.8673133257286469</v>
      </c>
      <c r="O420" s="126" t="s">
        <v>549</v>
      </c>
      <c r="P420" s="126" t="s">
        <v>239</v>
      </c>
      <c r="Q420" s="126"/>
      <c r="R420" s="1"/>
      <c r="S420" s="1"/>
      <c r="T420" s="1"/>
      <c r="U420" s="1"/>
      <c r="V420" s="1"/>
    </row>
    <row r="421" spans="1:22" x14ac:dyDescent="0.3">
      <c r="A421" s="5" t="str">
        <f>CONCATENATE("F",IF(B421&lt;&gt;"",COUNTA($B$2:B421),""))</f>
        <v>F262</v>
      </c>
      <c r="B421" s="126" t="s">
        <v>29</v>
      </c>
      <c r="C421" s="5" t="s">
        <v>358</v>
      </c>
      <c r="D421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1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8.1283705485845932</v>
      </c>
      <c r="F421" s="126" t="str">
        <f>VLOOKUP(woodflow[[#This Row],[From]],woodstock[#All],4,FALSE)</f>
        <v>2021</v>
      </c>
      <c r="G421" s="5" t="str">
        <f>VLOOKUP(woodflow[[#This Row],[From]],woodstock[#All],5,FALSE)</f>
        <v>OAS</v>
      </c>
      <c r="H421" s="135" t="str">
        <f>VLOOKUP(woodflow[[#This Row],[From]],woodstock[#All],7,FALSE)</f>
        <v>50</v>
      </c>
      <c r="I421" s="135" t="str">
        <f>VLOOKUP(woodflow[[#This Row],[to]],woodstock[#All],7,FALSE)</f>
        <v>58</v>
      </c>
      <c r="J421" s="135" t="str">
        <f>VLOOKUP(woodflow[[#This Row],[From]],woodstock[#All],8,FALSE)</f>
        <v>0</v>
      </c>
      <c r="K421" s="135" t="str">
        <f>VLOOKUP(woodflow[[#This Row],[to]],woodstock[#All],8,FALSE)</f>
        <v>0</v>
      </c>
      <c r="L421" s="136" t="str">
        <f>VLOOKUP(woodflow[[#This Row],[From]],woodstock[#All],9,FALSE)</f>
        <v>nan</v>
      </c>
      <c r="M421" s="136" t="str">
        <f>VLOOKUP(woodflow[[#This Row],[to]],woodstock[#All],9,FALSE)</f>
        <v>nan</v>
      </c>
      <c r="N421" s="131">
        <f>N419*woodratio!I136</f>
        <v>8.1283705485845932</v>
      </c>
      <c r="O421" s="126" t="s">
        <v>549</v>
      </c>
      <c r="P421" s="126" t="s">
        <v>240</v>
      </c>
      <c r="Q421" s="126"/>
      <c r="R421" s="1"/>
      <c r="S421" s="1"/>
      <c r="T421" s="1"/>
      <c r="U421" s="1"/>
      <c r="V421" s="1"/>
    </row>
    <row r="422" spans="1:22" x14ac:dyDescent="0.3">
      <c r="A422" s="5" t="str">
        <f>CONCATENATE("F",IF(B422&lt;&gt;"",COUNTA($B$2:B422),""))</f>
        <v>F263</v>
      </c>
      <c r="B422" s="126" t="s">
        <v>29</v>
      </c>
      <c r="C422" s="5" t="s">
        <v>539</v>
      </c>
      <c r="D422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22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22" s="126" t="str">
        <f>VLOOKUP(woodflow[[#This Row],[From]],woodstock[#All],4,FALSE)</f>
        <v>2021</v>
      </c>
      <c r="G422" s="5" t="str">
        <f>VLOOKUP(woodflow[[#This Row],[From]],woodstock[#All],5,FALSE)</f>
        <v>OAS</v>
      </c>
      <c r="H422" s="135" t="str">
        <f>VLOOKUP(woodflow[[#This Row],[From]],woodstock[#All],7,FALSE)</f>
        <v>50</v>
      </c>
      <c r="I422" s="135" t="str">
        <f>VLOOKUP(woodflow[[#This Row],[to]],woodstock[#All],7,FALSE)</f>
        <v>59</v>
      </c>
      <c r="J422" s="135" t="str">
        <f>VLOOKUP(woodflow[[#This Row],[From]],woodstock[#All],8,FALSE)</f>
        <v>0</v>
      </c>
      <c r="K422" s="135" t="str">
        <f>VLOOKUP(woodflow[[#This Row],[to]],woodstock[#All],8,FALSE)</f>
        <v>0</v>
      </c>
      <c r="L422" s="136" t="str">
        <f>VLOOKUP(woodflow[[#This Row],[From]],woodstock[#All],9,FALSE)</f>
        <v>nan</v>
      </c>
      <c r="M422" s="136" t="str">
        <f>VLOOKUP(woodflow[[#This Row],[to]],woodstock[#All],9,FALSE)</f>
        <v>nan</v>
      </c>
      <c r="N422" s="131">
        <v>0</v>
      </c>
      <c r="O422" s="126" t="s">
        <v>213</v>
      </c>
      <c r="P422" s="126"/>
      <c r="Q422" s="126"/>
      <c r="R422" s="1"/>
      <c r="S422" s="1"/>
      <c r="T422" s="1"/>
      <c r="U422" s="1"/>
      <c r="V422" s="1"/>
    </row>
    <row r="423" spans="1:22" x14ac:dyDescent="0.3">
      <c r="A423" s="5" t="str">
        <f>CONCATENATE("F",IF(B423&lt;&gt;"",COUNTA($B$2:B423),""))</f>
        <v>F264</v>
      </c>
      <c r="B423" s="126" t="s">
        <v>29</v>
      </c>
      <c r="C423" s="5" t="s">
        <v>540</v>
      </c>
      <c r="D423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2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23" s="126" t="str">
        <f>VLOOKUP(woodflow[[#This Row],[From]],woodstock[#All],4,FALSE)</f>
        <v>2021</v>
      </c>
      <c r="G423" s="5" t="str">
        <f>VLOOKUP(woodflow[[#This Row],[From]],woodstock[#All],5,FALSE)</f>
        <v>OAS</v>
      </c>
      <c r="H423" s="135" t="str">
        <f>VLOOKUP(woodflow[[#This Row],[From]],woodstock[#All],7,FALSE)</f>
        <v>50</v>
      </c>
      <c r="I423" s="135" t="str">
        <f>VLOOKUP(woodflow[[#This Row],[to]],woodstock[#All],7,FALSE)</f>
        <v>60</v>
      </c>
      <c r="J423" s="135" t="str">
        <f>VLOOKUP(woodflow[[#This Row],[From]],woodstock[#All],8,FALSE)</f>
        <v>0</v>
      </c>
      <c r="K423" s="135" t="str">
        <f>VLOOKUP(woodflow[[#This Row],[to]],woodstock[#All],8,FALSE)</f>
        <v>0</v>
      </c>
      <c r="L423" s="136" t="str">
        <f>VLOOKUP(woodflow[[#This Row],[From]],woodstock[#All],9,FALSE)</f>
        <v>nan</v>
      </c>
      <c r="M423" s="136" t="str">
        <f>VLOOKUP(woodflow[[#This Row],[to]],woodstock[#All],9,FALSE)</f>
        <v>nan</v>
      </c>
      <c r="N423" s="131">
        <v>0</v>
      </c>
      <c r="O423" s="126" t="s">
        <v>213</v>
      </c>
      <c r="P423" s="126"/>
      <c r="Q423" s="126"/>
      <c r="R423" s="1"/>
      <c r="S423" s="1"/>
      <c r="T423" s="1"/>
      <c r="U423" s="1"/>
      <c r="V423" s="1"/>
    </row>
    <row r="424" spans="1:22" x14ac:dyDescent="0.3">
      <c r="A424" s="5" t="str">
        <f>CONCATENATE("F",IF(B424&lt;&gt;"",COUNTA($B$2:B424),""))</f>
        <v>F265</v>
      </c>
      <c r="B424" s="126" t="s">
        <v>29</v>
      </c>
      <c r="C424" s="5" t="s">
        <v>398</v>
      </c>
      <c r="D424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4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0.73894277714405388</v>
      </c>
      <c r="F424" s="126" t="str">
        <f>VLOOKUP(woodflow[[#This Row],[From]],woodstock[#All],4,FALSE)</f>
        <v>2021</v>
      </c>
      <c r="G424" s="5" t="str">
        <f>VLOOKUP(woodflow[[#This Row],[From]],woodstock[#All],5,FALSE)</f>
        <v>OAS</v>
      </c>
      <c r="H424" s="135" t="str">
        <f>VLOOKUP(woodflow[[#This Row],[From]],woodstock[#All],7,FALSE)</f>
        <v>50</v>
      </c>
      <c r="I424" s="135" t="str">
        <f>VLOOKUP(woodflow[[#This Row],[to]],woodstock[#All],7,FALSE)</f>
        <v>61</v>
      </c>
      <c r="J424" s="135" t="str">
        <f>VLOOKUP(woodflow[[#This Row],[From]],woodstock[#All],8,FALSE)</f>
        <v>0</v>
      </c>
      <c r="K424" s="135" t="str">
        <f>VLOOKUP(woodflow[[#This Row],[to]],woodstock[#All],8,FALSE)</f>
        <v>0</v>
      </c>
      <c r="L424" s="136" t="str">
        <f>VLOOKUP(woodflow[[#This Row],[From]],woodstock[#All],9,FALSE)</f>
        <v>nan</v>
      </c>
      <c r="M424" s="136" t="str">
        <f>VLOOKUP(woodflow[[#This Row],[to]],woodstock[#All],9,FALSE)</f>
        <v>nan</v>
      </c>
      <c r="N424" s="131">
        <f>N419*woodratio!I137</f>
        <v>0.73894277714405388</v>
      </c>
      <c r="O424" s="126" t="s">
        <v>549</v>
      </c>
      <c r="P424" s="126" t="s">
        <v>240</v>
      </c>
      <c r="Q424" s="126"/>
      <c r="R424" s="1"/>
      <c r="S424" s="1"/>
      <c r="T424" s="1"/>
      <c r="U424" s="1"/>
      <c r="V424" s="1"/>
    </row>
    <row r="425" spans="1:22" x14ac:dyDescent="0.3">
      <c r="A425" s="5" t="str">
        <f>CONCATENATE("F",IF(B425&lt;&gt;"",COUNTA($B$2:B425),""))</f>
        <v>F266</v>
      </c>
      <c r="B425" s="126" t="s">
        <v>29</v>
      </c>
      <c r="C425" s="5" t="s">
        <v>404</v>
      </c>
      <c r="D425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5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1.4778865542881077</v>
      </c>
      <c r="F425" s="126" t="str">
        <f>VLOOKUP(woodflow[[#This Row],[From]],woodstock[#All],4,FALSE)</f>
        <v>2021</v>
      </c>
      <c r="G425" s="5" t="str">
        <f>VLOOKUP(woodflow[[#This Row],[From]],woodstock[#All],5,FALSE)</f>
        <v>OAS</v>
      </c>
      <c r="H425" s="135" t="str">
        <f>VLOOKUP(woodflow[[#This Row],[From]],woodstock[#All],7,FALSE)</f>
        <v>50</v>
      </c>
      <c r="I425" s="135" t="str">
        <f>VLOOKUP(woodflow[[#This Row],[to]],woodstock[#All],7,FALSE)</f>
        <v>22</v>
      </c>
      <c r="J425" s="135" t="str">
        <f>VLOOKUP(woodflow[[#This Row],[From]],woodstock[#All],8,FALSE)</f>
        <v>0</v>
      </c>
      <c r="K425" s="135" t="str">
        <f>VLOOKUP(woodflow[[#This Row],[to]],woodstock[#All],8,FALSE)</f>
        <v>1</v>
      </c>
      <c r="L425" s="136" t="str">
        <f>VLOOKUP(woodflow[[#This Row],[From]],woodstock[#All],9,FALSE)</f>
        <v>nan</v>
      </c>
      <c r="M425" s="136" t="str">
        <f>VLOOKUP(woodflow[[#This Row],[to]],woodstock[#All],9,FALSE)</f>
        <v>62-63-64</v>
      </c>
      <c r="N425" s="131">
        <f>N426+N427+N428</f>
        <v>1.4778865542881077</v>
      </c>
      <c r="O425" s="126" t="s">
        <v>549</v>
      </c>
      <c r="P425" s="126" t="s">
        <v>239</v>
      </c>
      <c r="Q425" s="126"/>
      <c r="R425" s="1"/>
      <c r="S425" s="1"/>
      <c r="T425" s="1"/>
      <c r="U425" s="1"/>
      <c r="V425" s="1"/>
    </row>
    <row r="426" spans="1:22" x14ac:dyDescent="0.3">
      <c r="A426" s="5" t="str">
        <f>CONCATENATE("F",IF(B426&lt;&gt;"",COUNTA($B$2:B426),""))</f>
        <v>F267</v>
      </c>
      <c r="B426" s="126" t="s">
        <v>29</v>
      </c>
      <c r="C426" s="5" t="s">
        <v>407</v>
      </c>
      <c r="D426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6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0.73894277714405388</v>
      </c>
      <c r="F426" s="126" t="str">
        <f>VLOOKUP(woodflow[[#This Row],[From]],woodstock[#All],4,FALSE)</f>
        <v>2021</v>
      </c>
      <c r="G426" s="5" t="str">
        <f>VLOOKUP(woodflow[[#This Row],[From]],woodstock[#All],5,FALSE)</f>
        <v>OAS</v>
      </c>
      <c r="H426" s="135" t="str">
        <f>VLOOKUP(woodflow[[#This Row],[From]],woodstock[#All],7,FALSE)</f>
        <v>50</v>
      </c>
      <c r="I426" s="135" t="str">
        <f>VLOOKUP(woodflow[[#This Row],[to]],woodstock[#All],7,FALSE)</f>
        <v>62</v>
      </c>
      <c r="J426" s="135" t="str">
        <f>VLOOKUP(woodflow[[#This Row],[From]],woodstock[#All],8,FALSE)</f>
        <v>0</v>
      </c>
      <c r="K426" s="135" t="str">
        <f>VLOOKUP(woodflow[[#This Row],[to]],woodstock[#All],8,FALSE)</f>
        <v>0</v>
      </c>
      <c r="L426" s="136" t="str">
        <f>VLOOKUP(woodflow[[#This Row],[From]],woodstock[#All],9,FALSE)</f>
        <v>nan</v>
      </c>
      <c r="M426" s="136" t="str">
        <f>VLOOKUP(woodflow[[#This Row],[to]],woodstock[#All],9,FALSE)</f>
        <v>nan</v>
      </c>
      <c r="N426" s="131">
        <f>N419*woodratio!I138</f>
        <v>0.73894277714405388</v>
      </c>
      <c r="O426" s="126" t="s">
        <v>549</v>
      </c>
      <c r="P426" s="126" t="s">
        <v>240</v>
      </c>
      <c r="Q426" s="126"/>
      <c r="R426" s="1"/>
      <c r="S426" s="1"/>
      <c r="T426" s="1"/>
      <c r="U426" s="1"/>
      <c r="V426" s="1"/>
    </row>
    <row r="427" spans="1:22" x14ac:dyDescent="0.3">
      <c r="A427" s="5" t="str">
        <f>CONCATENATE("F",IF(B427&lt;&gt;"",COUNTA($B$2:B427),""))</f>
        <v>F268</v>
      </c>
      <c r="B427" s="126" t="s">
        <v>29</v>
      </c>
      <c r="C427" s="5" t="s">
        <v>359</v>
      </c>
      <c r="D427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7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0.73894277714405388</v>
      </c>
      <c r="F427" s="126" t="str">
        <f>VLOOKUP(woodflow[[#This Row],[From]],woodstock[#All],4,FALSE)</f>
        <v>2021</v>
      </c>
      <c r="G427" s="5" t="str">
        <f>VLOOKUP(woodflow[[#This Row],[From]],woodstock[#All],5,FALSE)</f>
        <v>OAS</v>
      </c>
      <c r="H427" s="135" t="str">
        <f>VLOOKUP(woodflow[[#This Row],[From]],woodstock[#All],7,FALSE)</f>
        <v>50</v>
      </c>
      <c r="I427" s="135" t="str">
        <f>VLOOKUP(woodflow[[#This Row],[to]],woodstock[#All],7,FALSE)</f>
        <v>63</v>
      </c>
      <c r="J427" s="135" t="str">
        <f>VLOOKUP(woodflow[[#This Row],[From]],woodstock[#All],8,FALSE)</f>
        <v>0</v>
      </c>
      <c r="K427" s="135" t="str">
        <f>VLOOKUP(woodflow[[#This Row],[to]],woodstock[#All],8,FALSE)</f>
        <v>0</v>
      </c>
      <c r="L427" s="136" t="str">
        <f>VLOOKUP(woodflow[[#This Row],[From]],woodstock[#All],9,FALSE)</f>
        <v>nan</v>
      </c>
      <c r="M427" s="136" t="str">
        <f>VLOOKUP(woodflow[[#This Row],[to]],woodstock[#All],9,FALSE)</f>
        <v>nan</v>
      </c>
      <c r="N427" s="131">
        <f>N419*woodratio!I139</f>
        <v>0.73894277714405388</v>
      </c>
      <c r="O427" s="126" t="s">
        <v>549</v>
      </c>
      <c r="P427" s="126" t="s">
        <v>240</v>
      </c>
      <c r="Q427" s="126"/>
      <c r="R427" s="1"/>
      <c r="S427" s="1"/>
      <c r="T427" s="1"/>
      <c r="U427" s="1"/>
      <c r="V427" s="1"/>
    </row>
    <row r="428" spans="1:22" x14ac:dyDescent="0.3">
      <c r="A428" s="5" t="str">
        <f>CONCATENATE("F",IF(B428&lt;&gt;"",COUNTA($B$2:B428),""))</f>
        <v>F269</v>
      </c>
      <c r="B428" s="126" t="s">
        <v>29</v>
      </c>
      <c r="C428" s="5" t="s">
        <v>380</v>
      </c>
      <c r="D428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8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28" s="126" t="str">
        <f>VLOOKUP(woodflow[[#This Row],[From]],woodstock[#All],4,FALSE)</f>
        <v>2021</v>
      </c>
      <c r="G428" s="5" t="str">
        <f>VLOOKUP(woodflow[[#This Row],[From]],woodstock[#All],5,FALSE)</f>
        <v>OAS</v>
      </c>
      <c r="H428" s="135" t="str">
        <f>VLOOKUP(woodflow[[#This Row],[From]],woodstock[#All],7,FALSE)</f>
        <v>50</v>
      </c>
      <c r="I428" s="135" t="str">
        <f>VLOOKUP(woodflow[[#This Row],[to]],woodstock[#All],7,FALSE)</f>
        <v>64</v>
      </c>
      <c r="J428" s="135" t="str">
        <f>VLOOKUP(woodflow[[#This Row],[From]],woodstock[#All],8,FALSE)</f>
        <v>0</v>
      </c>
      <c r="K428" s="135" t="str">
        <f>VLOOKUP(woodflow[[#This Row],[to]],woodstock[#All],8,FALSE)</f>
        <v>0</v>
      </c>
      <c r="L428" s="136" t="str">
        <f>VLOOKUP(woodflow[[#This Row],[From]],woodstock[#All],9,FALSE)</f>
        <v>nan</v>
      </c>
      <c r="M428" s="136" t="str">
        <f>VLOOKUP(woodflow[[#This Row],[to]],woodstock[#All],9,FALSE)</f>
        <v>nan</v>
      </c>
      <c r="N428" s="131">
        <f>1*10^-6</f>
        <v>9.9999999999999995E-7</v>
      </c>
      <c r="O428" s="126" t="s">
        <v>549</v>
      </c>
      <c r="P428" s="126" t="s">
        <v>240</v>
      </c>
      <c r="Q428" s="126"/>
      <c r="R428" s="1"/>
      <c r="S428" s="1"/>
      <c r="T428" s="1"/>
      <c r="U428" s="1"/>
      <c r="V428" s="1"/>
    </row>
    <row r="429" spans="1:22" x14ac:dyDescent="0.3">
      <c r="A429" s="5" t="str">
        <f>CONCATENATE("F",IF(B429&lt;&gt;"",COUNTA($B$2:B429),""))</f>
        <v>F</v>
      </c>
      <c r="B429" s="126"/>
      <c r="C429" s="126"/>
      <c r="D429" s="133"/>
      <c r="E429" s="133"/>
      <c r="F429" s="126"/>
      <c r="G429" s="126"/>
      <c r="H429" s="135"/>
      <c r="I429" s="135"/>
      <c r="J429" s="135"/>
      <c r="K429" s="135"/>
      <c r="L429" s="136"/>
      <c r="M429" s="136"/>
      <c r="N429" s="131"/>
      <c r="O429" s="126"/>
      <c r="P429" s="126"/>
      <c r="Q429" s="126"/>
      <c r="R429" s="1"/>
      <c r="S429" s="1"/>
      <c r="T429" s="1"/>
      <c r="U429" s="1"/>
      <c r="V429" s="1"/>
    </row>
    <row r="430" spans="1:22" x14ac:dyDescent="0.3">
      <c r="A430" s="5" t="str">
        <f>CONCATENATE("F",IF(B430&lt;&gt;"",COUNTA($B$2:B430),""))</f>
        <v>F</v>
      </c>
      <c r="B430" s="126"/>
      <c r="C430" s="126"/>
      <c r="D430" s="133"/>
      <c r="E430" s="133"/>
      <c r="F430" s="126"/>
      <c r="G430" s="126"/>
      <c r="H430" s="135"/>
      <c r="I430" s="135"/>
      <c r="J430" s="135"/>
      <c r="K430" s="135"/>
      <c r="L430" s="136"/>
      <c r="M430" s="136"/>
      <c r="N430" s="131"/>
      <c r="O430" s="126"/>
      <c r="P430" s="126"/>
      <c r="Q430" s="126"/>
      <c r="R430" s="1"/>
      <c r="S430" s="1"/>
      <c r="T430" s="1"/>
      <c r="U430" s="1"/>
      <c r="V430" s="1"/>
    </row>
    <row r="431" spans="1:22" x14ac:dyDescent="0.3">
      <c r="A431" s="5" t="str">
        <f>CONCATENATE("F",IF(B431&lt;&gt;"",COUNTA($B$2:B431),""))</f>
        <v>F270</v>
      </c>
      <c r="B431" s="126" t="s">
        <v>73</v>
      </c>
      <c r="C431" s="126" t="s">
        <v>54</v>
      </c>
      <c r="D431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1.3172977422918091</v>
      </c>
      <c r="E431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1" s="126" t="str">
        <f>VLOOKUP(woodflow[[#This Row],[From]],woodstock[#All],4,FALSE)</f>
        <v>2021</v>
      </c>
      <c r="G431" s="5" t="str">
        <f>VLOOKUP(woodflow[[#This Row],[From]],woodstock[#All],5,FALSE)</f>
        <v>OAS</v>
      </c>
      <c r="H431" s="135" t="str">
        <f>VLOOKUP(woodflow[[#This Row],[From]],woodstock[#All],7,FALSE)</f>
        <v>51</v>
      </c>
      <c r="I431" s="135" t="str">
        <f>VLOOKUP(woodflow[[#This Row],[to]],woodstock[#All],7,FALSE)</f>
        <v>16</v>
      </c>
      <c r="J431" s="135" t="str">
        <f>VLOOKUP(woodflow[[#This Row],[From]],woodstock[#All],8,FALSE)</f>
        <v>0</v>
      </c>
      <c r="K431" s="135" t="str">
        <f>VLOOKUP(woodflow[[#This Row],[to]],woodstock[#All],8,FALSE)</f>
        <v>0</v>
      </c>
      <c r="L431" s="136" t="str">
        <f>VLOOKUP(woodflow[[#This Row],[From]],woodstock[#All],9,FALSE)</f>
        <v>nan</v>
      </c>
      <c r="M431" s="136" t="str">
        <f>VLOOKUP(woodflow[[#This Row],[to]],woodstock[#All],9,FALSE)</f>
        <v>nan</v>
      </c>
      <c r="N431" s="131">
        <f>(N115+N181+N190+N223++N248+N343+N349+N355+N361+N367+N373)*'supporting-percentages'!B44</f>
        <v>1.3172977422918091</v>
      </c>
      <c r="O431" s="126" t="s">
        <v>556</v>
      </c>
      <c r="P431" s="126" t="s">
        <v>458</v>
      </c>
      <c r="Q431" s="126"/>
      <c r="R431" s="1"/>
      <c r="S431" s="1"/>
      <c r="T431" s="1"/>
      <c r="U431" s="1"/>
      <c r="V431" s="1"/>
    </row>
    <row r="432" spans="1:22" x14ac:dyDescent="0.3">
      <c r="A432" s="5" t="str">
        <f>CONCATENATE("F",IF(B432&lt;&gt;"",COUNTA($B$2:B432),""))</f>
        <v>F</v>
      </c>
      <c r="B432" s="126"/>
      <c r="C432" s="126"/>
      <c r="D432" s="133"/>
      <c r="E432" s="133"/>
      <c r="F432" s="126"/>
      <c r="G432" s="126"/>
      <c r="H432" s="135"/>
      <c r="I432" s="135"/>
      <c r="J432" s="135"/>
      <c r="K432" s="135"/>
      <c r="L432" s="136"/>
      <c r="M432" s="136"/>
      <c r="N432" s="131"/>
      <c r="O432" s="126"/>
      <c r="P432" s="126"/>
      <c r="Q432" s="126"/>
      <c r="R432" s="1"/>
      <c r="S432" s="1"/>
      <c r="T432" s="1"/>
      <c r="U432" s="1"/>
      <c r="V432" s="1"/>
    </row>
    <row r="433" spans="1:22" x14ac:dyDescent="0.3">
      <c r="A433" s="5" t="str">
        <f>CONCATENATE("F",IF(B433&lt;&gt;"",COUNTA($B$2:B433),""))</f>
        <v>F</v>
      </c>
      <c r="B433" s="126"/>
      <c r="C433" s="126"/>
      <c r="D433" s="133"/>
      <c r="E433" s="133"/>
      <c r="F433" s="126"/>
      <c r="G433" s="126"/>
      <c r="H433" s="135"/>
      <c r="I433" s="135"/>
      <c r="J433" s="135"/>
      <c r="K433" s="135"/>
      <c r="L433" s="136"/>
      <c r="M433" s="136"/>
      <c r="N433" s="131"/>
      <c r="O433" s="126"/>
      <c r="P433" s="126"/>
      <c r="Q433" s="126"/>
      <c r="R433" s="1"/>
      <c r="S433" s="1"/>
      <c r="T433" s="1"/>
      <c r="U433" s="1"/>
      <c r="V433" s="1"/>
    </row>
    <row r="434" spans="1:22" x14ac:dyDescent="0.3">
      <c r="A434" s="5" t="str">
        <f>CONCATENATE("F",IF(B434&lt;&gt;"",COUNTA($B$2:B434),""))</f>
        <v>F271</v>
      </c>
      <c r="B434" s="126" t="s">
        <v>73</v>
      </c>
      <c r="C434" s="5" t="s">
        <v>357</v>
      </c>
      <c r="D434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5.2691909691672363</v>
      </c>
      <c r="E434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4" s="126" t="str">
        <f>VLOOKUP(woodflow[[#This Row],[From]],woodstock[#All],4,FALSE)</f>
        <v>2021</v>
      </c>
      <c r="G434" s="5" t="str">
        <f>VLOOKUP(woodflow[[#This Row],[From]],woodstock[#All],5,FALSE)</f>
        <v>OAS</v>
      </c>
      <c r="H434" s="135" t="str">
        <f>VLOOKUP(woodflow[[#This Row],[From]],woodstock[#All],7,FALSE)</f>
        <v>51</v>
      </c>
      <c r="I434" s="135" t="str">
        <f>VLOOKUP(woodflow[[#This Row],[to]],woodstock[#All],7,FALSE)</f>
        <v>20</v>
      </c>
      <c r="J434" s="135" t="str">
        <f>VLOOKUP(woodflow[[#This Row],[From]],woodstock[#All],8,FALSE)</f>
        <v>0</v>
      </c>
      <c r="K434" s="135" t="str">
        <f>VLOOKUP(woodflow[[#This Row],[to]],woodstock[#All],8,FALSE)</f>
        <v>1</v>
      </c>
      <c r="L434" s="136" t="str">
        <f>VLOOKUP(woodflow[[#This Row],[From]],woodstock[#All],9,FALSE)</f>
        <v>nan</v>
      </c>
      <c r="M434" s="136" t="str">
        <f>VLOOKUP(woodflow[[#This Row],[to]],woodstock[#All],9,FALSE)</f>
        <v>58-59-60-61-62-63-64</v>
      </c>
      <c r="N434" s="131">
        <f>(N115+N181+N190+N223++N248+N343+N349+N355+N361+N367+N373)*('supporting-percentages'!B45)</f>
        <v>5.2691909691672363</v>
      </c>
      <c r="O434" s="126" t="s">
        <v>556</v>
      </c>
      <c r="P434" s="126" t="s">
        <v>458</v>
      </c>
      <c r="Q434" s="126"/>
      <c r="R434" s="1"/>
      <c r="S434" s="1"/>
      <c r="T434" s="1"/>
      <c r="U434" s="1"/>
      <c r="V434" s="1"/>
    </row>
    <row r="435" spans="1:22" x14ac:dyDescent="0.3">
      <c r="A435" s="5" t="str">
        <f>CONCATENATE("F",IF(B435&lt;&gt;"",COUNTA($B$2:B435),""))</f>
        <v>F272</v>
      </c>
      <c r="B435" s="126" t="s">
        <v>73</v>
      </c>
      <c r="C435" s="5" t="s">
        <v>399</v>
      </c>
      <c r="D435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5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4.6105420980213321</v>
      </c>
      <c r="F435" s="126" t="str">
        <f>VLOOKUP(woodflow[[#This Row],[From]],woodstock[#All],4,FALSE)</f>
        <v>2021</v>
      </c>
      <c r="G435" s="5" t="str">
        <f>VLOOKUP(woodflow[[#This Row],[From]],woodstock[#All],5,FALSE)</f>
        <v>OAS</v>
      </c>
      <c r="H435" s="135" t="str">
        <f>VLOOKUP(woodflow[[#This Row],[From]],woodstock[#All],7,FALSE)</f>
        <v>51</v>
      </c>
      <c r="I435" s="135" t="str">
        <f>VLOOKUP(woodflow[[#This Row],[to]],woodstock[#All],7,FALSE)</f>
        <v>21</v>
      </c>
      <c r="J435" s="135" t="str">
        <f>VLOOKUP(woodflow[[#This Row],[From]],woodstock[#All],8,FALSE)</f>
        <v>0</v>
      </c>
      <c r="K435" s="135" t="str">
        <f>VLOOKUP(woodflow[[#This Row],[to]],woodstock[#All],8,FALSE)</f>
        <v>1</v>
      </c>
      <c r="L435" s="136" t="str">
        <f>VLOOKUP(woodflow[[#This Row],[From]],woodstock[#All],9,FALSE)</f>
        <v>nan</v>
      </c>
      <c r="M435" s="136" t="str">
        <f>VLOOKUP(woodflow[[#This Row],[to]],woodstock[#All],9,FALSE)</f>
        <v>58-59-60-61</v>
      </c>
      <c r="N435" s="131">
        <f>N436+N437+N438++N439</f>
        <v>4.6105420980213321</v>
      </c>
      <c r="O435" s="126" t="s">
        <v>549</v>
      </c>
      <c r="P435" s="126" t="s">
        <v>240</v>
      </c>
      <c r="Q435" s="126"/>
      <c r="R435" s="1"/>
      <c r="S435" s="1"/>
      <c r="T435" s="1"/>
      <c r="U435" s="1"/>
      <c r="V435" s="1"/>
    </row>
    <row r="436" spans="1:22" x14ac:dyDescent="0.3">
      <c r="A436" s="5" t="str">
        <f>CONCATENATE("F",IF(B436&lt;&gt;"",COUNTA($B$2:B436),""))</f>
        <v>F273</v>
      </c>
      <c r="B436" s="126" t="s">
        <v>73</v>
      </c>
      <c r="C436" s="5" t="s">
        <v>358</v>
      </c>
      <c r="D436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6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4.2812176624483795</v>
      </c>
      <c r="F436" s="126" t="str">
        <f>VLOOKUP(woodflow[[#This Row],[From]],woodstock[#All],4,FALSE)</f>
        <v>2021</v>
      </c>
      <c r="G436" s="5" t="str">
        <f>VLOOKUP(woodflow[[#This Row],[From]],woodstock[#All],5,FALSE)</f>
        <v>OAS</v>
      </c>
      <c r="H436" s="135" t="str">
        <f>VLOOKUP(woodflow[[#This Row],[From]],woodstock[#All],7,FALSE)</f>
        <v>51</v>
      </c>
      <c r="I436" s="135" t="str">
        <f>VLOOKUP(woodflow[[#This Row],[to]],woodstock[#All],7,FALSE)</f>
        <v>58</v>
      </c>
      <c r="J436" s="135" t="str">
        <f>VLOOKUP(woodflow[[#This Row],[From]],woodstock[#All],8,FALSE)</f>
        <v>0</v>
      </c>
      <c r="K436" s="135" t="str">
        <f>VLOOKUP(woodflow[[#This Row],[to]],woodstock[#All],8,FALSE)</f>
        <v>0</v>
      </c>
      <c r="L436" s="136" t="str">
        <f>VLOOKUP(woodflow[[#This Row],[From]],woodstock[#All],9,FALSE)</f>
        <v>nan</v>
      </c>
      <c r="M436" s="136" t="str">
        <f>VLOOKUP(woodflow[[#This Row],[to]],woodstock[#All],9,FALSE)</f>
        <v>nan</v>
      </c>
      <c r="N436" s="131">
        <f>N434*woodratio!I142</f>
        <v>4.2812176624483795</v>
      </c>
      <c r="O436" s="126" t="s">
        <v>549</v>
      </c>
      <c r="P436" s="126" t="s">
        <v>240</v>
      </c>
      <c r="Q436" s="126"/>
      <c r="R436" s="1"/>
      <c r="S436" s="1"/>
      <c r="T436" s="1"/>
      <c r="U436" s="1"/>
      <c r="V436" s="1"/>
    </row>
    <row r="437" spans="1:22" x14ac:dyDescent="0.3">
      <c r="A437" s="5" t="str">
        <f>CONCATENATE("F",IF(B437&lt;&gt;"",COUNTA($B$2:B437),""))</f>
        <v>F274</v>
      </c>
      <c r="B437" s="126" t="s">
        <v>73</v>
      </c>
      <c r="C437" s="5" t="s">
        <v>539</v>
      </c>
      <c r="D437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3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7" s="126" t="str">
        <f>VLOOKUP(woodflow[[#This Row],[From]],woodstock[#All],4,FALSE)</f>
        <v>2021</v>
      </c>
      <c r="G437" s="5" t="str">
        <f>VLOOKUP(woodflow[[#This Row],[From]],woodstock[#All],5,FALSE)</f>
        <v>OAS</v>
      </c>
      <c r="H437" s="135" t="str">
        <f>VLOOKUP(woodflow[[#This Row],[From]],woodstock[#All],7,FALSE)</f>
        <v>51</v>
      </c>
      <c r="I437" s="135" t="str">
        <f>VLOOKUP(woodflow[[#This Row],[to]],woodstock[#All],7,FALSE)</f>
        <v>59</v>
      </c>
      <c r="J437" s="135" t="str">
        <f>VLOOKUP(woodflow[[#This Row],[From]],woodstock[#All],8,FALSE)</f>
        <v>0</v>
      </c>
      <c r="K437" s="135" t="str">
        <f>VLOOKUP(woodflow[[#This Row],[to]],woodstock[#All],8,FALSE)</f>
        <v>0</v>
      </c>
      <c r="L437" s="136" t="str">
        <f>VLOOKUP(woodflow[[#This Row],[From]],woodstock[#All],9,FALSE)</f>
        <v>nan</v>
      </c>
      <c r="M437" s="136" t="str">
        <f>VLOOKUP(woodflow[[#This Row],[to]],woodstock[#All],9,FALSE)</f>
        <v>nan</v>
      </c>
      <c r="N437" s="131">
        <v>0</v>
      </c>
      <c r="O437" s="126" t="s">
        <v>213</v>
      </c>
      <c r="P437" s="126"/>
      <c r="Q437" s="126"/>
      <c r="R437" s="1"/>
      <c r="S437" s="1"/>
      <c r="T437" s="1"/>
      <c r="U437" s="1"/>
      <c r="V437" s="1"/>
    </row>
    <row r="438" spans="1:22" x14ac:dyDescent="0.3">
      <c r="A438" s="5" t="str">
        <f>CONCATENATE("F",IF(B438&lt;&gt;"",COUNTA($B$2:B438),""))</f>
        <v>F275</v>
      </c>
      <c r="B438" s="126" t="s">
        <v>73</v>
      </c>
      <c r="C438" s="5" t="s">
        <v>540</v>
      </c>
      <c r="D43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3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8" s="126" t="str">
        <f>VLOOKUP(woodflow[[#This Row],[From]],woodstock[#All],4,FALSE)</f>
        <v>2021</v>
      </c>
      <c r="G438" s="5" t="str">
        <f>VLOOKUP(woodflow[[#This Row],[From]],woodstock[#All],5,FALSE)</f>
        <v>OAS</v>
      </c>
      <c r="H438" s="135" t="str">
        <f>VLOOKUP(woodflow[[#This Row],[From]],woodstock[#All],7,FALSE)</f>
        <v>51</v>
      </c>
      <c r="I438" s="135" t="str">
        <f>VLOOKUP(woodflow[[#This Row],[to]],woodstock[#All],7,FALSE)</f>
        <v>60</v>
      </c>
      <c r="J438" s="135" t="str">
        <f>VLOOKUP(woodflow[[#This Row],[From]],woodstock[#All],8,FALSE)</f>
        <v>0</v>
      </c>
      <c r="K438" s="135" t="str">
        <f>VLOOKUP(woodflow[[#This Row],[to]],woodstock[#All],8,FALSE)</f>
        <v>0</v>
      </c>
      <c r="L438" s="136" t="str">
        <f>VLOOKUP(woodflow[[#This Row],[From]],woodstock[#All],9,FALSE)</f>
        <v>nan</v>
      </c>
      <c r="M438" s="136" t="str">
        <f>VLOOKUP(woodflow[[#This Row],[to]],woodstock[#All],9,FALSE)</f>
        <v>nan</v>
      </c>
      <c r="N438" s="131">
        <v>0</v>
      </c>
      <c r="O438" s="126" t="s">
        <v>213</v>
      </c>
      <c r="P438" s="126"/>
      <c r="Q438" s="126"/>
      <c r="R438" s="1"/>
      <c r="S438" s="1"/>
      <c r="T438" s="1"/>
      <c r="U438" s="1"/>
      <c r="V438" s="1"/>
    </row>
    <row r="439" spans="1:22" x14ac:dyDescent="0.3">
      <c r="A439" s="5" t="str">
        <f>CONCATENATE("F",IF(B439&lt;&gt;"",COUNTA($B$2:B439),""))</f>
        <v>F276</v>
      </c>
      <c r="B439" s="126" t="s">
        <v>73</v>
      </c>
      <c r="C439" s="5" t="s">
        <v>398</v>
      </c>
      <c r="D439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9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0.32932443557295227</v>
      </c>
      <c r="F439" s="126" t="str">
        <f>VLOOKUP(woodflow[[#This Row],[From]],woodstock[#All],4,FALSE)</f>
        <v>2021</v>
      </c>
      <c r="G439" s="5" t="str">
        <f>VLOOKUP(woodflow[[#This Row],[From]],woodstock[#All],5,FALSE)</f>
        <v>OAS</v>
      </c>
      <c r="H439" s="135" t="str">
        <f>VLOOKUP(woodflow[[#This Row],[From]],woodstock[#All],7,FALSE)</f>
        <v>51</v>
      </c>
      <c r="I439" s="135" t="str">
        <f>VLOOKUP(woodflow[[#This Row],[to]],woodstock[#All],7,FALSE)</f>
        <v>61</v>
      </c>
      <c r="J439" s="135" t="str">
        <f>VLOOKUP(woodflow[[#This Row],[From]],woodstock[#All],8,FALSE)</f>
        <v>0</v>
      </c>
      <c r="K439" s="135" t="str">
        <f>VLOOKUP(woodflow[[#This Row],[to]],woodstock[#All],8,FALSE)</f>
        <v>0</v>
      </c>
      <c r="L439" s="136" t="str">
        <f>VLOOKUP(woodflow[[#This Row],[From]],woodstock[#All],9,FALSE)</f>
        <v>nan</v>
      </c>
      <c r="M439" s="136" t="str">
        <f>VLOOKUP(woodflow[[#This Row],[to]],woodstock[#All],9,FALSE)</f>
        <v>nan</v>
      </c>
      <c r="N439" s="131">
        <f>N434*woodratio!I143</f>
        <v>0.32932443557295227</v>
      </c>
      <c r="O439" s="126" t="s">
        <v>549</v>
      </c>
      <c r="P439" s="126" t="s">
        <v>240</v>
      </c>
      <c r="Q439" s="126"/>
      <c r="R439" s="1"/>
      <c r="S439" s="1"/>
      <c r="T439" s="1"/>
      <c r="U439" s="1"/>
      <c r="V439" s="1"/>
    </row>
    <row r="440" spans="1:22" x14ac:dyDescent="0.3">
      <c r="A440" s="5" t="str">
        <f>CONCATENATE("F",IF(B440&lt;&gt;"",COUNTA($B$2:B440),""))</f>
        <v>F277</v>
      </c>
      <c r="B440" s="126" t="s">
        <v>73</v>
      </c>
      <c r="C440" s="5" t="s">
        <v>404</v>
      </c>
      <c r="D440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0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0.65864987114590456</v>
      </c>
      <c r="F440" s="126" t="str">
        <f>VLOOKUP(woodflow[[#This Row],[From]],woodstock[#All],4,FALSE)</f>
        <v>2021</v>
      </c>
      <c r="G440" s="5" t="str">
        <f>VLOOKUP(woodflow[[#This Row],[From]],woodstock[#All],5,FALSE)</f>
        <v>OAS</v>
      </c>
      <c r="H440" s="135" t="str">
        <f>VLOOKUP(woodflow[[#This Row],[From]],woodstock[#All],7,FALSE)</f>
        <v>51</v>
      </c>
      <c r="I440" s="135" t="str">
        <f>VLOOKUP(woodflow[[#This Row],[to]],woodstock[#All],7,FALSE)</f>
        <v>22</v>
      </c>
      <c r="J440" s="135" t="str">
        <f>VLOOKUP(woodflow[[#This Row],[From]],woodstock[#All],8,FALSE)</f>
        <v>0</v>
      </c>
      <c r="K440" s="135" t="str">
        <f>VLOOKUP(woodflow[[#This Row],[to]],woodstock[#All],8,FALSE)</f>
        <v>1</v>
      </c>
      <c r="L440" s="136" t="str">
        <f>VLOOKUP(woodflow[[#This Row],[From]],woodstock[#All],9,FALSE)</f>
        <v>nan</v>
      </c>
      <c r="M440" s="136" t="str">
        <f>VLOOKUP(woodflow[[#This Row],[to]],woodstock[#All],9,FALSE)</f>
        <v>62-63-64</v>
      </c>
      <c r="N440" s="131">
        <f>N441+N442+N443</f>
        <v>0.65864987114590456</v>
      </c>
      <c r="O440" s="126" t="s">
        <v>549</v>
      </c>
      <c r="P440" s="126" t="s">
        <v>239</v>
      </c>
      <c r="Q440" s="126"/>
      <c r="R440" s="1"/>
      <c r="S440" s="1"/>
      <c r="T440" s="1"/>
      <c r="U440" s="1"/>
      <c r="V440" s="1"/>
    </row>
    <row r="441" spans="1:22" x14ac:dyDescent="0.3">
      <c r="A441" s="5" t="str">
        <f>CONCATENATE("F",IF(B441&lt;&gt;"",COUNTA($B$2:B441),""))</f>
        <v>F278</v>
      </c>
      <c r="B441" s="126" t="s">
        <v>73</v>
      </c>
      <c r="C441" s="5" t="s">
        <v>407</v>
      </c>
      <c r="D441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1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0.32932443557295227</v>
      </c>
      <c r="F441" s="126" t="str">
        <f>VLOOKUP(woodflow[[#This Row],[From]],woodstock[#All],4,FALSE)</f>
        <v>2021</v>
      </c>
      <c r="G441" s="5" t="str">
        <f>VLOOKUP(woodflow[[#This Row],[From]],woodstock[#All],5,FALSE)</f>
        <v>OAS</v>
      </c>
      <c r="H441" s="135" t="str">
        <f>VLOOKUP(woodflow[[#This Row],[From]],woodstock[#All],7,FALSE)</f>
        <v>51</v>
      </c>
      <c r="I441" s="135" t="str">
        <f>VLOOKUP(woodflow[[#This Row],[to]],woodstock[#All],7,FALSE)</f>
        <v>62</v>
      </c>
      <c r="J441" s="135" t="str">
        <f>VLOOKUP(woodflow[[#This Row],[From]],woodstock[#All],8,FALSE)</f>
        <v>0</v>
      </c>
      <c r="K441" s="135" t="str">
        <f>VLOOKUP(woodflow[[#This Row],[to]],woodstock[#All],8,FALSE)</f>
        <v>0</v>
      </c>
      <c r="L441" s="136" t="str">
        <f>VLOOKUP(woodflow[[#This Row],[From]],woodstock[#All],9,FALSE)</f>
        <v>nan</v>
      </c>
      <c r="M441" s="136" t="str">
        <f>VLOOKUP(woodflow[[#This Row],[to]],woodstock[#All],9,FALSE)</f>
        <v>nan</v>
      </c>
      <c r="N441" s="131">
        <f>N434*woodratio!I144</f>
        <v>0.32932443557295227</v>
      </c>
      <c r="O441" s="126" t="s">
        <v>549</v>
      </c>
      <c r="P441" s="126" t="s">
        <v>240</v>
      </c>
      <c r="Q441" s="126"/>
      <c r="R441" s="1"/>
      <c r="S441" s="1"/>
      <c r="T441" s="1"/>
      <c r="U441" s="1"/>
      <c r="V441" s="1"/>
    </row>
    <row r="442" spans="1:22" x14ac:dyDescent="0.3">
      <c r="A442" s="5" t="str">
        <f>CONCATENATE("F",IF(B442&lt;&gt;"",COUNTA($B$2:B442),""))</f>
        <v>F279</v>
      </c>
      <c r="B442" s="126" t="s">
        <v>73</v>
      </c>
      <c r="C442" s="5" t="s">
        <v>359</v>
      </c>
      <c r="D442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2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0.32932443557295227</v>
      </c>
      <c r="F442" s="126" t="str">
        <f>VLOOKUP(woodflow[[#This Row],[From]],woodstock[#All],4,FALSE)</f>
        <v>2021</v>
      </c>
      <c r="G442" s="5" t="str">
        <f>VLOOKUP(woodflow[[#This Row],[From]],woodstock[#All],5,FALSE)</f>
        <v>OAS</v>
      </c>
      <c r="H442" s="135" t="str">
        <f>VLOOKUP(woodflow[[#This Row],[From]],woodstock[#All],7,FALSE)</f>
        <v>51</v>
      </c>
      <c r="I442" s="135" t="str">
        <f>VLOOKUP(woodflow[[#This Row],[to]],woodstock[#All],7,FALSE)</f>
        <v>63</v>
      </c>
      <c r="J442" s="135" t="str">
        <f>VLOOKUP(woodflow[[#This Row],[From]],woodstock[#All],8,FALSE)</f>
        <v>0</v>
      </c>
      <c r="K442" s="135" t="str">
        <f>VLOOKUP(woodflow[[#This Row],[to]],woodstock[#All],8,FALSE)</f>
        <v>0</v>
      </c>
      <c r="L442" s="136" t="str">
        <f>VLOOKUP(woodflow[[#This Row],[From]],woodstock[#All],9,FALSE)</f>
        <v>nan</v>
      </c>
      <c r="M442" s="136" t="str">
        <f>VLOOKUP(woodflow[[#This Row],[to]],woodstock[#All],9,FALSE)</f>
        <v>nan</v>
      </c>
      <c r="N442" s="131">
        <f>N434*woodratio!I145</f>
        <v>0.32932443557295227</v>
      </c>
      <c r="O442" s="126" t="s">
        <v>549</v>
      </c>
      <c r="P442" s="126" t="s">
        <v>240</v>
      </c>
      <c r="Q442" s="126"/>
      <c r="R442" s="1"/>
      <c r="S442" s="1"/>
      <c r="T442" s="1"/>
      <c r="U442" s="1"/>
      <c r="V442" s="1"/>
    </row>
    <row r="443" spans="1:22" x14ac:dyDescent="0.3">
      <c r="A443" s="5" t="str">
        <f>CONCATENATE("F",IF(B443&lt;&gt;"",COUNTA($B$2:B443),""))</f>
        <v>F280</v>
      </c>
      <c r="B443" s="126" t="s">
        <v>73</v>
      </c>
      <c r="C443" s="5" t="s">
        <v>380</v>
      </c>
      <c r="D443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3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43" s="126" t="str">
        <f>VLOOKUP(woodflow[[#This Row],[From]],woodstock[#All],4,FALSE)</f>
        <v>2021</v>
      </c>
      <c r="G443" s="5" t="str">
        <f>VLOOKUP(woodflow[[#This Row],[From]],woodstock[#All],5,FALSE)</f>
        <v>OAS</v>
      </c>
      <c r="H443" s="135" t="str">
        <f>VLOOKUP(woodflow[[#This Row],[From]],woodstock[#All],7,FALSE)</f>
        <v>51</v>
      </c>
      <c r="I443" s="135" t="str">
        <f>VLOOKUP(woodflow[[#This Row],[to]],woodstock[#All],7,FALSE)</f>
        <v>64</v>
      </c>
      <c r="J443" s="135" t="str">
        <f>VLOOKUP(woodflow[[#This Row],[From]],woodstock[#All],8,FALSE)</f>
        <v>0</v>
      </c>
      <c r="K443" s="135" t="str">
        <f>VLOOKUP(woodflow[[#This Row],[to]],woodstock[#All],8,FALSE)</f>
        <v>0</v>
      </c>
      <c r="L443" s="136" t="str">
        <f>VLOOKUP(woodflow[[#This Row],[From]],woodstock[#All],9,FALSE)</f>
        <v>nan</v>
      </c>
      <c r="M443" s="136" t="str">
        <f>VLOOKUP(woodflow[[#This Row],[to]],woodstock[#All],9,FALSE)</f>
        <v>nan</v>
      </c>
      <c r="N443" s="131">
        <f>1*10^-6</f>
        <v>9.9999999999999995E-7</v>
      </c>
      <c r="O443" s="126" t="s">
        <v>549</v>
      </c>
      <c r="P443" s="126" t="s">
        <v>240</v>
      </c>
      <c r="Q443" s="126"/>
      <c r="R443" s="1"/>
      <c r="S443" s="1"/>
      <c r="T443" s="1"/>
      <c r="U443" s="1"/>
      <c r="V443" s="1"/>
    </row>
    <row r="444" spans="1:22" x14ac:dyDescent="0.3">
      <c r="A444" s="5" t="str">
        <f>CONCATENATE("F",IF(B444&lt;&gt;"",COUNTA($B$2:B444),""))</f>
        <v>F</v>
      </c>
      <c r="B444" s="126"/>
      <c r="C444" s="126"/>
      <c r="D444" s="133"/>
      <c r="E444" s="133"/>
      <c r="F444" s="126"/>
      <c r="G444" s="5"/>
      <c r="H444" s="135"/>
      <c r="I444" s="135"/>
      <c r="J444" s="135"/>
      <c r="K444" s="135"/>
      <c r="L444" s="136"/>
      <c r="M444" s="136"/>
      <c r="N444" s="131"/>
      <c r="O444" s="126"/>
      <c r="P444" s="126"/>
      <c r="Q444" s="126"/>
      <c r="R444" s="1"/>
      <c r="S444" s="1"/>
      <c r="T444" s="1"/>
      <c r="U444" s="1"/>
      <c r="V444" s="1"/>
    </row>
    <row r="445" spans="1:22" x14ac:dyDescent="0.3">
      <c r="A445" s="5" t="str">
        <f>CONCATENATE("F",IF(B445&lt;&gt;"",COUNTA($B$2:B445),""))</f>
        <v>F</v>
      </c>
      <c r="B445" s="126"/>
      <c r="C445" s="126"/>
      <c r="D445" s="133"/>
      <c r="E445" s="133"/>
      <c r="F445" s="126"/>
      <c r="G445" s="5"/>
      <c r="H445" s="135"/>
      <c r="I445" s="135"/>
      <c r="J445" s="135"/>
      <c r="K445" s="135"/>
      <c r="L445" s="136"/>
      <c r="M445" s="136"/>
      <c r="N445" s="131"/>
      <c r="O445" s="126"/>
      <c r="P445" s="126"/>
      <c r="Q445" s="126"/>
      <c r="R445" s="1"/>
      <c r="S445" s="1"/>
      <c r="T445" s="1"/>
      <c r="U445" s="1"/>
      <c r="V445" s="1"/>
    </row>
    <row r="446" spans="1:22" x14ac:dyDescent="0.3">
      <c r="A446" s="5" t="str">
        <f>CONCATENATE("F",IF(B446&lt;&gt;"",COUNTA($B$2:B446),""))</f>
        <v>F281</v>
      </c>
      <c r="B446" s="126" t="s">
        <v>30</v>
      </c>
      <c r="C446" s="126" t="s">
        <v>54</v>
      </c>
      <c r="D446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0.18243374105655633</v>
      </c>
      <c r="E44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46" s="126" t="str">
        <f>VLOOKUP(woodflow[[#This Row],[From]],woodstock[#All],4,FALSE)</f>
        <v>2021</v>
      </c>
      <c r="G446" s="5" t="str">
        <f>VLOOKUP(woodflow[[#This Row],[From]],woodstock[#All],5,FALSE)</f>
        <v>OAS</v>
      </c>
      <c r="H446" s="135" t="str">
        <f>VLOOKUP(woodflow[[#This Row],[From]],woodstock[#All],7,FALSE)</f>
        <v>52</v>
      </c>
      <c r="I446" s="135" t="str">
        <f>VLOOKUP(woodflow[[#This Row],[to]],woodstock[#All],7,FALSE)</f>
        <v>16</v>
      </c>
      <c r="J446" s="135" t="str">
        <f>VLOOKUP(woodflow[[#This Row],[From]],woodstock[#All],8,FALSE)</f>
        <v>0</v>
      </c>
      <c r="K446" s="135" t="str">
        <f>VLOOKUP(woodflow[[#This Row],[to]],woodstock[#All],8,FALSE)</f>
        <v>0</v>
      </c>
      <c r="L446" s="136" t="str">
        <f>VLOOKUP(woodflow[[#This Row],[From]],woodstock[#All],9,FALSE)</f>
        <v>nan</v>
      </c>
      <c r="M446" s="136" t="str">
        <f>VLOOKUP(woodflow[[#This Row],[to]],woodstock[#All],9,FALSE)</f>
        <v>nan</v>
      </c>
      <c r="N446" s="131">
        <f>(N116+N182+N191+N224)*'supporting-percentages'!B53</f>
        <v>0.18243374105655633</v>
      </c>
      <c r="O446" s="126" t="s">
        <v>556</v>
      </c>
      <c r="P446" s="126" t="s">
        <v>458</v>
      </c>
      <c r="Q446" s="126"/>
      <c r="R446" s="1"/>
      <c r="S446" s="1"/>
      <c r="T446" s="1"/>
      <c r="U446" s="1"/>
      <c r="V446" s="1"/>
    </row>
    <row r="447" spans="1:22" x14ac:dyDescent="0.3">
      <c r="A447" s="5" t="str">
        <f>CONCATENATE("F",IF(B447&lt;&gt;"",COUNTA($B$2:B447),""))</f>
        <v>F</v>
      </c>
      <c r="B447" s="126"/>
      <c r="C447" s="126"/>
      <c r="D447" s="133"/>
      <c r="E447" s="133"/>
      <c r="F447" s="126"/>
      <c r="G447" s="126"/>
      <c r="H447" s="135"/>
      <c r="I447" s="135"/>
      <c r="J447" s="135"/>
      <c r="K447" s="135"/>
      <c r="L447" s="136"/>
      <c r="M447" s="136"/>
      <c r="N447" s="131"/>
      <c r="O447" s="126"/>
      <c r="P447" s="126"/>
      <c r="Q447" s="126"/>
      <c r="R447" s="1"/>
      <c r="S447" s="1"/>
      <c r="T447" s="1"/>
      <c r="U447" s="1"/>
      <c r="V447" s="1"/>
    </row>
    <row r="448" spans="1:22" x14ac:dyDescent="0.3">
      <c r="A448" s="5" t="str">
        <f>CONCATENATE("F",IF(B448&lt;&gt;"",COUNTA($B$2:B448),""))</f>
        <v>F</v>
      </c>
      <c r="B448" s="126"/>
      <c r="C448" s="126"/>
      <c r="D448" s="133"/>
      <c r="E448" s="133"/>
      <c r="F448" s="126"/>
      <c r="G448" s="126"/>
      <c r="H448" s="135"/>
      <c r="I448" s="135"/>
      <c r="J448" s="135"/>
      <c r="K448" s="135"/>
      <c r="L448" s="136"/>
      <c r="M448" s="136"/>
      <c r="N448" s="131"/>
      <c r="O448" s="126"/>
      <c r="P448" s="126"/>
      <c r="Q448" s="126"/>
      <c r="R448" s="1"/>
      <c r="S448" s="1"/>
      <c r="T448" s="1"/>
      <c r="U448" s="1"/>
      <c r="V448" s="1"/>
    </row>
    <row r="449" spans="1:22" x14ac:dyDescent="0.3">
      <c r="A449" s="5" t="str">
        <f>CONCATENATE("F",IF(B449&lt;&gt;"",COUNTA($B$2:B449),""))</f>
        <v>F282</v>
      </c>
      <c r="B449" s="126" t="s">
        <v>30</v>
      </c>
      <c r="C449" s="5" t="s">
        <v>357</v>
      </c>
      <c r="D449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3.4662410800745698</v>
      </c>
      <c r="E44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49" s="126" t="str">
        <f>VLOOKUP(woodflow[[#This Row],[From]],woodstock[#All],4,FALSE)</f>
        <v>2021</v>
      </c>
      <c r="G449" s="5" t="str">
        <f>VLOOKUP(woodflow[[#This Row],[From]],woodstock[#All],5,FALSE)</f>
        <v>OAS</v>
      </c>
      <c r="H449" s="135" t="str">
        <f>VLOOKUP(woodflow[[#This Row],[From]],woodstock[#All],7,FALSE)</f>
        <v>52</v>
      </c>
      <c r="I449" s="135" t="str">
        <f>VLOOKUP(woodflow[[#This Row],[to]],woodstock[#All],7,FALSE)</f>
        <v>20</v>
      </c>
      <c r="J449" s="135" t="str">
        <f>VLOOKUP(woodflow[[#This Row],[From]],woodstock[#All],8,FALSE)</f>
        <v>0</v>
      </c>
      <c r="K449" s="135" t="str">
        <f>VLOOKUP(woodflow[[#This Row],[to]],woodstock[#All],8,FALSE)</f>
        <v>1</v>
      </c>
      <c r="L449" s="136" t="str">
        <f>VLOOKUP(woodflow[[#This Row],[From]],woodstock[#All],9,FALSE)</f>
        <v>nan</v>
      </c>
      <c r="M449" s="136" t="str">
        <f>VLOOKUP(woodflow[[#This Row],[to]],woodstock[#All],9,FALSE)</f>
        <v>58-59-60-61-62-63-64</v>
      </c>
      <c r="N449" s="131">
        <f>(N116+N182+N191+N224)*('supporting-percentages'!B54)</f>
        <v>3.4662410800745698</v>
      </c>
      <c r="O449" s="126" t="s">
        <v>556</v>
      </c>
      <c r="P449" s="126" t="s">
        <v>458</v>
      </c>
      <c r="Q449" s="126"/>
      <c r="R449" s="1"/>
      <c r="S449" s="1"/>
      <c r="T449" s="1"/>
      <c r="U449" s="1"/>
      <c r="V449" s="1"/>
    </row>
    <row r="450" spans="1:22" x14ac:dyDescent="0.3">
      <c r="A450" s="5" t="str">
        <f>CONCATENATE("F",IF(B450&lt;&gt;"",COUNTA($B$2:B450),""))</f>
        <v>F283</v>
      </c>
      <c r="B450" s="126" t="s">
        <v>30</v>
      </c>
      <c r="C450" s="5" t="s">
        <v>399</v>
      </c>
      <c r="D450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0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3.101373597961457</v>
      </c>
      <c r="F450" s="126" t="str">
        <f>VLOOKUP(woodflow[[#This Row],[From]],woodstock[#All],4,FALSE)</f>
        <v>2021</v>
      </c>
      <c r="G450" s="5" t="str">
        <f>VLOOKUP(woodflow[[#This Row],[From]],woodstock[#All],5,FALSE)</f>
        <v>OAS</v>
      </c>
      <c r="H450" s="135" t="str">
        <f>VLOOKUP(woodflow[[#This Row],[From]],woodstock[#All],7,FALSE)</f>
        <v>52</v>
      </c>
      <c r="I450" s="135" t="str">
        <f>VLOOKUP(woodflow[[#This Row],[to]],woodstock[#All],7,FALSE)</f>
        <v>21</v>
      </c>
      <c r="J450" s="135" t="str">
        <f>VLOOKUP(woodflow[[#This Row],[From]],woodstock[#All],8,FALSE)</f>
        <v>0</v>
      </c>
      <c r="K450" s="135" t="str">
        <f>VLOOKUP(woodflow[[#This Row],[to]],woodstock[#All],8,FALSE)</f>
        <v>1</v>
      </c>
      <c r="L450" s="136" t="str">
        <f>VLOOKUP(woodflow[[#This Row],[From]],woodstock[#All],9,FALSE)</f>
        <v>nan</v>
      </c>
      <c r="M450" s="136" t="str">
        <f>VLOOKUP(woodflow[[#This Row],[to]],woodstock[#All],9,FALSE)</f>
        <v>58-59-60-61</v>
      </c>
      <c r="N450" s="131">
        <f>N451+N452+N453+N454</f>
        <v>3.101373597961457</v>
      </c>
      <c r="O450" s="126" t="s">
        <v>549</v>
      </c>
      <c r="P450" s="126" t="s">
        <v>240</v>
      </c>
      <c r="Q450" s="126"/>
      <c r="R450" s="1"/>
      <c r="S450" s="1"/>
      <c r="T450" s="1"/>
      <c r="U450" s="1"/>
      <c r="V450" s="1"/>
    </row>
    <row r="451" spans="1:22" x14ac:dyDescent="0.3">
      <c r="A451" s="5" t="str">
        <f>CONCATENATE("F",IF(B451&lt;&gt;"",COUNTA($B$2:B451),""))</f>
        <v>F284</v>
      </c>
      <c r="B451" s="126" t="s">
        <v>30</v>
      </c>
      <c r="C451" s="5" t="s">
        <v>358</v>
      </c>
      <c r="D451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1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2.9189398569049008</v>
      </c>
      <c r="F451" s="126" t="str">
        <f>VLOOKUP(woodflow[[#This Row],[From]],woodstock[#All],4,FALSE)</f>
        <v>2021</v>
      </c>
      <c r="G451" s="5" t="str">
        <f>VLOOKUP(woodflow[[#This Row],[From]],woodstock[#All],5,FALSE)</f>
        <v>OAS</v>
      </c>
      <c r="H451" s="135" t="str">
        <f>VLOOKUP(woodflow[[#This Row],[From]],woodstock[#All],7,FALSE)</f>
        <v>52</v>
      </c>
      <c r="I451" s="135" t="str">
        <f>VLOOKUP(woodflow[[#This Row],[to]],woodstock[#All],7,FALSE)</f>
        <v>58</v>
      </c>
      <c r="J451" s="135" t="str">
        <f>VLOOKUP(woodflow[[#This Row],[From]],woodstock[#All],8,FALSE)</f>
        <v>0</v>
      </c>
      <c r="K451" s="135" t="str">
        <f>VLOOKUP(woodflow[[#This Row],[to]],woodstock[#All],8,FALSE)</f>
        <v>0</v>
      </c>
      <c r="L451" s="136" t="str">
        <f>VLOOKUP(woodflow[[#This Row],[From]],woodstock[#All],9,FALSE)</f>
        <v>nan</v>
      </c>
      <c r="M451" s="136" t="str">
        <f>VLOOKUP(woodflow[[#This Row],[to]],woodstock[#All],9,FALSE)</f>
        <v>nan</v>
      </c>
      <c r="N451" s="131">
        <f>N449*woodratio!I148</f>
        <v>2.9189398569049008</v>
      </c>
      <c r="O451" s="126" t="s">
        <v>549</v>
      </c>
      <c r="P451" s="126" t="s">
        <v>240</v>
      </c>
      <c r="Q451" s="126"/>
      <c r="R451" s="1"/>
      <c r="S451" s="1"/>
      <c r="T451" s="1"/>
      <c r="U451" s="1"/>
      <c r="V451" s="1"/>
    </row>
    <row r="452" spans="1:22" x14ac:dyDescent="0.3">
      <c r="A452" s="5" t="str">
        <f>CONCATENATE("F",IF(B452&lt;&gt;"",COUNTA($B$2:B452),""))</f>
        <v>F285</v>
      </c>
      <c r="B452" s="126" t="s">
        <v>30</v>
      </c>
      <c r="C452" s="5" t="s">
        <v>539</v>
      </c>
      <c r="D452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52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52" s="126" t="str">
        <f>VLOOKUP(woodflow[[#This Row],[From]],woodstock[#All],4,FALSE)</f>
        <v>2021</v>
      </c>
      <c r="G452" s="5" t="str">
        <f>VLOOKUP(woodflow[[#This Row],[From]],woodstock[#All],5,FALSE)</f>
        <v>OAS</v>
      </c>
      <c r="H452" s="135" t="str">
        <f>VLOOKUP(woodflow[[#This Row],[From]],woodstock[#All],7,FALSE)</f>
        <v>52</v>
      </c>
      <c r="I452" s="135" t="str">
        <f>VLOOKUP(woodflow[[#This Row],[to]],woodstock[#All],7,FALSE)</f>
        <v>59</v>
      </c>
      <c r="J452" s="135" t="str">
        <f>VLOOKUP(woodflow[[#This Row],[From]],woodstock[#All],8,FALSE)</f>
        <v>0</v>
      </c>
      <c r="K452" s="135" t="str">
        <f>VLOOKUP(woodflow[[#This Row],[to]],woodstock[#All],8,FALSE)</f>
        <v>0</v>
      </c>
      <c r="L452" s="136" t="str">
        <f>VLOOKUP(woodflow[[#This Row],[From]],woodstock[#All],9,FALSE)</f>
        <v>nan</v>
      </c>
      <c r="M452" s="136" t="str">
        <f>VLOOKUP(woodflow[[#This Row],[to]],woodstock[#All],9,FALSE)</f>
        <v>nan</v>
      </c>
      <c r="N452" s="131">
        <v>0</v>
      </c>
      <c r="O452" s="126" t="s">
        <v>213</v>
      </c>
      <c r="P452" s="126"/>
      <c r="Q452" s="126"/>
      <c r="R452" s="1"/>
      <c r="S452" s="1"/>
      <c r="T452" s="1"/>
      <c r="U452" s="1"/>
      <c r="V452" s="1"/>
    </row>
    <row r="453" spans="1:22" x14ac:dyDescent="0.3">
      <c r="A453" s="5" t="str">
        <f>CONCATENATE("F",IF(B453&lt;&gt;"",COUNTA($B$2:B453),""))</f>
        <v>F286</v>
      </c>
      <c r="B453" s="126" t="s">
        <v>30</v>
      </c>
      <c r="C453" s="5" t="s">
        <v>540</v>
      </c>
      <c r="D453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5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53" s="126" t="str">
        <f>VLOOKUP(woodflow[[#This Row],[From]],woodstock[#All],4,FALSE)</f>
        <v>2021</v>
      </c>
      <c r="G453" s="5" t="str">
        <f>VLOOKUP(woodflow[[#This Row],[From]],woodstock[#All],5,FALSE)</f>
        <v>OAS</v>
      </c>
      <c r="H453" s="135" t="str">
        <f>VLOOKUP(woodflow[[#This Row],[From]],woodstock[#All],7,FALSE)</f>
        <v>52</v>
      </c>
      <c r="I453" s="135" t="str">
        <f>VLOOKUP(woodflow[[#This Row],[to]],woodstock[#All],7,FALSE)</f>
        <v>60</v>
      </c>
      <c r="J453" s="135" t="str">
        <f>VLOOKUP(woodflow[[#This Row],[From]],woodstock[#All],8,FALSE)</f>
        <v>0</v>
      </c>
      <c r="K453" s="135" t="str">
        <f>VLOOKUP(woodflow[[#This Row],[to]],woodstock[#All],8,FALSE)</f>
        <v>0</v>
      </c>
      <c r="L453" s="136" t="str">
        <f>VLOOKUP(woodflow[[#This Row],[From]],woodstock[#All],9,FALSE)</f>
        <v>nan</v>
      </c>
      <c r="M453" s="136" t="str">
        <f>VLOOKUP(woodflow[[#This Row],[to]],woodstock[#All],9,FALSE)</f>
        <v>nan</v>
      </c>
      <c r="N453" s="131">
        <v>0</v>
      </c>
      <c r="O453" s="126" t="s">
        <v>213</v>
      </c>
      <c r="P453" s="126"/>
      <c r="Q453" s="126"/>
      <c r="R453" s="1"/>
      <c r="S453" s="1"/>
      <c r="T453" s="1"/>
      <c r="U453" s="1"/>
      <c r="V453" s="1"/>
    </row>
    <row r="454" spans="1:22" x14ac:dyDescent="0.3">
      <c r="A454" s="5" t="str">
        <f>CONCATENATE("F",IF(B454&lt;&gt;"",COUNTA($B$2:B454),""))</f>
        <v>F287</v>
      </c>
      <c r="B454" s="126" t="s">
        <v>30</v>
      </c>
      <c r="C454" s="5" t="s">
        <v>398</v>
      </c>
      <c r="D454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4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0.1824337410565563</v>
      </c>
      <c r="F454" s="126" t="str">
        <f>VLOOKUP(woodflow[[#This Row],[From]],woodstock[#All],4,FALSE)</f>
        <v>2021</v>
      </c>
      <c r="G454" s="5" t="str">
        <f>VLOOKUP(woodflow[[#This Row],[From]],woodstock[#All],5,FALSE)</f>
        <v>OAS</v>
      </c>
      <c r="H454" s="135" t="str">
        <f>VLOOKUP(woodflow[[#This Row],[From]],woodstock[#All],7,FALSE)</f>
        <v>52</v>
      </c>
      <c r="I454" s="135" t="str">
        <f>VLOOKUP(woodflow[[#This Row],[to]],woodstock[#All],7,FALSE)</f>
        <v>61</v>
      </c>
      <c r="J454" s="135" t="str">
        <f>VLOOKUP(woodflow[[#This Row],[From]],woodstock[#All],8,FALSE)</f>
        <v>0</v>
      </c>
      <c r="K454" s="135" t="str">
        <f>VLOOKUP(woodflow[[#This Row],[to]],woodstock[#All],8,FALSE)</f>
        <v>0</v>
      </c>
      <c r="L454" s="136" t="str">
        <f>VLOOKUP(woodflow[[#This Row],[From]],woodstock[#All],9,FALSE)</f>
        <v>nan</v>
      </c>
      <c r="M454" s="136" t="str">
        <f>VLOOKUP(woodflow[[#This Row],[to]],woodstock[#All],9,FALSE)</f>
        <v>nan</v>
      </c>
      <c r="N454" s="131">
        <f>N449*woodratio!I149</f>
        <v>0.1824337410565563</v>
      </c>
      <c r="O454" s="126" t="s">
        <v>549</v>
      </c>
      <c r="P454" s="126" t="s">
        <v>240</v>
      </c>
      <c r="Q454" s="126"/>
      <c r="R454" s="1"/>
      <c r="S454" s="1"/>
      <c r="T454" s="1"/>
      <c r="U454" s="1"/>
      <c r="V454" s="1"/>
    </row>
    <row r="455" spans="1:22" x14ac:dyDescent="0.3">
      <c r="A455" s="5" t="str">
        <f>CONCATENATE("F",IF(B455&lt;&gt;"",COUNTA($B$2:B455),""))</f>
        <v>F288</v>
      </c>
      <c r="B455" s="126" t="s">
        <v>30</v>
      </c>
      <c r="C455" s="5" t="s">
        <v>404</v>
      </c>
      <c r="D455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5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0.36486848211311257</v>
      </c>
      <c r="F455" s="126" t="str">
        <f>VLOOKUP(woodflow[[#This Row],[From]],woodstock[#All],4,FALSE)</f>
        <v>2021</v>
      </c>
      <c r="G455" s="5" t="str">
        <f>VLOOKUP(woodflow[[#This Row],[From]],woodstock[#All],5,FALSE)</f>
        <v>OAS</v>
      </c>
      <c r="H455" s="135" t="str">
        <f>VLOOKUP(woodflow[[#This Row],[From]],woodstock[#All],7,FALSE)</f>
        <v>52</v>
      </c>
      <c r="I455" s="135" t="str">
        <f>VLOOKUP(woodflow[[#This Row],[to]],woodstock[#All],7,FALSE)</f>
        <v>22</v>
      </c>
      <c r="J455" s="135" t="str">
        <f>VLOOKUP(woodflow[[#This Row],[From]],woodstock[#All],8,FALSE)</f>
        <v>0</v>
      </c>
      <c r="K455" s="135" t="str">
        <f>VLOOKUP(woodflow[[#This Row],[to]],woodstock[#All],8,FALSE)</f>
        <v>1</v>
      </c>
      <c r="L455" s="136" t="str">
        <f>VLOOKUP(woodflow[[#This Row],[From]],woodstock[#All],9,FALSE)</f>
        <v>nan</v>
      </c>
      <c r="M455" s="136" t="str">
        <f>VLOOKUP(woodflow[[#This Row],[to]],woodstock[#All],9,FALSE)</f>
        <v>62-63-64</v>
      </c>
      <c r="N455" s="131">
        <f>N456+N457+N458</f>
        <v>0.36486848211311257</v>
      </c>
      <c r="O455" s="126" t="s">
        <v>549</v>
      </c>
      <c r="P455" s="126" t="s">
        <v>239</v>
      </c>
      <c r="Q455" s="126"/>
      <c r="R455" s="1"/>
      <c r="S455" s="1"/>
      <c r="T455" s="1"/>
      <c r="U455" s="1"/>
      <c r="V455" s="1"/>
    </row>
    <row r="456" spans="1:22" x14ac:dyDescent="0.3">
      <c r="A456" s="5" t="str">
        <f>CONCATENATE("F",IF(B456&lt;&gt;"",COUNTA($B$2:B456),""))</f>
        <v>F289</v>
      </c>
      <c r="B456" s="126" t="s">
        <v>30</v>
      </c>
      <c r="C456" s="5" t="s">
        <v>407</v>
      </c>
      <c r="D456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6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0.1824337410565563</v>
      </c>
      <c r="F456" s="126" t="str">
        <f>VLOOKUP(woodflow[[#This Row],[From]],woodstock[#All],4,FALSE)</f>
        <v>2021</v>
      </c>
      <c r="G456" s="5" t="str">
        <f>VLOOKUP(woodflow[[#This Row],[From]],woodstock[#All],5,FALSE)</f>
        <v>OAS</v>
      </c>
      <c r="H456" s="135" t="str">
        <f>VLOOKUP(woodflow[[#This Row],[From]],woodstock[#All],7,FALSE)</f>
        <v>52</v>
      </c>
      <c r="I456" s="135" t="str">
        <f>VLOOKUP(woodflow[[#This Row],[to]],woodstock[#All],7,FALSE)</f>
        <v>62</v>
      </c>
      <c r="J456" s="135" t="str">
        <f>VLOOKUP(woodflow[[#This Row],[From]],woodstock[#All],8,FALSE)</f>
        <v>0</v>
      </c>
      <c r="K456" s="135" t="str">
        <f>VLOOKUP(woodflow[[#This Row],[to]],woodstock[#All],8,FALSE)</f>
        <v>0</v>
      </c>
      <c r="L456" s="136" t="str">
        <f>VLOOKUP(woodflow[[#This Row],[From]],woodstock[#All],9,FALSE)</f>
        <v>nan</v>
      </c>
      <c r="M456" s="136" t="str">
        <f>VLOOKUP(woodflow[[#This Row],[to]],woodstock[#All],9,FALSE)</f>
        <v>nan</v>
      </c>
      <c r="N456" s="131">
        <f>N449*woodratio!I150</f>
        <v>0.1824337410565563</v>
      </c>
      <c r="O456" s="126" t="s">
        <v>549</v>
      </c>
      <c r="P456" s="126" t="s">
        <v>240</v>
      </c>
      <c r="Q456" s="126"/>
      <c r="R456" s="1"/>
      <c r="S456" s="1"/>
      <c r="T456" s="1"/>
      <c r="U456" s="1"/>
      <c r="V456" s="1"/>
    </row>
    <row r="457" spans="1:22" x14ac:dyDescent="0.3">
      <c r="A457" s="5" t="str">
        <f>CONCATENATE("F",IF(B457&lt;&gt;"",COUNTA($B$2:B457),""))</f>
        <v>F290</v>
      </c>
      <c r="B457" s="126" t="s">
        <v>30</v>
      </c>
      <c r="C457" s="5" t="s">
        <v>359</v>
      </c>
      <c r="D457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7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0.1824337410565563</v>
      </c>
      <c r="F457" s="126" t="str">
        <f>VLOOKUP(woodflow[[#This Row],[From]],woodstock[#All],4,FALSE)</f>
        <v>2021</v>
      </c>
      <c r="G457" s="5" t="str">
        <f>VLOOKUP(woodflow[[#This Row],[From]],woodstock[#All],5,FALSE)</f>
        <v>OAS</v>
      </c>
      <c r="H457" s="135" t="str">
        <f>VLOOKUP(woodflow[[#This Row],[From]],woodstock[#All],7,FALSE)</f>
        <v>52</v>
      </c>
      <c r="I457" s="135" t="str">
        <f>VLOOKUP(woodflow[[#This Row],[to]],woodstock[#All],7,FALSE)</f>
        <v>63</v>
      </c>
      <c r="J457" s="135" t="str">
        <f>VLOOKUP(woodflow[[#This Row],[From]],woodstock[#All],8,FALSE)</f>
        <v>0</v>
      </c>
      <c r="K457" s="135" t="str">
        <f>VLOOKUP(woodflow[[#This Row],[to]],woodstock[#All],8,FALSE)</f>
        <v>0</v>
      </c>
      <c r="L457" s="136" t="str">
        <f>VLOOKUP(woodflow[[#This Row],[From]],woodstock[#All],9,FALSE)</f>
        <v>nan</v>
      </c>
      <c r="M457" s="136" t="str">
        <f>VLOOKUP(woodflow[[#This Row],[to]],woodstock[#All],9,FALSE)</f>
        <v>nan</v>
      </c>
      <c r="N457" s="131">
        <f>N449*woodratio!I151</f>
        <v>0.1824337410565563</v>
      </c>
      <c r="O457" s="126" t="s">
        <v>549</v>
      </c>
      <c r="P457" s="126" t="s">
        <v>240</v>
      </c>
      <c r="Q457" s="126"/>
      <c r="R457" s="1"/>
      <c r="S457" s="1"/>
      <c r="T457" s="1"/>
      <c r="U457" s="1"/>
      <c r="V457" s="1"/>
    </row>
    <row r="458" spans="1:22" x14ac:dyDescent="0.3">
      <c r="A458" s="5" t="str">
        <f>CONCATENATE("F",IF(B458&lt;&gt;"",COUNTA($B$2:B458),""))</f>
        <v>F291</v>
      </c>
      <c r="B458" s="126" t="s">
        <v>30</v>
      </c>
      <c r="C458" s="5" t="s">
        <v>380</v>
      </c>
      <c r="D458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8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58" s="126" t="str">
        <f>VLOOKUP(woodflow[[#This Row],[From]],woodstock[#All],4,FALSE)</f>
        <v>2021</v>
      </c>
      <c r="G458" s="5" t="str">
        <f>VLOOKUP(woodflow[[#This Row],[From]],woodstock[#All],5,FALSE)</f>
        <v>OAS</v>
      </c>
      <c r="H458" s="135" t="str">
        <f>VLOOKUP(woodflow[[#This Row],[From]],woodstock[#All],7,FALSE)</f>
        <v>52</v>
      </c>
      <c r="I458" s="135" t="str">
        <f>VLOOKUP(woodflow[[#This Row],[to]],woodstock[#All],7,FALSE)</f>
        <v>64</v>
      </c>
      <c r="J458" s="135" t="str">
        <f>VLOOKUP(woodflow[[#This Row],[From]],woodstock[#All],8,FALSE)</f>
        <v>0</v>
      </c>
      <c r="K458" s="135" t="str">
        <f>VLOOKUP(woodflow[[#This Row],[to]],woodstock[#All],8,FALSE)</f>
        <v>0</v>
      </c>
      <c r="L458" s="136" t="str">
        <f>VLOOKUP(woodflow[[#This Row],[From]],woodstock[#All],9,FALSE)</f>
        <v>nan</v>
      </c>
      <c r="M458" s="136" t="str">
        <f>VLOOKUP(woodflow[[#This Row],[to]],woodstock[#All],9,FALSE)</f>
        <v>nan</v>
      </c>
      <c r="N458" s="131">
        <f>1*10^-6</f>
        <v>9.9999999999999995E-7</v>
      </c>
      <c r="O458" s="126" t="s">
        <v>549</v>
      </c>
      <c r="P458" s="126" t="s">
        <v>240</v>
      </c>
      <c r="Q458" s="126"/>
      <c r="R458" s="1"/>
      <c r="S458" s="1"/>
      <c r="T458" s="1"/>
      <c r="U458" s="1"/>
      <c r="V458" s="1"/>
    </row>
    <row r="459" spans="1:22" x14ac:dyDescent="0.3">
      <c r="A459" s="5" t="str">
        <f>CONCATENATE("F",IF(B459&lt;&gt;"",COUNTA($B$2:B459),""))</f>
        <v>F</v>
      </c>
      <c r="B459" s="126"/>
      <c r="C459" s="126"/>
      <c r="D459" s="133"/>
      <c r="E459" s="133"/>
      <c r="F459" s="126"/>
      <c r="G459" s="126"/>
      <c r="H459" s="135"/>
      <c r="I459" s="135"/>
      <c r="J459" s="135"/>
      <c r="K459" s="135"/>
      <c r="L459" s="136"/>
      <c r="M459" s="136"/>
      <c r="N459" s="131"/>
      <c r="O459" s="126"/>
      <c r="P459" s="126"/>
      <c r="Q459" s="126"/>
      <c r="R459" s="1"/>
      <c r="S459" s="1"/>
      <c r="T459" s="1"/>
      <c r="U459" s="1"/>
      <c r="V459" s="1"/>
    </row>
    <row r="460" spans="1:22" x14ac:dyDescent="0.3">
      <c r="A460" s="5" t="str">
        <f>CONCATENATE("F",IF(B460&lt;&gt;"",COUNTA($B$2:B460),""))</f>
        <v>F</v>
      </c>
      <c r="B460" s="126"/>
      <c r="C460" s="126"/>
      <c r="D460" s="133"/>
      <c r="E460" s="133"/>
      <c r="F460" s="126"/>
      <c r="G460" s="126"/>
      <c r="H460" s="135"/>
      <c r="I460" s="135"/>
      <c r="J460" s="135"/>
      <c r="K460" s="135"/>
      <c r="L460" s="136"/>
      <c r="M460" s="136"/>
      <c r="N460" s="131"/>
      <c r="O460" s="126"/>
      <c r="P460" s="126"/>
      <c r="Q460" s="126"/>
      <c r="R460" s="1"/>
      <c r="S460" s="1"/>
      <c r="T460" s="1"/>
      <c r="U460" s="1"/>
      <c r="V460" s="1"/>
    </row>
    <row r="461" spans="1:22" x14ac:dyDescent="0.3">
      <c r="A461" s="5" t="str">
        <f>CONCATENATE("F",IF(B461&lt;&gt;"",COUNTA($B$2:B461),""))</f>
        <v>F292</v>
      </c>
      <c r="B461" s="126" t="s">
        <v>80</v>
      </c>
      <c r="C461" s="5" t="s">
        <v>357</v>
      </c>
      <c r="D461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20.205880954478573</v>
      </c>
      <c r="E461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1" s="126" t="str">
        <f>VLOOKUP(woodflow[[#This Row],[From]],woodstock[#All],4,FALSE)</f>
        <v>2021</v>
      </c>
      <c r="G461" s="5" t="str">
        <f>VLOOKUP(woodflow[[#This Row],[From]],woodstock[#All],5,FALSE)</f>
        <v>OAS</v>
      </c>
      <c r="H461" s="135" t="str">
        <f>VLOOKUP(woodflow[[#This Row],[From]],woodstock[#All],7,FALSE)</f>
        <v>53</v>
      </c>
      <c r="I461" s="135" t="str">
        <f>VLOOKUP(woodflow[[#This Row],[to]],woodstock[#All],7,FALSE)</f>
        <v>20</v>
      </c>
      <c r="J461" s="135" t="str">
        <f>VLOOKUP(woodflow[[#This Row],[From]],woodstock[#All],8,FALSE)</f>
        <v>0</v>
      </c>
      <c r="K461" s="135" t="str">
        <f>VLOOKUP(woodflow[[#This Row],[to]],woodstock[#All],8,FALSE)</f>
        <v>1</v>
      </c>
      <c r="L461" s="136" t="str">
        <f>VLOOKUP(woodflow[[#This Row],[From]],woodstock[#All],9,FALSE)</f>
        <v>nan</v>
      </c>
      <c r="M461" s="136" t="str">
        <f>VLOOKUP(woodflow[[#This Row],[to]],woodstock[#All],9,FALSE)</f>
        <v>58-59-60-61-62-63-64</v>
      </c>
      <c r="N461" s="131">
        <f>N304</f>
        <v>20.205880954478573</v>
      </c>
      <c r="O461" s="126" t="s">
        <v>556</v>
      </c>
      <c r="P461" s="126" t="s">
        <v>239</v>
      </c>
      <c r="Q461" s="126"/>
      <c r="R461" s="1"/>
      <c r="S461" s="1"/>
      <c r="T461" s="1"/>
      <c r="U461" s="1"/>
      <c r="V461" s="1"/>
    </row>
    <row r="462" spans="1:22" x14ac:dyDescent="0.3">
      <c r="A462" s="5" t="str">
        <f>CONCATENATE("F",IF(B462&lt;&gt;"",COUNTA($B$2:B462),""))</f>
        <v>F293</v>
      </c>
      <c r="B462" s="126" t="s">
        <v>80</v>
      </c>
      <c r="C462" s="5" t="s">
        <v>399</v>
      </c>
      <c r="D462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2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17.851797736481068</v>
      </c>
      <c r="F462" s="126" t="str">
        <f>VLOOKUP(woodflow[[#This Row],[From]],woodstock[#All],4,FALSE)</f>
        <v>2021</v>
      </c>
      <c r="G462" s="5" t="str">
        <f>VLOOKUP(woodflow[[#This Row],[From]],woodstock[#All],5,FALSE)</f>
        <v>OAS</v>
      </c>
      <c r="H462" s="135" t="str">
        <f>VLOOKUP(woodflow[[#This Row],[From]],woodstock[#All],7,FALSE)</f>
        <v>53</v>
      </c>
      <c r="I462" s="135" t="str">
        <f>VLOOKUP(woodflow[[#This Row],[to]],woodstock[#All],7,FALSE)</f>
        <v>21</v>
      </c>
      <c r="J462" s="135" t="str">
        <f>VLOOKUP(woodflow[[#This Row],[From]],woodstock[#All],8,FALSE)</f>
        <v>0</v>
      </c>
      <c r="K462" s="135" t="str">
        <f>VLOOKUP(woodflow[[#This Row],[to]],woodstock[#All],8,FALSE)</f>
        <v>1</v>
      </c>
      <c r="L462" s="136" t="str">
        <f>VLOOKUP(woodflow[[#This Row],[From]],woodstock[#All],9,FALSE)</f>
        <v>nan</v>
      </c>
      <c r="M462" s="136" t="str">
        <f>VLOOKUP(woodflow[[#This Row],[to]],woodstock[#All],9,FALSE)</f>
        <v>58-59-60-61</v>
      </c>
      <c r="N462" s="131">
        <f>N463+N464+N465+N466</f>
        <v>17.851797736481068</v>
      </c>
      <c r="O462" s="126" t="s">
        <v>549</v>
      </c>
      <c r="P462" s="126" t="s">
        <v>239</v>
      </c>
      <c r="Q462" s="126"/>
      <c r="R462" s="1"/>
      <c r="S462" s="1"/>
      <c r="T462" s="1"/>
      <c r="U462" s="1"/>
      <c r="V462" s="1"/>
    </row>
    <row r="463" spans="1:22" x14ac:dyDescent="0.3">
      <c r="A463" s="5" t="str">
        <f>CONCATENATE("F",IF(B463&lt;&gt;"",COUNTA($B$2:B463),""))</f>
        <v>F294</v>
      </c>
      <c r="B463" s="126" t="s">
        <v>80</v>
      </c>
      <c r="C463" s="5" t="s">
        <v>358</v>
      </c>
      <c r="D463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3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15.497714518483566</v>
      </c>
      <c r="F463" s="126" t="str">
        <f>VLOOKUP(woodflow[[#This Row],[From]],woodstock[#All],4,FALSE)</f>
        <v>2021</v>
      </c>
      <c r="G463" s="5" t="str">
        <f>VLOOKUP(woodflow[[#This Row],[From]],woodstock[#All],5,FALSE)</f>
        <v>OAS</v>
      </c>
      <c r="H463" s="135" t="str">
        <f>VLOOKUP(woodflow[[#This Row],[From]],woodstock[#All],7,FALSE)</f>
        <v>53</v>
      </c>
      <c r="I463" s="135" t="str">
        <f>VLOOKUP(woodflow[[#This Row],[to]],woodstock[#All],7,FALSE)</f>
        <v>58</v>
      </c>
      <c r="J463" s="135" t="str">
        <f>VLOOKUP(woodflow[[#This Row],[From]],woodstock[#All],8,FALSE)</f>
        <v>0</v>
      </c>
      <c r="K463" s="135" t="str">
        <f>VLOOKUP(woodflow[[#This Row],[to]],woodstock[#All],8,FALSE)</f>
        <v>0</v>
      </c>
      <c r="L463" s="136" t="str">
        <f>VLOOKUP(woodflow[[#This Row],[From]],woodstock[#All],9,FALSE)</f>
        <v>nan</v>
      </c>
      <c r="M463" s="136" t="str">
        <f>VLOOKUP(woodflow[[#This Row],[to]],woodstock[#All],9,FALSE)</f>
        <v>nan</v>
      </c>
      <c r="N463" s="131">
        <f>N461*woodratio!I154</f>
        <v>15.497714518483566</v>
      </c>
      <c r="O463" s="126" t="s">
        <v>549</v>
      </c>
      <c r="P463" s="126" t="s">
        <v>240</v>
      </c>
      <c r="Q463" s="126"/>
      <c r="R463" s="1"/>
      <c r="S463" s="1"/>
      <c r="T463" s="1"/>
      <c r="U463" s="1"/>
      <c r="V463" s="1"/>
    </row>
    <row r="464" spans="1:22" x14ac:dyDescent="0.3">
      <c r="A464" s="5" t="str">
        <f>CONCATENATE("F",IF(B464&lt;&gt;"",COUNTA($B$2:B464),""))</f>
        <v>F295</v>
      </c>
      <c r="B464" s="126" t="s">
        <v>80</v>
      </c>
      <c r="C464" s="5" t="s">
        <v>539</v>
      </c>
      <c r="D464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4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4" s="126" t="str">
        <f>VLOOKUP(woodflow[[#This Row],[From]],woodstock[#All],4,FALSE)</f>
        <v>2021</v>
      </c>
      <c r="G464" s="5" t="str">
        <f>VLOOKUP(woodflow[[#This Row],[From]],woodstock[#All],5,FALSE)</f>
        <v>OAS</v>
      </c>
      <c r="H464" s="135" t="str">
        <f>VLOOKUP(woodflow[[#This Row],[From]],woodstock[#All],7,FALSE)</f>
        <v>53</v>
      </c>
      <c r="I464" s="135" t="str">
        <f>VLOOKUP(woodflow[[#This Row],[to]],woodstock[#All],7,FALSE)</f>
        <v>59</v>
      </c>
      <c r="J464" s="135" t="str">
        <f>VLOOKUP(woodflow[[#This Row],[From]],woodstock[#All],8,FALSE)</f>
        <v>0</v>
      </c>
      <c r="K464" s="135" t="str">
        <f>VLOOKUP(woodflow[[#This Row],[to]],woodstock[#All],8,FALSE)</f>
        <v>0</v>
      </c>
      <c r="L464" s="136" t="str">
        <f>VLOOKUP(woodflow[[#This Row],[From]],woodstock[#All],9,FALSE)</f>
        <v>nan</v>
      </c>
      <c r="M464" s="136" t="str">
        <f>VLOOKUP(woodflow[[#This Row],[to]],woodstock[#All],9,FALSE)</f>
        <v>nan</v>
      </c>
      <c r="N464" s="131">
        <v>0</v>
      </c>
      <c r="O464" s="126" t="s">
        <v>213</v>
      </c>
      <c r="P464" s="126"/>
      <c r="Q464" s="126"/>
      <c r="R464" s="1"/>
      <c r="S464" s="1"/>
      <c r="T464" s="1"/>
      <c r="U464" s="1"/>
      <c r="V464" s="1"/>
    </row>
    <row r="465" spans="1:22" x14ac:dyDescent="0.3">
      <c r="A465" s="5" t="str">
        <f>CONCATENATE("F",IF(B465&lt;&gt;"",COUNTA($B$2:B465),""))</f>
        <v>F296</v>
      </c>
      <c r="B465" s="126" t="s">
        <v>80</v>
      </c>
      <c r="C465" s="5" t="s">
        <v>540</v>
      </c>
      <c r="D465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5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5" s="126" t="str">
        <f>VLOOKUP(woodflow[[#This Row],[From]],woodstock[#All],4,FALSE)</f>
        <v>2021</v>
      </c>
      <c r="G465" s="5" t="str">
        <f>VLOOKUP(woodflow[[#This Row],[From]],woodstock[#All],5,FALSE)</f>
        <v>OAS</v>
      </c>
      <c r="H465" s="135" t="str">
        <f>VLOOKUP(woodflow[[#This Row],[From]],woodstock[#All],7,FALSE)</f>
        <v>53</v>
      </c>
      <c r="I465" s="135" t="str">
        <f>VLOOKUP(woodflow[[#This Row],[to]],woodstock[#All],7,FALSE)</f>
        <v>60</v>
      </c>
      <c r="J465" s="135" t="str">
        <f>VLOOKUP(woodflow[[#This Row],[From]],woodstock[#All],8,FALSE)</f>
        <v>0</v>
      </c>
      <c r="K465" s="135" t="str">
        <f>VLOOKUP(woodflow[[#This Row],[to]],woodstock[#All],8,FALSE)</f>
        <v>0</v>
      </c>
      <c r="L465" s="136" t="str">
        <f>VLOOKUP(woodflow[[#This Row],[From]],woodstock[#All],9,FALSE)</f>
        <v>nan</v>
      </c>
      <c r="M465" s="136" t="str">
        <f>VLOOKUP(woodflow[[#This Row],[to]],woodstock[#All],9,FALSE)</f>
        <v>nan</v>
      </c>
      <c r="N465" s="131">
        <v>0</v>
      </c>
      <c r="O465" s="126" t="s">
        <v>213</v>
      </c>
      <c r="P465" s="126"/>
      <c r="Q465" s="126"/>
      <c r="R465" s="1"/>
      <c r="S465" s="1"/>
      <c r="T465" s="1"/>
      <c r="U465" s="1"/>
      <c r="V465" s="1"/>
    </row>
    <row r="466" spans="1:22" x14ac:dyDescent="0.3">
      <c r="A466" s="5" t="str">
        <f>CONCATENATE("F",IF(B466&lt;&gt;"",COUNTA($B$2:B466),""))</f>
        <v>F297</v>
      </c>
      <c r="B466" s="126" t="s">
        <v>80</v>
      </c>
      <c r="C466" s="5" t="s">
        <v>398</v>
      </c>
      <c r="D466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6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2.3540832179975038</v>
      </c>
      <c r="F466" s="126" t="str">
        <f>VLOOKUP(woodflow[[#This Row],[From]],woodstock[#All],4,FALSE)</f>
        <v>2021</v>
      </c>
      <c r="G466" s="5" t="str">
        <f>VLOOKUP(woodflow[[#This Row],[From]],woodstock[#All],5,FALSE)</f>
        <v>OAS</v>
      </c>
      <c r="H466" s="135" t="str">
        <f>VLOOKUP(woodflow[[#This Row],[From]],woodstock[#All],7,FALSE)</f>
        <v>53</v>
      </c>
      <c r="I466" s="135" t="str">
        <f>VLOOKUP(woodflow[[#This Row],[to]],woodstock[#All],7,FALSE)</f>
        <v>61</v>
      </c>
      <c r="J466" s="135" t="str">
        <f>VLOOKUP(woodflow[[#This Row],[From]],woodstock[#All],8,FALSE)</f>
        <v>0</v>
      </c>
      <c r="K466" s="135" t="str">
        <f>VLOOKUP(woodflow[[#This Row],[to]],woodstock[#All],8,FALSE)</f>
        <v>0</v>
      </c>
      <c r="L466" s="136" t="str">
        <f>VLOOKUP(woodflow[[#This Row],[From]],woodstock[#All],9,FALSE)</f>
        <v>nan</v>
      </c>
      <c r="M466" s="136" t="str">
        <f>VLOOKUP(woodflow[[#This Row],[to]],woodstock[#All],9,FALSE)</f>
        <v>nan</v>
      </c>
      <c r="N466" s="131">
        <f>N461*woodratio!I155</f>
        <v>2.3540832179975038</v>
      </c>
      <c r="O466" s="126" t="s">
        <v>549</v>
      </c>
      <c r="P466" s="126" t="s">
        <v>240</v>
      </c>
      <c r="Q466" s="126"/>
      <c r="R466" s="1"/>
      <c r="S466" s="1"/>
      <c r="T466" s="1"/>
      <c r="U466" s="1"/>
      <c r="V466" s="1"/>
    </row>
    <row r="467" spans="1:22" x14ac:dyDescent="0.3">
      <c r="A467" s="5" t="str">
        <f>CONCATENATE("F",IF(B467&lt;&gt;"",COUNTA($B$2:B467),""))</f>
        <v>F298</v>
      </c>
      <c r="B467" s="126" t="s">
        <v>80</v>
      </c>
      <c r="C467" s="5" t="s">
        <v>404</v>
      </c>
      <c r="D467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7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2.354085217997504</v>
      </c>
      <c r="F467" s="126" t="str">
        <f>VLOOKUP(woodflow[[#This Row],[From]],woodstock[#All],4,FALSE)</f>
        <v>2021</v>
      </c>
      <c r="G467" s="5" t="str">
        <f>VLOOKUP(woodflow[[#This Row],[From]],woodstock[#All],5,FALSE)</f>
        <v>OAS</v>
      </c>
      <c r="H467" s="135" t="str">
        <f>VLOOKUP(woodflow[[#This Row],[From]],woodstock[#All],7,FALSE)</f>
        <v>53</v>
      </c>
      <c r="I467" s="135" t="str">
        <f>VLOOKUP(woodflow[[#This Row],[to]],woodstock[#All],7,FALSE)</f>
        <v>22</v>
      </c>
      <c r="J467" s="135" t="str">
        <f>VLOOKUP(woodflow[[#This Row],[From]],woodstock[#All],8,FALSE)</f>
        <v>0</v>
      </c>
      <c r="K467" s="135" t="str">
        <f>VLOOKUP(woodflow[[#This Row],[to]],woodstock[#All],8,FALSE)</f>
        <v>1</v>
      </c>
      <c r="L467" s="136" t="str">
        <f>VLOOKUP(woodflow[[#This Row],[From]],woodstock[#All],9,FALSE)</f>
        <v>nan</v>
      </c>
      <c r="M467" s="136" t="str">
        <f>VLOOKUP(woodflow[[#This Row],[to]],woodstock[#All],9,FALSE)</f>
        <v>62-63-64</v>
      </c>
      <c r="N467" s="131">
        <f>N468+N469+N470</f>
        <v>2.354085217997504</v>
      </c>
      <c r="O467" s="126" t="s">
        <v>549</v>
      </c>
      <c r="P467" s="126" t="s">
        <v>239</v>
      </c>
      <c r="Q467" s="126"/>
      <c r="R467" s="1"/>
      <c r="S467" s="1"/>
      <c r="T467" s="1"/>
      <c r="U467" s="1"/>
      <c r="V467" s="1"/>
    </row>
    <row r="468" spans="1:22" x14ac:dyDescent="0.3">
      <c r="A468" s="5" t="str">
        <f>CONCATENATE("F",IF(B468&lt;&gt;"",COUNTA($B$2:B468),""))</f>
        <v>F299</v>
      </c>
      <c r="B468" s="126" t="s">
        <v>80</v>
      </c>
      <c r="C468" s="5" t="s">
        <v>407</v>
      </c>
      <c r="D468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8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68" s="126" t="str">
        <f>VLOOKUP(woodflow[[#This Row],[From]],woodstock[#All],4,FALSE)</f>
        <v>2021</v>
      </c>
      <c r="G468" s="5" t="str">
        <f>VLOOKUP(woodflow[[#This Row],[From]],woodstock[#All],5,FALSE)</f>
        <v>OAS</v>
      </c>
      <c r="H468" s="135" t="str">
        <f>VLOOKUP(woodflow[[#This Row],[From]],woodstock[#All],7,FALSE)</f>
        <v>53</v>
      </c>
      <c r="I468" s="135" t="str">
        <f>VLOOKUP(woodflow[[#This Row],[to]],woodstock[#All],7,FALSE)</f>
        <v>62</v>
      </c>
      <c r="J468" s="135" t="str">
        <f>VLOOKUP(woodflow[[#This Row],[From]],woodstock[#All],8,FALSE)</f>
        <v>0</v>
      </c>
      <c r="K468" s="135" t="str">
        <f>VLOOKUP(woodflow[[#This Row],[to]],woodstock[#All],8,FALSE)</f>
        <v>0</v>
      </c>
      <c r="L468" s="136" t="str">
        <f>VLOOKUP(woodflow[[#This Row],[From]],woodstock[#All],9,FALSE)</f>
        <v>nan</v>
      </c>
      <c r="M468" s="136" t="str">
        <f>VLOOKUP(woodflow[[#This Row],[to]],woodstock[#All],9,FALSE)</f>
        <v>nan</v>
      </c>
      <c r="N468" s="131">
        <f>1*10^-6</f>
        <v>9.9999999999999995E-7</v>
      </c>
      <c r="O468" s="126" t="s">
        <v>549</v>
      </c>
      <c r="P468" s="126" t="s">
        <v>240</v>
      </c>
      <c r="Q468" s="126"/>
      <c r="R468" s="1"/>
      <c r="S468" s="1"/>
      <c r="T468" s="1"/>
      <c r="U468" s="1"/>
      <c r="V468" s="1"/>
    </row>
    <row r="469" spans="1:22" x14ac:dyDescent="0.3">
      <c r="A469" s="5" t="str">
        <f>CONCATENATE("F",IF(B469&lt;&gt;"",COUNTA($B$2:B469),""))</f>
        <v>F300</v>
      </c>
      <c r="B469" s="126" t="s">
        <v>80</v>
      </c>
      <c r="C469" s="5" t="s">
        <v>359</v>
      </c>
      <c r="D469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9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2.3540832179975038</v>
      </c>
      <c r="F469" s="126" t="str">
        <f>VLOOKUP(woodflow[[#This Row],[From]],woodstock[#All],4,FALSE)</f>
        <v>2021</v>
      </c>
      <c r="G469" s="5" t="str">
        <f>VLOOKUP(woodflow[[#This Row],[From]],woodstock[#All],5,FALSE)</f>
        <v>OAS</v>
      </c>
      <c r="H469" s="135" t="str">
        <f>VLOOKUP(woodflow[[#This Row],[From]],woodstock[#All],7,FALSE)</f>
        <v>53</v>
      </c>
      <c r="I469" s="135" t="str">
        <f>VLOOKUP(woodflow[[#This Row],[to]],woodstock[#All],7,FALSE)</f>
        <v>63</v>
      </c>
      <c r="J469" s="135" t="str">
        <f>VLOOKUP(woodflow[[#This Row],[From]],woodstock[#All],8,FALSE)</f>
        <v>0</v>
      </c>
      <c r="K469" s="135" t="str">
        <f>VLOOKUP(woodflow[[#This Row],[to]],woodstock[#All],8,FALSE)</f>
        <v>0</v>
      </c>
      <c r="L469" s="136" t="str">
        <f>VLOOKUP(woodflow[[#This Row],[From]],woodstock[#All],9,FALSE)</f>
        <v>nan</v>
      </c>
      <c r="M469" s="136" t="str">
        <f>VLOOKUP(woodflow[[#This Row],[to]],woodstock[#All],9,FALSE)</f>
        <v>nan</v>
      </c>
      <c r="N469" s="131">
        <f>N461*woodratio!I156</f>
        <v>2.3540832179975038</v>
      </c>
      <c r="O469" s="126" t="s">
        <v>549</v>
      </c>
      <c r="P469" s="126" t="s">
        <v>240</v>
      </c>
      <c r="Q469" s="126"/>
      <c r="R469" s="1"/>
      <c r="S469" s="1"/>
      <c r="T469" s="1"/>
      <c r="U469" s="1"/>
      <c r="V469" s="1"/>
    </row>
    <row r="470" spans="1:22" x14ac:dyDescent="0.3">
      <c r="A470" s="5" t="str">
        <f>CONCATENATE("F",IF(B470&lt;&gt;"",COUNTA($B$2:B470),""))</f>
        <v>F301</v>
      </c>
      <c r="B470" s="126" t="s">
        <v>80</v>
      </c>
      <c r="C470" s="5" t="s">
        <v>380</v>
      </c>
      <c r="D470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70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70" s="126" t="str">
        <f>VLOOKUP(woodflow[[#This Row],[From]],woodstock[#All],4,FALSE)</f>
        <v>2021</v>
      </c>
      <c r="G470" s="5" t="str">
        <f>VLOOKUP(woodflow[[#This Row],[From]],woodstock[#All],5,FALSE)</f>
        <v>OAS</v>
      </c>
      <c r="H470" s="135" t="str">
        <f>VLOOKUP(woodflow[[#This Row],[From]],woodstock[#All],7,FALSE)</f>
        <v>53</v>
      </c>
      <c r="I470" s="135" t="str">
        <f>VLOOKUP(woodflow[[#This Row],[to]],woodstock[#All],7,FALSE)</f>
        <v>64</v>
      </c>
      <c r="J470" s="135" t="str">
        <f>VLOOKUP(woodflow[[#This Row],[From]],woodstock[#All],8,FALSE)</f>
        <v>0</v>
      </c>
      <c r="K470" s="135" t="str">
        <f>VLOOKUP(woodflow[[#This Row],[to]],woodstock[#All],8,FALSE)</f>
        <v>0</v>
      </c>
      <c r="L470" s="136" t="str">
        <f>VLOOKUP(woodflow[[#This Row],[From]],woodstock[#All],9,FALSE)</f>
        <v>nan</v>
      </c>
      <c r="M470" s="136" t="str">
        <f>VLOOKUP(woodflow[[#This Row],[to]],woodstock[#All],9,FALSE)</f>
        <v>nan</v>
      </c>
      <c r="N470" s="131">
        <f>1*10^-6</f>
        <v>9.9999999999999995E-7</v>
      </c>
      <c r="O470" s="126" t="s">
        <v>549</v>
      </c>
      <c r="P470" s="126" t="s">
        <v>240</v>
      </c>
      <c r="Q470" s="126"/>
      <c r="R470" s="1"/>
      <c r="S470" s="1"/>
      <c r="T470" s="1"/>
      <c r="U470" s="1"/>
      <c r="V470" s="1"/>
    </row>
    <row r="471" spans="1:22" x14ac:dyDescent="0.3">
      <c r="A471" s="5" t="str">
        <f>CONCATENATE("F",IF(B471&lt;&gt;"",COUNTA($B$2:B471),""))</f>
        <v>F</v>
      </c>
      <c r="B471" s="126"/>
      <c r="C471" s="126"/>
      <c r="D471" s="133"/>
      <c r="E471" s="133"/>
      <c r="F471" s="126"/>
      <c r="G471" s="126"/>
      <c r="H471" s="135"/>
      <c r="I471" s="135"/>
      <c r="J471" s="135"/>
      <c r="K471" s="135"/>
      <c r="L471" s="136"/>
      <c r="M471" s="136"/>
      <c r="N471" s="131"/>
      <c r="O471" s="126"/>
      <c r="P471" s="126"/>
      <c r="Q471" s="126"/>
      <c r="R471" s="1"/>
      <c r="S471" s="1"/>
      <c r="T471" s="1"/>
      <c r="U471" s="1"/>
      <c r="V471" s="1"/>
    </row>
    <row r="472" spans="1:22" x14ac:dyDescent="0.3">
      <c r="A472" s="5" t="str">
        <f>CONCATENATE("F",IF(B472&lt;&gt;"",COUNTA($B$2:B472),""))</f>
        <v>F</v>
      </c>
      <c r="B472" s="126"/>
      <c r="C472" s="126"/>
      <c r="D472" s="133"/>
      <c r="E472" s="133"/>
      <c r="F472" s="126"/>
      <c r="G472" s="126"/>
      <c r="H472" s="135"/>
      <c r="I472" s="135"/>
      <c r="J472" s="135"/>
      <c r="K472" s="135"/>
      <c r="L472" s="136"/>
      <c r="M472" s="136"/>
      <c r="N472" s="131"/>
      <c r="O472" s="126"/>
      <c r="P472" s="126"/>
      <c r="Q472" s="126"/>
      <c r="R472" s="1"/>
      <c r="S472" s="1"/>
      <c r="T472" s="1"/>
      <c r="U472" s="1"/>
      <c r="V472" s="1"/>
    </row>
    <row r="473" spans="1:22" x14ac:dyDescent="0.3">
      <c r="A473" s="5" t="str">
        <f>CONCATENATE("F",IF(B473&lt;&gt;"",COUNTA($B$2:B473),""))</f>
        <v>F302</v>
      </c>
      <c r="B473" s="126" t="s">
        <v>242</v>
      </c>
      <c r="C473" s="126" t="s">
        <v>77</v>
      </c>
      <c r="D473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1.7021934500000013</v>
      </c>
      <c r="E47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73" s="126">
        <f>VLOOKUP(woodflow[[#This Row],[From]],woodstock[#All],4,FALSE)</f>
        <v>2021</v>
      </c>
      <c r="G473" s="5" t="str">
        <f>VLOOKUP(woodflow[[#This Row],[From]],woodstock[#All],5,FALSE)</f>
        <v>OAS</v>
      </c>
      <c r="H473" s="135" t="str">
        <f>VLOOKUP(woodflow[[#This Row],[From]],woodstock[#All],7,FALSE)</f>
        <v>54</v>
      </c>
      <c r="I473" s="135" t="str">
        <f>VLOOKUP(woodflow[[#This Row],[to]],woodstock[#All],7,FALSE)</f>
        <v>30</v>
      </c>
      <c r="J473" s="135" t="str">
        <f>VLOOKUP(woodflow[[#This Row],[From]],woodstock[#All],8,FALSE)</f>
        <v>0</v>
      </c>
      <c r="K473" s="135" t="str">
        <f>VLOOKUP(woodflow[[#This Row],[to]],woodstock[#All],8,FALSE)</f>
        <v>0</v>
      </c>
      <c r="L473" s="136" t="str">
        <f>VLOOKUP(woodflow[[#This Row],[From]],woodstock[#All],9,FALSE)</f>
        <v>nan</v>
      </c>
      <c r="M473" s="136" t="str">
        <f>VLOOKUP(woodflow[[#This Row],[to]],woodstock[#All],9,FALSE)</f>
        <v>nan</v>
      </c>
      <c r="N473" s="131">
        <f>N326+N327+N328+N329+N330</f>
        <v>1.7021934500000013</v>
      </c>
      <c r="O473" s="126" t="s">
        <v>556</v>
      </c>
      <c r="P473" s="126" t="s">
        <v>239</v>
      </c>
      <c r="Q473" s="126"/>
      <c r="R473" s="1"/>
      <c r="S473" s="1"/>
      <c r="T473" s="1"/>
      <c r="U473" s="1"/>
      <c r="V473" s="1"/>
    </row>
    <row r="474" spans="1:22" x14ac:dyDescent="0.3">
      <c r="A474" s="5" t="str">
        <f>CONCATENATE("F",IF(B474&lt;&gt;"",COUNTA($B$2:B474),""))</f>
        <v>F</v>
      </c>
      <c r="B474" s="126"/>
      <c r="C474" s="126"/>
      <c r="D474" s="133"/>
      <c r="E474" s="133"/>
      <c r="F474" s="126"/>
      <c r="G474" s="126"/>
      <c r="H474" s="135"/>
      <c r="I474" s="135"/>
      <c r="J474" s="135"/>
      <c r="K474" s="135"/>
      <c r="L474" s="136"/>
      <c r="M474" s="136"/>
      <c r="N474" s="131"/>
      <c r="O474" s="126"/>
      <c r="P474" s="126"/>
      <c r="Q474" s="126"/>
      <c r="R474" s="1"/>
      <c r="S474" s="1"/>
      <c r="T474" s="1"/>
      <c r="U474" s="1"/>
      <c r="V474" s="1"/>
    </row>
    <row r="475" spans="1:22" x14ac:dyDescent="0.3">
      <c r="A475" s="5" t="str">
        <f>CONCATENATE("F",IF(B475&lt;&gt;"",COUNTA($B$2:B475),""))</f>
        <v>F</v>
      </c>
      <c r="B475" s="126"/>
      <c r="C475" s="126"/>
      <c r="D475" s="133"/>
      <c r="E475" s="133"/>
      <c r="F475" s="126"/>
      <c r="G475" s="126"/>
      <c r="H475" s="135"/>
      <c r="I475" s="135"/>
      <c r="J475" s="135"/>
      <c r="K475" s="135"/>
      <c r="L475" s="136"/>
      <c r="M475" s="136"/>
      <c r="N475" s="131"/>
      <c r="O475" s="126"/>
      <c r="P475" s="126"/>
      <c r="Q475" s="126"/>
      <c r="R475" s="1"/>
      <c r="S475" s="1"/>
      <c r="T475" s="1"/>
      <c r="U475" s="1"/>
      <c r="V475" s="1"/>
    </row>
    <row r="476" spans="1:22" x14ac:dyDescent="0.3">
      <c r="A476" s="5" t="str">
        <f>CONCATENATE("F",IF(B476&lt;&gt;"",COUNTA($B$2:B476),""))</f>
        <v>F303</v>
      </c>
      <c r="B476" s="5" t="s">
        <v>358</v>
      </c>
      <c r="C476" s="126" t="s">
        <v>409</v>
      </c>
      <c r="D476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76" s="133">
        <f>IF(woodflow[[#This Row],[data-info]]="Observed","",IF(woodflow[[#This Row],[data-info]]="No Flow","",IF(woodflow[[#This Row],[data-info]]="Prior",woodflow[[#This Row],[quantity-input (Modmt)]],IF(woodflow[[#This Row],[data-info]]="BaMFA",""))))</f>
        <v>35.396189895853212</v>
      </c>
      <c r="F476" s="126">
        <f>VLOOKUP(woodflow[[#This Row],[From]],woodstock[#All],4,FALSE)</f>
        <v>2021</v>
      </c>
      <c r="G476" s="5" t="str">
        <f>VLOOKUP(woodflow[[#This Row],[From]],woodstock[#All],5,FALSE)</f>
        <v>OAS</v>
      </c>
      <c r="H476" s="135" t="str">
        <f>VLOOKUP(woodflow[[#This Row],[From]],woodstock[#All],7,FALSE)</f>
        <v>58</v>
      </c>
      <c r="I476" s="135" t="str">
        <f>VLOOKUP(woodflow[[#This Row],[to]],woodstock[#All],7,FALSE)</f>
        <v>43</v>
      </c>
      <c r="J476" s="135" t="str">
        <f>VLOOKUP(woodflow[[#This Row],[From]],woodstock[#All],8,FALSE)</f>
        <v>0</v>
      </c>
      <c r="K476" s="135" t="str">
        <f>VLOOKUP(woodflow[[#This Row],[to]],woodstock[#All],8,FALSE)</f>
        <v>0</v>
      </c>
      <c r="L476" s="136" t="str">
        <f>VLOOKUP(woodflow[[#This Row],[From]],woodstock[#All],9,FALSE)</f>
        <v>nan</v>
      </c>
      <c r="M476" s="136" t="str">
        <f>VLOOKUP(woodflow[[#This Row],[to]],woodstock[#All],9,FALSE)</f>
        <v>nan</v>
      </c>
      <c r="N476" s="131">
        <f>N394+N406+N421+N436+N451+N463</f>
        <v>35.396189895853212</v>
      </c>
      <c r="O476" s="126" t="s">
        <v>549</v>
      </c>
      <c r="P476" s="126" t="s">
        <v>239</v>
      </c>
      <c r="Q476" s="126"/>
      <c r="R476" s="1"/>
      <c r="S476" s="1"/>
      <c r="T476" s="1"/>
      <c r="U476" s="1"/>
      <c r="V476" s="1"/>
    </row>
    <row r="477" spans="1:22" x14ac:dyDescent="0.3">
      <c r="A477" s="5" t="str">
        <f>CONCATENATE("F",IF(B477&lt;&gt;"",COUNTA($B$2:B477),""))</f>
        <v>F</v>
      </c>
      <c r="B477" s="126"/>
      <c r="C477" s="126"/>
      <c r="D477" s="133"/>
      <c r="E477" s="133"/>
      <c r="F477" s="126"/>
      <c r="G477" s="5"/>
      <c r="H477" s="135"/>
      <c r="I477" s="135"/>
      <c r="J477" s="135"/>
      <c r="K477" s="135"/>
      <c r="L477" s="136"/>
      <c r="M477" s="136"/>
      <c r="N477" s="131"/>
      <c r="O477" s="126"/>
      <c r="P477" s="126"/>
      <c r="Q477" s="126"/>
      <c r="R477" s="1"/>
      <c r="S477" s="1"/>
      <c r="T477" s="1"/>
      <c r="U477" s="1"/>
      <c r="V477" s="1"/>
    </row>
    <row r="478" spans="1:22" x14ac:dyDescent="0.3">
      <c r="A478" s="5" t="str">
        <f>CONCATENATE("F",IF(B478&lt;&gt;"",COUNTA($B$2:B478),""))</f>
        <v>F</v>
      </c>
      <c r="B478" s="126"/>
      <c r="C478" s="126"/>
      <c r="D478" s="133"/>
      <c r="E478" s="133"/>
      <c r="F478" s="126"/>
      <c r="G478" s="5"/>
      <c r="H478" s="135"/>
      <c r="I478" s="135"/>
      <c r="J478" s="135"/>
      <c r="K478" s="135"/>
      <c r="L478" s="136"/>
      <c r="M478" s="136"/>
      <c r="N478" s="131"/>
      <c r="O478" s="126"/>
      <c r="P478" s="126"/>
      <c r="Q478" s="126"/>
      <c r="R478" s="1"/>
      <c r="S478" s="1"/>
      <c r="T478" s="1"/>
      <c r="U478" s="1"/>
      <c r="V478" s="1"/>
    </row>
    <row r="479" spans="1:22" x14ac:dyDescent="0.3">
      <c r="A479" s="5" t="str">
        <f>CONCATENATE("F",IF(B479&lt;&gt;"",COUNTA($B$2:B479),""))</f>
        <v>F304</v>
      </c>
      <c r="B479" s="5" t="s">
        <v>539</v>
      </c>
      <c r="C479" s="126" t="s">
        <v>65</v>
      </c>
      <c r="D479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1.5500096460083437</v>
      </c>
      <c r="E47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79" s="126">
        <f>VLOOKUP(woodflow[[#This Row],[From]],woodstock[#All],4,FALSE)</f>
        <v>2021</v>
      </c>
      <c r="G479" s="5" t="str">
        <f>VLOOKUP(woodflow[[#This Row],[From]],woodstock[#All],5,FALSE)</f>
        <v>OAS</v>
      </c>
      <c r="H479" s="135" t="str">
        <f>VLOOKUP(woodflow[[#This Row],[From]],woodstock[#All],7,FALSE)</f>
        <v>59</v>
      </c>
      <c r="I479" s="135" t="str">
        <f>VLOOKUP(woodflow[[#This Row],[to]],woodstock[#All],7,FALSE)</f>
        <v>9</v>
      </c>
      <c r="J479" s="135" t="str">
        <f>VLOOKUP(woodflow[[#This Row],[From]],woodstock[#All],8,FALSE)</f>
        <v>0</v>
      </c>
      <c r="K479" s="135" t="str">
        <f>VLOOKUP(woodflow[[#This Row],[to]],woodstock[#All],8,FALSE)</f>
        <v>1</v>
      </c>
      <c r="L479" s="136" t="str">
        <f>VLOOKUP(woodflow[[#This Row],[From]],woodstock[#All],9,FALSE)</f>
        <v>nan</v>
      </c>
      <c r="M479" s="136" t="str">
        <f>VLOOKUP(woodflow[[#This Row],[to]],woodstock[#All],9,FALSE)</f>
        <v>15-16</v>
      </c>
      <c r="N479" s="131">
        <f>N395+N407+'faostat-data'!Q46-'faostat-data'!Q47</f>
        <v>1.5500096460083437</v>
      </c>
      <c r="O479" s="126" t="s">
        <v>556</v>
      </c>
      <c r="P479" s="126" t="s">
        <v>239</v>
      </c>
      <c r="Q479" s="126"/>
      <c r="R479" s="1"/>
      <c r="S479" s="1"/>
      <c r="T479" s="1"/>
      <c r="U479" s="1"/>
      <c r="V479" s="1"/>
    </row>
    <row r="480" spans="1:22" x14ac:dyDescent="0.3">
      <c r="A480" s="5" t="str">
        <f>CONCATENATE("F",IF(B480&lt;&gt;"",COUNTA($B$2:B480),""))</f>
        <v>F305</v>
      </c>
      <c r="B480" s="5" t="s">
        <v>539</v>
      </c>
      <c r="C480" s="126" t="s">
        <v>53</v>
      </c>
      <c r="D480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80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0" s="126">
        <f>VLOOKUP(woodflow[[#This Row],[From]],woodstock[#All],4,FALSE)</f>
        <v>2021</v>
      </c>
      <c r="G480" s="5" t="str">
        <f>VLOOKUP(woodflow[[#This Row],[From]],woodstock[#All],5,FALSE)</f>
        <v>OAS</v>
      </c>
      <c r="H480" s="135" t="str">
        <f>VLOOKUP(woodflow[[#This Row],[From]],woodstock[#All],7,FALSE)</f>
        <v>59</v>
      </c>
      <c r="I480" s="135" t="str">
        <f>VLOOKUP(woodflow[[#This Row],[to]],woodstock[#All],7,FALSE)</f>
        <v>15</v>
      </c>
      <c r="J480" s="135" t="str">
        <f>VLOOKUP(woodflow[[#This Row],[From]],woodstock[#All],8,FALSE)</f>
        <v>0</v>
      </c>
      <c r="K480" s="135" t="str">
        <f>VLOOKUP(woodflow[[#This Row],[to]],woodstock[#All],8,FALSE)</f>
        <v>0</v>
      </c>
      <c r="L480" s="136" t="str">
        <f>VLOOKUP(woodflow[[#This Row],[From]],woodstock[#All],9,FALSE)</f>
        <v>nan</v>
      </c>
      <c r="M480" s="136" t="str">
        <f>VLOOKUP(woodflow[[#This Row],[to]],woodstock[#All],9,FALSE)</f>
        <v>nan</v>
      </c>
      <c r="N480" s="131"/>
      <c r="O480" s="126" t="s">
        <v>460</v>
      </c>
      <c r="P480" s="126"/>
      <c r="Q480" s="126"/>
      <c r="R480" s="1"/>
      <c r="S480" s="1"/>
      <c r="T480" s="1"/>
      <c r="U480" s="1"/>
      <c r="V480" s="1"/>
    </row>
    <row r="481" spans="1:22" x14ac:dyDescent="0.3">
      <c r="A481" s="5" t="str">
        <f>CONCATENATE("F",IF(B481&lt;&gt;"",COUNTA($B$2:B481),""))</f>
        <v>F306</v>
      </c>
      <c r="B481" s="5" t="s">
        <v>539</v>
      </c>
      <c r="C481" s="126" t="s">
        <v>54</v>
      </c>
      <c r="D481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81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1" s="126">
        <f>VLOOKUP(woodflow[[#This Row],[From]],woodstock[#All],4,FALSE)</f>
        <v>2021</v>
      </c>
      <c r="G481" s="5" t="str">
        <f>VLOOKUP(woodflow[[#This Row],[From]],woodstock[#All],5,FALSE)</f>
        <v>OAS</v>
      </c>
      <c r="H481" s="135" t="str">
        <f>VLOOKUP(woodflow[[#This Row],[From]],woodstock[#All],7,FALSE)</f>
        <v>59</v>
      </c>
      <c r="I481" s="135" t="str">
        <f>VLOOKUP(woodflow[[#This Row],[to]],woodstock[#All],7,FALSE)</f>
        <v>16</v>
      </c>
      <c r="J481" s="135" t="str">
        <f>VLOOKUP(woodflow[[#This Row],[From]],woodstock[#All],8,FALSE)</f>
        <v>0</v>
      </c>
      <c r="K481" s="135" t="str">
        <f>VLOOKUP(woodflow[[#This Row],[to]],woodstock[#All],8,FALSE)</f>
        <v>0</v>
      </c>
      <c r="L481" s="136" t="str">
        <f>VLOOKUP(woodflow[[#This Row],[From]],woodstock[#All],9,FALSE)</f>
        <v>nan</v>
      </c>
      <c r="M481" s="136" t="str">
        <f>VLOOKUP(woodflow[[#This Row],[to]],woodstock[#All],9,FALSE)</f>
        <v>nan</v>
      </c>
      <c r="N481" s="131"/>
      <c r="O481" s="126" t="s">
        <v>460</v>
      </c>
      <c r="P481" s="126"/>
      <c r="Q481" s="126"/>
      <c r="R481" s="1"/>
      <c r="S481" s="1"/>
      <c r="T481" s="1"/>
      <c r="U481" s="1"/>
      <c r="V481" s="1"/>
    </row>
    <row r="482" spans="1:22" x14ac:dyDescent="0.3">
      <c r="A482" s="5" t="str">
        <f>CONCATENATE("F",IF(B482&lt;&gt;"",COUNTA($B$2:B482),""))</f>
        <v>F</v>
      </c>
      <c r="B482" s="126"/>
      <c r="C482" s="126"/>
      <c r="D482" s="133"/>
      <c r="E482" s="133"/>
      <c r="F482" s="126"/>
      <c r="G482" s="5"/>
      <c r="H482" s="135"/>
      <c r="I482" s="135"/>
      <c r="J482" s="135"/>
      <c r="K482" s="135"/>
      <c r="L482" s="136"/>
      <c r="M482" s="136"/>
      <c r="N482" s="131"/>
      <c r="O482" s="126"/>
      <c r="P482" s="126"/>
      <c r="Q482" s="126"/>
      <c r="R482" s="1"/>
      <c r="S482" s="1"/>
      <c r="T482" s="1"/>
      <c r="U482" s="1"/>
      <c r="V482" s="1"/>
    </row>
    <row r="483" spans="1:22" x14ac:dyDescent="0.3">
      <c r="A483" s="5" t="str">
        <f>CONCATENATE("F",IF(B483&lt;&gt;"",COUNTA($B$2:B483),""))</f>
        <v>F</v>
      </c>
      <c r="B483" s="126"/>
      <c r="C483" s="126"/>
      <c r="D483" s="133"/>
      <c r="E483" s="133"/>
      <c r="F483" s="126"/>
      <c r="G483" s="5"/>
      <c r="H483" s="135"/>
      <c r="I483" s="135"/>
      <c r="J483" s="135"/>
      <c r="K483" s="135"/>
      <c r="L483" s="136"/>
      <c r="M483" s="136"/>
      <c r="N483" s="131"/>
      <c r="O483" s="126"/>
      <c r="P483" s="126"/>
      <c r="Q483" s="126"/>
      <c r="R483" s="1"/>
      <c r="S483" s="1"/>
      <c r="T483" s="1"/>
      <c r="U483" s="1"/>
      <c r="V483" s="1"/>
    </row>
    <row r="484" spans="1:22" x14ac:dyDescent="0.3">
      <c r="A484" s="5" t="str">
        <f>CONCATENATE("F",IF(B484&lt;&gt;"",COUNTA($B$2:B484),""))</f>
        <v>F307</v>
      </c>
      <c r="B484" s="126" t="s">
        <v>540</v>
      </c>
      <c r="C484" s="126" t="s">
        <v>77</v>
      </c>
      <c r="D484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20.590299657500001</v>
      </c>
      <c r="E484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4" s="126">
        <f>VLOOKUP(woodflow[[#This Row],[From]],woodstock[#All],4,FALSE)</f>
        <v>2021</v>
      </c>
      <c r="G484" s="5" t="str">
        <f>VLOOKUP(woodflow[[#This Row],[From]],woodstock[#All],5,FALSE)</f>
        <v>OAS</v>
      </c>
      <c r="H484" s="135" t="str">
        <f>VLOOKUP(woodflow[[#This Row],[From]],woodstock[#All],7,FALSE)</f>
        <v>60</v>
      </c>
      <c r="I484" s="135" t="str">
        <f>VLOOKUP(woodflow[[#This Row],[to]],woodstock[#All],7,FALSE)</f>
        <v>30</v>
      </c>
      <c r="J484" s="135" t="str">
        <f>VLOOKUP(woodflow[[#This Row],[From]],woodstock[#All],8,FALSE)</f>
        <v>0</v>
      </c>
      <c r="K484" s="135" t="str">
        <f>VLOOKUP(woodflow[[#This Row],[to]],woodstock[#All],8,FALSE)</f>
        <v>0</v>
      </c>
      <c r="L484" s="136" t="str">
        <f>VLOOKUP(woodflow[[#This Row],[From]],woodstock[#All],9,FALSE)</f>
        <v>nan</v>
      </c>
      <c r="M484" s="136" t="str">
        <f>VLOOKUP(woodflow[[#This Row],[to]],woodstock[#All],9,FALSE)</f>
        <v>nan</v>
      </c>
      <c r="N484" s="131">
        <f>N408+'faostat-data'!Q121-'faostat-data'!Q122</f>
        <v>20.590299657500001</v>
      </c>
      <c r="O484" s="126" t="s">
        <v>556</v>
      </c>
      <c r="P484" s="126" t="s">
        <v>239</v>
      </c>
      <c r="Q484" s="126" t="s">
        <v>234</v>
      </c>
      <c r="R484" s="1"/>
      <c r="S484" s="1"/>
      <c r="T484" s="1"/>
      <c r="U484" s="1"/>
      <c r="V484" s="1"/>
    </row>
    <row r="485" spans="1:22" x14ac:dyDescent="0.3">
      <c r="A485" s="5" t="str">
        <f>CONCATENATE("F",IF(B485&lt;&gt;"",COUNTA($B$2:B485),""))</f>
        <v>F</v>
      </c>
      <c r="B485" s="126"/>
      <c r="C485" s="126"/>
      <c r="D485" s="133"/>
      <c r="E485" s="133"/>
      <c r="F485" s="126"/>
      <c r="G485" s="5"/>
      <c r="H485" s="135"/>
      <c r="I485" s="135"/>
      <c r="J485" s="135"/>
      <c r="K485" s="135"/>
      <c r="L485" s="136"/>
      <c r="M485" s="136"/>
      <c r="N485" s="131"/>
      <c r="O485" s="126"/>
      <c r="P485" s="126"/>
      <c r="Q485" s="126"/>
      <c r="R485" s="1"/>
      <c r="S485" s="1"/>
      <c r="T485" s="1"/>
      <c r="U485" s="1"/>
      <c r="V485" s="1"/>
    </row>
    <row r="486" spans="1:22" x14ac:dyDescent="0.3">
      <c r="A486" s="5" t="str">
        <f>CONCATENATE("F",IF(B486&lt;&gt;"",COUNTA($B$2:B486),""))</f>
        <v>F</v>
      </c>
      <c r="B486" s="126"/>
      <c r="C486" s="126"/>
      <c r="D486" s="133"/>
      <c r="E486" s="133"/>
      <c r="F486" s="126"/>
      <c r="G486" s="5"/>
      <c r="H486" s="135"/>
      <c r="I486" s="135"/>
      <c r="J486" s="135"/>
      <c r="K486" s="135"/>
      <c r="L486" s="136"/>
      <c r="M486" s="136"/>
      <c r="N486" s="131"/>
      <c r="O486" s="126"/>
      <c r="P486" s="126"/>
      <c r="Q486" s="126"/>
      <c r="R486" s="1"/>
      <c r="S486" s="1"/>
      <c r="T486" s="1"/>
      <c r="U486" s="1"/>
      <c r="V486" s="1"/>
    </row>
    <row r="487" spans="1:22" x14ac:dyDescent="0.3">
      <c r="A487" s="5" t="str">
        <f>CONCATENATE("F",IF(B487&lt;&gt;"",COUNTA($B$2:B487),""))</f>
        <v>F308</v>
      </c>
      <c r="B487" s="5" t="s">
        <v>342</v>
      </c>
      <c r="C487" s="5" t="s">
        <v>265</v>
      </c>
      <c r="D487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1.3765567749999999E-4</v>
      </c>
      <c r="E48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7" s="126">
        <f>VLOOKUP(woodflow[[#This Row],[From]],woodstock[#All],4,FALSE)</f>
        <v>2021</v>
      </c>
      <c r="G487" s="5" t="str">
        <f>VLOOKUP(woodflow[[#This Row],[From]],woodstock[#All],5,FALSE)</f>
        <v>OAS</v>
      </c>
      <c r="H487" s="135" t="str">
        <f>VLOOKUP(woodflow[[#This Row],[From]],woodstock[#All],7,FALSE)</f>
        <v>65</v>
      </c>
      <c r="I487" s="135" t="str">
        <f>VLOOKUP(woodflow[[#This Row],[to]],woodstock[#All],7,FALSE)</f>
        <v>4</v>
      </c>
      <c r="J487" s="135" t="str">
        <f>VLOOKUP(woodflow[[#This Row],[From]],woodstock[#All],8,FALSE)</f>
        <v>0</v>
      </c>
      <c r="K487" s="135" t="str">
        <f>VLOOKUP(woodflow[[#This Row],[to]],woodstock[#All],8,FALSE)</f>
        <v>0</v>
      </c>
      <c r="L487" s="136" t="str">
        <f>VLOOKUP(woodflow[[#This Row],[From]],woodstock[#All],9,FALSE)</f>
        <v>nan</v>
      </c>
      <c r="M487" s="136" t="str">
        <f>VLOOKUP(woodflow[[#This Row],[to]],woodstock[#All],9,FALSE)</f>
        <v>nan</v>
      </c>
      <c r="N487" s="131">
        <f>'faostat-data'!Q3</f>
        <v>1.3765567749999999E-4</v>
      </c>
      <c r="O487" s="126" t="s">
        <v>556</v>
      </c>
      <c r="P487" s="126"/>
      <c r="Q487" s="126" t="s">
        <v>234</v>
      </c>
    </row>
    <row r="488" spans="1:22" x14ac:dyDescent="0.3">
      <c r="A488" s="5" t="str">
        <f>CONCATENATE("F",IF(B488&lt;&gt;"",COUNTA($B$2:B488),""))</f>
        <v>F309</v>
      </c>
      <c r="B488" s="5" t="s">
        <v>342</v>
      </c>
      <c r="C488" s="5" t="s">
        <v>266</v>
      </c>
      <c r="D48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9.5933600000000009E-4</v>
      </c>
      <c r="E48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8" s="126">
        <f>VLOOKUP(woodflow[[#This Row],[From]],woodstock[#All],4,FALSE)</f>
        <v>2021</v>
      </c>
      <c r="G488" s="5" t="str">
        <f>VLOOKUP(woodflow[[#This Row],[From]],woodstock[#All],5,FALSE)</f>
        <v>OAS</v>
      </c>
      <c r="H488" s="135" t="str">
        <f>VLOOKUP(woodflow[[#This Row],[From]],woodstock[#All],7,FALSE)</f>
        <v>65</v>
      </c>
      <c r="I488" s="135" t="str">
        <f>VLOOKUP(woodflow[[#This Row],[to]],woodstock[#All],7,FALSE)</f>
        <v>5</v>
      </c>
      <c r="J488" s="135" t="str">
        <f>VLOOKUP(woodflow[[#This Row],[From]],woodstock[#All],8,FALSE)</f>
        <v>0</v>
      </c>
      <c r="K488" s="135" t="str">
        <f>VLOOKUP(woodflow[[#This Row],[to]],woodstock[#All],8,FALSE)</f>
        <v>0</v>
      </c>
      <c r="L488" s="136" t="str">
        <f>VLOOKUP(woodflow[[#This Row],[From]],woodstock[#All],9,FALSE)</f>
        <v>nan</v>
      </c>
      <c r="M488" s="136" t="str">
        <f>VLOOKUP(woodflow[[#This Row],[to]],woodstock[#All],9,FALSE)</f>
        <v>nan</v>
      </c>
      <c r="N488" s="131">
        <f>'faostat-data'!Q6</f>
        <v>9.5933600000000009E-4</v>
      </c>
      <c r="O488" s="126" t="s">
        <v>556</v>
      </c>
      <c r="P488" s="126"/>
      <c r="Q488" s="126" t="s">
        <v>234</v>
      </c>
    </row>
    <row r="489" spans="1:22" x14ac:dyDescent="0.3">
      <c r="A489" s="5" t="str">
        <f>CONCATENATE("F",IF(B489&lt;&gt;"",COUNTA($B$2:B489),""))</f>
        <v>F</v>
      </c>
      <c r="B489" s="5"/>
      <c r="C489" s="5"/>
      <c r="D489" s="133"/>
      <c r="E489" s="133"/>
      <c r="F489" s="126"/>
      <c r="G489" s="5"/>
      <c r="H489" s="135"/>
      <c r="I489" s="135"/>
      <c r="J489" s="135"/>
      <c r="K489" s="135"/>
      <c r="L489" s="136"/>
      <c r="M489" s="136"/>
      <c r="N489" s="131"/>
      <c r="O489" s="126"/>
      <c r="P489" s="126"/>
      <c r="Q489" s="126"/>
    </row>
    <row r="490" spans="1:22" x14ac:dyDescent="0.3">
      <c r="A490" s="5" t="str">
        <f>CONCATENATE("F",IF(B490&lt;&gt;"",COUNTA($B$2:B490),""))</f>
        <v>F</v>
      </c>
      <c r="B490" s="5"/>
      <c r="C490" s="5"/>
      <c r="D490" s="133"/>
      <c r="E490" s="133"/>
      <c r="F490" s="126"/>
      <c r="G490" s="5"/>
      <c r="H490" s="135"/>
      <c r="I490" s="135"/>
      <c r="J490" s="135"/>
      <c r="K490" s="135"/>
      <c r="L490" s="136"/>
      <c r="M490" s="136"/>
      <c r="N490" s="131"/>
      <c r="O490" s="126"/>
      <c r="P490" s="126"/>
      <c r="Q490" s="126"/>
    </row>
    <row r="491" spans="1:22" x14ac:dyDescent="0.3">
      <c r="A491" s="5" t="str">
        <f>CONCATENATE("F",IF(B491&lt;&gt;"",COUNTA($B$2:B491),""))</f>
        <v>F310</v>
      </c>
      <c r="B491" s="5" t="s">
        <v>342</v>
      </c>
      <c r="C491" s="126" t="s">
        <v>350</v>
      </c>
      <c r="D491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0.74501090499999989</v>
      </c>
      <c r="E491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1" s="126">
        <f>VLOOKUP(woodflow[[#This Row],[From]],woodstock[#All],4,FALSE)</f>
        <v>2021</v>
      </c>
      <c r="G491" s="5" t="str">
        <f>VLOOKUP(woodflow[[#This Row],[From]],woodstock[#All],5,FALSE)</f>
        <v>OAS</v>
      </c>
      <c r="H491" s="135" t="str">
        <f>VLOOKUP(woodflow[[#This Row],[From]],woodstock[#All],7,FALSE)</f>
        <v>65</v>
      </c>
      <c r="I491" s="135" t="str">
        <f>VLOOKUP(woodflow[[#This Row],[to]],woodstock[#All],7,FALSE)</f>
        <v>3</v>
      </c>
      <c r="J491" s="135" t="str">
        <f>VLOOKUP(woodflow[[#This Row],[From]],woodstock[#All],8,FALSE)</f>
        <v>0</v>
      </c>
      <c r="K491" s="135" t="str">
        <f>VLOOKUP(woodflow[[#This Row],[to]],woodstock[#All],8,FALSE)</f>
        <v>1</v>
      </c>
      <c r="L491" s="136" t="str">
        <f>VLOOKUP(woodflow[[#This Row],[From]],woodstock[#All],9,FALSE)</f>
        <v>nan</v>
      </c>
      <c r="M491" s="136" t="str">
        <f>VLOOKUP(woodflow[[#This Row],[to]],woodstock[#All],9,FALSE)</f>
        <v>6-8-10</v>
      </c>
      <c r="N491" s="131">
        <f>'faostat-data'!Q10</f>
        <v>0.74501090499999989</v>
      </c>
      <c r="O491" s="126" t="s">
        <v>556</v>
      </c>
      <c r="P491" s="126"/>
      <c r="Q491" s="126" t="s">
        <v>234</v>
      </c>
    </row>
    <row r="492" spans="1:22" x14ac:dyDescent="0.3">
      <c r="A492" s="5" t="str">
        <f>CONCATENATE("F",IF(B492&lt;&gt;"",COUNTA($B$2:B492),""))</f>
        <v>F311</v>
      </c>
      <c r="B492" s="5" t="s">
        <v>342</v>
      </c>
      <c r="C492" s="5" t="s">
        <v>267</v>
      </c>
      <c r="D492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2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2" s="126">
        <f>VLOOKUP(woodflow[[#This Row],[From]],woodstock[#All],4,FALSE)</f>
        <v>2021</v>
      </c>
      <c r="G492" s="5" t="str">
        <f>VLOOKUP(woodflow[[#This Row],[From]],woodstock[#All],5,FALSE)</f>
        <v>OAS</v>
      </c>
      <c r="H492" s="135" t="str">
        <f>VLOOKUP(woodflow[[#This Row],[From]],woodstock[#All],7,FALSE)</f>
        <v>65</v>
      </c>
      <c r="I492" s="135" t="str">
        <f>VLOOKUP(woodflow[[#This Row],[to]],woodstock[#All],7,FALSE)</f>
        <v>6</v>
      </c>
      <c r="J492" s="135" t="str">
        <f>VLOOKUP(woodflow[[#This Row],[From]],woodstock[#All],8,FALSE)</f>
        <v>0</v>
      </c>
      <c r="K492" s="135" t="str">
        <f>VLOOKUP(woodflow[[#This Row],[to]],woodstock[#All],8,FALSE)</f>
        <v>0</v>
      </c>
      <c r="L492" s="136" t="str">
        <f>VLOOKUP(woodflow[[#This Row],[From]],woodstock[#All],9,FALSE)</f>
        <v>nan</v>
      </c>
      <c r="M492" s="136" t="str">
        <f>VLOOKUP(woodflow[[#This Row],[to]],woodstock[#All],9,FALSE)</f>
        <v>nan</v>
      </c>
      <c r="N492" s="131"/>
      <c r="O492" s="126" t="s">
        <v>460</v>
      </c>
      <c r="P492" s="126"/>
      <c r="Q492" s="126"/>
    </row>
    <row r="493" spans="1:22" x14ac:dyDescent="0.3">
      <c r="A493" s="5" t="str">
        <f>CONCATENATE("F",IF(B493&lt;&gt;"",COUNTA($B$2:B493),""))</f>
        <v>F312</v>
      </c>
      <c r="B493" s="5" t="s">
        <v>342</v>
      </c>
      <c r="C493" s="5" t="s">
        <v>270</v>
      </c>
      <c r="D493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3" s="126">
        <f>VLOOKUP(woodflow[[#This Row],[From]],woodstock[#All],4,FALSE)</f>
        <v>2021</v>
      </c>
      <c r="G493" s="5" t="str">
        <f>VLOOKUP(woodflow[[#This Row],[From]],woodstock[#All],5,FALSE)</f>
        <v>OAS</v>
      </c>
      <c r="H493" s="135" t="str">
        <f>VLOOKUP(woodflow[[#This Row],[From]],woodstock[#All],7,FALSE)</f>
        <v>65</v>
      </c>
      <c r="I493" s="135" t="str">
        <f>VLOOKUP(woodflow[[#This Row],[to]],woodstock[#All],7,FALSE)</f>
        <v>8</v>
      </c>
      <c r="J493" s="135" t="str">
        <f>VLOOKUP(woodflow[[#This Row],[From]],woodstock[#All],8,FALSE)</f>
        <v>0</v>
      </c>
      <c r="K493" s="135" t="str">
        <f>VLOOKUP(woodflow[[#This Row],[to]],woodstock[#All],8,FALSE)</f>
        <v>0</v>
      </c>
      <c r="L493" s="136" t="str">
        <f>VLOOKUP(woodflow[[#This Row],[From]],woodstock[#All],9,FALSE)</f>
        <v>nan</v>
      </c>
      <c r="M493" s="136" t="str">
        <f>VLOOKUP(woodflow[[#This Row],[to]],woodstock[#All],9,FALSE)</f>
        <v>nan</v>
      </c>
      <c r="N493" s="131"/>
      <c r="O493" s="126" t="s">
        <v>460</v>
      </c>
      <c r="P493" s="126"/>
      <c r="Q493" s="126"/>
    </row>
    <row r="494" spans="1:22" x14ac:dyDescent="0.3">
      <c r="A494" s="5" t="str">
        <f>CONCATENATE("F",IF(B494&lt;&gt;"",COUNTA($B$2:B494),""))</f>
        <v>F313</v>
      </c>
      <c r="B494" s="5" t="s">
        <v>342</v>
      </c>
      <c r="C494" s="5" t="s">
        <v>272</v>
      </c>
      <c r="D494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4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4" s="126">
        <f>VLOOKUP(woodflow[[#This Row],[From]],woodstock[#All],4,FALSE)</f>
        <v>2021</v>
      </c>
      <c r="G494" s="5" t="str">
        <f>VLOOKUP(woodflow[[#This Row],[From]],woodstock[#All],5,FALSE)</f>
        <v>OAS</v>
      </c>
      <c r="H494" s="135" t="str">
        <f>VLOOKUP(woodflow[[#This Row],[From]],woodstock[#All],7,FALSE)</f>
        <v>65</v>
      </c>
      <c r="I494" s="135" t="str">
        <f>VLOOKUP(woodflow[[#This Row],[to]],woodstock[#All],7,FALSE)</f>
        <v>10</v>
      </c>
      <c r="J494" s="135" t="str">
        <f>VLOOKUP(woodflow[[#This Row],[From]],woodstock[#All],8,FALSE)</f>
        <v>0</v>
      </c>
      <c r="K494" s="135" t="str">
        <f>VLOOKUP(woodflow[[#This Row],[to]],woodstock[#All],8,FALSE)</f>
        <v>0</v>
      </c>
      <c r="L494" s="136" t="str">
        <f>VLOOKUP(woodflow[[#This Row],[From]],woodstock[#All],9,FALSE)</f>
        <v>nan</v>
      </c>
      <c r="M494" s="136" t="str">
        <f>VLOOKUP(woodflow[[#This Row],[to]],woodstock[#All],9,FALSE)</f>
        <v>nan</v>
      </c>
      <c r="N494" s="131"/>
      <c r="O494" s="126" t="s">
        <v>460</v>
      </c>
      <c r="P494" s="126"/>
      <c r="Q494" s="126"/>
    </row>
    <row r="495" spans="1:22" x14ac:dyDescent="0.3">
      <c r="A495" s="5" t="str">
        <f>CONCATENATE("F",IF(B495&lt;&gt;"",COUNTA($B$2:B495),""))</f>
        <v>F</v>
      </c>
      <c r="B495" s="126"/>
      <c r="C495" s="126"/>
      <c r="D495" s="133"/>
      <c r="E495" s="133"/>
      <c r="F495" s="126"/>
      <c r="G495" s="5"/>
      <c r="H495" s="135"/>
      <c r="I495" s="135"/>
      <c r="J495" s="135"/>
      <c r="K495" s="135"/>
      <c r="L495" s="136"/>
      <c r="M495" s="136"/>
      <c r="N495" s="131"/>
      <c r="O495" s="126"/>
      <c r="P495" s="126"/>
      <c r="Q495" s="126"/>
    </row>
    <row r="496" spans="1:22" x14ac:dyDescent="0.3">
      <c r="A496" s="5" t="str">
        <f>CONCATENATE("F",IF(B496&lt;&gt;"",COUNTA($B$2:B496),""))</f>
        <v>F</v>
      </c>
      <c r="B496" s="126"/>
      <c r="C496" s="126"/>
      <c r="D496" s="133"/>
      <c r="E496" s="133"/>
      <c r="F496" s="126"/>
      <c r="G496" s="5"/>
      <c r="H496" s="135"/>
      <c r="I496" s="135"/>
      <c r="J496" s="135"/>
      <c r="K496" s="135"/>
      <c r="L496" s="136"/>
      <c r="M496" s="136"/>
      <c r="N496" s="131"/>
      <c r="O496" s="126"/>
      <c r="P496" s="126"/>
      <c r="Q496" s="126"/>
    </row>
    <row r="497" spans="1:17" x14ac:dyDescent="0.3">
      <c r="A497" s="5" t="str">
        <f>CONCATENATE("F",IF(B497&lt;&gt;"",COUNTA($B$2:B497),""))</f>
        <v>F314</v>
      </c>
      <c r="B497" s="5" t="s">
        <v>342</v>
      </c>
      <c r="C497" s="126" t="s">
        <v>351</v>
      </c>
      <c r="D497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0.81153717749999998</v>
      </c>
      <c r="E49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7" s="126">
        <f>VLOOKUP(woodflow[[#This Row],[From]],woodstock[#All],4,FALSE)</f>
        <v>2021</v>
      </c>
      <c r="G497" s="5" t="str">
        <f>VLOOKUP(woodflow[[#This Row],[From]],woodstock[#All],5,FALSE)</f>
        <v>OAS</v>
      </c>
      <c r="H497" s="135" t="str">
        <f>VLOOKUP(woodflow[[#This Row],[From]],woodstock[#All],7,FALSE)</f>
        <v>65</v>
      </c>
      <c r="I497" s="135" t="str">
        <f>VLOOKUP(woodflow[[#This Row],[to]],woodstock[#All],7,FALSE)</f>
        <v>4</v>
      </c>
      <c r="J497" s="135" t="str">
        <f>VLOOKUP(woodflow[[#This Row],[From]],woodstock[#All],8,FALSE)</f>
        <v>0</v>
      </c>
      <c r="K497" s="135" t="str">
        <f>VLOOKUP(woodflow[[#This Row],[to]],woodstock[#All],8,FALSE)</f>
        <v>1</v>
      </c>
      <c r="L497" s="136" t="str">
        <f>VLOOKUP(woodflow[[#This Row],[From]],woodstock[#All],9,FALSE)</f>
        <v>nan</v>
      </c>
      <c r="M497" s="136" t="str">
        <f>VLOOKUP(woodflow[[#This Row],[to]],woodstock[#All],9,FALSE)</f>
        <v>7-9-11</v>
      </c>
      <c r="N497" s="131">
        <f>('faostat-data'!Q12+'faostat-data'!Q14)</f>
        <v>0.81153717749999998</v>
      </c>
      <c r="O497" s="126" t="s">
        <v>556</v>
      </c>
      <c r="P497" s="126"/>
      <c r="Q497" s="126" t="s">
        <v>234</v>
      </c>
    </row>
    <row r="498" spans="1:17" x14ac:dyDescent="0.3">
      <c r="A498" s="5" t="str">
        <f>CONCATENATE("F",IF(B498&lt;&gt;"",COUNTA($B$2:B498),""))</f>
        <v>F315</v>
      </c>
      <c r="B498" s="5" t="s">
        <v>342</v>
      </c>
      <c r="C498" s="5" t="s">
        <v>268</v>
      </c>
      <c r="D498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8" s="126">
        <f>VLOOKUP(woodflow[[#This Row],[From]],woodstock[#All],4,FALSE)</f>
        <v>2021</v>
      </c>
      <c r="G498" s="5" t="str">
        <f>VLOOKUP(woodflow[[#This Row],[From]],woodstock[#All],5,FALSE)</f>
        <v>OAS</v>
      </c>
      <c r="H498" s="135" t="str">
        <f>VLOOKUP(woodflow[[#This Row],[From]],woodstock[#All],7,FALSE)</f>
        <v>65</v>
      </c>
      <c r="I498" s="135" t="str">
        <f>VLOOKUP(woodflow[[#This Row],[to]],woodstock[#All],7,FALSE)</f>
        <v>7</v>
      </c>
      <c r="J498" s="135" t="str">
        <f>VLOOKUP(woodflow[[#This Row],[From]],woodstock[#All],8,FALSE)</f>
        <v>0</v>
      </c>
      <c r="K498" s="135" t="str">
        <f>VLOOKUP(woodflow[[#This Row],[to]],woodstock[#All],8,FALSE)</f>
        <v>0</v>
      </c>
      <c r="L498" s="136" t="str">
        <f>VLOOKUP(woodflow[[#This Row],[From]],woodstock[#All],9,FALSE)</f>
        <v>nan</v>
      </c>
      <c r="M498" s="136" t="str">
        <f>VLOOKUP(woodflow[[#This Row],[to]],woodstock[#All],9,FALSE)</f>
        <v>nan</v>
      </c>
      <c r="N498" s="131"/>
      <c r="O498" s="126" t="s">
        <v>460</v>
      </c>
      <c r="P498" s="126"/>
      <c r="Q498" s="126"/>
    </row>
    <row r="499" spans="1:17" x14ac:dyDescent="0.3">
      <c r="A499" s="5" t="str">
        <f>CONCATENATE("F",IF(B499&lt;&gt;"",COUNTA($B$2:B499),""))</f>
        <v>F316</v>
      </c>
      <c r="B499" s="5" t="s">
        <v>342</v>
      </c>
      <c r="C499" s="5" t="s">
        <v>271</v>
      </c>
      <c r="D499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9" s="126">
        <f>VLOOKUP(woodflow[[#This Row],[From]],woodstock[#All],4,FALSE)</f>
        <v>2021</v>
      </c>
      <c r="G499" s="5" t="str">
        <f>VLOOKUP(woodflow[[#This Row],[From]],woodstock[#All],5,FALSE)</f>
        <v>OAS</v>
      </c>
      <c r="H499" s="135" t="str">
        <f>VLOOKUP(woodflow[[#This Row],[From]],woodstock[#All],7,FALSE)</f>
        <v>65</v>
      </c>
      <c r="I499" s="135" t="str">
        <f>VLOOKUP(woodflow[[#This Row],[to]],woodstock[#All],7,FALSE)</f>
        <v>9</v>
      </c>
      <c r="J499" s="135" t="str">
        <f>VLOOKUP(woodflow[[#This Row],[From]],woodstock[#All],8,FALSE)</f>
        <v>0</v>
      </c>
      <c r="K499" s="135" t="str">
        <f>VLOOKUP(woodflow[[#This Row],[to]],woodstock[#All],8,FALSE)</f>
        <v>0</v>
      </c>
      <c r="L499" s="136" t="str">
        <f>VLOOKUP(woodflow[[#This Row],[From]],woodstock[#All],9,FALSE)</f>
        <v>nan</v>
      </c>
      <c r="M499" s="136" t="str">
        <f>VLOOKUP(woodflow[[#This Row],[to]],woodstock[#All],9,FALSE)</f>
        <v>nan</v>
      </c>
      <c r="N499" s="131"/>
      <c r="O499" s="126" t="s">
        <v>460</v>
      </c>
      <c r="P499" s="126"/>
      <c r="Q499" s="126"/>
    </row>
    <row r="500" spans="1:17" x14ac:dyDescent="0.3">
      <c r="A500" s="5" t="str">
        <f>CONCATENATE("F",IF(B500&lt;&gt;"",COUNTA($B$2:B500),""))</f>
        <v>F317</v>
      </c>
      <c r="B500" s="5" t="s">
        <v>342</v>
      </c>
      <c r="C500" s="5" t="s">
        <v>273</v>
      </c>
      <c r="D500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00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0" s="126">
        <f>VLOOKUP(woodflow[[#This Row],[From]],woodstock[#All],4,FALSE)</f>
        <v>2021</v>
      </c>
      <c r="G500" s="5" t="str">
        <f>VLOOKUP(woodflow[[#This Row],[From]],woodstock[#All],5,FALSE)</f>
        <v>OAS</v>
      </c>
      <c r="H500" s="135" t="str">
        <f>VLOOKUP(woodflow[[#This Row],[From]],woodstock[#All],7,FALSE)</f>
        <v>65</v>
      </c>
      <c r="I500" s="135" t="str">
        <f>VLOOKUP(woodflow[[#This Row],[to]],woodstock[#All],7,FALSE)</f>
        <v>11</v>
      </c>
      <c r="J500" s="135" t="str">
        <f>VLOOKUP(woodflow[[#This Row],[From]],woodstock[#All],8,FALSE)</f>
        <v>0</v>
      </c>
      <c r="K500" s="135" t="str">
        <f>VLOOKUP(woodflow[[#This Row],[to]],woodstock[#All],8,FALSE)</f>
        <v>0</v>
      </c>
      <c r="L500" s="136" t="str">
        <f>VLOOKUP(woodflow[[#This Row],[From]],woodstock[#All],9,FALSE)</f>
        <v>nan</v>
      </c>
      <c r="M500" s="136" t="str">
        <f>VLOOKUP(woodflow[[#This Row],[to]],woodstock[#All],9,FALSE)</f>
        <v>nan</v>
      </c>
      <c r="N500" s="131"/>
      <c r="O500" s="126" t="s">
        <v>460</v>
      </c>
      <c r="P500" s="126"/>
      <c r="Q500" s="126"/>
    </row>
    <row r="501" spans="1:17" x14ac:dyDescent="0.3">
      <c r="A501" s="5" t="str">
        <f>CONCATENATE("F",IF(B501&lt;&gt;"",COUNTA($B$2:B501),""))</f>
        <v>F</v>
      </c>
      <c r="B501" s="126"/>
      <c r="C501" s="126"/>
      <c r="D501" s="133"/>
      <c r="E501" s="133"/>
      <c r="F501" s="126"/>
      <c r="G501" s="5"/>
      <c r="H501" s="135"/>
      <c r="I501" s="135"/>
      <c r="J501" s="135"/>
      <c r="K501" s="135"/>
      <c r="L501" s="136"/>
      <c r="M501" s="136"/>
      <c r="N501" s="131"/>
      <c r="O501" s="126"/>
      <c r="P501" s="126"/>
      <c r="Q501" s="126"/>
    </row>
    <row r="502" spans="1:17" x14ac:dyDescent="0.3">
      <c r="A502" s="5" t="str">
        <f>CONCATENATE("F",IF(B502&lt;&gt;"",COUNTA($B$2:B502),""))</f>
        <v>F</v>
      </c>
      <c r="B502" s="126"/>
      <c r="C502" s="126"/>
      <c r="D502" s="133"/>
      <c r="E502" s="133"/>
      <c r="F502" s="126"/>
      <c r="G502" s="5"/>
      <c r="H502" s="135"/>
      <c r="I502" s="135"/>
      <c r="J502" s="135"/>
      <c r="K502" s="135"/>
      <c r="L502" s="136"/>
      <c r="M502" s="136"/>
      <c r="N502" s="131"/>
      <c r="O502" s="126"/>
      <c r="P502" s="126"/>
      <c r="Q502" s="126"/>
    </row>
    <row r="503" spans="1:17" x14ac:dyDescent="0.3">
      <c r="A503" s="5" t="str">
        <f>CONCATENATE("F",IF(B503&lt;&gt;"",COUNTA($B$2:B503),""))</f>
        <v>F318</v>
      </c>
      <c r="B503" s="5" t="s">
        <v>342</v>
      </c>
      <c r="C503" s="5" t="s">
        <v>212</v>
      </c>
      <c r="D503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3" s="126">
        <f>VLOOKUP(woodflow[[#This Row],[From]],woodstock[#All],4,FALSE)</f>
        <v>2021</v>
      </c>
      <c r="G503" s="5" t="str">
        <f>VLOOKUP(woodflow[[#This Row],[From]],woodstock[#All],5,FALSE)</f>
        <v>OAS</v>
      </c>
      <c r="H503" s="135" t="str">
        <f>VLOOKUP(woodflow[[#This Row],[From]],woodstock[#All],7,FALSE)</f>
        <v>65</v>
      </c>
      <c r="I503" s="135" t="str">
        <f>VLOOKUP(woodflow[[#This Row],[to]],woodstock[#All],7,FALSE)</f>
        <v>12</v>
      </c>
      <c r="J503" s="135" t="str">
        <f>VLOOKUP(woodflow[[#This Row],[From]],woodstock[#All],8,FALSE)</f>
        <v>0</v>
      </c>
      <c r="K503" s="135" t="str">
        <f>VLOOKUP(woodflow[[#This Row],[to]],woodstock[#All],8,FALSE)</f>
        <v>0</v>
      </c>
      <c r="L503" s="136" t="str">
        <f>VLOOKUP(woodflow[[#This Row],[From]],woodstock[#All],9,FALSE)</f>
        <v>nan</v>
      </c>
      <c r="M503" s="136" t="str">
        <f>VLOOKUP(woodflow[[#This Row],[to]],woodstock[#All],9,FALSE)</f>
        <v>nan</v>
      </c>
      <c r="N503" s="131">
        <v>0</v>
      </c>
      <c r="O503" s="126" t="s">
        <v>556</v>
      </c>
      <c r="P503" s="126"/>
      <c r="Q503" s="126" t="s">
        <v>234</v>
      </c>
    </row>
    <row r="504" spans="1:17" x14ac:dyDescent="0.3">
      <c r="A504" s="5" t="str">
        <f>CONCATENATE("F",IF(B504&lt;&gt;"",COUNTA($B$2:B504),""))</f>
        <v>F</v>
      </c>
      <c r="B504" s="126"/>
      <c r="C504" s="5"/>
      <c r="D504" s="133"/>
      <c r="E504" s="133"/>
      <c r="F504" s="126"/>
      <c r="G504" s="5"/>
      <c r="H504" s="135"/>
      <c r="I504" s="135"/>
      <c r="J504" s="135"/>
      <c r="K504" s="135"/>
      <c r="L504" s="136"/>
      <c r="M504" s="136"/>
      <c r="N504" s="131"/>
      <c r="O504" s="126"/>
      <c r="P504" s="126"/>
      <c r="Q504" s="126"/>
    </row>
    <row r="505" spans="1:17" x14ac:dyDescent="0.3">
      <c r="A505" s="5" t="str">
        <f>CONCATENATE("F",IF(B505&lt;&gt;"",COUNTA($B$2:B505),""))</f>
        <v>F</v>
      </c>
      <c r="B505" s="126"/>
      <c r="C505" s="5"/>
      <c r="D505" s="133"/>
      <c r="E505" s="133"/>
      <c r="F505" s="126"/>
      <c r="G505" s="5"/>
      <c r="H505" s="135"/>
      <c r="I505" s="135"/>
      <c r="J505" s="135"/>
      <c r="K505" s="135"/>
      <c r="L505" s="136"/>
      <c r="M505" s="136"/>
      <c r="N505" s="131"/>
      <c r="O505" s="126"/>
      <c r="P505" s="126"/>
      <c r="Q505" s="126"/>
    </row>
    <row r="506" spans="1:17" x14ac:dyDescent="0.3">
      <c r="A506" s="5" t="str">
        <f>CONCATENATE("F",IF(B506&lt;&gt;"",COUNTA($B$2:B506),""))</f>
        <v>F319</v>
      </c>
      <c r="B506" s="5" t="s">
        <v>342</v>
      </c>
      <c r="C506" s="5" t="s">
        <v>55</v>
      </c>
      <c r="D506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0.17994860659999998</v>
      </c>
      <c r="E50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6" s="126">
        <f>VLOOKUP(woodflow[[#This Row],[From]],woodstock[#All],4,FALSE)</f>
        <v>2021</v>
      </c>
      <c r="G506" s="5" t="str">
        <f>VLOOKUP(woodflow[[#This Row],[From]],woodstock[#All],5,FALSE)</f>
        <v>OAS</v>
      </c>
      <c r="H506" s="135" t="str">
        <f>VLOOKUP(woodflow[[#This Row],[From]],woodstock[#All],7,FALSE)</f>
        <v>65</v>
      </c>
      <c r="I506" s="135" t="str">
        <f>VLOOKUP(woodflow[[#This Row],[to]],woodstock[#All],7,FALSE)</f>
        <v>13</v>
      </c>
      <c r="J506" s="135" t="str">
        <f>VLOOKUP(woodflow[[#This Row],[From]],woodstock[#All],8,FALSE)</f>
        <v>0</v>
      </c>
      <c r="K506" s="135" t="str">
        <f>VLOOKUP(woodflow[[#This Row],[to]],woodstock[#All],8,FALSE)</f>
        <v>0</v>
      </c>
      <c r="L506" s="136" t="str">
        <f>VLOOKUP(woodflow[[#This Row],[From]],woodstock[#All],9,FALSE)</f>
        <v>nan</v>
      </c>
      <c r="M506" s="136" t="str">
        <f>VLOOKUP(woodflow[[#This Row],[to]],woodstock[#All],9,FALSE)</f>
        <v>nan</v>
      </c>
      <c r="N506" s="131">
        <f>'faostat-data'!Q35</f>
        <v>0.17994860659999998</v>
      </c>
      <c r="O506" s="126" t="s">
        <v>556</v>
      </c>
      <c r="P506" s="126"/>
      <c r="Q506" s="126" t="s">
        <v>234</v>
      </c>
    </row>
    <row r="507" spans="1:17" x14ac:dyDescent="0.3">
      <c r="A507" s="5" t="str">
        <f>CONCATENATE("F",IF(B507&lt;&gt;"",COUNTA($B$2:B507),""))</f>
        <v>F320</v>
      </c>
      <c r="B507" s="5" t="s">
        <v>342</v>
      </c>
      <c r="C507" s="5" t="s">
        <v>179</v>
      </c>
      <c r="D507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7" s="126">
        <f>VLOOKUP(woodflow[[#This Row],[From]],woodstock[#All],4,FALSE)</f>
        <v>2021</v>
      </c>
      <c r="G507" s="5" t="str">
        <f>VLOOKUP(woodflow[[#This Row],[From]],woodstock[#All],5,FALSE)</f>
        <v>OAS</v>
      </c>
      <c r="H507" s="135" t="str">
        <f>VLOOKUP(woodflow[[#This Row],[From]],woodstock[#All],7,FALSE)</f>
        <v>65</v>
      </c>
      <c r="I507" s="135" t="str">
        <f>VLOOKUP(woodflow[[#This Row],[to]],woodstock[#All],7,FALSE)</f>
        <v>14</v>
      </c>
      <c r="J507" s="135" t="str">
        <f>VLOOKUP(woodflow[[#This Row],[From]],woodstock[#All],8,FALSE)</f>
        <v>0</v>
      </c>
      <c r="K507" s="135" t="str">
        <f>VLOOKUP(woodflow[[#This Row],[to]],woodstock[#All],8,FALSE)</f>
        <v>0</v>
      </c>
      <c r="L507" s="136" t="str">
        <f>VLOOKUP(woodflow[[#This Row],[From]],woodstock[#All],9,FALSE)</f>
        <v>nan</v>
      </c>
      <c r="M507" s="136" t="str">
        <f>VLOOKUP(woodflow[[#This Row],[to]],woodstock[#All],9,FALSE)</f>
        <v>nan</v>
      </c>
      <c r="N507" s="131">
        <v>0</v>
      </c>
      <c r="O507" s="126" t="s">
        <v>556</v>
      </c>
      <c r="P507" s="126"/>
      <c r="Q507" s="126" t="s">
        <v>234</v>
      </c>
    </row>
    <row r="508" spans="1:17" x14ac:dyDescent="0.3">
      <c r="A508" s="5" t="str">
        <f>CONCATENATE("F",IF(B508&lt;&gt;"",COUNTA($B$2:B508),""))</f>
        <v>F</v>
      </c>
      <c r="B508" s="126"/>
      <c r="C508" s="126"/>
      <c r="D508" s="133"/>
      <c r="E508" s="133"/>
      <c r="F508" s="126"/>
      <c r="G508" s="5"/>
      <c r="H508" s="135"/>
      <c r="I508" s="135"/>
      <c r="J508" s="135"/>
      <c r="K508" s="135"/>
      <c r="L508" s="136"/>
      <c r="M508" s="136"/>
      <c r="N508" s="131"/>
      <c r="O508" s="126"/>
      <c r="P508" s="126"/>
      <c r="Q508" s="126"/>
    </row>
    <row r="509" spans="1:17" x14ac:dyDescent="0.3">
      <c r="A509" s="5" t="str">
        <f>CONCATENATE("F",IF(B509&lt;&gt;"",COUNTA($B$2:B509),""))</f>
        <v>F</v>
      </c>
      <c r="B509" s="126"/>
      <c r="C509" s="5"/>
      <c r="D509" s="133"/>
      <c r="E509" s="133"/>
      <c r="F509" s="126"/>
      <c r="G509" s="5"/>
      <c r="H509" s="135"/>
      <c r="I509" s="135"/>
      <c r="J509" s="135"/>
      <c r="K509" s="135"/>
      <c r="L509" s="136"/>
      <c r="M509" s="136"/>
      <c r="N509" s="131"/>
      <c r="O509" s="126"/>
      <c r="P509" s="126"/>
      <c r="Q509" s="126"/>
    </row>
    <row r="510" spans="1:17" x14ac:dyDescent="0.3">
      <c r="A510" s="5" t="str">
        <f>CONCATENATE("F",IF(B510&lt;&gt;"",COUNTA($B$2:B510),""))</f>
        <v>F321</v>
      </c>
      <c r="B510" s="5" t="s">
        <v>342</v>
      </c>
      <c r="C510" s="5" t="s">
        <v>65</v>
      </c>
      <c r="D510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0.26694560561005909</v>
      </c>
      <c r="E510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0" s="126">
        <f>VLOOKUP(woodflow[[#This Row],[From]],woodstock[#All],4,FALSE)</f>
        <v>2021</v>
      </c>
      <c r="G510" s="5" t="str">
        <f>VLOOKUP(woodflow[[#This Row],[From]],woodstock[#All],5,FALSE)</f>
        <v>OAS</v>
      </c>
      <c r="H510" s="135" t="str">
        <f>VLOOKUP(woodflow[[#This Row],[From]],woodstock[#All],7,FALSE)</f>
        <v>65</v>
      </c>
      <c r="I510" s="135" t="str">
        <f>VLOOKUP(woodflow[[#This Row],[to]],woodstock[#All],7,FALSE)</f>
        <v>9</v>
      </c>
      <c r="J510" s="135" t="str">
        <f>VLOOKUP(woodflow[[#This Row],[From]],woodstock[#All],8,FALSE)</f>
        <v>0</v>
      </c>
      <c r="K510" s="135" t="str">
        <f>VLOOKUP(woodflow[[#This Row],[to]],woodstock[#All],8,FALSE)</f>
        <v>1</v>
      </c>
      <c r="L510" s="136" t="str">
        <f>VLOOKUP(woodflow[[#This Row],[From]],woodstock[#All],9,FALSE)</f>
        <v>nan</v>
      </c>
      <c r="M510" s="136" t="str">
        <f>VLOOKUP(woodflow[[#This Row],[to]],woodstock[#All],9,FALSE)</f>
        <v>15-16</v>
      </c>
      <c r="N510" s="131">
        <f>SUM(N511:N512)</f>
        <v>0.26694560561005909</v>
      </c>
      <c r="O510" s="126" t="s">
        <v>556</v>
      </c>
      <c r="P510" s="126"/>
      <c r="Q510" s="126" t="s">
        <v>234</v>
      </c>
    </row>
    <row r="511" spans="1:17" x14ac:dyDescent="0.3">
      <c r="A511" s="5" t="str">
        <f>CONCATENATE("F",IF(B511&lt;&gt;"",COUNTA($B$2:B511),""))</f>
        <v>F322</v>
      </c>
      <c r="B511" s="5" t="s">
        <v>342</v>
      </c>
      <c r="C511" s="5" t="s">
        <v>53</v>
      </c>
      <c r="D511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0.25108993209876546</v>
      </c>
      <c r="E511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1" s="126">
        <f>VLOOKUP(woodflow[[#This Row],[From]],woodstock[#All],4,FALSE)</f>
        <v>2021</v>
      </c>
      <c r="G511" s="5" t="str">
        <f>VLOOKUP(woodflow[[#This Row],[From]],woodstock[#All],5,FALSE)</f>
        <v>OAS</v>
      </c>
      <c r="H511" s="135" t="str">
        <f>VLOOKUP(woodflow[[#This Row],[From]],woodstock[#All],7,FALSE)</f>
        <v>65</v>
      </c>
      <c r="I511" s="135" t="str">
        <f>VLOOKUP(woodflow[[#This Row],[to]],woodstock[#All],7,FALSE)</f>
        <v>15</v>
      </c>
      <c r="J511" s="135" t="str">
        <f>VLOOKUP(woodflow[[#This Row],[From]],woodstock[#All],8,FALSE)</f>
        <v>0</v>
      </c>
      <c r="K511" s="135" t="str">
        <f>VLOOKUP(woodflow[[#This Row],[to]],woodstock[#All],8,FALSE)</f>
        <v>0</v>
      </c>
      <c r="L511" s="136" t="str">
        <f>VLOOKUP(woodflow[[#This Row],[From]],woodstock[#All],9,FALSE)</f>
        <v>nan</v>
      </c>
      <c r="M511" s="136" t="str">
        <f>VLOOKUP(woodflow[[#This Row],[to]],woodstock[#All],9,FALSE)</f>
        <v>nan</v>
      </c>
      <c r="N511" s="131">
        <f>'faostat-data'!Q40</f>
        <v>0.25108993209876546</v>
      </c>
      <c r="O511" s="126" t="s">
        <v>556</v>
      </c>
      <c r="P511" s="126"/>
      <c r="Q511" s="126" t="s">
        <v>234</v>
      </c>
    </row>
    <row r="512" spans="1:17" x14ac:dyDescent="0.3">
      <c r="A512" s="5" t="str">
        <f>CONCATENATE("F",IF(B512&lt;&gt;"",COUNTA($B$2:B512),""))</f>
        <v>F323</v>
      </c>
      <c r="B512" s="5" t="s">
        <v>342</v>
      </c>
      <c r="C512" s="5" t="s">
        <v>54</v>
      </c>
      <c r="D512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1.5855673511293633E-2</v>
      </c>
      <c r="E512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2" s="126">
        <f>VLOOKUP(woodflow[[#This Row],[From]],woodstock[#All],4,FALSE)</f>
        <v>2021</v>
      </c>
      <c r="G512" s="5" t="str">
        <f>VLOOKUP(woodflow[[#This Row],[From]],woodstock[#All],5,FALSE)</f>
        <v>OAS</v>
      </c>
      <c r="H512" s="135" t="str">
        <f>VLOOKUP(woodflow[[#This Row],[From]],woodstock[#All],7,FALSE)</f>
        <v>65</v>
      </c>
      <c r="I512" s="135" t="str">
        <f>VLOOKUP(woodflow[[#This Row],[to]],woodstock[#All],7,FALSE)</f>
        <v>16</v>
      </c>
      <c r="J512" s="135" t="str">
        <f>VLOOKUP(woodflow[[#This Row],[From]],woodstock[#All],8,FALSE)</f>
        <v>0</v>
      </c>
      <c r="K512" s="135" t="str">
        <f>VLOOKUP(woodflow[[#This Row],[to]],woodstock[#All],8,FALSE)</f>
        <v>0</v>
      </c>
      <c r="L512" s="136" t="str">
        <f>VLOOKUP(woodflow[[#This Row],[From]],woodstock[#All],9,FALSE)</f>
        <v>nan</v>
      </c>
      <c r="M512" s="136" t="str">
        <f>VLOOKUP(woodflow[[#This Row],[to]],woodstock[#All],9,FALSE)</f>
        <v>nan</v>
      </c>
      <c r="N512" s="131">
        <f>'faostat-data'!Q43</f>
        <v>1.5855673511293633E-2</v>
      </c>
      <c r="O512" s="126" t="s">
        <v>556</v>
      </c>
      <c r="P512" s="126"/>
      <c r="Q512" s="126" t="s">
        <v>234</v>
      </c>
    </row>
    <row r="513" spans="1:17" x14ac:dyDescent="0.3">
      <c r="A513" s="5" t="str">
        <f>CONCATENATE("F",IF(B513&lt;&gt;"",COUNTA($B$2:B513),""))</f>
        <v>F</v>
      </c>
      <c r="B513" s="126"/>
      <c r="C513" s="5"/>
      <c r="D513" s="133"/>
      <c r="E513" s="133"/>
      <c r="F513" s="126"/>
      <c r="G513" s="5"/>
      <c r="H513" s="135"/>
      <c r="I513" s="135"/>
      <c r="J513" s="135"/>
      <c r="K513" s="135"/>
      <c r="L513" s="136"/>
      <c r="M513" s="136"/>
      <c r="N513" s="131"/>
      <c r="O513" s="126"/>
      <c r="P513" s="126"/>
      <c r="Q513" s="126"/>
    </row>
    <row r="514" spans="1:17" x14ac:dyDescent="0.3">
      <c r="A514" s="5" t="str">
        <f>CONCATENATE("F",IF(B514&lt;&gt;"",COUNTA($B$2:B514),""))</f>
        <v>F</v>
      </c>
      <c r="B514" s="126"/>
      <c r="C514" s="126"/>
      <c r="D514" s="133"/>
      <c r="E514" s="133"/>
      <c r="F514" s="126"/>
      <c r="G514" s="5"/>
      <c r="H514" s="135"/>
      <c r="I514" s="135"/>
      <c r="J514" s="135"/>
      <c r="K514" s="135"/>
      <c r="L514" s="136"/>
      <c r="M514" s="136"/>
      <c r="N514" s="131"/>
      <c r="O514" s="126"/>
      <c r="P514" s="126"/>
      <c r="Q514" s="126"/>
    </row>
    <row r="515" spans="1:17" x14ac:dyDescent="0.3">
      <c r="A515" s="5" t="str">
        <f>CONCATENATE("F",IF(B515&lt;&gt;"",COUNTA($B$2:B515),""))</f>
        <v>F324</v>
      </c>
      <c r="B515" s="5" t="s">
        <v>342</v>
      </c>
      <c r="C515" s="5" t="s">
        <v>47</v>
      </c>
      <c r="D515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1.69636958975</v>
      </c>
      <c r="E515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5" s="126">
        <f>VLOOKUP(woodflow[[#This Row],[From]],woodstock[#All],4,FALSE)</f>
        <v>2021</v>
      </c>
      <c r="G515" s="5" t="str">
        <f>VLOOKUP(woodflow[[#This Row],[From]],woodstock[#All],5,FALSE)</f>
        <v>OAS</v>
      </c>
      <c r="H515" s="135" t="str">
        <f>VLOOKUP(woodflow[[#This Row],[From]],woodstock[#All],7,FALSE)</f>
        <v>65</v>
      </c>
      <c r="I515" s="135" t="str">
        <f>VLOOKUP(woodflow[[#This Row],[to]],woodstock[#All],7,FALSE)</f>
        <v>17</v>
      </c>
      <c r="J515" s="135" t="str">
        <f>VLOOKUP(woodflow[[#This Row],[From]],woodstock[#All],8,FALSE)</f>
        <v>0</v>
      </c>
      <c r="K515" s="135" t="str">
        <f>VLOOKUP(woodflow[[#This Row],[to]],woodstock[#All],8,FALSE)</f>
        <v>0</v>
      </c>
      <c r="L515" s="136" t="str">
        <f>VLOOKUP(woodflow[[#This Row],[From]],woodstock[#All],9,FALSE)</f>
        <v>nan</v>
      </c>
      <c r="M515" s="136" t="str">
        <f>VLOOKUP(woodflow[[#This Row],[to]],woodstock[#All],9,FALSE)</f>
        <v>nan</v>
      </c>
      <c r="N515" s="131">
        <f>('faostat-data'!Q36+'faostat-data'!Q49)</f>
        <v>1.69636958975</v>
      </c>
      <c r="O515" s="126" t="s">
        <v>556</v>
      </c>
      <c r="P515" s="126"/>
      <c r="Q515" s="126" t="s">
        <v>234</v>
      </c>
    </row>
    <row r="516" spans="1:17" x14ac:dyDescent="0.3">
      <c r="A516" s="5" t="str">
        <f>CONCATENATE("F",IF(B516&lt;&gt;"",COUNTA($B$2:B516),""))</f>
        <v>F</v>
      </c>
      <c r="B516" s="126"/>
      <c r="C516" s="5"/>
      <c r="D516" s="133"/>
      <c r="E516" s="133"/>
      <c r="F516" s="126"/>
      <c r="G516" s="5"/>
      <c r="H516" s="135"/>
      <c r="I516" s="135"/>
      <c r="J516" s="135"/>
      <c r="K516" s="135"/>
      <c r="L516" s="136"/>
      <c r="M516" s="136"/>
      <c r="N516" s="131"/>
      <c r="O516" s="126"/>
      <c r="P516" s="126"/>
      <c r="Q516" s="126"/>
    </row>
    <row r="517" spans="1:17" x14ac:dyDescent="0.3">
      <c r="A517" s="5" t="str">
        <f>CONCATENATE("F",IF(B517&lt;&gt;"",COUNTA($B$2:B517),""))</f>
        <v>F</v>
      </c>
      <c r="B517" s="126"/>
      <c r="C517" s="5"/>
      <c r="D517" s="133"/>
      <c r="E517" s="133"/>
      <c r="F517" s="126"/>
      <c r="G517" s="5"/>
      <c r="H517" s="135"/>
      <c r="I517" s="135"/>
      <c r="J517" s="135"/>
      <c r="K517" s="135"/>
      <c r="L517" s="136"/>
      <c r="M517" s="136"/>
      <c r="N517" s="131"/>
      <c r="O517" s="126"/>
      <c r="P517" s="126"/>
      <c r="Q517" s="126"/>
    </row>
    <row r="518" spans="1:17" x14ac:dyDescent="0.3">
      <c r="A518" s="5" t="str">
        <f>CONCATENATE("F",IF(B518&lt;&gt;"",COUNTA($B$2:B518),""))</f>
        <v>F325</v>
      </c>
      <c r="B518" s="5" t="s">
        <v>342</v>
      </c>
      <c r="C518" s="5" t="s">
        <v>48</v>
      </c>
      <c r="D51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1.9632233127500001</v>
      </c>
      <c r="E51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8" s="126">
        <f>VLOOKUP(woodflow[[#This Row],[From]],woodstock[#All],4,FALSE)</f>
        <v>2021</v>
      </c>
      <c r="G518" s="5" t="str">
        <f>VLOOKUP(woodflow[[#This Row],[From]],woodstock[#All],5,FALSE)</f>
        <v>OAS</v>
      </c>
      <c r="H518" s="135" t="str">
        <f>VLOOKUP(woodflow[[#This Row],[From]],woodstock[#All],7,FALSE)</f>
        <v>65</v>
      </c>
      <c r="I518" s="135" t="str">
        <f>VLOOKUP(woodflow[[#This Row],[to]],woodstock[#All],7,FALSE)</f>
        <v>10</v>
      </c>
      <c r="J518" s="135" t="str">
        <f>VLOOKUP(woodflow[[#This Row],[From]],woodstock[#All],8,FALSE)</f>
        <v>0</v>
      </c>
      <c r="K518" s="135" t="str">
        <f>VLOOKUP(woodflow[[#This Row],[to]],woodstock[#All],8,FALSE)</f>
        <v>1</v>
      </c>
      <c r="L518" s="136" t="str">
        <f>VLOOKUP(woodflow[[#This Row],[From]],woodstock[#All],9,FALSE)</f>
        <v>nan</v>
      </c>
      <c r="M518" s="136" t="str">
        <f>VLOOKUP(woodflow[[#This Row],[to]],woodstock[#All],9,FALSE)</f>
        <v>18-19</v>
      </c>
      <c r="N518" s="131">
        <f>SUM(N519:N520)</f>
        <v>1.9632233127500001</v>
      </c>
      <c r="O518" s="126" t="s">
        <v>556</v>
      </c>
      <c r="P518" s="126"/>
      <c r="Q518" s="126" t="s">
        <v>234</v>
      </c>
    </row>
    <row r="519" spans="1:17" x14ac:dyDescent="0.3">
      <c r="A519" s="5" t="str">
        <f>CONCATENATE("F",IF(B519&lt;&gt;"",COUNTA($B$2:B519),""))</f>
        <v>F326</v>
      </c>
      <c r="B519" s="5" t="s">
        <v>342</v>
      </c>
      <c r="C519" s="5" t="s">
        <v>274</v>
      </c>
      <c r="D519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1.2325226952500001</v>
      </c>
      <c r="E51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9" s="126">
        <f>VLOOKUP(woodflow[[#This Row],[From]],woodstock[#All],4,FALSE)</f>
        <v>2021</v>
      </c>
      <c r="G519" s="5" t="str">
        <f>VLOOKUP(woodflow[[#This Row],[From]],woodstock[#All],5,FALSE)</f>
        <v>OAS</v>
      </c>
      <c r="H519" s="135" t="str">
        <f>VLOOKUP(woodflow[[#This Row],[From]],woodstock[#All],7,FALSE)</f>
        <v>65</v>
      </c>
      <c r="I519" s="135" t="str">
        <f>VLOOKUP(woodflow[[#This Row],[to]],woodstock[#All],7,FALSE)</f>
        <v>18</v>
      </c>
      <c r="J519" s="135" t="str">
        <f>VLOOKUP(woodflow[[#This Row],[From]],woodstock[#All],8,FALSE)</f>
        <v>0</v>
      </c>
      <c r="K519" s="135" t="str">
        <f>VLOOKUP(woodflow[[#This Row],[to]],woodstock[#All],8,FALSE)</f>
        <v>0</v>
      </c>
      <c r="L519" s="136" t="str">
        <f>VLOOKUP(woodflow[[#This Row],[From]],woodstock[#All],9,FALSE)</f>
        <v>nan</v>
      </c>
      <c r="M519" s="136" t="str">
        <f>VLOOKUP(woodflow[[#This Row],[to]],woodstock[#All],9,FALSE)</f>
        <v>nan</v>
      </c>
      <c r="N519" s="131">
        <f>'faostat-data'!Q52</f>
        <v>1.2325226952500001</v>
      </c>
      <c r="O519" s="126" t="s">
        <v>556</v>
      </c>
      <c r="P519" s="126"/>
      <c r="Q519" s="126" t="s">
        <v>234</v>
      </c>
    </row>
    <row r="520" spans="1:17" x14ac:dyDescent="0.3">
      <c r="A520" s="5" t="str">
        <f>CONCATENATE("F",IF(B520&lt;&gt;"",COUNTA($B$2:B520),""))</f>
        <v>F327</v>
      </c>
      <c r="B520" s="5" t="s">
        <v>342</v>
      </c>
      <c r="C520" s="5" t="s">
        <v>275</v>
      </c>
      <c r="D520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0.73070061749999993</v>
      </c>
      <c r="E520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0" s="126">
        <f>VLOOKUP(woodflow[[#This Row],[From]],woodstock[#All],4,FALSE)</f>
        <v>2021</v>
      </c>
      <c r="G520" s="5" t="str">
        <f>VLOOKUP(woodflow[[#This Row],[From]],woodstock[#All],5,FALSE)</f>
        <v>OAS</v>
      </c>
      <c r="H520" s="135" t="str">
        <f>VLOOKUP(woodflow[[#This Row],[From]],woodstock[#All],7,FALSE)</f>
        <v>65</v>
      </c>
      <c r="I520" s="135" t="str">
        <f>VLOOKUP(woodflow[[#This Row],[to]],woodstock[#All],7,FALSE)</f>
        <v>19</v>
      </c>
      <c r="J520" s="135" t="str">
        <f>VLOOKUP(woodflow[[#This Row],[From]],woodstock[#All],8,FALSE)</f>
        <v>0</v>
      </c>
      <c r="K520" s="135" t="str">
        <f>VLOOKUP(woodflow[[#This Row],[to]],woodstock[#All],8,FALSE)</f>
        <v>0</v>
      </c>
      <c r="L520" s="136" t="str">
        <f>VLOOKUP(woodflow[[#This Row],[From]],woodstock[#All],9,FALSE)</f>
        <v>nan</v>
      </c>
      <c r="M520" s="136" t="str">
        <f>VLOOKUP(woodflow[[#This Row],[to]],woodstock[#All],9,FALSE)</f>
        <v>nan</v>
      </c>
      <c r="N520" s="131">
        <f>'faostat-data'!Q55</f>
        <v>0.73070061749999993</v>
      </c>
      <c r="O520" s="126" t="s">
        <v>556</v>
      </c>
      <c r="P520" s="126"/>
      <c r="Q520" s="126" t="s">
        <v>234</v>
      </c>
    </row>
    <row r="521" spans="1:17" x14ac:dyDescent="0.3">
      <c r="A521" s="5" t="str">
        <f>CONCATENATE("F",IF(B521&lt;&gt;"",COUNTA($B$2:B521),""))</f>
        <v>F</v>
      </c>
      <c r="B521" s="126"/>
      <c r="C521" s="126"/>
      <c r="D521" s="133"/>
      <c r="E521" s="133"/>
      <c r="F521" s="126"/>
      <c r="G521" s="5"/>
      <c r="H521" s="135"/>
      <c r="I521" s="135"/>
      <c r="J521" s="135"/>
      <c r="K521" s="135"/>
      <c r="L521" s="136"/>
      <c r="M521" s="136"/>
      <c r="N521" s="131"/>
      <c r="O521" s="126"/>
      <c r="P521" s="126"/>
      <c r="Q521" s="126"/>
    </row>
    <row r="522" spans="1:17" x14ac:dyDescent="0.3">
      <c r="A522" s="5" t="str">
        <f>CONCATENATE("F",IF(B522&lt;&gt;"",COUNTA($B$2:B522),""))</f>
        <v>F</v>
      </c>
      <c r="B522" s="126"/>
      <c r="C522" s="5"/>
      <c r="D522" s="133"/>
      <c r="E522" s="133"/>
      <c r="F522" s="126"/>
      <c r="G522" s="5"/>
      <c r="H522" s="135"/>
      <c r="I522" s="135"/>
      <c r="J522" s="135"/>
      <c r="K522" s="135"/>
      <c r="L522" s="136"/>
      <c r="M522" s="136"/>
      <c r="N522" s="131"/>
      <c r="O522" s="126"/>
      <c r="P522" s="126"/>
      <c r="Q522" s="126"/>
    </row>
    <row r="523" spans="1:17" x14ac:dyDescent="0.3">
      <c r="A523" s="5" t="str">
        <f>CONCATENATE("F",IF(B523&lt;&gt;"",COUNTA($B$2:B523),""))</f>
        <v>F328</v>
      </c>
      <c r="B523" s="5" t="s">
        <v>342</v>
      </c>
      <c r="C523" s="5" t="s">
        <v>49</v>
      </c>
      <c r="D523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0.22755615525</v>
      </c>
      <c r="E52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3" s="126">
        <f>VLOOKUP(woodflow[[#This Row],[From]],woodstock[#All],4,FALSE)</f>
        <v>2021</v>
      </c>
      <c r="G523" s="5" t="str">
        <f>VLOOKUP(woodflow[[#This Row],[From]],woodstock[#All],5,FALSE)</f>
        <v>OAS</v>
      </c>
      <c r="H523" s="135" t="str">
        <f>VLOOKUP(woodflow[[#This Row],[From]],woodstock[#All],7,FALSE)</f>
        <v>65</v>
      </c>
      <c r="I523" s="135" t="str">
        <f>VLOOKUP(woodflow[[#This Row],[to]],woodstock[#All],7,FALSE)</f>
        <v>20</v>
      </c>
      <c r="J523" s="135" t="str">
        <f>VLOOKUP(woodflow[[#This Row],[From]],woodstock[#All],8,FALSE)</f>
        <v>0</v>
      </c>
      <c r="K523" s="135" t="str">
        <f>VLOOKUP(woodflow[[#This Row],[to]],woodstock[#All],8,FALSE)</f>
        <v>0</v>
      </c>
      <c r="L523" s="136" t="str">
        <f>VLOOKUP(woodflow[[#This Row],[From]],woodstock[#All],9,FALSE)</f>
        <v>nan</v>
      </c>
      <c r="M523" s="136" t="str">
        <f>VLOOKUP(woodflow[[#This Row],[to]],woodstock[#All],9,FALSE)</f>
        <v>nan</v>
      </c>
      <c r="N523" s="131">
        <f>'faostat-data'!Q58</f>
        <v>0.22755615525</v>
      </c>
      <c r="O523" s="126" t="s">
        <v>556</v>
      </c>
      <c r="P523" s="126"/>
      <c r="Q523" s="126" t="s">
        <v>234</v>
      </c>
    </row>
    <row r="524" spans="1:17" x14ac:dyDescent="0.3">
      <c r="A524" s="5" t="str">
        <f>CONCATENATE("F",IF(B524&lt;&gt;"",COUNTA($B$2:B524),""))</f>
        <v>F</v>
      </c>
      <c r="B524" s="126"/>
      <c r="C524" s="126"/>
      <c r="D524" s="133"/>
      <c r="E524" s="133"/>
      <c r="F524" s="126"/>
      <c r="G524" s="5"/>
      <c r="H524" s="135"/>
      <c r="I524" s="135"/>
      <c r="J524" s="135"/>
      <c r="K524" s="135"/>
      <c r="L524" s="136"/>
      <c r="M524" s="136"/>
      <c r="N524" s="131"/>
      <c r="O524" s="126"/>
      <c r="P524" s="126"/>
      <c r="Q524" s="138"/>
    </row>
    <row r="525" spans="1:17" x14ac:dyDescent="0.3">
      <c r="A525" s="5" t="str">
        <f>CONCATENATE("F",IF(B525&lt;&gt;"",COUNTA($B$2:B525),""))</f>
        <v>F</v>
      </c>
      <c r="B525" s="126"/>
      <c r="C525" s="5"/>
      <c r="D525" s="133"/>
      <c r="E525" s="133"/>
      <c r="F525" s="126"/>
      <c r="G525" s="5"/>
      <c r="H525" s="135"/>
      <c r="I525" s="135"/>
      <c r="J525" s="135"/>
      <c r="K525" s="135"/>
      <c r="L525" s="136"/>
      <c r="M525" s="136"/>
      <c r="N525" s="131"/>
      <c r="O525" s="126"/>
      <c r="P525" s="126"/>
      <c r="Q525" s="126"/>
    </row>
    <row r="526" spans="1:17" x14ac:dyDescent="0.3">
      <c r="A526" s="5" t="str">
        <f>CONCATENATE("F",IF(B526&lt;&gt;"",COUNTA($B$2:B526),""))</f>
        <v>F329</v>
      </c>
      <c r="B526" s="5" t="s">
        <v>342</v>
      </c>
      <c r="C526" s="5" t="s">
        <v>52</v>
      </c>
      <c r="D526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2.7047091000451551</v>
      </c>
      <c r="E52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6" s="126">
        <f>VLOOKUP(woodflow[[#This Row],[From]],woodstock[#All],4,FALSE)</f>
        <v>2021</v>
      </c>
      <c r="G526" s="5" t="str">
        <f>VLOOKUP(woodflow[[#This Row],[From]],woodstock[#All],5,FALSE)</f>
        <v>OAS</v>
      </c>
      <c r="H526" s="135" t="str">
        <f>VLOOKUP(woodflow[[#This Row],[From]],woodstock[#All],7,FALSE)</f>
        <v>65</v>
      </c>
      <c r="I526" s="135" t="str">
        <f>VLOOKUP(woodflow[[#This Row],[to]],woodstock[#All],7,FALSE)</f>
        <v>11</v>
      </c>
      <c r="J526" s="135" t="str">
        <f>VLOOKUP(woodflow[[#This Row],[From]],woodstock[#All],8,FALSE)</f>
        <v>0</v>
      </c>
      <c r="K526" s="135" t="str">
        <f>VLOOKUP(woodflow[[#This Row],[to]],woodstock[#All],8,FALSE)</f>
        <v>1</v>
      </c>
      <c r="L526" s="136" t="str">
        <f>VLOOKUP(woodflow[[#This Row],[From]],woodstock[#All],9,FALSE)</f>
        <v>nan</v>
      </c>
      <c r="M526" s="136" t="str">
        <f>VLOOKUP(woodflow[[#This Row],[to]],woodstock[#All],9,FALSE)</f>
        <v>21-22-23-24-25-26</v>
      </c>
      <c r="N526" s="131">
        <f>SUM(N527:N532)</f>
        <v>2.7047091000451551</v>
      </c>
      <c r="O526" s="126" t="s">
        <v>556</v>
      </c>
      <c r="P526" s="126"/>
      <c r="Q526" s="126" t="s">
        <v>234</v>
      </c>
    </row>
    <row r="527" spans="1:17" x14ac:dyDescent="0.3">
      <c r="A527" s="5" t="str">
        <f>CONCATENATE("F",IF(B527&lt;&gt;"",COUNTA($B$2:B527),""))</f>
        <v>F330</v>
      </c>
      <c r="B527" s="5" t="s">
        <v>342</v>
      </c>
      <c r="C527" s="5" t="s">
        <v>44</v>
      </c>
      <c r="D527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1.46690334</v>
      </c>
      <c r="E52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7" s="126">
        <f>VLOOKUP(woodflow[[#This Row],[From]],woodstock[#All],4,FALSE)</f>
        <v>2021</v>
      </c>
      <c r="G527" s="5" t="str">
        <f>VLOOKUP(woodflow[[#This Row],[From]],woodstock[#All],5,FALSE)</f>
        <v>OAS</v>
      </c>
      <c r="H527" s="135" t="str">
        <f>VLOOKUP(woodflow[[#This Row],[From]],woodstock[#All],7,FALSE)</f>
        <v>65</v>
      </c>
      <c r="I527" s="135" t="str">
        <f>VLOOKUP(woodflow[[#This Row],[to]],woodstock[#All],7,FALSE)</f>
        <v>21</v>
      </c>
      <c r="J527" s="135" t="str">
        <f>VLOOKUP(woodflow[[#This Row],[From]],woodstock[#All],8,FALSE)</f>
        <v>0</v>
      </c>
      <c r="K527" s="135" t="str">
        <f>VLOOKUP(woodflow[[#This Row],[to]],woodstock[#All],8,FALSE)</f>
        <v>0</v>
      </c>
      <c r="L527" s="136" t="str">
        <f>VLOOKUP(woodflow[[#This Row],[From]],woodstock[#All],9,FALSE)</f>
        <v>nan</v>
      </c>
      <c r="M527" s="136" t="str">
        <f>VLOOKUP(woodflow[[#This Row],[to]],woodstock[#All],9,FALSE)</f>
        <v>nan</v>
      </c>
      <c r="N527" s="131">
        <f>'faostat-data'!Q61</f>
        <v>1.46690334</v>
      </c>
      <c r="O527" s="126" t="s">
        <v>556</v>
      </c>
      <c r="P527" s="126"/>
      <c r="Q527" s="126" t="s">
        <v>234</v>
      </c>
    </row>
    <row r="528" spans="1:17" x14ac:dyDescent="0.3">
      <c r="A528" s="5" t="str">
        <f>CONCATENATE("F",IF(B528&lt;&gt;"",COUNTA($B$2:B528),""))</f>
        <v>F331</v>
      </c>
      <c r="B528" s="5" t="s">
        <v>342</v>
      </c>
      <c r="C528" s="5" t="s">
        <v>45</v>
      </c>
      <c r="D52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0.71258816547655734</v>
      </c>
      <c r="E52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8" s="126">
        <f>VLOOKUP(woodflow[[#This Row],[From]],woodstock[#All],4,FALSE)</f>
        <v>2021</v>
      </c>
      <c r="G528" s="5" t="str">
        <f>VLOOKUP(woodflow[[#This Row],[From]],woodstock[#All],5,FALSE)</f>
        <v>OAS</v>
      </c>
      <c r="H528" s="135" t="str">
        <f>VLOOKUP(woodflow[[#This Row],[From]],woodstock[#All],7,FALSE)</f>
        <v>65</v>
      </c>
      <c r="I528" s="135" t="str">
        <f>VLOOKUP(woodflow[[#This Row],[to]],woodstock[#All],7,FALSE)</f>
        <v>22</v>
      </c>
      <c r="J528" s="135" t="str">
        <f>VLOOKUP(woodflow[[#This Row],[From]],woodstock[#All],8,FALSE)</f>
        <v>0</v>
      </c>
      <c r="K528" s="135" t="str">
        <f>VLOOKUP(woodflow[[#This Row],[to]],woodstock[#All],8,FALSE)</f>
        <v>0</v>
      </c>
      <c r="L528" s="136" t="str">
        <f>VLOOKUP(woodflow[[#This Row],[From]],woodstock[#All],9,FALSE)</f>
        <v>nan</v>
      </c>
      <c r="M528" s="136" t="str">
        <f>VLOOKUP(woodflow[[#This Row],[to]],woodstock[#All],9,FALSE)</f>
        <v>nan</v>
      </c>
      <c r="N528" s="131">
        <f>'faostat-data'!Q67</f>
        <v>0.71258816547655734</v>
      </c>
      <c r="O528" s="126" t="s">
        <v>556</v>
      </c>
      <c r="P528" s="126"/>
      <c r="Q528" s="126" t="s">
        <v>234</v>
      </c>
    </row>
    <row r="529" spans="1:17" x14ac:dyDescent="0.3">
      <c r="A529" s="5" t="str">
        <f>CONCATENATE("F",IF(B529&lt;&gt;"",COUNTA($B$2:B529),""))</f>
        <v>F332</v>
      </c>
      <c r="B529" s="5" t="s">
        <v>342</v>
      </c>
      <c r="C529" s="5" t="s">
        <v>76</v>
      </c>
      <c r="D529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8.9745956203714297E-2</v>
      </c>
      <c r="E52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9" s="126">
        <f>VLOOKUP(woodflow[[#This Row],[From]],woodstock[#All],4,FALSE)</f>
        <v>2021</v>
      </c>
      <c r="G529" s="5" t="str">
        <f>VLOOKUP(woodflow[[#This Row],[From]],woodstock[#All],5,FALSE)</f>
        <v>OAS</v>
      </c>
      <c r="H529" s="135" t="str">
        <f>VLOOKUP(woodflow[[#This Row],[From]],woodstock[#All],7,FALSE)</f>
        <v>65</v>
      </c>
      <c r="I529" s="135" t="str">
        <f>VLOOKUP(woodflow[[#This Row],[to]],woodstock[#All],7,FALSE)</f>
        <v>23</v>
      </c>
      <c r="J529" s="135" t="str">
        <f>VLOOKUP(woodflow[[#This Row],[From]],woodstock[#All],8,FALSE)</f>
        <v>0</v>
      </c>
      <c r="K529" s="135" t="str">
        <f>VLOOKUP(woodflow[[#This Row],[to]],woodstock[#All],8,FALSE)</f>
        <v>0</v>
      </c>
      <c r="L529" s="136" t="str">
        <f>VLOOKUP(woodflow[[#This Row],[From]],woodstock[#All],9,FALSE)</f>
        <v>nan</v>
      </c>
      <c r="M529" s="136" t="str">
        <f>VLOOKUP(woodflow[[#This Row],[to]],woodstock[#All],9,FALSE)</f>
        <v>nan</v>
      </c>
      <c r="N529" s="131">
        <f>'faostat-data'!Q70</f>
        <v>8.9745956203714297E-2</v>
      </c>
      <c r="O529" s="126" t="s">
        <v>556</v>
      </c>
      <c r="P529" s="126"/>
      <c r="Q529" s="126" t="s">
        <v>234</v>
      </c>
    </row>
    <row r="530" spans="1:17" x14ac:dyDescent="0.3">
      <c r="A530" s="5" t="str">
        <f>CONCATENATE("F",IF(B530&lt;&gt;"",COUNTA($B$2:B530),""))</f>
        <v>F333</v>
      </c>
      <c r="B530" s="5" t="s">
        <v>342</v>
      </c>
      <c r="C530" s="5" t="s">
        <v>180</v>
      </c>
      <c r="D530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5.3303495310000004E-2</v>
      </c>
      <c r="E530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0" s="126">
        <f>VLOOKUP(woodflow[[#This Row],[From]],woodstock[#All],4,FALSE)</f>
        <v>2021</v>
      </c>
      <c r="G530" s="5" t="str">
        <f>VLOOKUP(woodflow[[#This Row],[From]],woodstock[#All],5,FALSE)</f>
        <v>OAS</v>
      </c>
      <c r="H530" s="135" t="str">
        <f>VLOOKUP(woodflow[[#This Row],[From]],woodstock[#All],7,FALSE)</f>
        <v>65</v>
      </c>
      <c r="I530" s="135" t="str">
        <f>VLOOKUP(woodflow[[#This Row],[to]],woodstock[#All],7,FALSE)</f>
        <v>24</v>
      </c>
      <c r="J530" s="135" t="str">
        <f>VLOOKUP(woodflow[[#This Row],[From]],woodstock[#All],8,FALSE)</f>
        <v>0</v>
      </c>
      <c r="K530" s="135" t="str">
        <f>VLOOKUP(woodflow[[#This Row],[to]],woodstock[#All],8,FALSE)</f>
        <v>0</v>
      </c>
      <c r="L530" s="136" t="str">
        <f>VLOOKUP(woodflow[[#This Row],[From]],woodstock[#All],9,FALSE)</f>
        <v>nan</v>
      </c>
      <c r="M530" s="136" t="str">
        <f>VLOOKUP(woodflow[[#This Row],[to]],woodstock[#All],9,FALSE)</f>
        <v>nan</v>
      </c>
      <c r="N530" s="131">
        <f>'faostat-data'!Q73</f>
        <v>5.3303495310000004E-2</v>
      </c>
      <c r="O530" s="126" t="s">
        <v>556</v>
      </c>
      <c r="P530" s="126"/>
      <c r="Q530" s="126" t="s">
        <v>234</v>
      </c>
    </row>
    <row r="531" spans="1:17" x14ac:dyDescent="0.3">
      <c r="A531" s="5" t="str">
        <f>CONCATENATE("F",IF(B531&lt;&gt;"",COUNTA($B$2:B531),""))</f>
        <v>F334</v>
      </c>
      <c r="B531" s="5" t="s">
        <v>342</v>
      </c>
      <c r="C531" s="5" t="s">
        <v>209</v>
      </c>
      <c r="D531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0.35492024200982131</v>
      </c>
      <c r="E531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1" s="126">
        <f>VLOOKUP(woodflow[[#This Row],[From]],woodstock[#All],4,FALSE)</f>
        <v>2021</v>
      </c>
      <c r="G531" s="5" t="str">
        <f>VLOOKUP(woodflow[[#This Row],[From]],woodstock[#All],5,FALSE)</f>
        <v>OAS</v>
      </c>
      <c r="H531" s="135" t="str">
        <f>VLOOKUP(woodflow[[#This Row],[From]],woodstock[#All],7,FALSE)</f>
        <v>65</v>
      </c>
      <c r="I531" s="135" t="str">
        <f>VLOOKUP(woodflow[[#This Row],[to]],woodstock[#All],7,FALSE)</f>
        <v>25</v>
      </c>
      <c r="J531" s="135" t="str">
        <f>VLOOKUP(woodflow[[#This Row],[From]],woodstock[#All],8,FALSE)</f>
        <v>0</v>
      </c>
      <c r="K531" s="135" t="str">
        <f>VLOOKUP(woodflow[[#This Row],[to]],woodstock[#All],8,FALSE)</f>
        <v>0</v>
      </c>
      <c r="L531" s="136" t="str">
        <f>VLOOKUP(woodflow[[#This Row],[From]],woodstock[#All],9,FALSE)</f>
        <v>nan</v>
      </c>
      <c r="M531" s="136" t="str">
        <f>VLOOKUP(woodflow[[#This Row],[to]],woodstock[#All],9,FALSE)</f>
        <v>nan</v>
      </c>
      <c r="N531" s="131">
        <f>'faostat-data'!Q76</f>
        <v>0.35492024200982131</v>
      </c>
      <c r="O531" s="126" t="s">
        <v>556</v>
      </c>
      <c r="P531" s="126"/>
      <c r="Q531" s="126" t="s">
        <v>234</v>
      </c>
    </row>
    <row r="532" spans="1:17" x14ac:dyDescent="0.3">
      <c r="A532" s="5" t="str">
        <f>CONCATENATE("F",IF(B532&lt;&gt;"",COUNTA($B$2:B532),""))</f>
        <v>F335</v>
      </c>
      <c r="B532" s="5" t="s">
        <v>342</v>
      </c>
      <c r="C532" s="5" t="s">
        <v>75</v>
      </c>
      <c r="D532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2.7247901045062504E-2</v>
      </c>
      <c r="E532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2" s="126">
        <f>VLOOKUP(woodflow[[#This Row],[From]],woodstock[#All],4,FALSE)</f>
        <v>2021</v>
      </c>
      <c r="G532" s="5" t="str">
        <f>VLOOKUP(woodflow[[#This Row],[From]],woodstock[#All],5,FALSE)</f>
        <v>OAS</v>
      </c>
      <c r="H532" s="135" t="str">
        <f>VLOOKUP(woodflow[[#This Row],[From]],woodstock[#All],7,FALSE)</f>
        <v>65</v>
      </c>
      <c r="I532" s="135" t="str">
        <f>VLOOKUP(woodflow[[#This Row],[to]],woodstock[#All],7,FALSE)</f>
        <v>26</v>
      </c>
      <c r="J532" s="135" t="str">
        <f>VLOOKUP(woodflow[[#This Row],[From]],woodstock[#All],8,FALSE)</f>
        <v>0</v>
      </c>
      <c r="K532" s="135" t="str">
        <f>VLOOKUP(woodflow[[#This Row],[to]],woodstock[#All],8,FALSE)</f>
        <v>0</v>
      </c>
      <c r="L532" s="136" t="str">
        <f>VLOOKUP(woodflow[[#This Row],[From]],woodstock[#All],9,FALSE)</f>
        <v>nan</v>
      </c>
      <c r="M532" s="136" t="str">
        <f>VLOOKUP(woodflow[[#This Row],[to]],woodstock[#All],9,FALSE)</f>
        <v>nan</v>
      </c>
      <c r="N532" s="131">
        <f>'faostat-data'!Q79</f>
        <v>2.7247901045062504E-2</v>
      </c>
      <c r="O532" s="126" t="s">
        <v>556</v>
      </c>
      <c r="P532" s="126"/>
      <c r="Q532" s="126" t="s">
        <v>234</v>
      </c>
    </row>
    <row r="533" spans="1:17" x14ac:dyDescent="0.3">
      <c r="A533" s="5" t="str">
        <f>CONCATENATE("F",IF(B533&lt;&gt;"",COUNTA($B$2:B533),""))</f>
        <v>F</v>
      </c>
      <c r="B533" s="126"/>
      <c r="C533" s="126"/>
      <c r="D533" s="133"/>
      <c r="E533" s="133"/>
      <c r="F533" s="126"/>
      <c r="G533" s="5"/>
      <c r="H533" s="135"/>
      <c r="I533" s="135"/>
      <c r="J533" s="135"/>
      <c r="K533" s="135"/>
      <c r="L533" s="136"/>
      <c r="M533" s="136"/>
      <c r="N533" s="131"/>
      <c r="O533" s="126"/>
      <c r="P533" s="126"/>
      <c r="Q533" s="126"/>
    </row>
    <row r="534" spans="1:17" x14ac:dyDescent="0.3">
      <c r="A534" s="5" t="str">
        <f>CONCATENATE("F",IF(B534&lt;&gt;"",COUNTA($B$2:B534),""))</f>
        <v>F</v>
      </c>
      <c r="B534" s="126"/>
      <c r="C534" s="5"/>
      <c r="D534" s="133"/>
      <c r="E534" s="133"/>
      <c r="F534" s="126"/>
      <c r="G534" s="5"/>
      <c r="H534" s="135"/>
      <c r="I534" s="135"/>
      <c r="J534" s="135"/>
      <c r="K534" s="135"/>
      <c r="L534" s="136"/>
      <c r="M534" s="136"/>
      <c r="N534" s="131"/>
      <c r="O534" s="126"/>
      <c r="P534" s="126"/>
      <c r="Q534" s="126"/>
    </row>
    <row r="535" spans="1:17" x14ac:dyDescent="0.3">
      <c r="A535" s="5" t="str">
        <f>CONCATENATE("F",IF(B535&lt;&gt;"",COUNTA($B$2:B535),""))</f>
        <v>F336</v>
      </c>
      <c r="B535" s="5" t="s">
        <v>342</v>
      </c>
      <c r="C535" s="5" t="s">
        <v>42</v>
      </c>
      <c r="D535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2.7978113249999996</v>
      </c>
      <c r="E535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5" s="126">
        <f>VLOOKUP(woodflow[[#This Row],[From]],woodstock[#All],4,FALSE)</f>
        <v>2021</v>
      </c>
      <c r="G535" s="5" t="str">
        <f>VLOOKUP(woodflow[[#This Row],[From]],woodstock[#All],5,FALSE)</f>
        <v>OAS</v>
      </c>
      <c r="H535" s="135" t="str">
        <f>VLOOKUP(woodflow[[#This Row],[From]],woodstock[#All],7,FALSE)</f>
        <v>65</v>
      </c>
      <c r="I535" s="135" t="str">
        <f>VLOOKUP(woodflow[[#This Row],[to]],woodstock[#All],7,FALSE)</f>
        <v>13</v>
      </c>
      <c r="J535" s="135" t="str">
        <f>VLOOKUP(woodflow[[#This Row],[From]],woodstock[#All],8,FALSE)</f>
        <v>0</v>
      </c>
      <c r="K535" s="135" t="str">
        <f>VLOOKUP(woodflow[[#This Row],[to]],woodstock[#All],8,FALSE)</f>
        <v>1</v>
      </c>
      <c r="L535" s="136" t="str">
        <f>VLOOKUP(woodflow[[#This Row],[From]],woodstock[#All],9,FALSE)</f>
        <v>nan</v>
      </c>
      <c r="M535" s="136" t="str">
        <f>VLOOKUP(woodflow[[#This Row],[to]],woodstock[#All],9,FALSE)</f>
        <v>27-28-29-30</v>
      </c>
      <c r="N535" s="131">
        <f>SUM(N536:N539)</f>
        <v>2.7978113249999996</v>
      </c>
      <c r="O535" s="126" t="s">
        <v>556</v>
      </c>
      <c r="P535" s="126"/>
      <c r="Q535" s="126" t="s">
        <v>234</v>
      </c>
    </row>
    <row r="536" spans="1:17" x14ac:dyDescent="0.3">
      <c r="A536" s="5" t="str">
        <f>CONCATENATE("F",IF(B536&lt;&gt;"",COUNTA($B$2:B536),""))</f>
        <v>F337</v>
      </c>
      <c r="B536" s="5" t="s">
        <v>342</v>
      </c>
      <c r="C536" s="5" t="s">
        <v>70</v>
      </c>
      <c r="D536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0.25805615850000002</v>
      </c>
      <c r="E53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6" s="126">
        <f>VLOOKUP(woodflow[[#This Row],[From]],woodstock[#All],4,FALSE)</f>
        <v>2021</v>
      </c>
      <c r="G536" s="5" t="str">
        <f>VLOOKUP(woodflow[[#This Row],[From]],woodstock[#All],5,FALSE)</f>
        <v>OAS</v>
      </c>
      <c r="H536" s="135" t="str">
        <f>VLOOKUP(woodflow[[#This Row],[From]],woodstock[#All],7,FALSE)</f>
        <v>65</v>
      </c>
      <c r="I536" s="135" t="str">
        <f>VLOOKUP(woodflow[[#This Row],[to]],woodstock[#All],7,FALSE)</f>
        <v>27</v>
      </c>
      <c r="J536" s="135" t="str">
        <f>VLOOKUP(woodflow[[#This Row],[From]],woodstock[#All],8,FALSE)</f>
        <v>0</v>
      </c>
      <c r="K536" s="135" t="str">
        <f>VLOOKUP(woodflow[[#This Row],[to]],woodstock[#All],8,FALSE)</f>
        <v>0</v>
      </c>
      <c r="L536" s="136" t="str">
        <f>VLOOKUP(woodflow[[#This Row],[From]],woodstock[#All],9,FALSE)</f>
        <v>nan</v>
      </c>
      <c r="M536" s="136" t="str">
        <f>VLOOKUP(woodflow[[#This Row],[to]],woodstock[#All],9,FALSE)</f>
        <v>nan</v>
      </c>
      <c r="N536" s="131">
        <f>'faostat-data'!Q85</f>
        <v>0.25805615850000002</v>
      </c>
      <c r="O536" s="126" t="s">
        <v>556</v>
      </c>
      <c r="P536" s="126"/>
      <c r="Q536" s="126" t="s">
        <v>234</v>
      </c>
    </row>
    <row r="537" spans="1:17" x14ac:dyDescent="0.3">
      <c r="A537" s="5" t="str">
        <f>CONCATENATE("F",IF(B537&lt;&gt;"",COUNTA($B$2:B537),""))</f>
        <v>F338</v>
      </c>
      <c r="B537" s="5" t="s">
        <v>342</v>
      </c>
      <c r="C537" s="5" t="s">
        <v>71</v>
      </c>
      <c r="D537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1.9407757364999998</v>
      </c>
      <c r="E53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7" s="126">
        <f>VLOOKUP(woodflow[[#This Row],[From]],woodstock[#All],4,FALSE)</f>
        <v>2021</v>
      </c>
      <c r="G537" s="5" t="str">
        <f>VLOOKUP(woodflow[[#This Row],[From]],woodstock[#All],5,FALSE)</f>
        <v>OAS</v>
      </c>
      <c r="H537" s="135" t="str">
        <f>VLOOKUP(woodflow[[#This Row],[From]],woodstock[#All],7,FALSE)</f>
        <v>65</v>
      </c>
      <c r="I537" s="135" t="str">
        <f>VLOOKUP(woodflow[[#This Row],[to]],woodstock[#All],7,FALSE)</f>
        <v>28</v>
      </c>
      <c r="J537" s="135" t="str">
        <f>VLOOKUP(woodflow[[#This Row],[From]],woodstock[#All],8,FALSE)</f>
        <v>0</v>
      </c>
      <c r="K537" s="135" t="str">
        <f>VLOOKUP(woodflow[[#This Row],[to]],woodstock[#All],8,FALSE)</f>
        <v>0</v>
      </c>
      <c r="L537" s="136" t="str">
        <f>VLOOKUP(woodflow[[#This Row],[From]],woodstock[#All],9,FALSE)</f>
        <v>nan</v>
      </c>
      <c r="M537" s="136" t="str">
        <f>VLOOKUP(woodflow[[#This Row],[to]],woodstock[#All],9,FALSE)</f>
        <v>nan</v>
      </c>
      <c r="N537" s="131">
        <f>'faostat-data'!Q94</f>
        <v>1.9407757364999998</v>
      </c>
      <c r="O537" s="126" t="s">
        <v>556</v>
      </c>
      <c r="P537" s="126"/>
      <c r="Q537" s="126" t="s">
        <v>234</v>
      </c>
    </row>
    <row r="538" spans="1:17" x14ac:dyDescent="0.3">
      <c r="A538" s="5" t="str">
        <f>CONCATENATE("F",IF(B538&lt;&gt;"",COUNTA($B$2:B538),""))</f>
        <v>F339</v>
      </c>
      <c r="B538" s="5" t="s">
        <v>342</v>
      </c>
      <c r="C538" s="5" t="s">
        <v>72</v>
      </c>
      <c r="D53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0.55309476600000007</v>
      </c>
      <c r="E53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8" s="126">
        <f>VLOOKUP(woodflow[[#This Row],[From]],woodstock[#All],4,FALSE)</f>
        <v>2021</v>
      </c>
      <c r="G538" s="5" t="str">
        <f>VLOOKUP(woodflow[[#This Row],[From]],woodstock[#All],5,FALSE)</f>
        <v>OAS</v>
      </c>
      <c r="H538" s="135" t="str">
        <f>VLOOKUP(woodflow[[#This Row],[From]],woodstock[#All],7,FALSE)</f>
        <v>65</v>
      </c>
      <c r="I538" s="135" t="str">
        <f>VLOOKUP(woodflow[[#This Row],[to]],woodstock[#All],7,FALSE)</f>
        <v>29</v>
      </c>
      <c r="J538" s="135" t="str">
        <f>VLOOKUP(woodflow[[#This Row],[From]],woodstock[#All],8,FALSE)</f>
        <v>0</v>
      </c>
      <c r="K538" s="135" t="str">
        <f>VLOOKUP(woodflow[[#This Row],[to]],woodstock[#All],8,FALSE)</f>
        <v>0</v>
      </c>
      <c r="L538" s="136" t="str">
        <f>VLOOKUP(woodflow[[#This Row],[From]],woodstock[#All],9,FALSE)</f>
        <v>nan</v>
      </c>
      <c r="M538" s="136" t="str">
        <f>VLOOKUP(woodflow[[#This Row],[to]],woodstock[#All],9,FALSE)</f>
        <v>nan</v>
      </c>
      <c r="N538" s="131">
        <f>'faostat-data'!Q112</f>
        <v>0.55309476600000007</v>
      </c>
      <c r="O538" s="126" t="s">
        <v>556</v>
      </c>
      <c r="P538" s="126"/>
      <c r="Q538" s="126" t="s">
        <v>234</v>
      </c>
    </row>
    <row r="539" spans="1:17" x14ac:dyDescent="0.3">
      <c r="A539" s="5" t="str">
        <f>CONCATENATE("F",IF(B539&lt;&gt;"",COUNTA($B$2:B539),""))</f>
        <v>F340</v>
      </c>
      <c r="B539" s="5" t="s">
        <v>342</v>
      </c>
      <c r="C539" s="5" t="s">
        <v>77</v>
      </c>
      <c r="D539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4.5884663999999992E-2</v>
      </c>
      <c r="E53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9" s="126">
        <f>VLOOKUP(woodflow[[#This Row],[From]],woodstock[#All],4,FALSE)</f>
        <v>2021</v>
      </c>
      <c r="G539" s="5" t="str">
        <f>VLOOKUP(woodflow[[#This Row],[From]],woodstock[#All],5,FALSE)</f>
        <v>OAS</v>
      </c>
      <c r="H539" s="135" t="str">
        <f>VLOOKUP(woodflow[[#This Row],[From]],woodstock[#All],7,FALSE)</f>
        <v>65</v>
      </c>
      <c r="I539" s="135" t="str">
        <f>VLOOKUP(woodflow[[#This Row],[to]],woodstock[#All],7,FALSE)</f>
        <v>30</v>
      </c>
      <c r="J539" s="135" t="str">
        <f>VLOOKUP(woodflow[[#This Row],[From]],woodstock[#All],8,FALSE)</f>
        <v>0</v>
      </c>
      <c r="K539" s="135" t="str">
        <f>VLOOKUP(woodflow[[#This Row],[to]],woodstock[#All],8,FALSE)</f>
        <v>0</v>
      </c>
      <c r="L539" s="136" t="str">
        <f>VLOOKUP(woodflow[[#This Row],[From]],woodstock[#All],9,FALSE)</f>
        <v>nan</v>
      </c>
      <c r="M539" s="136" t="str">
        <f>VLOOKUP(woodflow[[#This Row],[to]],woodstock[#All],9,FALSE)</f>
        <v>nan</v>
      </c>
      <c r="N539" s="131">
        <f>'faostat-data'!Q118</f>
        <v>4.5884663999999992E-2</v>
      </c>
      <c r="O539" s="126" t="s">
        <v>556</v>
      </c>
      <c r="P539" s="126"/>
      <c r="Q539" s="126" t="s">
        <v>234</v>
      </c>
    </row>
    <row r="540" spans="1:17" x14ac:dyDescent="0.3">
      <c r="A540" s="5" t="str">
        <f>CONCATENATE("F",IF(B540&lt;&gt;"",COUNTA($B$2:B540),""))</f>
        <v>F</v>
      </c>
      <c r="B540" s="126"/>
      <c r="C540" s="126"/>
      <c r="D540" s="133"/>
      <c r="E540" s="133"/>
      <c r="F540" s="126"/>
      <c r="G540" s="5"/>
      <c r="H540" s="135"/>
      <c r="I540" s="135"/>
      <c r="J540" s="135"/>
      <c r="K540" s="135"/>
      <c r="L540" s="136"/>
      <c r="M540" s="136"/>
      <c r="N540" s="131"/>
      <c r="O540" s="126"/>
      <c r="P540" s="126"/>
      <c r="Q540" s="126"/>
    </row>
    <row r="541" spans="1:17" x14ac:dyDescent="0.3">
      <c r="A541" s="5" t="str">
        <f>CONCATENATE("F",IF(B541&lt;&gt;"",COUNTA($B$2:B541),""))</f>
        <v>F</v>
      </c>
      <c r="B541" s="126"/>
      <c r="C541" s="5"/>
      <c r="D541" s="133"/>
      <c r="E541" s="133"/>
      <c r="F541" s="126"/>
      <c r="G541" s="5"/>
      <c r="H541" s="135"/>
      <c r="I541" s="135"/>
      <c r="J541" s="135"/>
      <c r="K541" s="135"/>
      <c r="L541" s="136"/>
      <c r="M541" s="136"/>
      <c r="N541" s="131"/>
      <c r="O541" s="126"/>
      <c r="P541" s="126"/>
      <c r="Q541" s="126"/>
    </row>
    <row r="542" spans="1:17" x14ac:dyDescent="0.3">
      <c r="A542" s="5" t="str">
        <f>CONCATENATE("F",IF(B542&lt;&gt;"",COUNTA($B$2:B542),""))</f>
        <v>F341</v>
      </c>
      <c r="B542" s="5" t="s">
        <v>342</v>
      </c>
      <c r="C542" s="5" t="s">
        <v>43</v>
      </c>
      <c r="D542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2.4470041500000001E-2</v>
      </c>
      <c r="E542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2" s="126">
        <f>VLOOKUP(woodflow[[#This Row],[From]],woodstock[#All],4,FALSE)</f>
        <v>2021</v>
      </c>
      <c r="G542" s="5" t="str">
        <f>VLOOKUP(woodflow[[#This Row],[From]],woodstock[#All],5,FALSE)</f>
        <v>OAS</v>
      </c>
      <c r="H542" s="135" t="str">
        <f>VLOOKUP(woodflow[[#This Row],[From]],woodstock[#All],7,FALSE)</f>
        <v>65</v>
      </c>
      <c r="I542" s="135" t="str">
        <f>VLOOKUP(woodflow[[#This Row],[to]],woodstock[#All],7,FALSE)</f>
        <v>31</v>
      </c>
      <c r="J542" s="135" t="str">
        <f>VLOOKUP(woodflow[[#This Row],[From]],woodstock[#All],8,FALSE)</f>
        <v>0</v>
      </c>
      <c r="K542" s="135" t="str">
        <f>VLOOKUP(woodflow[[#This Row],[to]],woodstock[#All],8,FALSE)</f>
        <v>0</v>
      </c>
      <c r="L542" s="136" t="str">
        <f>VLOOKUP(woodflow[[#This Row],[From]],woodstock[#All],9,FALSE)</f>
        <v>nan</v>
      </c>
      <c r="M542" s="136" t="str">
        <f>VLOOKUP(woodflow[[#This Row],[to]],woodstock[#All],9,FALSE)</f>
        <v>nan</v>
      </c>
      <c r="N542" s="131">
        <f>'faostat-data'!Q115</f>
        <v>2.4470041500000001E-2</v>
      </c>
      <c r="O542" s="126" t="s">
        <v>556</v>
      </c>
      <c r="P542" s="126"/>
      <c r="Q542" s="126" t="s">
        <v>234</v>
      </c>
    </row>
    <row r="543" spans="1:17" x14ac:dyDescent="0.3">
      <c r="A543" s="5" t="str">
        <f>CONCATENATE("F",IF(B543&lt;&gt;"",COUNTA($B$2:B543),""))</f>
        <v>F</v>
      </c>
      <c r="B543" s="126"/>
      <c r="C543" s="126"/>
      <c r="D543" s="133"/>
      <c r="E543" s="133"/>
      <c r="F543" s="126"/>
      <c r="G543" s="5"/>
      <c r="H543" s="135"/>
      <c r="I543" s="135"/>
      <c r="J543" s="135"/>
      <c r="K543" s="135"/>
      <c r="L543" s="136"/>
      <c r="M543" s="136"/>
      <c r="N543" s="131"/>
      <c r="O543" s="126"/>
      <c r="P543" s="126"/>
      <c r="Q543" s="126"/>
    </row>
    <row r="544" spans="1:17" x14ac:dyDescent="0.3">
      <c r="A544" s="5" t="str">
        <f>CONCATENATE("F",IF(B544&lt;&gt;"",COUNTA($B$2:B544),""))</f>
        <v>F</v>
      </c>
      <c r="B544" s="126"/>
      <c r="C544" s="5"/>
      <c r="D544" s="133"/>
      <c r="E544" s="133"/>
      <c r="F544" s="126"/>
      <c r="G544" s="5"/>
      <c r="H544" s="135"/>
      <c r="I544" s="135"/>
      <c r="J544" s="135"/>
      <c r="K544" s="135"/>
      <c r="L544" s="136"/>
      <c r="M544" s="136"/>
      <c r="N544" s="131"/>
      <c r="O544" s="126"/>
      <c r="P544" s="126"/>
      <c r="Q544" s="126"/>
    </row>
    <row r="545" spans="1:17" x14ac:dyDescent="0.3">
      <c r="A545" s="5" t="str">
        <f>CONCATENATE("F",IF(B545&lt;&gt;"",COUNTA($B$2:B545),""))</f>
        <v>F342</v>
      </c>
      <c r="B545" s="5" t="s">
        <v>342</v>
      </c>
      <c r="C545" s="5" t="s">
        <v>50</v>
      </c>
      <c r="D545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5.4298837877499988</v>
      </c>
      <c r="E545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5" s="126">
        <f>VLOOKUP(woodflow[[#This Row],[From]],woodstock[#All],4,FALSE)</f>
        <v>2021</v>
      </c>
      <c r="G545" s="5" t="str">
        <f>VLOOKUP(woodflow[[#This Row],[From]],woodstock[#All],5,FALSE)</f>
        <v>OAS</v>
      </c>
      <c r="H545" s="135" t="str">
        <f>VLOOKUP(woodflow[[#This Row],[From]],woodstock[#All],7,FALSE)</f>
        <v>65</v>
      </c>
      <c r="I545" s="135" t="str">
        <f>VLOOKUP(woodflow[[#This Row],[to]],woodstock[#All],7,FALSE)</f>
        <v>14</v>
      </c>
      <c r="J545" s="135" t="str">
        <f>VLOOKUP(woodflow[[#This Row],[From]],woodstock[#All],8,FALSE)</f>
        <v>0</v>
      </c>
      <c r="K545" s="135" t="str">
        <f>VLOOKUP(woodflow[[#This Row],[to]],woodstock[#All],8,FALSE)</f>
        <v>1</v>
      </c>
      <c r="L545" s="136" t="str">
        <f>VLOOKUP(woodflow[[#This Row],[From]],woodstock[#All],9,FALSE)</f>
        <v>nan</v>
      </c>
      <c r="M545" s="136" t="str">
        <f>VLOOKUP(woodflow[[#This Row],[to]],woodstock[#All],9,FALSE)</f>
        <v>32-33-34-35-36</v>
      </c>
      <c r="N545" s="131">
        <f>SUM(N546:N550)</f>
        <v>5.4298837877499988</v>
      </c>
      <c r="O545" s="126" t="s">
        <v>556</v>
      </c>
      <c r="P545" s="126"/>
      <c r="Q545" s="126" t="s">
        <v>234</v>
      </c>
    </row>
    <row r="546" spans="1:17" x14ac:dyDescent="0.3">
      <c r="A546" s="5" t="str">
        <f>CONCATENATE("F",IF(B546&lt;&gt;"",COUNTA($B$2:B546),""))</f>
        <v>F343</v>
      </c>
      <c r="B546" s="5" t="s">
        <v>342</v>
      </c>
      <c r="C546" s="5" t="s">
        <v>78</v>
      </c>
      <c r="D546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0.11777444025</v>
      </c>
      <c r="E54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6" s="126">
        <f>VLOOKUP(woodflow[[#This Row],[From]],woodstock[#All],4,FALSE)</f>
        <v>2021</v>
      </c>
      <c r="G546" s="5" t="str">
        <f>VLOOKUP(woodflow[[#This Row],[From]],woodstock[#All],5,FALSE)</f>
        <v>OAS</v>
      </c>
      <c r="H546" s="135" t="str">
        <f>VLOOKUP(woodflow[[#This Row],[From]],woodstock[#All],7,FALSE)</f>
        <v>65</v>
      </c>
      <c r="I546" s="135" t="str">
        <f>VLOOKUP(woodflow[[#This Row],[to]],woodstock[#All],7,FALSE)</f>
        <v>32</v>
      </c>
      <c r="J546" s="135" t="str">
        <f>VLOOKUP(woodflow[[#This Row],[From]],woodstock[#All],8,FALSE)</f>
        <v>0</v>
      </c>
      <c r="K546" s="135" t="str">
        <f>VLOOKUP(woodflow[[#This Row],[to]],woodstock[#All],8,FALSE)</f>
        <v>0</v>
      </c>
      <c r="L546" s="136" t="str">
        <f>VLOOKUP(woodflow[[#This Row],[From]],woodstock[#All],9,FALSE)</f>
        <v>nan</v>
      </c>
      <c r="M546" s="136" t="str">
        <f>VLOOKUP(woodflow[[#This Row],[to]],woodstock[#All],9,FALSE)</f>
        <v>nan</v>
      </c>
      <c r="N546" s="131">
        <f>'faostat-data'!Q124</f>
        <v>0.11777444025</v>
      </c>
      <c r="O546" s="126" t="s">
        <v>556</v>
      </c>
      <c r="P546" s="126"/>
      <c r="Q546" s="126" t="s">
        <v>234</v>
      </c>
    </row>
    <row r="547" spans="1:17" x14ac:dyDescent="0.3">
      <c r="A547" s="5" t="str">
        <f>CONCATENATE("F",IF(B547&lt;&gt;"",COUNTA($B$2:B547),""))</f>
        <v>F344</v>
      </c>
      <c r="B547" s="5" t="s">
        <v>342</v>
      </c>
      <c r="C547" s="5" t="s">
        <v>79</v>
      </c>
      <c r="D547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1.8905716822500001</v>
      </c>
      <c r="E54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7" s="126">
        <f>VLOOKUP(woodflow[[#This Row],[From]],woodstock[#All],4,FALSE)</f>
        <v>2021</v>
      </c>
      <c r="G547" s="5" t="str">
        <f>VLOOKUP(woodflow[[#This Row],[From]],woodstock[#All],5,FALSE)</f>
        <v>OAS</v>
      </c>
      <c r="H547" s="135" t="str">
        <f>VLOOKUP(woodflow[[#This Row],[From]],woodstock[#All],7,FALSE)</f>
        <v>65</v>
      </c>
      <c r="I547" s="135" t="str">
        <f>VLOOKUP(woodflow[[#This Row],[to]],woodstock[#All],7,FALSE)</f>
        <v>33</v>
      </c>
      <c r="J547" s="135" t="str">
        <f>VLOOKUP(woodflow[[#This Row],[From]],woodstock[#All],8,FALSE)</f>
        <v>0</v>
      </c>
      <c r="K547" s="135" t="str">
        <f>VLOOKUP(woodflow[[#This Row],[to]],woodstock[#All],8,FALSE)</f>
        <v>0</v>
      </c>
      <c r="L547" s="136" t="str">
        <f>VLOOKUP(woodflow[[#This Row],[From]],woodstock[#All],9,FALSE)</f>
        <v>nan</v>
      </c>
      <c r="M547" s="136" t="str">
        <f>VLOOKUP(woodflow[[#This Row],[to]],woodstock[#All],9,FALSE)</f>
        <v>nan</v>
      </c>
      <c r="N547" s="131">
        <f>'faostat-data'!Q127</f>
        <v>1.8905716822500001</v>
      </c>
      <c r="O547" s="126" t="s">
        <v>556</v>
      </c>
      <c r="P547" s="126"/>
      <c r="Q547" s="126" t="s">
        <v>234</v>
      </c>
    </row>
    <row r="548" spans="1:17" x14ac:dyDescent="0.3">
      <c r="A548" s="5" t="str">
        <f>CONCATENATE("F",IF(B548&lt;&gt;"",COUNTA($B$2:B548),""))</f>
        <v>F345</v>
      </c>
      <c r="B548" s="5" t="s">
        <v>342</v>
      </c>
      <c r="C548" s="5" t="s">
        <v>67</v>
      </c>
      <c r="D54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0.16691714224999998</v>
      </c>
      <c r="E54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8" s="126">
        <f>VLOOKUP(woodflow[[#This Row],[From]],woodstock[#All],4,FALSE)</f>
        <v>2021</v>
      </c>
      <c r="G548" s="5" t="str">
        <f>VLOOKUP(woodflow[[#This Row],[From]],woodstock[#All],5,FALSE)</f>
        <v>OAS</v>
      </c>
      <c r="H548" s="135" t="str">
        <f>VLOOKUP(woodflow[[#This Row],[From]],woodstock[#All],7,FALSE)</f>
        <v>65</v>
      </c>
      <c r="I548" s="135" t="str">
        <f>VLOOKUP(woodflow[[#This Row],[to]],woodstock[#All],7,FALSE)</f>
        <v>34</v>
      </c>
      <c r="J548" s="135" t="str">
        <f>VLOOKUP(woodflow[[#This Row],[From]],woodstock[#All],8,FALSE)</f>
        <v>0</v>
      </c>
      <c r="K548" s="135" t="str">
        <f>VLOOKUP(woodflow[[#This Row],[to]],woodstock[#All],8,FALSE)</f>
        <v>0</v>
      </c>
      <c r="L548" s="136" t="str">
        <f>VLOOKUP(woodflow[[#This Row],[From]],woodstock[#All],9,FALSE)</f>
        <v>nan</v>
      </c>
      <c r="M548" s="136" t="str">
        <f>VLOOKUP(woodflow[[#This Row],[to]],woodstock[#All],9,FALSE)</f>
        <v>nan</v>
      </c>
      <c r="N548" s="131">
        <f>'faostat-data'!Q142</f>
        <v>0.16691714224999998</v>
      </c>
      <c r="O548" s="126" t="s">
        <v>556</v>
      </c>
      <c r="P548" s="126"/>
      <c r="Q548" s="126" t="s">
        <v>234</v>
      </c>
    </row>
    <row r="549" spans="1:17" x14ac:dyDescent="0.3">
      <c r="A549" s="5" t="str">
        <f>CONCATENATE("F",IF(B549&lt;&gt;"",COUNTA($B$2:B549),""))</f>
        <v>F346</v>
      </c>
      <c r="B549" s="5" t="s">
        <v>342</v>
      </c>
      <c r="C549" s="5" t="s">
        <v>68</v>
      </c>
      <c r="D549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3.1447326834999991</v>
      </c>
      <c r="E54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9" s="126">
        <f>VLOOKUP(woodflow[[#This Row],[From]],woodstock[#All],4,FALSE)</f>
        <v>2021</v>
      </c>
      <c r="G549" s="5" t="str">
        <f>VLOOKUP(woodflow[[#This Row],[From]],woodstock[#All],5,FALSE)</f>
        <v>OAS</v>
      </c>
      <c r="H549" s="135" t="str">
        <f>VLOOKUP(woodflow[[#This Row],[From]],woodstock[#All],7,FALSE)</f>
        <v>65</v>
      </c>
      <c r="I549" s="135" t="str">
        <f>VLOOKUP(woodflow[[#This Row],[to]],woodstock[#All],7,FALSE)</f>
        <v>35</v>
      </c>
      <c r="J549" s="135" t="str">
        <f>VLOOKUP(woodflow[[#This Row],[From]],woodstock[#All],8,FALSE)</f>
        <v>0</v>
      </c>
      <c r="K549" s="135" t="str">
        <f>VLOOKUP(woodflow[[#This Row],[to]],woodstock[#All],8,FALSE)</f>
        <v>0</v>
      </c>
      <c r="L549" s="136" t="str">
        <f>VLOOKUP(woodflow[[#This Row],[From]],woodstock[#All],9,FALSE)</f>
        <v>nan</v>
      </c>
      <c r="M549" s="136" t="str">
        <f>VLOOKUP(woodflow[[#This Row],[to]],woodstock[#All],9,FALSE)</f>
        <v>nan</v>
      </c>
      <c r="N549" s="131">
        <f>('faostat-data'!Q148+'faostat-data'!Q151+'faostat-data'!Q154+'faostat-data'!Q157)</f>
        <v>3.1447326834999991</v>
      </c>
      <c r="O549" s="126" t="s">
        <v>556</v>
      </c>
      <c r="P549" s="126"/>
      <c r="Q549" s="126" t="s">
        <v>234</v>
      </c>
    </row>
    <row r="550" spans="1:17" x14ac:dyDescent="0.3">
      <c r="A550" s="5" t="str">
        <f>CONCATENATE("F",IF(B550&lt;&gt;"",COUNTA($B$2:B550),""))</f>
        <v>F347</v>
      </c>
      <c r="B550" s="5" t="s">
        <v>342</v>
      </c>
      <c r="C550" s="5" t="s">
        <v>69</v>
      </c>
      <c r="D550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0.1098878395</v>
      </c>
      <c r="E550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0" s="126">
        <f>VLOOKUP(woodflow[[#This Row],[From]],woodstock[#All],4,FALSE)</f>
        <v>2021</v>
      </c>
      <c r="G550" s="5" t="str">
        <f>VLOOKUP(woodflow[[#This Row],[From]],woodstock[#All],5,FALSE)</f>
        <v>OAS</v>
      </c>
      <c r="H550" s="135" t="str">
        <f>VLOOKUP(woodflow[[#This Row],[From]],woodstock[#All],7,FALSE)</f>
        <v>65</v>
      </c>
      <c r="I550" s="135" t="str">
        <f>VLOOKUP(woodflow[[#This Row],[to]],woodstock[#All],7,FALSE)</f>
        <v>36</v>
      </c>
      <c r="J550" s="135" t="str">
        <f>VLOOKUP(woodflow[[#This Row],[From]],woodstock[#All],8,FALSE)</f>
        <v>0</v>
      </c>
      <c r="K550" s="135" t="str">
        <f>VLOOKUP(woodflow[[#This Row],[to]],woodstock[#All],8,FALSE)</f>
        <v>0</v>
      </c>
      <c r="L550" s="136" t="str">
        <f>VLOOKUP(woodflow[[#This Row],[From]],woodstock[#All],9,FALSE)</f>
        <v>nan</v>
      </c>
      <c r="M550" s="136" t="str">
        <f>VLOOKUP(woodflow[[#This Row],[to]],woodstock[#All],9,FALSE)</f>
        <v>nan</v>
      </c>
      <c r="N550" s="131">
        <f>+'faostat-data'!Q160</f>
        <v>0.1098878395</v>
      </c>
      <c r="O550" s="126" t="s">
        <v>556</v>
      </c>
      <c r="P550" s="126"/>
      <c r="Q550" s="126" t="s">
        <v>234</v>
      </c>
    </row>
    <row r="551" spans="1:17" x14ac:dyDescent="0.3">
      <c r="A551" s="5" t="str">
        <f>CONCATENATE("F",IF(B551&lt;&gt;"",COUNTA($B$2:B551),""))</f>
        <v>F</v>
      </c>
      <c r="B551" s="126"/>
      <c r="C551" s="126"/>
      <c r="D551" s="133"/>
      <c r="E551" s="133"/>
      <c r="F551" s="126"/>
      <c r="G551" s="5"/>
      <c r="H551" s="135"/>
      <c r="I551" s="135"/>
      <c r="J551" s="135"/>
      <c r="K551" s="135"/>
      <c r="L551" s="136"/>
      <c r="M551" s="136"/>
      <c r="N551" s="131"/>
      <c r="O551" s="126"/>
      <c r="P551" s="126"/>
      <c r="Q551" s="126"/>
    </row>
    <row r="552" spans="1:17" x14ac:dyDescent="0.3">
      <c r="A552" s="5" t="str">
        <f>CONCATENATE("F",IF(B552&lt;&gt;"",COUNTA($B$2:B552),""))</f>
        <v>F</v>
      </c>
      <c r="B552" s="126"/>
      <c r="C552" s="5"/>
      <c r="D552" s="133"/>
      <c r="E552" s="133"/>
      <c r="F552" s="126"/>
      <c r="G552" s="5"/>
      <c r="H552" s="135"/>
      <c r="I552" s="135"/>
      <c r="J552" s="135"/>
      <c r="K552" s="135"/>
      <c r="L552" s="136"/>
      <c r="M552" s="136"/>
      <c r="N552" s="131"/>
      <c r="O552" s="126"/>
      <c r="P552" s="126"/>
      <c r="Q552" s="126"/>
    </row>
    <row r="553" spans="1:17" x14ac:dyDescent="0.3">
      <c r="A553" s="5" t="str">
        <f>CONCATENATE("F",IF(B553&lt;&gt;"",COUNTA($B$2:B553),""))</f>
        <v>F348</v>
      </c>
      <c r="B553" s="5" t="s">
        <v>342</v>
      </c>
      <c r="C553" s="5" t="s">
        <v>51</v>
      </c>
      <c r="D553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3" s="126">
        <f>VLOOKUP(woodflow[[#This Row],[From]],woodstock[#All],4,FALSE)</f>
        <v>2021</v>
      </c>
      <c r="G553" s="5" t="str">
        <f>VLOOKUP(woodflow[[#This Row],[From]],woodstock[#All],5,FALSE)</f>
        <v>OAS</v>
      </c>
      <c r="H553" s="135" t="str">
        <f>VLOOKUP(woodflow[[#This Row],[From]],woodstock[#All],7,FALSE)</f>
        <v>65</v>
      </c>
      <c r="I553" s="135" t="str">
        <f>VLOOKUP(woodflow[[#This Row],[to]],woodstock[#All],7,FALSE)</f>
        <v>15</v>
      </c>
      <c r="J553" s="135" t="str">
        <f>VLOOKUP(woodflow[[#This Row],[From]],woodstock[#All],8,FALSE)</f>
        <v>0</v>
      </c>
      <c r="K553" s="135" t="str">
        <f>VLOOKUP(woodflow[[#This Row],[to]],woodstock[#All],8,FALSE)</f>
        <v>1</v>
      </c>
      <c r="L553" s="136" t="str">
        <f>VLOOKUP(woodflow[[#This Row],[From]],woodstock[#All],9,FALSE)</f>
        <v>nan</v>
      </c>
      <c r="M553" s="136" t="str">
        <f>VLOOKUP(woodflow[[#This Row],[to]],woodstock[#All],9,FALSE)</f>
        <v>37-38-39-40-41-42</v>
      </c>
      <c r="N553" s="131"/>
      <c r="O553" s="126" t="s">
        <v>460</v>
      </c>
      <c r="P553" s="126"/>
      <c r="Q553" s="126"/>
    </row>
    <row r="554" spans="1:17" x14ac:dyDescent="0.3">
      <c r="A554" s="5" t="str">
        <f>CONCATENATE("F",IF(B554&lt;&gt;"",COUNTA($B$2:B554),""))</f>
        <v>F349</v>
      </c>
      <c r="B554" s="5" t="s">
        <v>342</v>
      </c>
      <c r="C554" s="5" t="s">
        <v>36</v>
      </c>
      <c r="D554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4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4" s="126">
        <f>VLOOKUP(woodflow[[#This Row],[From]],woodstock[#All],4,FALSE)</f>
        <v>2021</v>
      </c>
      <c r="G554" s="5" t="str">
        <f>VLOOKUP(woodflow[[#This Row],[From]],woodstock[#All],5,FALSE)</f>
        <v>OAS</v>
      </c>
      <c r="H554" s="135" t="str">
        <f>VLOOKUP(woodflow[[#This Row],[From]],woodstock[#All],7,FALSE)</f>
        <v>65</v>
      </c>
      <c r="I554" s="135" t="str">
        <f>VLOOKUP(woodflow[[#This Row],[to]],woodstock[#All],7,FALSE)</f>
        <v>37</v>
      </c>
      <c r="J554" s="135" t="str">
        <f>VLOOKUP(woodflow[[#This Row],[From]],woodstock[#All],8,FALSE)</f>
        <v>0</v>
      </c>
      <c r="K554" s="135" t="str">
        <f>VLOOKUP(woodflow[[#This Row],[to]],woodstock[#All],8,FALSE)</f>
        <v>0</v>
      </c>
      <c r="L554" s="136" t="str">
        <f>VLOOKUP(woodflow[[#This Row],[From]],woodstock[#All],9,FALSE)</f>
        <v>nan</v>
      </c>
      <c r="M554" s="136" t="str">
        <f>VLOOKUP(woodflow[[#This Row],[to]],woodstock[#All],9,FALSE)</f>
        <v>nan</v>
      </c>
      <c r="N554" s="131"/>
      <c r="O554" s="126" t="s">
        <v>460</v>
      </c>
      <c r="P554" s="126"/>
      <c r="Q554" s="126"/>
    </row>
    <row r="555" spans="1:17" x14ac:dyDescent="0.3">
      <c r="A555" s="5" t="str">
        <f>CONCATENATE("F",IF(B555&lt;&gt;"",COUNTA($B$2:B555),""))</f>
        <v>F350</v>
      </c>
      <c r="B555" s="5" t="s">
        <v>342</v>
      </c>
      <c r="C555" s="5" t="s">
        <v>37</v>
      </c>
      <c r="D555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5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5" s="126">
        <f>VLOOKUP(woodflow[[#This Row],[From]],woodstock[#All],4,FALSE)</f>
        <v>2021</v>
      </c>
      <c r="G555" s="5" t="str">
        <f>VLOOKUP(woodflow[[#This Row],[From]],woodstock[#All],5,FALSE)</f>
        <v>OAS</v>
      </c>
      <c r="H555" s="135" t="str">
        <f>VLOOKUP(woodflow[[#This Row],[From]],woodstock[#All],7,FALSE)</f>
        <v>65</v>
      </c>
      <c r="I555" s="135" t="str">
        <f>VLOOKUP(woodflow[[#This Row],[to]],woodstock[#All],7,FALSE)</f>
        <v>38</v>
      </c>
      <c r="J555" s="135" t="str">
        <f>VLOOKUP(woodflow[[#This Row],[From]],woodstock[#All],8,FALSE)</f>
        <v>0</v>
      </c>
      <c r="K555" s="135" t="str">
        <f>VLOOKUP(woodflow[[#This Row],[to]],woodstock[#All],8,FALSE)</f>
        <v>0</v>
      </c>
      <c r="L555" s="136" t="str">
        <f>VLOOKUP(woodflow[[#This Row],[From]],woodstock[#All],9,FALSE)</f>
        <v>nan</v>
      </c>
      <c r="M555" s="136" t="str">
        <f>VLOOKUP(woodflow[[#This Row],[to]],woodstock[#All],9,FALSE)</f>
        <v>nan</v>
      </c>
      <c r="N555" s="131"/>
      <c r="O555" s="126" t="s">
        <v>460</v>
      </c>
      <c r="P555" s="126"/>
      <c r="Q555" s="126"/>
    </row>
    <row r="556" spans="1:17" x14ac:dyDescent="0.3">
      <c r="A556" s="5" t="str">
        <f>CONCATENATE("F",IF(B556&lt;&gt;"",COUNTA($B$2:B556),""))</f>
        <v>F351</v>
      </c>
      <c r="B556" s="5" t="s">
        <v>342</v>
      </c>
      <c r="C556" s="5" t="s">
        <v>39</v>
      </c>
      <c r="D556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5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6" s="126">
        <f>VLOOKUP(woodflow[[#This Row],[From]],woodstock[#All],4,FALSE)</f>
        <v>2021</v>
      </c>
      <c r="G556" s="5" t="str">
        <f>VLOOKUP(woodflow[[#This Row],[From]],woodstock[#All],5,FALSE)</f>
        <v>OAS</v>
      </c>
      <c r="H556" s="135" t="str">
        <f>VLOOKUP(woodflow[[#This Row],[From]],woodstock[#All],7,FALSE)</f>
        <v>65</v>
      </c>
      <c r="I556" s="135" t="str">
        <f>VLOOKUP(woodflow[[#This Row],[to]],woodstock[#All],7,FALSE)</f>
        <v>39</v>
      </c>
      <c r="J556" s="135" t="str">
        <f>VLOOKUP(woodflow[[#This Row],[From]],woodstock[#All],8,FALSE)</f>
        <v>0</v>
      </c>
      <c r="K556" s="135" t="str">
        <f>VLOOKUP(woodflow[[#This Row],[to]],woodstock[#All],8,FALSE)</f>
        <v>0</v>
      </c>
      <c r="L556" s="136" t="str">
        <f>VLOOKUP(woodflow[[#This Row],[From]],woodstock[#All],9,FALSE)</f>
        <v>nan</v>
      </c>
      <c r="M556" s="136" t="str">
        <f>VLOOKUP(woodflow[[#This Row],[to]],woodstock[#All],9,FALSE)</f>
        <v>nan</v>
      </c>
      <c r="N556" s="131">
        <v>0</v>
      </c>
      <c r="O556" s="126" t="s">
        <v>556</v>
      </c>
      <c r="P556" s="126" t="s">
        <v>349</v>
      </c>
      <c r="Q556" s="126"/>
    </row>
    <row r="557" spans="1:17" x14ac:dyDescent="0.3">
      <c r="A557" s="5" t="str">
        <f>CONCATENATE("F",IF(B557&lt;&gt;"",COUNTA($B$2:B557),""))</f>
        <v>F352</v>
      </c>
      <c r="B557" s="5" t="s">
        <v>342</v>
      </c>
      <c r="C557" s="5" t="s">
        <v>40</v>
      </c>
      <c r="D557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7" s="126">
        <f>VLOOKUP(woodflow[[#This Row],[From]],woodstock[#All],4,FALSE)</f>
        <v>2021</v>
      </c>
      <c r="G557" s="5" t="str">
        <f>VLOOKUP(woodflow[[#This Row],[From]],woodstock[#All],5,FALSE)</f>
        <v>OAS</v>
      </c>
      <c r="H557" s="135" t="str">
        <f>VLOOKUP(woodflow[[#This Row],[From]],woodstock[#All],7,FALSE)</f>
        <v>65</v>
      </c>
      <c r="I557" s="135" t="str">
        <f>VLOOKUP(woodflow[[#This Row],[to]],woodstock[#All],7,FALSE)</f>
        <v>40</v>
      </c>
      <c r="J557" s="135" t="str">
        <f>VLOOKUP(woodflow[[#This Row],[From]],woodstock[#All],8,FALSE)</f>
        <v>0</v>
      </c>
      <c r="K557" s="135" t="str">
        <f>VLOOKUP(woodflow[[#This Row],[to]],woodstock[#All],8,FALSE)</f>
        <v>0</v>
      </c>
      <c r="L557" s="136" t="str">
        <f>VLOOKUP(woodflow[[#This Row],[From]],woodstock[#All],9,FALSE)</f>
        <v>nan</v>
      </c>
      <c r="M557" s="136" t="str">
        <f>VLOOKUP(woodflow[[#This Row],[to]],woodstock[#All],9,FALSE)</f>
        <v>nan</v>
      </c>
      <c r="N557" s="131"/>
      <c r="O557" s="126" t="s">
        <v>460</v>
      </c>
      <c r="P557" s="126"/>
      <c r="Q557" s="126"/>
    </row>
    <row r="558" spans="1:17" x14ac:dyDescent="0.3">
      <c r="A558" s="5" t="str">
        <f>CONCATENATE("F",IF(B558&lt;&gt;"",COUNTA($B$2:B558),""))</f>
        <v>F353</v>
      </c>
      <c r="B558" s="5" t="s">
        <v>342</v>
      </c>
      <c r="C558" s="5" t="s">
        <v>41</v>
      </c>
      <c r="D558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8" s="126">
        <f>VLOOKUP(woodflow[[#This Row],[From]],woodstock[#All],4,FALSE)</f>
        <v>2021</v>
      </c>
      <c r="G558" s="5" t="str">
        <f>VLOOKUP(woodflow[[#This Row],[From]],woodstock[#All],5,FALSE)</f>
        <v>OAS</v>
      </c>
      <c r="H558" s="135" t="str">
        <f>VLOOKUP(woodflow[[#This Row],[From]],woodstock[#All],7,FALSE)</f>
        <v>65</v>
      </c>
      <c r="I558" s="135" t="str">
        <f>VLOOKUP(woodflow[[#This Row],[to]],woodstock[#All],7,FALSE)</f>
        <v>41</v>
      </c>
      <c r="J558" s="135" t="str">
        <f>VLOOKUP(woodflow[[#This Row],[From]],woodstock[#All],8,FALSE)</f>
        <v>0</v>
      </c>
      <c r="K558" s="135" t="str">
        <f>VLOOKUP(woodflow[[#This Row],[to]],woodstock[#All],8,FALSE)</f>
        <v>0</v>
      </c>
      <c r="L558" s="136" t="str">
        <f>VLOOKUP(woodflow[[#This Row],[From]],woodstock[#All],9,FALSE)</f>
        <v>nan</v>
      </c>
      <c r="M558" s="136" t="str">
        <f>VLOOKUP(woodflow[[#This Row],[to]],woodstock[#All],9,FALSE)</f>
        <v>nan</v>
      </c>
      <c r="N558" s="131"/>
      <c r="O558" s="126" t="s">
        <v>460</v>
      </c>
      <c r="P558" s="126"/>
      <c r="Q558" s="126"/>
    </row>
    <row r="559" spans="1:17" x14ac:dyDescent="0.3">
      <c r="A559" s="5" t="str">
        <f>CONCATENATE("F",IF(B559&lt;&gt;"",COUNTA($B$2:B559),""))</f>
        <v>F354</v>
      </c>
      <c r="B559" s="5" t="s">
        <v>342</v>
      </c>
      <c r="C559" s="5" t="s">
        <v>38</v>
      </c>
      <c r="D559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9" s="126">
        <f>VLOOKUP(woodflow[[#This Row],[From]],woodstock[#All],4,FALSE)</f>
        <v>2021</v>
      </c>
      <c r="G559" s="5" t="str">
        <f>VLOOKUP(woodflow[[#This Row],[From]],woodstock[#All],5,FALSE)</f>
        <v>OAS</v>
      </c>
      <c r="H559" s="135" t="str">
        <f>VLOOKUP(woodflow[[#This Row],[From]],woodstock[#All],7,FALSE)</f>
        <v>65</v>
      </c>
      <c r="I559" s="135" t="str">
        <f>VLOOKUP(woodflow[[#This Row],[to]],woodstock[#All],7,FALSE)</f>
        <v>42</v>
      </c>
      <c r="J559" s="135" t="str">
        <f>VLOOKUP(woodflow[[#This Row],[From]],woodstock[#All],8,FALSE)</f>
        <v>0</v>
      </c>
      <c r="K559" s="135" t="str">
        <f>VLOOKUP(woodflow[[#This Row],[to]],woodstock[#All],8,FALSE)</f>
        <v>0</v>
      </c>
      <c r="L559" s="136" t="str">
        <f>VLOOKUP(woodflow[[#This Row],[From]],woodstock[#All],9,FALSE)</f>
        <v>nan</v>
      </c>
      <c r="M559" s="136" t="str">
        <f>VLOOKUP(woodflow[[#This Row],[to]],woodstock[#All],9,FALSE)</f>
        <v>nan</v>
      </c>
      <c r="N559" s="131"/>
      <c r="O559" s="126" t="s">
        <v>460</v>
      </c>
      <c r="P559" s="126"/>
      <c r="Q559" s="126"/>
    </row>
    <row r="560" spans="1:17" x14ac:dyDescent="0.3">
      <c r="A560" s="5" t="str">
        <f>CONCATENATE("F",IF(B560&lt;&gt;"",COUNTA($B$2:B560),""))</f>
        <v>F</v>
      </c>
      <c r="B560" s="126"/>
      <c r="C560" s="126"/>
      <c r="D560" s="133"/>
      <c r="E560" s="133"/>
      <c r="F560" s="126"/>
      <c r="G560" s="5"/>
      <c r="H560" s="135"/>
      <c r="I560" s="135"/>
      <c r="J560" s="135"/>
      <c r="K560" s="135"/>
      <c r="L560" s="136"/>
      <c r="M560" s="136"/>
      <c r="N560" s="131"/>
      <c r="O560" s="126"/>
      <c r="P560" s="126"/>
      <c r="Q560" s="126"/>
    </row>
    <row r="561" spans="1:17" x14ac:dyDescent="0.3">
      <c r="A561" s="5" t="str">
        <f>CONCATENATE("F",IF(B561&lt;&gt;"",COUNTA($B$2:B561),""))</f>
        <v>F</v>
      </c>
      <c r="B561" s="126"/>
      <c r="C561" s="126"/>
      <c r="D561" s="133"/>
      <c r="E561" s="133"/>
      <c r="F561" s="126"/>
      <c r="G561" s="5"/>
      <c r="H561" s="135"/>
      <c r="I561" s="135"/>
      <c r="J561" s="135"/>
      <c r="K561" s="135"/>
      <c r="L561" s="136"/>
      <c r="M561" s="136"/>
      <c r="N561" s="131"/>
      <c r="O561" s="126"/>
      <c r="P561" s="126"/>
      <c r="Q561" s="126"/>
    </row>
    <row r="562" spans="1:17" x14ac:dyDescent="0.3">
      <c r="A562" s="5" t="str">
        <f>CONCATENATE("F",IF(B562&lt;&gt;"",COUNTA($B$2:B562),""))</f>
        <v>F355</v>
      </c>
      <c r="B562" s="5" t="s">
        <v>342</v>
      </c>
      <c r="C562" s="5" t="s">
        <v>539</v>
      </c>
      <c r="D562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62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2" s="126">
        <f>VLOOKUP(woodflow[[#This Row],[From]],woodstock[#All],4,FALSE)</f>
        <v>2021</v>
      </c>
      <c r="G562" s="5" t="str">
        <f>VLOOKUP(woodflow[[#This Row],[From]],woodstock[#All],5,FALSE)</f>
        <v>OAS</v>
      </c>
      <c r="H562" s="135" t="str">
        <f>VLOOKUP(woodflow[[#This Row],[From]],woodstock[#All],7,FALSE)</f>
        <v>65</v>
      </c>
      <c r="I562" s="135" t="str">
        <f>VLOOKUP(woodflow[[#This Row],[to]],woodstock[#All],7,FALSE)</f>
        <v>59</v>
      </c>
      <c r="J562" s="135" t="str">
        <f>VLOOKUP(woodflow[[#This Row],[From]],woodstock[#All],8,FALSE)</f>
        <v>0</v>
      </c>
      <c r="K562" s="135" t="str">
        <f>VLOOKUP(woodflow[[#This Row],[to]],woodstock[#All],8,FALSE)</f>
        <v>0</v>
      </c>
      <c r="L562" s="136" t="str">
        <f>VLOOKUP(woodflow[[#This Row],[From]],woodstock[#All],9,FALSE)</f>
        <v>nan</v>
      </c>
      <c r="M562" s="136" t="str">
        <f>VLOOKUP(woodflow[[#This Row],[to]],woodstock[#All],9,FALSE)</f>
        <v>nan</v>
      </c>
      <c r="N562" s="131">
        <f>'faostat-data'!Q46</f>
        <v>0</v>
      </c>
      <c r="O562" s="126" t="s">
        <v>556</v>
      </c>
      <c r="P562" s="126"/>
      <c r="Q562" s="126" t="s">
        <v>234</v>
      </c>
    </row>
    <row r="563" spans="1:17" x14ac:dyDescent="0.3">
      <c r="A563" s="5" t="str">
        <f>CONCATENATE("F",IF(B563&lt;&gt;"",COUNTA($B$2:B563),""))</f>
        <v>F</v>
      </c>
      <c r="B563" s="126"/>
      <c r="C563" s="126"/>
      <c r="D563" s="133"/>
      <c r="E563" s="133"/>
      <c r="F563" s="126"/>
      <c r="G563" s="5"/>
      <c r="H563" s="135"/>
      <c r="I563" s="135"/>
      <c r="J563" s="135"/>
      <c r="K563" s="135"/>
      <c r="L563" s="136"/>
      <c r="M563" s="136"/>
      <c r="N563" s="131"/>
      <c r="O563" s="126"/>
      <c r="P563" s="126"/>
      <c r="Q563" s="126"/>
    </row>
    <row r="564" spans="1:17" x14ac:dyDescent="0.3">
      <c r="A564" s="5" t="str">
        <f>CONCATENATE("F",IF(B564&lt;&gt;"",COUNTA($B$2:B564),""))</f>
        <v>F</v>
      </c>
      <c r="B564" s="126"/>
      <c r="C564" s="5"/>
      <c r="D564" s="133"/>
      <c r="E564" s="133"/>
      <c r="F564" s="126"/>
      <c r="G564" s="5"/>
      <c r="H564" s="135"/>
      <c r="I564" s="135"/>
      <c r="J564" s="135"/>
      <c r="K564" s="135"/>
      <c r="L564" s="136"/>
      <c r="M564" s="136"/>
      <c r="N564" s="131"/>
      <c r="O564" s="126"/>
      <c r="P564" s="126"/>
      <c r="Q564" s="126"/>
    </row>
    <row r="565" spans="1:17" x14ac:dyDescent="0.3">
      <c r="A565" s="5" t="str">
        <f>CONCATENATE("F",IF(B565&lt;&gt;"",COUNTA($B$2:B565),""))</f>
        <v>F356</v>
      </c>
      <c r="B565" s="5" t="s">
        <v>342</v>
      </c>
      <c r="C565" s="5" t="s">
        <v>540</v>
      </c>
      <c r="D565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6.1049542137499992</v>
      </c>
      <c r="E565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5" s="126">
        <f>VLOOKUP(woodflow[[#This Row],[From]],woodstock[#All],4,FALSE)</f>
        <v>2021</v>
      </c>
      <c r="G565" s="5" t="str">
        <f>VLOOKUP(woodflow[[#This Row],[From]],woodstock[#All],5,FALSE)</f>
        <v>OAS</v>
      </c>
      <c r="H565" s="135" t="str">
        <f>VLOOKUP(woodflow[[#This Row],[From]],woodstock[#All],7,FALSE)</f>
        <v>65</v>
      </c>
      <c r="I565" s="135" t="str">
        <f>VLOOKUP(woodflow[[#This Row],[to]],woodstock[#All],7,FALSE)</f>
        <v>60</v>
      </c>
      <c r="J565" s="135" t="str">
        <f>VLOOKUP(woodflow[[#This Row],[From]],woodstock[#All],8,FALSE)</f>
        <v>0</v>
      </c>
      <c r="K565" s="135" t="str">
        <f>VLOOKUP(woodflow[[#This Row],[to]],woodstock[#All],8,FALSE)</f>
        <v>0</v>
      </c>
      <c r="L565" s="136" t="str">
        <f>VLOOKUP(woodflow[[#This Row],[From]],woodstock[#All],9,FALSE)</f>
        <v>nan</v>
      </c>
      <c r="M565" s="136" t="str">
        <f>VLOOKUP(woodflow[[#This Row],[to]],woodstock[#All],9,FALSE)</f>
        <v>nan</v>
      </c>
      <c r="N565" s="131">
        <f>'faostat-data'!Q121</f>
        <v>6.1049542137499992</v>
      </c>
      <c r="O565" s="126" t="s">
        <v>556</v>
      </c>
      <c r="P565" s="126"/>
      <c r="Q565" s="126" t="s">
        <v>234</v>
      </c>
    </row>
    <row r="566" spans="1:17" x14ac:dyDescent="0.3">
      <c r="A566" s="5" t="str">
        <f>CONCATENATE("F",IF(B566&lt;&gt;"",COUNTA($B$2:B566),""))</f>
        <v>F</v>
      </c>
      <c r="B566" s="126"/>
      <c r="C566" s="126"/>
      <c r="D566" s="133"/>
      <c r="E566" s="133"/>
      <c r="F566" s="126"/>
      <c r="G566" s="5"/>
      <c r="H566" s="135"/>
      <c r="I566" s="135"/>
      <c r="J566" s="135"/>
      <c r="K566" s="135"/>
      <c r="L566" s="136"/>
      <c r="M566" s="136"/>
      <c r="N566" s="131"/>
      <c r="O566" s="126"/>
      <c r="P566" s="126"/>
      <c r="Q566" s="126"/>
    </row>
    <row r="567" spans="1:17" x14ac:dyDescent="0.3">
      <c r="A567" s="5" t="str">
        <f>CONCATENATE("F",IF(B567&lt;&gt;"",COUNTA($B$2:B567),""))</f>
        <v>F</v>
      </c>
      <c r="B567" s="126"/>
      <c r="C567" s="126"/>
      <c r="D567" s="133"/>
      <c r="E567" s="133"/>
      <c r="F567" s="126"/>
      <c r="G567" s="5"/>
      <c r="H567" s="135"/>
      <c r="I567" s="135"/>
      <c r="J567" s="135"/>
      <c r="K567" s="135"/>
      <c r="L567" s="136"/>
      <c r="M567" s="136"/>
      <c r="N567" s="131"/>
      <c r="O567" s="126"/>
      <c r="P567" s="126"/>
      <c r="Q567" s="126"/>
    </row>
    <row r="568" spans="1:17" x14ac:dyDescent="0.3">
      <c r="A568" s="5" t="str">
        <f>CONCATENATE("F",IF(B568&lt;&gt;"",COUNTA($B$2:B568),""))</f>
        <v>F357</v>
      </c>
      <c r="B568" s="5" t="s">
        <v>265</v>
      </c>
      <c r="C568" s="5" t="s">
        <v>343</v>
      </c>
      <c r="D56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6.3911472999999999E-4</v>
      </c>
      <c r="E56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8" s="126">
        <f>VLOOKUP(woodflow[[#This Row],[From]],woodstock[#All],4,FALSE)</f>
        <v>2021</v>
      </c>
      <c r="G568" s="5" t="str">
        <f>VLOOKUP(woodflow[[#This Row],[From]],woodstock[#All],5,FALSE)</f>
        <v>OAS</v>
      </c>
      <c r="H568" s="135" t="str">
        <f>VLOOKUP(woodflow[[#This Row],[From]],woodstock[#All],7,FALSE)</f>
        <v>4</v>
      </c>
      <c r="I568" s="135" t="str">
        <f>VLOOKUP(woodflow[[#This Row],[to]],woodstock[#All],7,FALSE)</f>
        <v>66</v>
      </c>
      <c r="J568" s="135" t="str">
        <f>VLOOKUP(woodflow[[#This Row],[From]],woodstock[#All],8,FALSE)</f>
        <v>0</v>
      </c>
      <c r="K568" s="135" t="str">
        <f>VLOOKUP(woodflow[[#This Row],[to]],woodstock[#All],8,FALSE)</f>
        <v>0</v>
      </c>
      <c r="L568" s="136" t="str">
        <f>VLOOKUP(woodflow[[#This Row],[From]],woodstock[#All],9,FALSE)</f>
        <v>nan</v>
      </c>
      <c r="M568" s="136" t="str">
        <f>VLOOKUP(woodflow[[#This Row],[to]],woodstock[#All],9,FALSE)</f>
        <v>nan</v>
      </c>
      <c r="N568" s="131">
        <f>'faostat-data'!Q4</f>
        <v>6.3911472999999999E-4</v>
      </c>
      <c r="O568" s="126" t="s">
        <v>556</v>
      </c>
      <c r="P568" s="126"/>
      <c r="Q568" s="126" t="s">
        <v>234</v>
      </c>
    </row>
    <row r="569" spans="1:17" x14ac:dyDescent="0.3">
      <c r="A569" s="5" t="str">
        <f>CONCATENATE("F",IF(B569&lt;&gt;"",COUNTA($B$2:B569),""))</f>
        <v>F358</v>
      </c>
      <c r="B569" s="5" t="s">
        <v>266</v>
      </c>
      <c r="C569" s="5" t="s">
        <v>343</v>
      </c>
      <c r="D569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6.1681320000000006E-3</v>
      </c>
      <c r="E56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9" s="126">
        <f>VLOOKUP(woodflow[[#This Row],[From]],woodstock[#All],4,FALSE)</f>
        <v>2021</v>
      </c>
      <c r="G569" s="5" t="str">
        <f>VLOOKUP(woodflow[[#This Row],[From]],woodstock[#All],5,FALSE)</f>
        <v>OAS</v>
      </c>
      <c r="H569" s="135" t="str">
        <f>VLOOKUP(woodflow[[#This Row],[From]],woodstock[#All],7,FALSE)</f>
        <v>5</v>
      </c>
      <c r="I569" s="135" t="str">
        <f>VLOOKUP(woodflow[[#This Row],[to]],woodstock[#All],7,FALSE)</f>
        <v>66</v>
      </c>
      <c r="J569" s="135" t="str">
        <f>VLOOKUP(woodflow[[#This Row],[From]],woodstock[#All],8,FALSE)</f>
        <v>0</v>
      </c>
      <c r="K569" s="135" t="str">
        <f>VLOOKUP(woodflow[[#This Row],[to]],woodstock[#All],8,FALSE)</f>
        <v>0</v>
      </c>
      <c r="L569" s="136" t="str">
        <f>VLOOKUP(woodflow[[#This Row],[From]],woodstock[#All],9,FALSE)</f>
        <v>nan</v>
      </c>
      <c r="M569" s="136" t="str">
        <f>VLOOKUP(woodflow[[#This Row],[to]],woodstock[#All],9,FALSE)</f>
        <v>nan</v>
      </c>
      <c r="N569" s="131">
        <f>'faostat-data'!Q7</f>
        <v>6.1681320000000006E-3</v>
      </c>
      <c r="O569" s="126" t="s">
        <v>556</v>
      </c>
      <c r="P569" s="126"/>
      <c r="Q569" s="126" t="s">
        <v>234</v>
      </c>
    </row>
    <row r="570" spans="1:17" x14ac:dyDescent="0.3">
      <c r="A570" s="5" t="str">
        <f>CONCATENATE("F",IF(B570&lt;&gt;"",COUNTA($B$2:B570),""))</f>
        <v>F</v>
      </c>
      <c r="B570" s="126"/>
      <c r="C570" s="126"/>
      <c r="D570" s="133"/>
      <c r="E570" s="133"/>
      <c r="F570" s="126"/>
      <c r="G570" s="5"/>
      <c r="H570" s="135"/>
      <c r="I570" s="135"/>
      <c r="J570" s="135"/>
      <c r="K570" s="135"/>
      <c r="L570" s="136"/>
      <c r="M570" s="136"/>
      <c r="N570" s="131"/>
      <c r="O570" s="126"/>
      <c r="P570" s="126"/>
      <c r="Q570" s="126"/>
    </row>
    <row r="571" spans="1:17" x14ac:dyDescent="0.3">
      <c r="A571" s="5" t="str">
        <f>CONCATENATE("F",IF(B571&lt;&gt;"",COUNTA($B$2:B571),""))</f>
        <v>F</v>
      </c>
      <c r="B571" s="5"/>
      <c r="C571" s="5"/>
      <c r="D571" s="133"/>
      <c r="E571" s="133"/>
      <c r="F571" s="126"/>
      <c r="G571" s="5"/>
      <c r="H571" s="135"/>
      <c r="I571" s="135"/>
      <c r="J571" s="135"/>
      <c r="K571" s="135"/>
      <c r="L571" s="136"/>
      <c r="M571" s="136"/>
      <c r="N571" s="131"/>
      <c r="O571" s="126"/>
      <c r="P571" s="126"/>
      <c r="Q571" s="126"/>
    </row>
    <row r="572" spans="1:17" x14ac:dyDescent="0.3">
      <c r="A572" s="5" t="str">
        <f>CONCATENATE("F",IF(B572&lt;&gt;"",COUNTA($B$2:B572),""))</f>
        <v>F359</v>
      </c>
      <c r="B572" s="5" t="s">
        <v>350</v>
      </c>
      <c r="C572" s="5" t="s">
        <v>343</v>
      </c>
      <c r="D572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1.6596887500000001E-2</v>
      </c>
      <c r="E572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2" s="126">
        <f>VLOOKUP(woodflow[[#This Row],[From]],woodstock[#All],4,FALSE)</f>
        <v>2021</v>
      </c>
      <c r="G572" s="5" t="str">
        <f>VLOOKUP(woodflow[[#This Row],[From]],woodstock[#All],5,FALSE)</f>
        <v>OAS</v>
      </c>
      <c r="H572" s="135" t="str">
        <f>VLOOKUP(woodflow[[#This Row],[From]],woodstock[#All],7,FALSE)</f>
        <v>3</v>
      </c>
      <c r="I572" s="135" t="str">
        <f>VLOOKUP(woodflow[[#This Row],[to]],woodstock[#All],7,FALSE)</f>
        <v>66</v>
      </c>
      <c r="J572" s="135" t="str">
        <f>VLOOKUP(woodflow[[#This Row],[From]],woodstock[#All],8,FALSE)</f>
        <v>1</v>
      </c>
      <c r="K572" s="135" t="str">
        <f>VLOOKUP(woodflow[[#This Row],[to]],woodstock[#All],8,FALSE)</f>
        <v>0</v>
      </c>
      <c r="L572" s="136" t="str">
        <f>VLOOKUP(woodflow[[#This Row],[From]],woodstock[#All],9,FALSE)</f>
        <v>6-8-10</v>
      </c>
      <c r="M572" s="136" t="str">
        <f>VLOOKUP(woodflow[[#This Row],[to]],woodstock[#All],9,FALSE)</f>
        <v>nan</v>
      </c>
      <c r="N572" s="131">
        <f>'faostat-data'!Q11</f>
        <v>1.6596887500000001E-2</v>
      </c>
      <c r="O572" s="126" t="s">
        <v>556</v>
      </c>
      <c r="P572" s="126"/>
      <c r="Q572" s="126" t="s">
        <v>234</v>
      </c>
    </row>
    <row r="573" spans="1:17" x14ac:dyDescent="0.3">
      <c r="A573" s="5" t="str">
        <f>CONCATENATE("F",IF(B573&lt;&gt;"",COUNTA($B$2:B573),""))</f>
        <v>F360</v>
      </c>
      <c r="B573" s="5" t="s">
        <v>267</v>
      </c>
      <c r="C573" s="5" t="s">
        <v>343</v>
      </c>
      <c r="D573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3" s="126">
        <f>VLOOKUP(woodflow[[#This Row],[From]],woodstock[#All],4,FALSE)</f>
        <v>2021</v>
      </c>
      <c r="G573" s="5" t="str">
        <f>VLOOKUP(woodflow[[#This Row],[From]],woodstock[#All],5,FALSE)</f>
        <v>OAS</v>
      </c>
      <c r="H573" s="135" t="str">
        <f>VLOOKUP(woodflow[[#This Row],[From]],woodstock[#All],7,FALSE)</f>
        <v>6</v>
      </c>
      <c r="I573" s="135" t="str">
        <f>VLOOKUP(woodflow[[#This Row],[to]],woodstock[#All],7,FALSE)</f>
        <v>66</v>
      </c>
      <c r="J573" s="135" t="str">
        <f>VLOOKUP(woodflow[[#This Row],[From]],woodstock[#All],8,FALSE)</f>
        <v>0</v>
      </c>
      <c r="K573" s="135" t="str">
        <f>VLOOKUP(woodflow[[#This Row],[to]],woodstock[#All],8,FALSE)</f>
        <v>0</v>
      </c>
      <c r="L573" s="136" t="str">
        <f>VLOOKUP(woodflow[[#This Row],[From]],woodstock[#All],9,FALSE)</f>
        <v>nan</v>
      </c>
      <c r="M573" s="136" t="str">
        <f>VLOOKUP(woodflow[[#This Row],[to]],woodstock[#All],9,FALSE)</f>
        <v>nan</v>
      </c>
      <c r="N573" s="131"/>
      <c r="O573" s="126" t="s">
        <v>460</v>
      </c>
      <c r="P573" s="126"/>
      <c r="Q573" s="126"/>
    </row>
    <row r="574" spans="1:17" x14ac:dyDescent="0.3">
      <c r="A574" s="5" t="str">
        <f>CONCATENATE("F",IF(B574&lt;&gt;"",COUNTA($B$2:B574),""))</f>
        <v>F361</v>
      </c>
      <c r="B574" s="5" t="s">
        <v>270</v>
      </c>
      <c r="C574" s="5" t="s">
        <v>343</v>
      </c>
      <c r="D574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4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4" s="126">
        <f>VLOOKUP(woodflow[[#This Row],[From]],woodstock[#All],4,FALSE)</f>
        <v>2021</v>
      </c>
      <c r="G574" s="5" t="str">
        <f>VLOOKUP(woodflow[[#This Row],[From]],woodstock[#All],5,FALSE)</f>
        <v>OAS</v>
      </c>
      <c r="H574" s="135" t="str">
        <f>VLOOKUP(woodflow[[#This Row],[From]],woodstock[#All],7,FALSE)</f>
        <v>8</v>
      </c>
      <c r="I574" s="135" t="str">
        <f>VLOOKUP(woodflow[[#This Row],[to]],woodstock[#All],7,FALSE)</f>
        <v>66</v>
      </c>
      <c r="J574" s="135" t="str">
        <f>VLOOKUP(woodflow[[#This Row],[From]],woodstock[#All],8,FALSE)</f>
        <v>0</v>
      </c>
      <c r="K574" s="135" t="str">
        <f>VLOOKUP(woodflow[[#This Row],[to]],woodstock[#All],8,FALSE)</f>
        <v>0</v>
      </c>
      <c r="L574" s="136" t="str">
        <f>VLOOKUP(woodflow[[#This Row],[From]],woodstock[#All],9,FALSE)</f>
        <v>nan</v>
      </c>
      <c r="M574" s="136" t="str">
        <f>VLOOKUP(woodflow[[#This Row],[to]],woodstock[#All],9,FALSE)</f>
        <v>nan</v>
      </c>
      <c r="N574" s="131"/>
      <c r="O574" s="126" t="s">
        <v>460</v>
      </c>
      <c r="P574" s="126"/>
      <c r="Q574" s="126"/>
    </row>
    <row r="575" spans="1:17" x14ac:dyDescent="0.3">
      <c r="A575" s="5" t="str">
        <f>CONCATENATE("F",IF(B575&lt;&gt;"",COUNTA($B$2:B575),""))</f>
        <v>F362</v>
      </c>
      <c r="B575" s="5" t="s">
        <v>272</v>
      </c>
      <c r="C575" s="5" t="s">
        <v>343</v>
      </c>
      <c r="D575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5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5" s="126">
        <f>VLOOKUP(woodflow[[#This Row],[From]],woodstock[#All],4,FALSE)</f>
        <v>2021</v>
      </c>
      <c r="G575" s="5" t="str">
        <f>VLOOKUP(woodflow[[#This Row],[From]],woodstock[#All],5,FALSE)</f>
        <v>OAS</v>
      </c>
      <c r="H575" s="135" t="str">
        <f>VLOOKUP(woodflow[[#This Row],[From]],woodstock[#All],7,FALSE)</f>
        <v>10</v>
      </c>
      <c r="I575" s="135" t="str">
        <f>VLOOKUP(woodflow[[#This Row],[to]],woodstock[#All],7,FALSE)</f>
        <v>66</v>
      </c>
      <c r="J575" s="135" t="str">
        <f>VLOOKUP(woodflow[[#This Row],[From]],woodstock[#All],8,FALSE)</f>
        <v>0</v>
      </c>
      <c r="K575" s="135" t="str">
        <f>VLOOKUP(woodflow[[#This Row],[to]],woodstock[#All],8,FALSE)</f>
        <v>0</v>
      </c>
      <c r="L575" s="136" t="str">
        <f>VLOOKUP(woodflow[[#This Row],[From]],woodstock[#All],9,FALSE)</f>
        <v>nan</v>
      </c>
      <c r="M575" s="136" t="str">
        <f>VLOOKUP(woodflow[[#This Row],[to]],woodstock[#All],9,FALSE)</f>
        <v>nan</v>
      </c>
      <c r="N575" s="131"/>
      <c r="O575" s="126" t="s">
        <v>460</v>
      </c>
      <c r="P575" s="126"/>
      <c r="Q575" s="126"/>
    </row>
    <row r="576" spans="1:17" x14ac:dyDescent="0.3">
      <c r="A576" s="5" t="str">
        <f>CONCATENATE("F",IF(B576&lt;&gt;"",COUNTA($B$2:B576),""))</f>
        <v>F</v>
      </c>
      <c r="B576" s="5"/>
      <c r="C576" s="5"/>
      <c r="D576" s="133"/>
      <c r="E576" s="133"/>
      <c r="F576" s="126"/>
      <c r="G576" s="5"/>
      <c r="H576" s="135"/>
      <c r="I576" s="135"/>
      <c r="J576" s="135"/>
      <c r="K576" s="135"/>
      <c r="L576" s="136"/>
      <c r="M576" s="136"/>
      <c r="N576" s="131"/>
      <c r="O576" s="126"/>
      <c r="P576" s="126"/>
      <c r="Q576" s="126"/>
    </row>
    <row r="577" spans="1:17" x14ac:dyDescent="0.3">
      <c r="A577" s="5" t="str">
        <f>CONCATENATE("F",IF(B577&lt;&gt;"",COUNTA($B$2:B577),""))</f>
        <v>F</v>
      </c>
      <c r="B577" s="126"/>
      <c r="C577" s="126"/>
      <c r="D577" s="133"/>
      <c r="E577" s="133"/>
      <c r="F577" s="126"/>
      <c r="G577" s="5"/>
      <c r="H577" s="135"/>
      <c r="I577" s="135"/>
      <c r="J577" s="135"/>
      <c r="K577" s="135"/>
      <c r="L577" s="136"/>
      <c r="M577" s="136"/>
      <c r="N577" s="131"/>
      <c r="O577" s="126"/>
      <c r="P577" s="126"/>
      <c r="Q577" s="126"/>
    </row>
    <row r="578" spans="1:17" x14ac:dyDescent="0.3">
      <c r="A578" s="5" t="str">
        <f>CONCATENATE("F",IF(B578&lt;&gt;"",COUNTA($B$2:B578),""))</f>
        <v>F363</v>
      </c>
      <c r="B578" s="5" t="s">
        <v>351</v>
      </c>
      <c r="C578" s="5" t="s">
        <v>343</v>
      </c>
      <c r="D57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1.5044541960000002</v>
      </c>
      <c r="E57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8" s="126">
        <f>VLOOKUP(woodflow[[#This Row],[From]],woodstock[#All],4,FALSE)</f>
        <v>2021</v>
      </c>
      <c r="G578" s="5" t="str">
        <f>VLOOKUP(woodflow[[#This Row],[From]],woodstock[#All],5,FALSE)</f>
        <v>OAS</v>
      </c>
      <c r="H578" s="135" t="str">
        <f>VLOOKUP(woodflow[[#This Row],[From]],woodstock[#All],7,FALSE)</f>
        <v>4</v>
      </c>
      <c r="I578" s="135" t="str">
        <f>VLOOKUP(woodflow[[#This Row],[to]],woodstock[#All],7,FALSE)</f>
        <v>66</v>
      </c>
      <c r="J578" s="135" t="str">
        <f>VLOOKUP(woodflow[[#This Row],[From]],woodstock[#All],8,FALSE)</f>
        <v>1</v>
      </c>
      <c r="K578" s="135" t="str">
        <f>VLOOKUP(woodflow[[#This Row],[to]],woodstock[#All],8,FALSE)</f>
        <v>0</v>
      </c>
      <c r="L578" s="136" t="str">
        <f>VLOOKUP(woodflow[[#This Row],[From]],woodstock[#All],9,FALSE)</f>
        <v>7-9-11</v>
      </c>
      <c r="M578" s="136" t="str">
        <f>VLOOKUP(woodflow[[#This Row],[to]],woodstock[#All],9,FALSE)</f>
        <v>nan</v>
      </c>
      <c r="N578" s="131">
        <f>('faostat-data'!Q13+'faostat-data'!Q15)</f>
        <v>1.5044541960000002</v>
      </c>
      <c r="O578" s="126" t="s">
        <v>556</v>
      </c>
      <c r="P578" s="126"/>
      <c r="Q578" s="126" t="s">
        <v>234</v>
      </c>
    </row>
    <row r="579" spans="1:17" x14ac:dyDescent="0.3">
      <c r="A579" s="5" t="str">
        <f>CONCATENATE("F",IF(B579&lt;&gt;"",COUNTA($B$2:B579),""))</f>
        <v>F364</v>
      </c>
      <c r="B579" s="5" t="s">
        <v>268</v>
      </c>
      <c r="C579" s="5" t="s">
        <v>343</v>
      </c>
      <c r="D579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9" s="126">
        <f>VLOOKUP(woodflow[[#This Row],[From]],woodstock[#All],4,FALSE)</f>
        <v>2021</v>
      </c>
      <c r="G579" s="5" t="str">
        <f>VLOOKUP(woodflow[[#This Row],[From]],woodstock[#All],5,FALSE)</f>
        <v>OAS</v>
      </c>
      <c r="H579" s="135" t="str">
        <f>VLOOKUP(woodflow[[#This Row],[From]],woodstock[#All],7,FALSE)</f>
        <v>7</v>
      </c>
      <c r="I579" s="135" t="str">
        <f>VLOOKUP(woodflow[[#This Row],[to]],woodstock[#All],7,FALSE)</f>
        <v>66</v>
      </c>
      <c r="J579" s="135" t="str">
        <f>VLOOKUP(woodflow[[#This Row],[From]],woodstock[#All],8,FALSE)</f>
        <v>0</v>
      </c>
      <c r="K579" s="135" t="str">
        <f>VLOOKUP(woodflow[[#This Row],[to]],woodstock[#All],8,FALSE)</f>
        <v>0</v>
      </c>
      <c r="L579" s="136" t="str">
        <f>VLOOKUP(woodflow[[#This Row],[From]],woodstock[#All],9,FALSE)</f>
        <v>nan</v>
      </c>
      <c r="M579" s="136" t="str">
        <f>VLOOKUP(woodflow[[#This Row],[to]],woodstock[#All],9,FALSE)</f>
        <v>nan</v>
      </c>
      <c r="N579" s="131"/>
      <c r="O579" s="126" t="s">
        <v>460</v>
      </c>
      <c r="P579" s="126"/>
      <c r="Q579" s="126"/>
    </row>
    <row r="580" spans="1:17" x14ac:dyDescent="0.3">
      <c r="A580" s="5" t="str">
        <f>CONCATENATE("F",IF(B580&lt;&gt;"",COUNTA($B$2:B580),""))</f>
        <v>F365</v>
      </c>
      <c r="B580" s="5" t="s">
        <v>271</v>
      </c>
      <c r="C580" s="5" t="s">
        <v>343</v>
      </c>
      <c r="D580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80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0" s="126">
        <f>VLOOKUP(woodflow[[#This Row],[From]],woodstock[#All],4,FALSE)</f>
        <v>2021</v>
      </c>
      <c r="G580" s="5" t="str">
        <f>VLOOKUP(woodflow[[#This Row],[From]],woodstock[#All],5,FALSE)</f>
        <v>OAS</v>
      </c>
      <c r="H580" s="135" t="str">
        <f>VLOOKUP(woodflow[[#This Row],[From]],woodstock[#All],7,FALSE)</f>
        <v>9</v>
      </c>
      <c r="I580" s="135" t="str">
        <f>VLOOKUP(woodflow[[#This Row],[to]],woodstock[#All],7,FALSE)</f>
        <v>66</v>
      </c>
      <c r="J580" s="135" t="str">
        <f>VLOOKUP(woodflow[[#This Row],[From]],woodstock[#All],8,FALSE)</f>
        <v>0</v>
      </c>
      <c r="K580" s="135" t="str">
        <f>VLOOKUP(woodflow[[#This Row],[to]],woodstock[#All],8,FALSE)</f>
        <v>0</v>
      </c>
      <c r="L580" s="136" t="str">
        <f>VLOOKUP(woodflow[[#This Row],[From]],woodstock[#All],9,FALSE)</f>
        <v>nan</v>
      </c>
      <c r="M580" s="136" t="str">
        <f>VLOOKUP(woodflow[[#This Row],[to]],woodstock[#All],9,FALSE)</f>
        <v>nan</v>
      </c>
      <c r="N580" s="131"/>
      <c r="O580" s="126" t="s">
        <v>460</v>
      </c>
      <c r="P580" s="126"/>
      <c r="Q580" s="126"/>
    </row>
    <row r="581" spans="1:17" x14ac:dyDescent="0.3">
      <c r="A581" s="5" t="str">
        <f>CONCATENATE("F",IF(B581&lt;&gt;"",COUNTA($B$2:B581),""))</f>
        <v>F366</v>
      </c>
      <c r="B581" s="5" t="s">
        <v>273</v>
      </c>
      <c r="C581" s="5" t="s">
        <v>343</v>
      </c>
      <c r="D581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81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1" s="126">
        <f>VLOOKUP(woodflow[[#This Row],[From]],woodstock[#All],4,FALSE)</f>
        <v>2021</v>
      </c>
      <c r="G581" s="5" t="str">
        <f>VLOOKUP(woodflow[[#This Row],[From]],woodstock[#All],5,FALSE)</f>
        <v>OAS</v>
      </c>
      <c r="H581" s="135" t="str">
        <f>VLOOKUP(woodflow[[#This Row],[From]],woodstock[#All],7,FALSE)</f>
        <v>11</v>
      </c>
      <c r="I581" s="135" t="str">
        <f>VLOOKUP(woodflow[[#This Row],[to]],woodstock[#All],7,FALSE)</f>
        <v>66</v>
      </c>
      <c r="J581" s="135" t="str">
        <f>VLOOKUP(woodflow[[#This Row],[From]],woodstock[#All],8,FALSE)</f>
        <v>0</v>
      </c>
      <c r="K581" s="135" t="str">
        <f>VLOOKUP(woodflow[[#This Row],[to]],woodstock[#All],8,FALSE)</f>
        <v>0</v>
      </c>
      <c r="L581" s="136" t="str">
        <f>VLOOKUP(woodflow[[#This Row],[From]],woodstock[#All],9,FALSE)</f>
        <v>nan</v>
      </c>
      <c r="M581" s="136" t="str">
        <f>VLOOKUP(woodflow[[#This Row],[to]],woodstock[#All],9,FALSE)</f>
        <v>nan</v>
      </c>
      <c r="N581" s="131"/>
      <c r="O581" s="126" t="s">
        <v>460</v>
      </c>
      <c r="P581" s="126"/>
      <c r="Q581" s="126"/>
    </row>
    <row r="582" spans="1:17" x14ac:dyDescent="0.3">
      <c r="A582" s="5" t="str">
        <f>CONCATENATE("F",IF(B582&lt;&gt;"",COUNTA($B$2:B582),""))</f>
        <v>F</v>
      </c>
      <c r="B582" s="126"/>
      <c r="C582" s="126"/>
      <c r="D582" s="133"/>
      <c r="E582" s="133"/>
      <c r="F582" s="126"/>
      <c r="G582" s="5"/>
      <c r="H582" s="135"/>
      <c r="I582" s="135"/>
      <c r="J582" s="135"/>
      <c r="K582" s="135"/>
      <c r="L582" s="136"/>
      <c r="M582" s="136"/>
      <c r="N582" s="131"/>
      <c r="O582" s="126"/>
      <c r="P582" s="126"/>
      <c r="Q582" s="126"/>
    </row>
    <row r="583" spans="1:17" x14ac:dyDescent="0.3">
      <c r="A583" s="5" t="str">
        <f>CONCATENATE("F",IF(B583&lt;&gt;"",COUNTA($B$2:B583),""))</f>
        <v>F</v>
      </c>
      <c r="B583" s="5"/>
      <c r="C583" s="5"/>
      <c r="D583" s="133"/>
      <c r="E583" s="133"/>
      <c r="F583" s="126"/>
      <c r="G583" s="5"/>
      <c r="H583" s="135"/>
      <c r="I583" s="135"/>
      <c r="J583" s="135"/>
      <c r="K583" s="135"/>
      <c r="L583" s="136"/>
      <c r="M583" s="136"/>
      <c r="N583" s="131"/>
      <c r="O583" s="126"/>
      <c r="P583" s="126"/>
      <c r="Q583" s="126"/>
    </row>
    <row r="584" spans="1:17" x14ac:dyDescent="0.3">
      <c r="A584" s="5" t="str">
        <f>CONCATENATE("F",IF(B584&lt;&gt;"",COUNTA($B$2:B584),""))</f>
        <v>F367</v>
      </c>
      <c r="B584" s="5" t="s">
        <v>212</v>
      </c>
      <c r="C584" s="5" t="s">
        <v>343</v>
      </c>
      <c r="D584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4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4" s="126">
        <f>VLOOKUP(woodflow[[#This Row],[From]],woodstock[#All],4,FALSE)</f>
        <v>2021</v>
      </c>
      <c r="G584" s="5" t="str">
        <f>VLOOKUP(woodflow[[#This Row],[From]],woodstock[#All],5,FALSE)</f>
        <v>OAS</v>
      </c>
      <c r="H584" s="135" t="str">
        <f>VLOOKUP(woodflow[[#This Row],[From]],woodstock[#All],7,FALSE)</f>
        <v>12</v>
      </c>
      <c r="I584" s="135" t="str">
        <f>VLOOKUP(woodflow[[#This Row],[to]],woodstock[#All],7,FALSE)</f>
        <v>66</v>
      </c>
      <c r="J584" s="135" t="str">
        <f>VLOOKUP(woodflow[[#This Row],[From]],woodstock[#All],8,FALSE)</f>
        <v>0</v>
      </c>
      <c r="K584" s="135" t="str">
        <f>VLOOKUP(woodflow[[#This Row],[to]],woodstock[#All],8,FALSE)</f>
        <v>0</v>
      </c>
      <c r="L584" s="136" t="str">
        <f>VLOOKUP(woodflow[[#This Row],[From]],woodstock[#All],9,FALSE)</f>
        <v>nan</v>
      </c>
      <c r="M584" s="136" t="str">
        <f>VLOOKUP(woodflow[[#This Row],[to]],woodstock[#All],9,FALSE)</f>
        <v>nan</v>
      </c>
      <c r="N584" s="131">
        <v>0</v>
      </c>
      <c r="O584" s="126" t="s">
        <v>556</v>
      </c>
      <c r="P584" s="126"/>
      <c r="Q584" s="126" t="s">
        <v>234</v>
      </c>
    </row>
    <row r="585" spans="1:17" x14ac:dyDescent="0.3">
      <c r="A585" s="5" t="str">
        <f>CONCATENATE("F",IF(B585&lt;&gt;"",COUNTA($B$2:B585),""))</f>
        <v>F</v>
      </c>
      <c r="B585" s="5"/>
      <c r="C585" s="5"/>
      <c r="D585" s="133"/>
      <c r="E585" s="133"/>
      <c r="F585" s="126"/>
      <c r="G585" s="5"/>
      <c r="H585" s="135"/>
      <c r="I585" s="135"/>
      <c r="J585" s="135"/>
      <c r="K585" s="135"/>
      <c r="L585" s="136"/>
      <c r="M585" s="136"/>
      <c r="N585" s="131"/>
      <c r="O585" s="126"/>
      <c r="P585" s="126"/>
      <c r="Q585" s="126"/>
    </row>
    <row r="586" spans="1:17" x14ac:dyDescent="0.3">
      <c r="A586" s="5" t="str">
        <f>CONCATENATE("F",IF(B586&lt;&gt;"",COUNTA($B$2:B586),""))</f>
        <v>F</v>
      </c>
      <c r="B586" s="5"/>
      <c r="C586" s="5"/>
      <c r="D586" s="133"/>
      <c r="E586" s="133"/>
      <c r="F586" s="126"/>
      <c r="G586" s="5"/>
      <c r="H586" s="135"/>
      <c r="I586" s="135"/>
      <c r="J586" s="135"/>
      <c r="K586" s="135"/>
      <c r="L586" s="136"/>
      <c r="M586" s="136"/>
      <c r="N586" s="131"/>
      <c r="O586" s="126"/>
      <c r="P586" s="126"/>
      <c r="Q586" s="126"/>
    </row>
    <row r="587" spans="1:17" x14ac:dyDescent="0.3">
      <c r="A587" s="5" t="str">
        <f>CONCATENATE("F",IF(B587&lt;&gt;"",COUNTA($B$2:B587),""))</f>
        <v>F368</v>
      </c>
      <c r="B587" s="5" t="s">
        <v>55</v>
      </c>
      <c r="C587" s="5" t="s">
        <v>343</v>
      </c>
      <c r="D587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0.47546385207499997</v>
      </c>
      <c r="E58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7" s="126">
        <f>VLOOKUP(woodflow[[#This Row],[From]],woodstock[#All],4,FALSE)</f>
        <v>2021</v>
      </c>
      <c r="G587" s="5" t="str">
        <f>VLOOKUP(woodflow[[#This Row],[From]],woodstock[#All],5,FALSE)</f>
        <v>OAS</v>
      </c>
      <c r="H587" s="135" t="str">
        <f>VLOOKUP(woodflow[[#This Row],[From]],woodstock[#All],7,FALSE)</f>
        <v>13</v>
      </c>
      <c r="I587" s="135" t="str">
        <f>VLOOKUP(woodflow[[#This Row],[to]],woodstock[#All],7,FALSE)</f>
        <v>66</v>
      </c>
      <c r="J587" s="135" t="str">
        <f>VLOOKUP(woodflow[[#This Row],[From]],woodstock[#All],8,FALSE)</f>
        <v>0</v>
      </c>
      <c r="K587" s="135" t="str">
        <f>VLOOKUP(woodflow[[#This Row],[to]],woodstock[#All],8,FALSE)</f>
        <v>0</v>
      </c>
      <c r="L587" s="136" t="str">
        <f>VLOOKUP(woodflow[[#This Row],[From]],woodstock[#All],9,FALSE)</f>
        <v>nan</v>
      </c>
      <c r="M587" s="136" t="str">
        <f>VLOOKUP(woodflow[[#This Row],[to]],woodstock[#All],9,FALSE)</f>
        <v>nan</v>
      </c>
      <c r="N587" s="131">
        <f>'faostat-data'!Q37</f>
        <v>0.47546385207499997</v>
      </c>
      <c r="O587" s="126" t="s">
        <v>556</v>
      </c>
      <c r="P587" s="126"/>
      <c r="Q587" s="126" t="s">
        <v>234</v>
      </c>
    </row>
    <row r="588" spans="1:17" x14ac:dyDescent="0.3">
      <c r="A588" s="5" t="str">
        <f>CONCATENATE("F",IF(B588&lt;&gt;"",COUNTA($B$2:B588),""))</f>
        <v>F369</v>
      </c>
      <c r="B588" s="5" t="s">
        <v>179</v>
      </c>
      <c r="C588" s="5" t="s">
        <v>343</v>
      </c>
      <c r="D58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8" s="126">
        <f>VLOOKUP(woodflow[[#This Row],[From]],woodstock[#All],4,FALSE)</f>
        <v>2021</v>
      </c>
      <c r="G588" s="5" t="str">
        <f>VLOOKUP(woodflow[[#This Row],[From]],woodstock[#All],5,FALSE)</f>
        <v>OAS</v>
      </c>
      <c r="H588" s="135" t="str">
        <f>VLOOKUP(woodflow[[#This Row],[From]],woodstock[#All],7,FALSE)</f>
        <v>14</v>
      </c>
      <c r="I588" s="135" t="str">
        <f>VLOOKUP(woodflow[[#This Row],[to]],woodstock[#All],7,FALSE)</f>
        <v>66</v>
      </c>
      <c r="J588" s="135" t="str">
        <f>VLOOKUP(woodflow[[#This Row],[From]],woodstock[#All],8,FALSE)</f>
        <v>0</v>
      </c>
      <c r="K588" s="135" t="str">
        <f>VLOOKUP(woodflow[[#This Row],[to]],woodstock[#All],8,FALSE)</f>
        <v>0</v>
      </c>
      <c r="L588" s="136" t="str">
        <f>VLOOKUP(woodflow[[#This Row],[From]],woodstock[#All],9,FALSE)</f>
        <v>nan</v>
      </c>
      <c r="M588" s="136" t="str">
        <f>VLOOKUP(woodflow[[#This Row],[to]],woodstock[#All],9,FALSE)</f>
        <v>nan</v>
      </c>
      <c r="N588" s="131">
        <v>0</v>
      </c>
      <c r="O588" s="126" t="s">
        <v>556</v>
      </c>
      <c r="P588" s="126"/>
      <c r="Q588" s="126" t="s">
        <v>234</v>
      </c>
    </row>
    <row r="589" spans="1:17" x14ac:dyDescent="0.3">
      <c r="A589" s="5" t="str">
        <f>CONCATENATE("F",IF(B589&lt;&gt;"",COUNTA($B$2:B589),""))</f>
        <v>F</v>
      </c>
      <c r="B589" s="126"/>
      <c r="C589" s="126"/>
      <c r="D589" s="133"/>
      <c r="E589" s="133"/>
      <c r="F589" s="126"/>
      <c r="G589" s="5"/>
      <c r="H589" s="135"/>
      <c r="I589" s="135"/>
      <c r="J589" s="135"/>
      <c r="K589" s="135"/>
      <c r="L589" s="136"/>
      <c r="M589" s="136"/>
      <c r="N589" s="131"/>
      <c r="O589" s="126"/>
      <c r="P589" s="126"/>
      <c r="Q589" s="126"/>
    </row>
    <row r="590" spans="1:17" x14ac:dyDescent="0.3">
      <c r="A590" s="5" t="str">
        <f>CONCATENATE("F",IF(B590&lt;&gt;"",COUNTA($B$2:B590),""))</f>
        <v>F</v>
      </c>
      <c r="B590" s="5"/>
      <c r="C590" s="5"/>
      <c r="D590" s="133"/>
      <c r="E590" s="133"/>
      <c r="F590" s="126"/>
      <c r="G590" s="5"/>
      <c r="H590" s="135"/>
      <c r="I590" s="135"/>
      <c r="J590" s="135"/>
      <c r="K590" s="135"/>
      <c r="L590" s="136"/>
      <c r="M590" s="136"/>
      <c r="N590" s="131"/>
      <c r="O590" s="126"/>
      <c r="P590" s="126"/>
      <c r="Q590" s="126"/>
    </row>
    <row r="591" spans="1:17" x14ac:dyDescent="0.3">
      <c r="A591" s="5" t="str">
        <f>CONCATENATE("F",IF(B591&lt;&gt;"",COUNTA($B$2:B591),""))</f>
        <v>F370</v>
      </c>
      <c r="B591" s="5" t="s">
        <v>65</v>
      </c>
      <c r="C591" s="5" t="s">
        <v>343</v>
      </c>
      <c r="D591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6.2691527426631497</v>
      </c>
      <c r="E591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1" s="126">
        <f>VLOOKUP(woodflow[[#This Row],[From]],woodstock[#All],4,FALSE)</f>
        <v>2021</v>
      </c>
      <c r="G591" s="5" t="str">
        <f>VLOOKUP(woodflow[[#This Row],[From]],woodstock[#All],5,FALSE)</f>
        <v>OAS</v>
      </c>
      <c r="H591" s="135" t="str">
        <f>VLOOKUP(woodflow[[#This Row],[From]],woodstock[#All],7,FALSE)</f>
        <v>9</v>
      </c>
      <c r="I591" s="135" t="str">
        <f>VLOOKUP(woodflow[[#This Row],[to]],woodstock[#All],7,FALSE)</f>
        <v>66</v>
      </c>
      <c r="J591" s="135" t="str">
        <f>VLOOKUP(woodflow[[#This Row],[From]],woodstock[#All],8,FALSE)</f>
        <v>1</v>
      </c>
      <c r="K591" s="135" t="str">
        <f>VLOOKUP(woodflow[[#This Row],[to]],woodstock[#All],8,FALSE)</f>
        <v>0</v>
      </c>
      <c r="L591" s="136" t="str">
        <f>VLOOKUP(woodflow[[#This Row],[From]],woodstock[#All],9,FALSE)</f>
        <v>15-16</v>
      </c>
      <c r="M591" s="136" t="str">
        <f>VLOOKUP(woodflow[[#This Row],[to]],woodstock[#All],9,FALSE)</f>
        <v>nan</v>
      </c>
      <c r="N591" s="131">
        <f>SUM(N592:N593)</f>
        <v>6.2691527426631497</v>
      </c>
      <c r="O591" s="126" t="s">
        <v>556</v>
      </c>
      <c r="P591" s="126"/>
      <c r="Q591" s="126" t="s">
        <v>234</v>
      </c>
    </row>
    <row r="592" spans="1:17" x14ac:dyDescent="0.3">
      <c r="A592" s="5" t="str">
        <f>CONCATENATE("F",IF(B592&lt;&gt;"",COUNTA($B$2:B592),""))</f>
        <v>F371</v>
      </c>
      <c r="B592" s="5" t="s">
        <v>53</v>
      </c>
      <c r="C592" s="5" t="s">
        <v>343</v>
      </c>
      <c r="D592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6.254763676954731</v>
      </c>
      <c r="E592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2" s="126">
        <f>VLOOKUP(woodflow[[#This Row],[From]],woodstock[#All],4,FALSE)</f>
        <v>2021</v>
      </c>
      <c r="G592" s="5" t="str">
        <f>VLOOKUP(woodflow[[#This Row],[From]],woodstock[#All],5,FALSE)</f>
        <v>OAS</v>
      </c>
      <c r="H592" s="135" t="str">
        <f>VLOOKUP(woodflow[[#This Row],[From]],woodstock[#All],7,FALSE)</f>
        <v>15</v>
      </c>
      <c r="I592" s="135" t="str">
        <f>VLOOKUP(woodflow[[#This Row],[to]],woodstock[#All],7,FALSE)</f>
        <v>66</v>
      </c>
      <c r="J592" s="135" t="str">
        <f>VLOOKUP(woodflow[[#This Row],[From]],woodstock[#All],8,FALSE)</f>
        <v>0</v>
      </c>
      <c r="K592" s="135" t="str">
        <f>VLOOKUP(woodflow[[#This Row],[to]],woodstock[#All],8,FALSE)</f>
        <v>0</v>
      </c>
      <c r="L592" s="136" t="str">
        <f>VLOOKUP(woodflow[[#This Row],[From]],woodstock[#All],9,FALSE)</f>
        <v>nan</v>
      </c>
      <c r="M592" s="136" t="str">
        <f>VLOOKUP(woodflow[[#This Row],[to]],woodstock[#All],9,FALSE)</f>
        <v>nan</v>
      </c>
      <c r="N592" s="131">
        <f>'faostat-data'!Q41</f>
        <v>6.254763676954731</v>
      </c>
      <c r="O592" s="126" t="s">
        <v>556</v>
      </c>
      <c r="P592" s="126"/>
      <c r="Q592" s="126" t="s">
        <v>234</v>
      </c>
    </row>
    <row r="593" spans="1:17" x14ac:dyDescent="0.3">
      <c r="A593" s="5" t="str">
        <f>CONCATENATE("F",IF(B593&lt;&gt;"",COUNTA($B$2:B593),""))</f>
        <v>F372</v>
      </c>
      <c r="B593" s="5" t="s">
        <v>54</v>
      </c>
      <c r="C593" s="5" t="s">
        <v>343</v>
      </c>
      <c r="D593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1.4389065708418889E-2</v>
      </c>
      <c r="E59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3" s="126">
        <f>VLOOKUP(woodflow[[#This Row],[From]],woodstock[#All],4,FALSE)</f>
        <v>2021</v>
      </c>
      <c r="G593" s="5" t="str">
        <f>VLOOKUP(woodflow[[#This Row],[From]],woodstock[#All],5,FALSE)</f>
        <v>OAS</v>
      </c>
      <c r="H593" s="135" t="str">
        <f>VLOOKUP(woodflow[[#This Row],[From]],woodstock[#All],7,FALSE)</f>
        <v>16</v>
      </c>
      <c r="I593" s="135" t="str">
        <f>VLOOKUP(woodflow[[#This Row],[to]],woodstock[#All],7,FALSE)</f>
        <v>66</v>
      </c>
      <c r="J593" s="135" t="str">
        <f>VLOOKUP(woodflow[[#This Row],[From]],woodstock[#All],8,FALSE)</f>
        <v>0</v>
      </c>
      <c r="K593" s="135" t="str">
        <f>VLOOKUP(woodflow[[#This Row],[to]],woodstock[#All],8,FALSE)</f>
        <v>0</v>
      </c>
      <c r="L593" s="136" t="str">
        <f>VLOOKUP(woodflow[[#This Row],[From]],woodstock[#All],9,FALSE)</f>
        <v>nan</v>
      </c>
      <c r="M593" s="136" t="str">
        <f>VLOOKUP(woodflow[[#This Row],[to]],woodstock[#All],9,FALSE)</f>
        <v>nan</v>
      </c>
      <c r="N593" s="131">
        <f>'faostat-data'!Q44</f>
        <v>1.4389065708418889E-2</v>
      </c>
      <c r="O593" s="126" t="s">
        <v>556</v>
      </c>
      <c r="P593" s="126"/>
      <c r="Q593" s="126" t="s">
        <v>234</v>
      </c>
    </row>
    <row r="594" spans="1:17" x14ac:dyDescent="0.3">
      <c r="A594" s="5" t="str">
        <f>CONCATENATE("F",IF(B594&lt;&gt;"",COUNTA($B$2:B594),""))</f>
        <v>F</v>
      </c>
      <c r="B594" s="5"/>
      <c r="C594" s="5"/>
      <c r="D594" s="133"/>
      <c r="E594" s="133"/>
      <c r="F594" s="126"/>
      <c r="G594" s="5"/>
      <c r="H594" s="135"/>
      <c r="I594" s="135"/>
      <c r="J594" s="135"/>
      <c r="K594" s="135"/>
      <c r="L594" s="136"/>
      <c r="M594" s="136"/>
      <c r="N594" s="131"/>
      <c r="O594" s="126"/>
      <c r="P594" s="126"/>
      <c r="Q594" s="126"/>
    </row>
    <row r="595" spans="1:17" x14ac:dyDescent="0.3">
      <c r="A595" s="5" t="str">
        <f>CONCATENATE("F",IF(B595&lt;&gt;"",COUNTA($B$2:B595),""))</f>
        <v>F</v>
      </c>
      <c r="B595" s="126"/>
      <c r="C595" s="126"/>
      <c r="D595" s="133"/>
      <c r="E595" s="133"/>
      <c r="F595" s="126"/>
      <c r="G595" s="5"/>
      <c r="H595" s="135"/>
      <c r="I595" s="135"/>
      <c r="J595" s="135"/>
      <c r="K595" s="135"/>
      <c r="L595" s="136"/>
      <c r="M595" s="136"/>
      <c r="N595" s="131"/>
      <c r="O595" s="126"/>
      <c r="P595" s="126"/>
      <c r="Q595" s="126"/>
    </row>
    <row r="596" spans="1:17" x14ac:dyDescent="0.3">
      <c r="A596" s="5" t="str">
        <f>CONCATENATE("F",IF(B596&lt;&gt;"",COUNTA($B$2:B596),""))</f>
        <v>F373</v>
      </c>
      <c r="B596" s="5" t="s">
        <v>47</v>
      </c>
      <c r="C596" s="5" t="s">
        <v>343</v>
      </c>
      <c r="D596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2.1724660398749998</v>
      </c>
      <c r="E59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6" s="126">
        <f>VLOOKUP(woodflow[[#This Row],[From]],woodstock[#All],4,FALSE)</f>
        <v>2021</v>
      </c>
      <c r="G596" s="5" t="str">
        <f>VLOOKUP(woodflow[[#This Row],[From]],woodstock[#All],5,FALSE)</f>
        <v>OAS</v>
      </c>
      <c r="H596" s="135" t="str">
        <f>VLOOKUP(woodflow[[#This Row],[From]],woodstock[#All],7,FALSE)</f>
        <v>17</v>
      </c>
      <c r="I596" s="135" t="str">
        <f>VLOOKUP(woodflow[[#This Row],[to]],woodstock[#All],7,FALSE)</f>
        <v>66</v>
      </c>
      <c r="J596" s="135" t="str">
        <f>VLOOKUP(woodflow[[#This Row],[From]],woodstock[#All],8,FALSE)</f>
        <v>0</v>
      </c>
      <c r="K596" s="135" t="str">
        <f>VLOOKUP(woodflow[[#This Row],[to]],woodstock[#All],8,FALSE)</f>
        <v>0</v>
      </c>
      <c r="L596" s="136" t="str">
        <f>VLOOKUP(woodflow[[#This Row],[From]],woodstock[#All],9,FALSE)</f>
        <v>nan</v>
      </c>
      <c r="M596" s="136" t="str">
        <f>VLOOKUP(woodflow[[#This Row],[to]],woodstock[#All],9,FALSE)</f>
        <v>nan</v>
      </c>
      <c r="N596" s="131">
        <f>('faostat-data'!Q38+'faostat-data'!Q50)</f>
        <v>2.1724660398749998</v>
      </c>
      <c r="O596" s="126" t="s">
        <v>556</v>
      </c>
      <c r="P596" s="126"/>
      <c r="Q596" s="126" t="s">
        <v>234</v>
      </c>
    </row>
    <row r="597" spans="1:17" x14ac:dyDescent="0.3">
      <c r="A597" s="5" t="str">
        <f>CONCATENATE("F",IF(B597&lt;&gt;"",COUNTA($B$2:B597),""))</f>
        <v>F</v>
      </c>
      <c r="B597" s="5"/>
      <c r="C597" s="5"/>
      <c r="D597" s="133"/>
      <c r="E597" s="133"/>
      <c r="F597" s="126"/>
      <c r="G597" s="5"/>
      <c r="H597" s="135"/>
      <c r="I597" s="135"/>
      <c r="J597" s="135"/>
      <c r="K597" s="135"/>
      <c r="L597" s="136"/>
      <c r="M597" s="136"/>
      <c r="N597" s="131"/>
      <c r="O597" s="126"/>
      <c r="P597" s="126"/>
      <c r="Q597" s="126"/>
    </row>
    <row r="598" spans="1:17" x14ac:dyDescent="0.3">
      <c r="A598" s="5" t="str">
        <f>CONCATENATE("F",IF(B598&lt;&gt;"",COUNTA($B$2:B598),""))</f>
        <v>F</v>
      </c>
      <c r="B598" s="5"/>
      <c r="C598" s="5"/>
      <c r="D598" s="133"/>
      <c r="E598" s="133"/>
      <c r="F598" s="126"/>
      <c r="G598" s="5"/>
      <c r="H598" s="135"/>
      <c r="I598" s="135"/>
      <c r="J598" s="135"/>
      <c r="K598" s="135"/>
      <c r="L598" s="136"/>
      <c r="M598" s="136"/>
      <c r="N598" s="131"/>
      <c r="O598" s="126"/>
      <c r="P598" s="126"/>
      <c r="Q598" s="126"/>
    </row>
    <row r="599" spans="1:17" x14ac:dyDescent="0.3">
      <c r="A599" s="5" t="str">
        <f>CONCATENATE("F",IF(B599&lt;&gt;"",COUNTA($B$2:B599),""))</f>
        <v>F374</v>
      </c>
      <c r="B599" s="5" t="s">
        <v>48</v>
      </c>
      <c r="C599" s="5" t="s">
        <v>343</v>
      </c>
      <c r="D599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2.2527821776249994</v>
      </c>
      <c r="E59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9" s="126">
        <f>VLOOKUP(woodflow[[#This Row],[From]],woodstock[#All],4,FALSE)</f>
        <v>2021</v>
      </c>
      <c r="G599" s="5" t="str">
        <f>VLOOKUP(woodflow[[#This Row],[From]],woodstock[#All],5,FALSE)</f>
        <v>OAS</v>
      </c>
      <c r="H599" s="135" t="str">
        <f>VLOOKUP(woodflow[[#This Row],[From]],woodstock[#All],7,FALSE)</f>
        <v>10</v>
      </c>
      <c r="I599" s="135" t="str">
        <f>VLOOKUP(woodflow[[#This Row],[to]],woodstock[#All],7,FALSE)</f>
        <v>66</v>
      </c>
      <c r="J599" s="135" t="str">
        <f>VLOOKUP(woodflow[[#This Row],[From]],woodstock[#All],8,FALSE)</f>
        <v>1</v>
      </c>
      <c r="K599" s="135" t="str">
        <f>VLOOKUP(woodflow[[#This Row],[to]],woodstock[#All],8,FALSE)</f>
        <v>0</v>
      </c>
      <c r="L599" s="136" t="str">
        <f>VLOOKUP(woodflow[[#This Row],[From]],woodstock[#All],9,FALSE)</f>
        <v>18-19</v>
      </c>
      <c r="M599" s="136" t="str">
        <f>VLOOKUP(woodflow[[#This Row],[to]],woodstock[#All],9,FALSE)</f>
        <v>nan</v>
      </c>
      <c r="N599" s="131">
        <f>SUM(N600:N601)</f>
        <v>2.2527821776249994</v>
      </c>
      <c r="O599" s="126" t="s">
        <v>556</v>
      </c>
      <c r="P599" s="126"/>
      <c r="Q599" s="126" t="s">
        <v>234</v>
      </c>
    </row>
    <row r="600" spans="1:17" x14ac:dyDescent="0.3">
      <c r="A600" s="5" t="str">
        <f>CONCATENATE("F",IF(B600&lt;&gt;"",COUNTA($B$2:B600),""))</f>
        <v>F375</v>
      </c>
      <c r="B600" s="5" t="s">
        <v>274</v>
      </c>
      <c r="C600" s="5" t="s">
        <v>343</v>
      </c>
      <c r="D600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1.7660193250000001E-2</v>
      </c>
      <c r="E600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0" s="126">
        <f>VLOOKUP(woodflow[[#This Row],[From]],woodstock[#All],4,FALSE)</f>
        <v>2021</v>
      </c>
      <c r="G600" s="5" t="str">
        <f>VLOOKUP(woodflow[[#This Row],[From]],woodstock[#All],5,FALSE)</f>
        <v>OAS</v>
      </c>
      <c r="H600" s="135" t="str">
        <f>VLOOKUP(woodflow[[#This Row],[From]],woodstock[#All],7,FALSE)</f>
        <v>18</v>
      </c>
      <c r="I600" s="135" t="str">
        <f>VLOOKUP(woodflow[[#This Row],[to]],woodstock[#All],7,FALSE)</f>
        <v>66</v>
      </c>
      <c r="J600" s="135" t="str">
        <f>VLOOKUP(woodflow[[#This Row],[From]],woodstock[#All],8,FALSE)</f>
        <v>0</v>
      </c>
      <c r="K600" s="135" t="str">
        <f>VLOOKUP(woodflow[[#This Row],[to]],woodstock[#All],8,FALSE)</f>
        <v>0</v>
      </c>
      <c r="L600" s="136" t="str">
        <f>VLOOKUP(woodflow[[#This Row],[From]],woodstock[#All],9,FALSE)</f>
        <v>nan</v>
      </c>
      <c r="M600" s="136" t="str">
        <f>VLOOKUP(woodflow[[#This Row],[to]],woodstock[#All],9,FALSE)</f>
        <v>nan</v>
      </c>
      <c r="N600" s="131">
        <f>'faostat-data'!Q53</f>
        <v>1.7660193250000001E-2</v>
      </c>
      <c r="O600" s="126" t="s">
        <v>556</v>
      </c>
      <c r="P600" s="126"/>
      <c r="Q600" s="126" t="s">
        <v>234</v>
      </c>
    </row>
    <row r="601" spans="1:17" x14ac:dyDescent="0.3">
      <c r="A601" s="5" t="str">
        <f>CONCATENATE("F",IF(B601&lt;&gt;"",COUNTA($B$2:B601),""))</f>
        <v>F376</v>
      </c>
      <c r="B601" s="5" t="s">
        <v>275</v>
      </c>
      <c r="C601" s="5" t="s">
        <v>343</v>
      </c>
      <c r="D601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2.2351219843749996</v>
      </c>
      <c r="E601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1" s="126">
        <f>VLOOKUP(woodflow[[#This Row],[From]],woodstock[#All],4,FALSE)</f>
        <v>2021</v>
      </c>
      <c r="G601" s="5" t="str">
        <f>VLOOKUP(woodflow[[#This Row],[From]],woodstock[#All],5,FALSE)</f>
        <v>OAS</v>
      </c>
      <c r="H601" s="135" t="str">
        <f>VLOOKUP(woodflow[[#This Row],[From]],woodstock[#All],7,FALSE)</f>
        <v>19</v>
      </c>
      <c r="I601" s="135" t="str">
        <f>VLOOKUP(woodflow[[#This Row],[to]],woodstock[#All],7,FALSE)</f>
        <v>66</v>
      </c>
      <c r="J601" s="135" t="str">
        <f>VLOOKUP(woodflow[[#This Row],[From]],woodstock[#All],8,FALSE)</f>
        <v>0</v>
      </c>
      <c r="K601" s="135" t="str">
        <f>VLOOKUP(woodflow[[#This Row],[to]],woodstock[#All],8,FALSE)</f>
        <v>0</v>
      </c>
      <c r="L601" s="136" t="str">
        <f>VLOOKUP(woodflow[[#This Row],[From]],woodstock[#All],9,FALSE)</f>
        <v>nan</v>
      </c>
      <c r="M601" s="136" t="str">
        <f>VLOOKUP(woodflow[[#This Row],[to]],woodstock[#All],9,FALSE)</f>
        <v>nan</v>
      </c>
      <c r="N601" s="131">
        <f>'faostat-data'!Q56</f>
        <v>2.2351219843749996</v>
      </c>
      <c r="O601" s="126" t="s">
        <v>556</v>
      </c>
      <c r="P601" s="126"/>
      <c r="Q601" s="126" t="s">
        <v>234</v>
      </c>
    </row>
    <row r="602" spans="1:17" x14ac:dyDescent="0.3">
      <c r="A602" s="5" t="str">
        <f>CONCATENATE("F",IF(B602&lt;&gt;"",COUNTA($B$2:B602),""))</f>
        <v>F</v>
      </c>
      <c r="B602" s="126"/>
      <c r="C602" s="126"/>
      <c r="D602" s="133"/>
      <c r="E602" s="133"/>
      <c r="F602" s="126"/>
      <c r="G602" s="5"/>
      <c r="H602" s="135"/>
      <c r="I602" s="135"/>
      <c r="J602" s="135"/>
      <c r="K602" s="135"/>
      <c r="L602" s="136"/>
      <c r="M602" s="136"/>
      <c r="N602" s="131"/>
      <c r="O602" s="126"/>
      <c r="P602" s="126"/>
      <c r="Q602" s="126"/>
    </row>
    <row r="603" spans="1:17" x14ac:dyDescent="0.3">
      <c r="A603" s="5" t="str">
        <f>CONCATENATE("F",IF(B603&lt;&gt;"",COUNTA($B$2:B603),""))</f>
        <v>F</v>
      </c>
      <c r="B603" s="5"/>
      <c r="C603" s="5"/>
      <c r="D603" s="133"/>
      <c r="E603" s="133"/>
      <c r="F603" s="126"/>
      <c r="G603" s="5"/>
      <c r="H603" s="135"/>
      <c r="I603" s="135"/>
      <c r="J603" s="135"/>
      <c r="K603" s="135"/>
      <c r="L603" s="136"/>
      <c r="M603" s="136"/>
      <c r="N603" s="131"/>
      <c r="O603" s="126"/>
      <c r="P603" s="126"/>
      <c r="Q603" s="126"/>
    </row>
    <row r="604" spans="1:17" x14ac:dyDescent="0.3">
      <c r="A604" s="5" t="str">
        <f>CONCATENATE("F",IF(B604&lt;&gt;"",COUNTA($B$2:B604),""))</f>
        <v>F377</v>
      </c>
      <c r="B604" s="5" t="s">
        <v>49</v>
      </c>
      <c r="C604" s="5" t="s">
        <v>343</v>
      </c>
      <c r="D604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0.92686527225000004</v>
      </c>
      <c r="E604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4" s="126">
        <f>VLOOKUP(woodflow[[#This Row],[From]],woodstock[#All],4,FALSE)</f>
        <v>2021</v>
      </c>
      <c r="G604" s="5" t="str">
        <f>VLOOKUP(woodflow[[#This Row],[From]],woodstock[#All],5,FALSE)</f>
        <v>OAS</v>
      </c>
      <c r="H604" s="135" t="str">
        <f>VLOOKUP(woodflow[[#This Row],[From]],woodstock[#All],7,FALSE)</f>
        <v>20</v>
      </c>
      <c r="I604" s="135" t="str">
        <f>VLOOKUP(woodflow[[#This Row],[to]],woodstock[#All],7,FALSE)</f>
        <v>66</v>
      </c>
      <c r="J604" s="135" t="str">
        <f>VLOOKUP(woodflow[[#This Row],[From]],woodstock[#All],8,FALSE)</f>
        <v>0</v>
      </c>
      <c r="K604" s="135" t="str">
        <f>VLOOKUP(woodflow[[#This Row],[to]],woodstock[#All],8,FALSE)</f>
        <v>0</v>
      </c>
      <c r="L604" s="136" t="str">
        <f>VLOOKUP(woodflow[[#This Row],[From]],woodstock[#All],9,FALSE)</f>
        <v>nan</v>
      </c>
      <c r="M604" s="136" t="str">
        <f>VLOOKUP(woodflow[[#This Row],[to]],woodstock[#All],9,FALSE)</f>
        <v>nan</v>
      </c>
      <c r="N604" s="131">
        <f>'faostat-data'!Q59</f>
        <v>0.92686527225000004</v>
      </c>
      <c r="O604" s="126" t="s">
        <v>556</v>
      </c>
      <c r="P604" s="126"/>
      <c r="Q604" s="126" t="s">
        <v>234</v>
      </c>
    </row>
    <row r="605" spans="1:17" x14ac:dyDescent="0.3">
      <c r="A605" s="5" t="str">
        <f>CONCATENATE("F",IF(B605&lt;&gt;"",COUNTA($B$2:B605),""))</f>
        <v>F</v>
      </c>
      <c r="B605" s="126"/>
      <c r="C605" s="126"/>
      <c r="D605" s="133"/>
      <c r="E605" s="133"/>
      <c r="F605" s="126"/>
      <c r="G605" s="5"/>
      <c r="H605" s="135"/>
      <c r="I605" s="135"/>
      <c r="J605" s="135"/>
      <c r="K605" s="135"/>
      <c r="L605" s="136"/>
      <c r="M605" s="136"/>
      <c r="N605" s="131"/>
      <c r="O605" s="126"/>
      <c r="P605" s="126"/>
      <c r="Q605" s="138"/>
    </row>
    <row r="606" spans="1:17" x14ac:dyDescent="0.3">
      <c r="A606" s="5" t="str">
        <f>CONCATENATE("F",IF(B606&lt;&gt;"",COUNTA($B$2:B606),""))</f>
        <v>F</v>
      </c>
      <c r="B606" s="5"/>
      <c r="C606" s="5"/>
      <c r="D606" s="133"/>
      <c r="E606" s="133"/>
      <c r="F606" s="126"/>
      <c r="G606" s="5"/>
      <c r="H606" s="135"/>
      <c r="I606" s="135"/>
      <c r="J606" s="135"/>
      <c r="K606" s="135"/>
      <c r="L606" s="136"/>
      <c r="M606" s="136"/>
      <c r="N606" s="131"/>
      <c r="O606" s="126"/>
      <c r="P606" s="126"/>
      <c r="Q606" s="126"/>
    </row>
    <row r="607" spans="1:17" x14ac:dyDescent="0.3">
      <c r="A607" s="5" t="str">
        <f>CONCATENATE("F",IF(B607&lt;&gt;"",COUNTA($B$2:B607),""))</f>
        <v>F378</v>
      </c>
      <c r="B607" s="5" t="s">
        <v>52</v>
      </c>
      <c r="C607" s="5" t="s">
        <v>343</v>
      </c>
      <c r="D607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4.407072790075194</v>
      </c>
      <c r="E60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7" s="126">
        <f>VLOOKUP(woodflow[[#This Row],[From]],woodstock[#All],4,FALSE)</f>
        <v>2021</v>
      </c>
      <c r="G607" s="5" t="str">
        <f>VLOOKUP(woodflow[[#This Row],[From]],woodstock[#All],5,FALSE)</f>
        <v>OAS</v>
      </c>
      <c r="H607" s="135" t="str">
        <f>VLOOKUP(woodflow[[#This Row],[From]],woodstock[#All],7,FALSE)</f>
        <v>11</v>
      </c>
      <c r="I607" s="135" t="str">
        <f>VLOOKUP(woodflow[[#This Row],[to]],woodstock[#All],7,FALSE)</f>
        <v>66</v>
      </c>
      <c r="J607" s="135" t="str">
        <f>VLOOKUP(woodflow[[#This Row],[From]],woodstock[#All],8,FALSE)</f>
        <v>1</v>
      </c>
      <c r="K607" s="135" t="str">
        <f>VLOOKUP(woodflow[[#This Row],[to]],woodstock[#All],8,FALSE)</f>
        <v>0</v>
      </c>
      <c r="L607" s="136" t="str">
        <f>VLOOKUP(woodflow[[#This Row],[From]],woodstock[#All],9,FALSE)</f>
        <v>21-22-23-24-25-26</v>
      </c>
      <c r="M607" s="136" t="str">
        <f>VLOOKUP(woodflow[[#This Row],[to]],woodstock[#All],9,FALSE)</f>
        <v>nan</v>
      </c>
      <c r="N607" s="131">
        <f>+SUM(N608:N613)</f>
        <v>4.407072790075194</v>
      </c>
      <c r="O607" s="126" t="s">
        <v>556</v>
      </c>
      <c r="P607" s="126"/>
      <c r="Q607" s="126" t="s">
        <v>234</v>
      </c>
    </row>
    <row r="608" spans="1:17" x14ac:dyDescent="0.3">
      <c r="A608" s="5" t="str">
        <f>CONCATENATE("F",IF(B608&lt;&gt;"",COUNTA($B$2:B608),""))</f>
        <v>F379</v>
      </c>
      <c r="B608" s="5" t="s">
        <v>44</v>
      </c>
      <c r="C608" s="5" t="s">
        <v>343</v>
      </c>
      <c r="D60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2.0125275344999998</v>
      </c>
      <c r="E60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8" s="126">
        <f>VLOOKUP(woodflow[[#This Row],[From]],woodstock[#All],4,FALSE)</f>
        <v>2021</v>
      </c>
      <c r="G608" s="5" t="str">
        <f>VLOOKUP(woodflow[[#This Row],[From]],woodstock[#All],5,FALSE)</f>
        <v>OAS</v>
      </c>
      <c r="H608" s="135" t="str">
        <f>VLOOKUP(woodflow[[#This Row],[From]],woodstock[#All],7,FALSE)</f>
        <v>21</v>
      </c>
      <c r="I608" s="135" t="str">
        <f>VLOOKUP(woodflow[[#This Row],[to]],woodstock[#All],7,FALSE)</f>
        <v>66</v>
      </c>
      <c r="J608" s="135" t="str">
        <f>VLOOKUP(woodflow[[#This Row],[From]],woodstock[#All],8,FALSE)</f>
        <v>0</v>
      </c>
      <c r="K608" s="135" t="str">
        <f>VLOOKUP(woodflow[[#This Row],[to]],woodstock[#All],8,FALSE)</f>
        <v>0</v>
      </c>
      <c r="L608" s="136" t="str">
        <f>VLOOKUP(woodflow[[#This Row],[From]],woodstock[#All],9,FALSE)</f>
        <v>nan</v>
      </c>
      <c r="M608" s="136" t="str">
        <f>VLOOKUP(woodflow[[#This Row],[to]],woodstock[#All],9,FALSE)</f>
        <v>nan</v>
      </c>
      <c r="N608" s="131">
        <f>'faostat-data'!Q62</f>
        <v>2.0125275344999998</v>
      </c>
      <c r="O608" s="126" t="s">
        <v>556</v>
      </c>
      <c r="P608" s="126"/>
      <c r="Q608" s="126" t="s">
        <v>234</v>
      </c>
    </row>
    <row r="609" spans="1:17" x14ac:dyDescent="0.3">
      <c r="A609" s="5" t="str">
        <f>CONCATENATE("F",IF(B609&lt;&gt;"",COUNTA($B$2:B609),""))</f>
        <v>F380</v>
      </c>
      <c r="B609" s="5" t="s">
        <v>45</v>
      </c>
      <c r="C609" s="5" t="s">
        <v>343</v>
      </c>
      <c r="D609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0.970642651348543</v>
      </c>
      <c r="E60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9" s="126">
        <f>VLOOKUP(woodflow[[#This Row],[From]],woodstock[#All],4,FALSE)</f>
        <v>2021</v>
      </c>
      <c r="G609" s="5" t="str">
        <f>VLOOKUP(woodflow[[#This Row],[From]],woodstock[#All],5,FALSE)</f>
        <v>OAS</v>
      </c>
      <c r="H609" s="135" t="str">
        <f>VLOOKUP(woodflow[[#This Row],[From]],woodstock[#All],7,FALSE)</f>
        <v>22</v>
      </c>
      <c r="I609" s="135" t="str">
        <f>VLOOKUP(woodflow[[#This Row],[to]],woodstock[#All],7,FALSE)</f>
        <v>66</v>
      </c>
      <c r="J609" s="135" t="str">
        <f>VLOOKUP(woodflow[[#This Row],[From]],woodstock[#All],8,FALSE)</f>
        <v>0</v>
      </c>
      <c r="K609" s="135" t="str">
        <f>VLOOKUP(woodflow[[#This Row],[to]],woodstock[#All],8,FALSE)</f>
        <v>0</v>
      </c>
      <c r="L609" s="136" t="str">
        <f>VLOOKUP(woodflow[[#This Row],[From]],woodstock[#All],9,FALSE)</f>
        <v>nan</v>
      </c>
      <c r="M609" s="136" t="str">
        <f>VLOOKUP(woodflow[[#This Row],[to]],woodstock[#All],9,FALSE)</f>
        <v>nan</v>
      </c>
      <c r="N609" s="131">
        <f>'faostat-data'!Q68</f>
        <v>0.970642651348543</v>
      </c>
      <c r="O609" s="126" t="s">
        <v>556</v>
      </c>
      <c r="P609" s="126"/>
      <c r="Q609" s="126" t="s">
        <v>234</v>
      </c>
    </row>
    <row r="610" spans="1:17" x14ac:dyDescent="0.3">
      <c r="A610" s="5" t="str">
        <f>CONCATENATE("F",IF(B610&lt;&gt;"",COUNTA($B$2:B610),""))</f>
        <v>F381</v>
      </c>
      <c r="B610" s="5" t="s">
        <v>76</v>
      </c>
      <c r="C610" s="5" t="s">
        <v>343</v>
      </c>
      <c r="D610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4.0185301724142856E-2</v>
      </c>
      <c r="E610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0" s="126">
        <f>VLOOKUP(woodflow[[#This Row],[From]],woodstock[#All],4,FALSE)</f>
        <v>2021</v>
      </c>
      <c r="G610" s="5" t="str">
        <f>VLOOKUP(woodflow[[#This Row],[From]],woodstock[#All],5,FALSE)</f>
        <v>OAS</v>
      </c>
      <c r="H610" s="135" t="str">
        <f>VLOOKUP(woodflow[[#This Row],[From]],woodstock[#All],7,FALSE)</f>
        <v>23</v>
      </c>
      <c r="I610" s="135" t="str">
        <f>VLOOKUP(woodflow[[#This Row],[to]],woodstock[#All],7,FALSE)</f>
        <v>66</v>
      </c>
      <c r="J610" s="135" t="str">
        <f>VLOOKUP(woodflow[[#This Row],[From]],woodstock[#All],8,FALSE)</f>
        <v>0</v>
      </c>
      <c r="K610" s="135" t="str">
        <f>VLOOKUP(woodflow[[#This Row],[to]],woodstock[#All],8,FALSE)</f>
        <v>0</v>
      </c>
      <c r="L610" s="136" t="str">
        <f>VLOOKUP(woodflow[[#This Row],[From]],woodstock[#All],9,FALSE)</f>
        <v>nan</v>
      </c>
      <c r="M610" s="136" t="str">
        <f>VLOOKUP(woodflow[[#This Row],[to]],woodstock[#All],9,FALSE)</f>
        <v>nan</v>
      </c>
      <c r="N610" s="131">
        <f>'faostat-data'!Q71</f>
        <v>4.0185301724142856E-2</v>
      </c>
      <c r="O610" s="126" t="s">
        <v>556</v>
      </c>
      <c r="P610" s="126"/>
      <c r="Q610" s="126" t="s">
        <v>234</v>
      </c>
    </row>
    <row r="611" spans="1:17" x14ac:dyDescent="0.3">
      <c r="A611" s="5" t="str">
        <f>CONCATENATE("F",IF(B611&lt;&gt;"",COUNTA($B$2:B611),""))</f>
        <v>F382</v>
      </c>
      <c r="B611" s="5" t="s">
        <v>180</v>
      </c>
      <c r="C611" s="5" t="s">
        <v>343</v>
      </c>
      <c r="D611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5.9283450269999996E-2</v>
      </c>
      <c r="E611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1" s="126">
        <f>VLOOKUP(woodflow[[#This Row],[From]],woodstock[#All],4,FALSE)</f>
        <v>2021</v>
      </c>
      <c r="G611" s="5" t="str">
        <f>VLOOKUP(woodflow[[#This Row],[From]],woodstock[#All],5,FALSE)</f>
        <v>OAS</v>
      </c>
      <c r="H611" s="135" t="str">
        <f>VLOOKUP(woodflow[[#This Row],[From]],woodstock[#All],7,FALSE)</f>
        <v>24</v>
      </c>
      <c r="I611" s="135" t="str">
        <f>VLOOKUP(woodflow[[#This Row],[to]],woodstock[#All],7,FALSE)</f>
        <v>66</v>
      </c>
      <c r="J611" s="135" t="str">
        <f>VLOOKUP(woodflow[[#This Row],[From]],woodstock[#All],8,FALSE)</f>
        <v>0</v>
      </c>
      <c r="K611" s="135" t="str">
        <f>VLOOKUP(woodflow[[#This Row],[to]],woodstock[#All],8,FALSE)</f>
        <v>0</v>
      </c>
      <c r="L611" s="136" t="str">
        <f>VLOOKUP(woodflow[[#This Row],[From]],woodstock[#All],9,FALSE)</f>
        <v>nan</v>
      </c>
      <c r="M611" s="136" t="str">
        <f>VLOOKUP(woodflow[[#This Row],[to]],woodstock[#All],9,FALSE)</f>
        <v>nan</v>
      </c>
      <c r="N611" s="131">
        <f>'faostat-data'!Q74</f>
        <v>5.9283450269999996E-2</v>
      </c>
      <c r="O611" s="126" t="s">
        <v>556</v>
      </c>
      <c r="P611" s="126"/>
      <c r="Q611" s="126" t="s">
        <v>234</v>
      </c>
    </row>
    <row r="612" spans="1:17" x14ac:dyDescent="0.3">
      <c r="A612" s="5" t="str">
        <f>CONCATENATE("F",IF(B612&lt;&gt;"",COUNTA($B$2:B612),""))</f>
        <v>F383</v>
      </c>
      <c r="B612" s="5" t="s">
        <v>209</v>
      </c>
      <c r="C612" s="5" t="s">
        <v>343</v>
      </c>
      <c r="D612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1.2401915831035715</v>
      </c>
      <c r="E612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2" s="126">
        <f>VLOOKUP(woodflow[[#This Row],[From]],woodstock[#All],4,FALSE)</f>
        <v>2021</v>
      </c>
      <c r="G612" s="5" t="str">
        <f>VLOOKUP(woodflow[[#This Row],[From]],woodstock[#All],5,FALSE)</f>
        <v>OAS</v>
      </c>
      <c r="H612" s="135" t="str">
        <f>VLOOKUP(woodflow[[#This Row],[From]],woodstock[#All],7,FALSE)</f>
        <v>25</v>
      </c>
      <c r="I612" s="135" t="str">
        <f>VLOOKUP(woodflow[[#This Row],[to]],woodstock[#All],7,FALSE)</f>
        <v>66</v>
      </c>
      <c r="J612" s="135" t="str">
        <f>VLOOKUP(woodflow[[#This Row],[From]],woodstock[#All],8,FALSE)</f>
        <v>0</v>
      </c>
      <c r="K612" s="135" t="str">
        <f>VLOOKUP(woodflow[[#This Row],[to]],woodstock[#All],8,FALSE)</f>
        <v>0</v>
      </c>
      <c r="L612" s="136" t="str">
        <f>VLOOKUP(woodflow[[#This Row],[From]],woodstock[#All],9,FALSE)</f>
        <v>nan</v>
      </c>
      <c r="M612" s="136" t="str">
        <f>VLOOKUP(woodflow[[#This Row],[to]],woodstock[#All],9,FALSE)</f>
        <v>nan</v>
      </c>
      <c r="N612" s="131">
        <f>'faostat-data'!Q77</f>
        <v>1.2401915831035715</v>
      </c>
      <c r="O612" s="126" t="s">
        <v>556</v>
      </c>
      <c r="P612" s="126"/>
      <c r="Q612" s="126" t="s">
        <v>234</v>
      </c>
    </row>
    <row r="613" spans="1:17" x14ac:dyDescent="0.3">
      <c r="A613" s="5" t="str">
        <f>CONCATENATE("F",IF(B613&lt;&gt;"",COUNTA($B$2:B613),""))</f>
        <v>F384</v>
      </c>
      <c r="B613" s="5" t="s">
        <v>75</v>
      </c>
      <c r="C613" s="5" t="s">
        <v>343</v>
      </c>
      <c r="D613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8.4242269128937508E-2</v>
      </c>
      <c r="E61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3" s="126">
        <f>VLOOKUP(woodflow[[#This Row],[From]],woodstock[#All],4,FALSE)</f>
        <v>2021</v>
      </c>
      <c r="G613" s="5" t="str">
        <f>VLOOKUP(woodflow[[#This Row],[From]],woodstock[#All],5,FALSE)</f>
        <v>OAS</v>
      </c>
      <c r="H613" s="135" t="str">
        <f>VLOOKUP(woodflow[[#This Row],[From]],woodstock[#All],7,FALSE)</f>
        <v>26</v>
      </c>
      <c r="I613" s="135" t="str">
        <f>VLOOKUP(woodflow[[#This Row],[to]],woodstock[#All],7,FALSE)</f>
        <v>66</v>
      </c>
      <c r="J613" s="135" t="str">
        <f>VLOOKUP(woodflow[[#This Row],[From]],woodstock[#All],8,FALSE)</f>
        <v>0</v>
      </c>
      <c r="K613" s="135" t="str">
        <f>VLOOKUP(woodflow[[#This Row],[to]],woodstock[#All],8,FALSE)</f>
        <v>0</v>
      </c>
      <c r="L613" s="136" t="str">
        <f>VLOOKUP(woodflow[[#This Row],[From]],woodstock[#All],9,FALSE)</f>
        <v>nan</v>
      </c>
      <c r="M613" s="136" t="str">
        <f>VLOOKUP(woodflow[[#This Row],[to]],woodstock[#All],9,FALSE)</f>
        <v>nan</v>
      </c>
      <c r="N613" s="131">
        <f>'faostat-data'!Q80</f>
        <v>8.4242269128937508E-2</v>
      </c>
      <c r="O613" s="126" t="s">
        <v>556</v>
      </c>
      <c r="P613" s="126"/>
      <c r="Q613" s="126" t="s">
        <v>234</v>
      </c>
    </row>
    <row r="614" spans="1:17" x14ac:dyDescent="0.3">
      <c r="A614" s="5" t="str">
        <f>CONCATENATE("F",IF(B614&lt;&gt;"",COUNTA($B$2:B614),""))</f>
        <v>F</v>
      </c>
      <c r="B614" s="126"/>
      <c r="C614" s="126"/>
      <c r="D614" s="133"/>
      <c r="E614" s="133"/>
      <c r="F614" s="126"/>
      <c r="G614" s="5"/>
      <c r="H614" s="135"/>
      <c r="I614" s="135"/>
      <c r="J614" s="135"/>
      <c r="K614" s="135"/>
      <c r="L614" s="136"/>
      <c r="M614" s="136"/>
      <c r="N614" s="131"/>
      <c r="O614" s="126"/>
      <c r="P614" s="126"/>
      <c r="Q614" s="126"/>
    </row>
    <row r="615" spans="1:17" x14ac:dyDescent="0.3">
      <c r="A615" s="5" t="str">
        <f>CONCATENATE("F",IF(B615&lt;&gt;"",COUNTA($B$2:B615),""))</f>
        <v>F</v>
      </c>
      <c r="B615" s="5"/>
      <c r="C615" s="5"/>
      <c r="D615" s="133"/>
      <c r="E615" s="133"/>
      <c r="F615" s="126"/>
      <c r="G615" s="5"/>
      <c r="H615" s="135"/>
      <c r="I615" s="135"/>
      <c r="J615" s="135"/>
      <c r="K615" s="135"/>
      <c r="L615" s="136"/>
      <c r="M615" s="136"/>
      <c r="N615" s="131"/>
      <c r="O615" s="126"/>
      <c r="P615" s="126"/>
      <c r="Q615" s="126"/>
    </row>
    <row r="616" spans="1:17" x14ac:dyDescent="0.3">
      <c r="A616" s="5" t="str">
        <f>CONCATENATE("F",IF(B616&lt;&gt;"",COUNTA($B$2:B616),""))</f>
        <v>F385</v>
      </c>
      <c r="B616" s="5" t="s">
        <v>42</v>
      </c>
      <c r="C616" s="5" t="s">
        <v>343</v>
      </c>
      <c r="D616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4.4081738235000003</v>
      </c>
      <c r="E61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6" s="126">
        <f>VLOOKUP(woodflow[[#This Row],[From]],woodstock[#All],4,FALSE)</f>
        <v>2021</v>
      </c>
      <c r="G616" s="5" t="str">
        <f>VLOOKUP(woodflow[[#This Row],[From]],woodstock[#All],5,FALSE)</f>
        <v>OAS</v>
      </c>
      <c r="H616" s="135" t="str">
        <f>VLOOKUP(woodflow[[#This Row],[From]],woodstock[#All],7,FALSE)</f>
        <v>13</v>
      </c>
      <c r="I616" s="135" t="str">
        <f>VLOOKUP(woodflow[[#This Row],[to]],woodstock[#All],7,FALSE)</f>
        <v>66</v>
      </c>
      <c r="J616" s="135" t="str">
        <f>VLOOKUP(woodflow[[#This Row],[From]],woodstock[#All],8,FALSE)</f>
        <v>1</v>
      </c>
      <c r="K616" s="135" t="str">
        <f>VLOOKUP(woodflow[[#This Row],[to]],woodstock[#All],8,FALSE)</f>
        <v>0</v>
      </c>
      <c r="L616" s="136" t="str">
        <f>VLOOKUP(woodflow[[#This Row],[From]],woodstock[#All],9,FALSE)</f>
        <v>27-28-29-30</v>
      </c>
      <c r="M616" s="136" t="str">
        <f>VLOOKUP(woodflow[[#This Row],[to]],woodstock[#All],9,FALSE)</f>
        <v>nan</v>
      </c>
      <c r="N616" s="131">
        <f>SUM(N617:N620)</f>
        <v>4.4081738235000003</v>
      </c>
      <c r="O616" s="126" t="s">
        <v>556</v>
      </c>
      <c r="P616" s="126"/>
      <c r="Q616" s="126" t="s">
        <v>234</v>
      </c>
    </row>
    <row r="617" spans="1:17" x14ac:dyDescent="0.3">
      <c r="A617" s="5" t="str">
        <f>CONCATENATE("F",IF(B617&lt;&gt;"",COUNTA($B$2:B617),""))</f>
        <v>F386</v>
      </c>
      <c r="B617" s="5" t="s">
        <v>70</v>
      </c>
      <c r="C617" s="5" t="s">
        <v>343</v>
      </c>
      <c r="D617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1.6321382999999998E-2</v>
      </c>
      <c r="E61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7" s="126">
        <f>VLOOKUP(woodflow[[#This Row],[From]],woodstock[#All],4,FALSE)</f>
        <v>2021</v>
      </c>
      <c r="G617" s="5" t="str">
        <f>VLOOKUP(woodflow[[#This Row],[From]],woodstock[#All],5,FALSE)</f>
        <v>OAS</v>
      </c>
      <c r="H617" s="135" t="str">
        <f>VLOOKUP(woodflow[[#This Row],[From]],woodstock[#All],7,FALSE)</f>
        <v>27</v>
      </c>
      <c r="I617" s="135" t="str">
        <f>VLOOKUP(woodflow[[#This Row],[to]],woodstock[#All],7,FALSE)</f>
        <v>66</v>
      </c>
      <c r="J617" s="135" t="str">
        <f>VLOOKUP(woodflow[[#This Row],[From]],woodstock[#All],8,FALSE)</f>
        <v>0</v>
      </c>
      <c r="K617" s="135" t="str">
        <f>VLOOKUP(woodflow[[#This Row],[to]],woodstock[#All],8,FALSE)</f>
        <v>0</v>
      </c>
      <c r="L617" s="136" t="str">
        <f>VLOOKUP(woodflow[[#This Row],[From]],woodstock[#All],9,FALSE)</f>
        <v>nan</v>
      </c>
      <c r="M617" s="136" t="str">
        <f>VLOOKUP(woodflow[[#This Row],[to]],woodstock[#All],9,FALSE)</f>
        <v>nan</v>
      </c>
      <c r="N617" s="131">
        <f>'faostat-data'!Q86</f>
        <v>1.6321382999999998E-2</v>
      </c>
      <c r="O617" s="126" t="s">
        <v>556</v>
      </c>
      <c r="P617" s="126"/>
      <c r="Q617" s="126" t="s">
        <v>234</v>
      </c>
    </row>
    <row r="618" spans="1:17" x14ac:dyDescent="0.3">
      <c r="A618" s="5" t="str">
        <f>CONCATENATE("F",IF(B618&lt;&gt;"",COUNTA($B$2:B618),""))</f>
        <v>F387</v>
      </c>
      <c r="B618" s="5" t="s">
        <v>71</v>
      </c>
      <c r="C618" s="5" t="s">
        <v>343</v>
      </c>
      <c r="D61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2.4357610350000005</v>
      </c>
      <c r="E61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8" s="126">
        <f>VLOOKUP(woodflow[[#This Row],[From]],woodstock[#All],4,FALSE)</f>
        <v>2021</v>
      </c>
      <c r="G618" s="5" t="str">
        <f>VLOOKUP(woodflow[[#This Row],[From]],woodstock[#All],5,FALSE)</f>
        <v>OAS</v>
      </c>
      <c r="H618" s="135" t="str">
        <f>VLOOKUP(woodflow[[#This Row],[From]],woodstock[#All],7,FALSE)</f>
        <v>28</v>
      </c>
      <c r="I618" s="135" t="str">
        <f>VLOOKUP(woodflow[[#This Row],[to]],woodstock[#All],7,FALSE)</f>
        <v>66</v>
      </c>
      <c r="J618" s="135" t="str">
        <f>VLOOKUP(woodflow[[#This Row],[From]],woodstock[#All],8,FALSE)</f>
        <v>0</v>
      </c>
      <c r="K618" s="135" t="str">
        <f>VLOOKUP(woodflow[[#This Row],[to]],woodstock[#All],8,FALSE)</f>
        <v>0</v>
      </c>
      <c r="L618" s="136" t="str">
        <f>VLOOKUP(woodflow[[#This Row],[From]],woodstock[#All],9,FALSE)</f>
        <v>nan</v>
      </c>
      <c r="M618" s="136" t="str">
        <f>VLOOKUP(woodflow[[#This Row],[to]],woodstock[#All],9,FALSE)</f>
        <v>nan</v>
      </c>
      <c r="N618" s="131">
        <f>'faostat-data'!Q95</f>
        <v>2.4357610350000005</v>
      </c>
      <c r="O618" s="126" t="s">
        <v>556</v>
      </c>
      <c r="P618" s="126"/>
      <c r="Q618" s="126" t="s">
        <v>234</v>
      </c>
    </row>
    <row r="619" spans="1:17" x14ac:dyDescent="0.3">
      <c r="A619" s="5" t="str">
        <f>CONCATENATE("F",IF(B619&lt;&gt;"",COUNTA($B$2:B619),""))</f>
        <v>F388</v>
      </c>
      <c r="B619" s="5" t="s">
        <v>72</v>
      </c>
      <c r="C619" s="5" t="s">
        <v>343</v>
      </c>
      <c r="D619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0.89950618349999989</v>
      </c>
      <c r="E61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9" s="126">
        <f>VLOOKUP(woodflow[[#This Row],[From]],woodstock[#All],4,FALSE)</f>
        <v>2021</v>
      </c>
      <c r="G619" s="5" t="str">
        <f>VLOOKUP(woodflow[[#This Row],[From]],woodstock[#All],5,FALSE)</f>
        <v>OAS</v>
      </c>
      <c r="H619" s="135" t="str">
        <f>VLOOKUP(woodflow[[#This Row],[From]],woodstock[#All],7,FALSE)</f>
        <v>29</v>
      </c>
      <c r="I619" s="135" t="str">
        <f>VLOOKUP(woodflow[[#This Row],[to]],woodstock[#All],7,FALSE)</f>
        <v>66</v>
      </c>
      <c r="J619" s="135" t="str">
        <f>VLOOKUP(woodflow[[#This Row],[From]],woodstock[#All],8,FALSE)</f>
        <v>0</v>
      </c>
      <c r="K619" s="135" t="str">
        <f>VLOOKUP(woodflow[[#This Row],[to]],woodstock[#All],8,FALSE)</f>
        <v>0</v>
      </c>
      <c r="L619" s="136" t="str">
        <f>VLOOKUP(woodflow[[#This Row],[From]],woodstock[#All],9,FALSE)</f>
        <v>nan</v>
      </c>
      <c r="M619" s="136" t="str">
        <f>VLOOKUP(woodflow[[#This Row],[to]],woodstock[#All],9,FALSE)</f>
        <v>nan</v>
      </c>
      <c r="N619" s="131">
        <f>'faostat-data'!Q113</f>
        <v>0.89950618349999989</v>
      </c>
      <c r="O619" s="126" t="s">
        <v>556</v>
      </c>
      <c r="P619" s="126"/>
      <c r="Q619" s="126" t="s">
        <v>234</v>
      </c>
    </row>
    <row r="620" spans="1:17" x14ac:dyDescent="0.3">
      <c r="A620" s="5" t="str">
        <f>CONCATENATE("F",IF(B620&lt;&gt;"",COUNTA($B$2:B620),""))</f>
        <v>F389</v>
      </c>
      <c r="B620" s="5" t="s">
        <v>77</v>
      </c>
      <c r="C620" s="5" t="s">
        <v>343</v>
      </c>
      <c r="D620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1.056585222</v>
      </c>
      <c r="E620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0" s="126">
        <f>VLOOKUP(woodflow[[#This Row],[From]],woodstock[#All],4,FALSE)</f>
        <v>2021</v>
      </c>
      <c r="G620" s="5" t="str">
        <f>VLOOKUP(woodflow[[#This Row],[From]],woodstock[#All],5,FALSE)</f>
        <v>OAS</v>
      </c>
      <c r="H620" s="135" t="str">
        <f>VLOOKUP(woodflow[[#This Row],[From]],woodstock[#All],7,FALSE)</f>
        <v>30</v>
      </c>
      <c r="I620" s="135" t="str">
        <f>VLOOKUP(woodflow[[#This Row],[to]],woodstock[#All],7,FALSE)</f>
        <v>66</v>
      </c>
      <c r="J620" s="135" t="str">
        <f>VLOOKUP(woodflow[[#This Row],[From]],woodstock[#All],8,FALSE)</f>
        <v>0</v>
      </c>
      <c r="K620" s="135" t="str">
        <f>VLOOKUP(woodflow[[#This Row],[to]],woodstock[#All],8,FALSE)</f>
        <v>0</v>
      </c>
      <c r="L620" s="136" t="str">
        <f>VLOOKUP(woodflow[[#This Row],[From]],woodstock[#All],9,FALSE)</f>
        <v>nan</v>
      </c>
      <c r="M620" s="136" t="str">
        <f>VLOOKUP(woodflow[[#This Row],[to]],woodstock[#All],9,FALSE)</f>
        <v>nan</v>
      </c>
      <c r="N620" s="131">
        <f>'faostat-data'!Q119</f>
        <v>1.056585222</v>
      </c>
      <c r="O620" s="126" t="s">
        <v>556</v>
      </c>
      <c r="P620" s="126"/>
      <c r="Q620" s="126" t="s">
        <v>234</v>
      </c>
    </row>
    <row r="621" spans="1:17" x14ac:dyDescent="0.3">
      <c r="A621" s="5" t="str">
        <f>CONCATENATE("F",IF(B621&lt;&gt;"",COUNTA($B$2:B621),""))</f>
        <v>F</v>
      </c>
      <c r="B621" s="126"/>
      <c r="C621" s="126"/>
      <c r="D621" s="133"/>
      <c r="E621" s="133"/>
      <c r="F621" s="126"/>
      <c r="G621" s="5"/>
      <c r="H621" s="135"/>
      <c r="I621" s="135"/>
      <c r="J621" s="135"/>
      <c r="K621" s="135"/>
      <c r="L621" s="136"/>
      <c r="M621" s="136"/>
      <c r="N621" s="131"/>
      <c r="O621" s="126"/>
      <c r="P621" s="126"/>
      <c r="Q621" s="126"/>
    </row>
    <row r="622" spans="1:17" x14ac:dyDescent="0.3">
      <c r="A622" s="5" t="str">
        <f>CONCATENATE("F",IF(B622&lt;&gt;"",COUNTA($B$2:B622),""))</f>
        <v>F</v>
      </c>
      <c r="B622" s="5"/>
      <c r="C622" s="5"/>
      <c r="D622" s="133"/>
      <c r="E622" s="133"/>
      <c r="F622" s="126"/>
      <c r="G622" s="5"/>
      <c r="H622" s="135"/>
      <c r="I622" s="135"/>
      <c r="J622" s="135"/>
      <c r="K622" s="135"/>
      <c r="L622" s="136"/>
      <c r="M622" s="136"/>
      <c r="N622" s="131"/>
      <c r="O622" s="126"/>
      <c r="P622" s="126"/>
      <c r="Q622" s="126"/>
    </row>
    <row r="623" spans="1:17" x14ac:dyDescent="0.3">
      <c r="A623" s="5" t="str">
        <f>CONCATENATE("F",IF(B623&lt;&gt;"",COUNTA($B$2:B623),""))</f>
        <v>F390</v>
      </c>
      <c r="B623" s="5" t="s">
        <v>43</v>
      </c>
      <c r="C623" s="5" t="s">
        <v>343</v>
      </c>
      <c r="D623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2.7175765499999997E-2</v>
      </c>
      <c r="E62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3" s="126">
        <f>VLOOKUP(woodflow[[#This Row],[From]],woodstock[#All],4,FALSE)</f>
        <v>2021</v>
      </c>
      <c r="G623" s="5" t="str">
        <f>VLOOKUP(woodflow[[#This Row],[From]],woodstock[#All],5,FALSE)</f>
        <v>OAS</v>
      </c>
      <c r="H623" s="135" t="str">
        <f>VLOOKUP(woodflow[[#This Row],[From]],woodstock[#All],7,FALSE)</f>
        <v>31</v>
      </c>
      <c r="I623" s="135" t="str">
        <f>VLOOKUP(woodflow[[#This Row],[to]],woodstock[#All],7,FALSE)</f>
        <v>66</v>
      </c>
      <c r="J623" s="135" t="str">
        <f>VLOOKUP(woodflow[[#This Row],[From]],woodstock[#All],8,FALSE)</f>
        <v>0</v>
      </c>
      <c r="K623" s="135" t="str">
        <f>VLOOKUP(woodflow[[#This Row],[to]],woodstock[#All],8,FALSE)</f>
        <v>0</v>
      </c>
      <c r="L623" s="136" t="str">
        <f>VLOOKUP(woodflow[[#This Row],[From]],woodstock[#All],9,FALSE)</f>
        <v>nan</v>
      </c>
      <c r="M623" s="136" t="str">
        <f>VLOOKUP(woodflow[[#This Row],[to]],woodstock[#All],9,FALSE)</f>
        <v>nan</v>
      </c>
      <c r="N623" s="131">
        <f>'faostat-data'!Q116</f>
        <v>2.7175765499999997E-2</v>
      </c>
      <c r="O623" s="126" t="s">
        <v>556</v>
      </c>
      <c r="P623" s="126"/>
      <c r="Q623" s="126" t="s">
        <v>234</v>
      </c>
    </row>
    <row r="624" spans="1:17" x14ac:dyDescent="0.3">
      <c r="A624" s="5" t="str">
        <f>CONCATENATE("F",IF(B624&lt;&gt;"",COUNTA($B$2:B624),""))</f>
        <v>F</v>
      </c>
      <c r="B624" s="126"/>
      <c r="C624" s="126"/>
      <c r="D624" s="133"/>
      <c r="E624" s="133"/>
      <c r="F624" s="126"/>
      <c r="G624" s="5"/>
      <c r="H624" s="135"/>
      <c r="I624" s="135"/>
      <c r="J624" s="135"/>
      <c r="K624" s="135"/>
      <c r="L624" s="136"/>
      <c r="M624" s="136"/>
      <c r="N624" s="131"/>
      <c r="O624" s="126"/>
      <c r="P624" s="126"/>
      <c r="Q624" s="126"/>
    </row>
    <row r="625" spans="1:17" x14ac:dyDescent="0.3">
      <c r="A625" s="5" t="str">
        <f>CONCATENATE("F",IF(B625&lt;&gt;"",COUNTA($B$2:B625),""))</f>
        <v>F</v>
      </c>
      <c r="B625" s="5"/>
      <c r="C625" s="5"/>
      <c r="D625" s="133"/>
      <c r="E625" s="133"/>
      <c r="F625" s="126"/>
      <c r="G625" s="5"/>
      <c r="H625" s="135"/>
      <c r="I625" s="135"/>
      <c r="J625" s="135"/>
      <c r="K625" s="135"/>
      <c r="L625" s="136"/>
      <c r="M625" s="136"/>
      <c r="N625" s="131"/>
      <c r="O625" s="126"/>
      <c r="P625" s="126"/>
      <c r="Q625" s="126"/>
    </row>
    <row r="626" spans="1:17" x14ac:dyDescent="0.3">
      <c r="A626" s="5" t="str">
        <f>CONCATENATE("F",IF(B626&lt;&gt;"",COUNTA($B$2:B626),""))</f>
        <v>F391</v>
      </c>
      <c r="B626" s="5" t="s">
        <v>50</v>
      </c>
      <c r="C626" s="5" t="s">
        <v>343</v>
      </c>
      <c r="D626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5.6745373020000001</v>
      </c>
      <c r="E62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6" s="126">
        <f>VLOOKUP(woodflow[[#This Row],[From]],woodstock[#All],4,FALSE)</f>
        <v>2021</v>
      </c>
      <c r="G626" s="5" t="str">
        <f>VLOOKUP(woodflow[[#This Row],[From]],woodstock[#All],5,FALSE)</f>
        <v>OAS</v>
      </c>
      <c r="H626" s="135" t="str">
        <f>VLOOKUP(woodflow[[#This Row],[From]],woodstock[#All],7,FALSE)</f>
        <v>14</v>
      </c>
      <c r="I626" s="135" t="str">
        <f>VLOOKUP(woodflow[[#This Row],[to]],woodstock[#All],7,FALSE)</f>
        <v>66</v>
      </c>
      <c r="J626" s="135" t="str">
        <f>VLOOKUP(woodflow[[#This Row],[From]],woodstock[#All],8,FALSE)</f>
        <v>1</v>
      </c>
      <c r="K626" s="135" t="str">
        <f>VLOOKUP(woodflow[[#This Row],[to]],woodstock[#All],8,FALSE)</f>
        <v>0</v>
      </c>
      <c r="L626" s="136" t="str">
        <f>VLOOKUP(woodflow[[#This Row],[From]],woodstock[#All],9,FALSE)</f>
        <v>32-33-34-35-36</v>
      </c>
      <c r="M626" s="136" t="str">
        <f>VLOOKUP(woodflow[[#This Row],[to]],woodstock[#All],9,FALSE)</f>
        <v>nan</v>
      </c>
      <c r="N626" s="131">
        <f>SUM(N627:N631)</f>
        <v>5.6745373020000001</v>
      </c>
      <c r="O626" s="126" t="s">
        <v>556</v>
      </c>
      <c r="P626" s="126"/>
      <c r="Q626" s="126" t="s">
        <v>234</v>
      </c>
    </row>
    <row r="627" spans="1:17" x14ac:dyDescent="0.3">
      <c r="A627" s="5" t="str">
        <f>CONCATENATE("F",IF(B627&lt;&gt;"",COUNTA($B$2:B627),""))</f>
        <v>F392</v>
      </c>
      <c r="B627" s="5" t="s">
        <v>78</v>
      </c>
      <c r="C627" s="5" t="s">
        <v>343</v>
      </c>
      <c r="D627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6.5274219749999987E-2</v>
      </c>
      <c r="E62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7" s="126">
        <f>VLOOKUP(woodflow[[#This Row],[From]],woodstock[#All],4,FALSE)</f>
        <v>2021</v>
      </c>
      <c r="G627" s="5" t="str">
        <f>VLOOKUP(woodflow[[#This Row],[From]],woodstock[#All],5,FALSE)</f>
        <v>OAS</v>
      </c>
      <c r="H627" s="135" t="str">
        <f>VLOOKUP(woodflow[[#This Row],[From]],woodstock[#All],7,FALSE)</f>
        <v>32</v>
      </c>
      <c r="I627" s="135" t="str">
        <f>VLOOKUP(woodflow[[#This Row],[to]],woodstock[#All],7,FALSE)</f>
        <v>66</v>
      </c>
      <c r="J627" s="135" t="str">
        <f>VLOOKUP(woodflow[[#This Row],[From]],woodstock[#All],8,FALSE)</f>
        <v>0</v>
      </c>
      <c r="K627" s="135" t="str">
        <f>VLOOKUP(woodflow[[#This Row],[to]],woodstock[#All],8,FALSE)</f>
        <v>0</v>
      </c>
      <c r="L627" s="136" t="str">
        <f>VLOOKUP(woodflow[[#This Row],[From]],woodstock[#All],9,FALSE)</f>
        <v>nan</v>
      </c>
      <c r="M627" s="136" t="str">
        <f>VLOOKUP(woodflow[[#This Row],[to]],woodstock[#All],9,FALSE)</f>
        <v>nan</v>
      </c>
      <c r="N627" s="131">
        <f>'faostat-data'!Q125</f>
        <v>6.5274219749999987E-2</v>
      </c>
      <c r="O627" s="126" t="s">
        <v>556</v>
      </c>
      <c r="P627" s="126"/>
      <c r="Q627" s="126" t="s">
        <v>234</v>
      </c>
    </row>
    <row r="628" spans="1:17" x14ac:dyDescent="0.3">
      <c r="A628" s="5" t="str">
        <f>CONCATENATE("F",IF(B628&lt;&gt;"",COUNTA($B$2:B628),""))</f>
        <v>F393</v>
      </c>
      <c r="B628" s="5" t="s">
        <v>79</v>
      </c>
      <c r="C628" s="5" t="s">
        <v>343</v>
      </c>
      <c r="D628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2.7217592434999998</v>
      </c>
      <c r="E62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8" s="126">
        <f>VLOOKUP(woodflow[[#This Row],[From]],woodstock[#All],4,FALSE)</f>
        <v>2021</v>
      </c>
      <c r="G628" s="5" t="str">
        <f>VLOOKUP(woodflow[[#This Row],[From]],woodstock[#All],5,FALSE)</f>
        <v>OAS</v>
      </c>
      <c r="H628" s="135" t="str">
        <f>VLOOKUP(woodflow[[#This Row],[From]],woodstock[#All],7,FALSE)</f>
        <v>33</v>
      </c>
      <c r="I628" s="135" t="str">
        <f>VLOOKUP(woodflow[[#This Row],[to]],woodstock[#All],7,FALSE)</f>
        <v>66</v>
      </c>
      <c r="J628" s="135" t="str">
        <f>VLOOKUP(woodflow[[#This Row],[From]],woodstock[#All],8,FALSE)</f>
        <v>0</v>
      </c>
      <c r="K628" s="135" t="str">
        <f>VLOOKUP(woodflow[[#This Row],[to]],woodstock[#All],8,FALSE)</f>
        <v>0</v>
      </c>
      <c r="L628" s="136" t="str">
        <f>VLOOKUP(woodflow[[#This Row],[From]],woodstock[#All],9,FALSE)</f>
        <v>nan</v>
      </c>
      <c r="M628" s="136" t="str">
        <f>VLOOKUP(woodflow[[#This Row],[to]],woodstock[#All],9,FALSE)</f>
        <v>nan</v>
      </c>
      <c r="N628" s="131">
        <f>'faostat-data'!Q128</f>
        <v>2.7217592434999998</v>
      </c>
      <c r="O628" s="126" t="s">
        <v>556</v>
      </c>
      <c r="P628" s="126"/>
      <c r="Q628" s="126" t="s">
        <v>234</v>
      </c>
    </row>
    <row r="629" spans="1:17" x14ac:dyDescent="0.3">
      <c r="A629" s="5" t="str">
        <f>CONCATENATE("F",IF(B629&lt;&gt;"",COUNTA($B$2:B629),""))</f>
        <v>F394</v>
      </c>
      <c r="B629" s="5" t="s">
        <v>67</v>
      </c>
      <c r="C629" s="5" t="s">
        <v>343</v>
      </c>
      <c r="D629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0.31620648824999997</v>
      </c>
      <c r="E62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9" s="126">
        <f>VLOOKUP(woodflow[[#This Row],[From]],woodstock[#All],4,FALSE)</f>
        <v>2021</v>
      </c>
      <c r="G629" s="5" t="str">
        <f>VLOOKUP(woodflow[[#This Row],[From]],woodstock[#All],5,FALSE)</f>
        <v>OAS</v>
      </c>
      <c r="H629" s="135" t="str">
        <f>VLOOKUP(woodflow[[#This Row],[From]],woodstock[#All],7,FALSE)</f>
        <v>34</v>
      </c>
      <c r="I629" s="135" t="str">
        <f>VLOOKUP(woodflow[[#This Row],[to]],woodstock[#All],7,FALSE)</f>
        <v>66</v>
      </c>
      <c r="J629" s="135" t="str">
        <f>VLOOKUP(woodflow[[#This Row],[From]],woodstock[#All],8,FALSE)</f>
        <v>0</v>
      </c>
      <c r="K629" s="135" t="str">
        <f>VLOOKUP(woodflow[[#This Row],[to]],woodstock[#All],8,FALSE)</f>
        <v>0</v>
      </c>
      <c r="L629" s="136" t="str">
        <f>VLOOKUP(woodflow[[#This Row],[From]],woodstock[#All],9,FALSE)</f>
        <v>nan</v>
      </c>
      <c r="M629" s="136" t="str">
        <f>VLOOKUP(woodflow[[#This Row],[to]],woodstock[#All],9,FALSE)</f>
        <v>nan</v>
      </c>
      <c r="N629" s="131">
        <f>'faostat-data'!Q143</f>
        <v>0.31620648824999997</v>
      </c>
      <c r="O629" s="126" t="s">
        <v>556</v>
      </c>
      <c r="P629" s="126"/>
      <c r="Q629" s="126" t="s">
        <v>234</v>
      </c>
    </row>
    <row r="630" spans="1:17" x14ac:dyDescent="0.3">
      <c r="A630" s="5" t="str">
        <f>CONCATENATE("F",IF(B630&lt;&gt;"",COUNTA($B$2:B630),""))</f>
        <v>F395</v>
      </c>
      <c r="B630" s="5" t="s">
        <v>68</v>
      </c>
      <c r="C630" s="5" t="s">
        <v>343</v>
      </c>
      <c r="D630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2.5123468722499998</v>
      </c>
      <c r="E630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0" s="126">
        <f>VLOOKUP(woodflow[[#This Row],[From]],woodstock[#All],4,FALSE)</f>
        <v>2021</v>
      </c>
      <c r="G630" s="5" t="str">
        <f>VLOOKUP(woodflow[[#This Row],[From]],woodstock[#All],5,FALSE)</f>
        <v>OAS</v>
      </c>
      <c r="H630" s="135" t="str">
        <f>VLOOKUP(woodflow[[#This Row],[From]],woodstock[#All],7,FALSE)</f>
        <v>35</v>
      </c>
      <c r="I630" s="135" t="str">
        <f>VLOOKUP(woodflow[[#This Row],[to]],woodstock[#All],7,FALSE)</f>
        <v>66</v>
      </c>
      <c r="J630" s="135" t="str">
        <f>VLOOKUP(woodflow[[#This Row],[From]],woodstock[#All],8,FALSE)</f>
        <v>0</v>
      </c>
      <c r="K630" s="135" t="str">
        <f>VLOOKUP(woodflow[[#This Row],[to]],woodstock[#All],8,FALSE)</f>
        <v>0</v>
      </c>
      <c r="L630" s="136" t="str">
        <f>VLOOKUP(woodflow[[#This Row],[From]],woodstock[#All],9,FALSE)</f>
        <v>nan</v>
      </c>
      <c r="M630" s="136" t="str">
        <f>VLOOKUP(woodflow[[#This Row],[to]],woodstock[#All],9,FALSE)</f>
        <v>nan</v>
      </c>
      <c r="N630" s="131">
        <f>('faostat-data'!Q149+'faostat-data'!Q152+'faostat-data'!Q155+'faostat-data'!Q158)</f>
        <v>2.5123468722499998</v>
      </c>
      <c r="O630" s="126" t="s">
        <v>556</v>
      </c>
      <c r="P630" s="126"/>
      <c r="Q630" s="126" t="s">
        <v>234</v>
      </c>
    </row>
    <row r="631" spans="1:17" x14ac:dyDescent="0.3">
      <c r="A631" s="5" t="str">
        <f>CONCATENATE("F",IF(B631&lt;&gt;"",COUNTA($B$2:B631),""))</f>
        <v>F396</v>
      </c>
      <c r="B631" s="5" t="s">
        <v>69</v>
      </c>
      <c r="C631" s="5" t="s">
        <v>343</v>
      </c>
      <c r="D631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5.8950478249999994E-2</v>
      </c>
      <c r="E631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1" s="126">
        <f>VLOOKUP(woodflow[[#This Row],[From]],woodstock[#All],4,FALSE)</f>
        <v>2021</v>
      </c>
      <c r="G631" s="5" t="str">
        <f>VLOOKUP(woodflow[[#This Row],[From]],woodstock[#All],5,FALSE)</f>
        <v>OAS</v>
      </c>
      <c r="H631" s="135" t="str">
        <f>VLOOKUP(woodflow[[#This Row],[From]],woodstock[#All],7,FALSE)</f>
        <v>36</v>
      </c>
      <c r="I631" s="135" t="str">
        <f>VLOOKUP(woodflow[[#This Row],[to]],woodstock[#All],7,FALSE)</f>
        <v>66</v>
      </c>
      <c r="J631" s="135" t="str">
        <f>VLOOKUP(woodflow[[#This Row],[From]],woodstock[#All],8,FALSE)</f>
        <v>0</v>
      </c>
      <c r="K631" s="135" t="str">
        <f>VLOOKUP(woodflow[[#This Row],[to]],woodstock[#All],8,FALSE)</f>
        <v>0</v>
      </c>
      <c r="L631" s="136" t="str">
        <f>VLOOKUP(woodflow[[#This Row],[From]],woodstock[#All],9,FALSE)</f>
        <v>nan</v>
      </c>
      <c r="M631" s="136" t="str">
        <f>VLOOKUP(woodflow[[#This Row],[to]],woodstock[#All],9,FALSE)</f>
        <v>nan</v>
      </c>
      <c r="N631" s="131">
        <f>+'faostat-data'!Q161</f>
        <v>5.8950478249999994E-2</v>
      </c>
      <c r="O631" s="126" t="s">
        <v>556</v>
      </c>
      <c r="P631" s="126"/>
      <c r="Q631" s="126" t="s">
        <v>234</v>
      </c>
    </row>
    <row r="632" spans="1:17" x14ac:dyDescent="0.3">
      <c r="A632" s="5" t="str">
        <f>CONCATENATE("F",IF(B632&lt;&gt;"",COUNTA($B$2:B632),""))</f>
        <v>F</v>
      </c>
      <c r="B632" s="126"/>
      <c r="C632" s="126"/>
      <c r="D632" s="133"/>
      <c r="E632" s="133"/>
      <c r="F632" s="126"/>
      <c r="G632" s="5"/>
      <c r="H632" s="135"/>
      <c r="I632" s="135"/>
      <c r="J632" s="135"/>
      <c r="K632" s="135"/>
      <c r="L632" s="136"/>
      <c r="M632" s="136"/>
      <c r="N632" s="131"/>
      <c r="O632" s="126"/>
      <c r="P632" s="126"/>
      <c r="Q632" s="126"/>
    </row>
    <row r="633" spans="1:17" x14ac:dyDescent="0.3">
      <c r="A633" s="5" t="str">
        <f>CONCATENATE("F",IF(B633&lt;&gt;"",COUNTA($B$2:B633),""))</f>
        <v>F</v>
      </c>
      <c r="B633" s="5"/>
      <c r="C633" s="5"/>
      <c r="D633" s="133"/>
      <c r="E633" s="133"/>
      <c r="F633" s="126"/>
      <c r="G633" s="5"/>
      <c r="H633" s="135"/>
      <c r="I633" s="135"/>
      <c r="J633" s="135"/>
      <c r="K633" s="135"/>
      <c r="L633" s="136"/>
      <c r="M633" s="136"/>
      <c r="N633" s="131"/>
      <c r="O633" s="126"/>
      <c r="P633" s="126"/>
      <c r="Q633" s="126"/>
    </row>
    <row r="634" spans="1:17" x14ac:dyDescent="0.3">
      <c r="A634" s="5" t="str">
        <f>CONCATENATE("F",IF(B634&lt;&gt;"",COUNTA($B$2:B634),""))</f>
        <v>F397</v>
      </c>
      <c r="B634" s="5" t="s">
        <v>51</v>
      </c>
      <c r="C634" s="5" t="s">
        <v>343</v>
      </c>
      <c r="D634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4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4" s="126">
        <f>VLOOKUP(woodflow[[#This Row],[From]],woodstock[#All],4,FALSE)</f>
        <v>2021</v>
      </c>
      <c r="G634" s="5" t="str">
        <f>VLOOKUP(woodflow[[#This Row],[From]],woodstock[#All],5,FALSE)</f>
        <v>OAS</v>
      </c>
      <c r="H634" s="135" t="str">
        <f>VLOOKUP(woodflow[[#This Row],[From]],woodstock[#All],7,FALSE)</f>
        <v>15</v>
      </c>
      <c r="I634" s="135" t="str">
        <f>VLOOKUP(woodflow[[#This Row],[to]],woodstock[#All],7,FALSE)</f>
        <v>66</v>
      </c>
      <c r="J634" s="135" t="str">
        <f>VLOOKUP(woodflow[[#This Row],[From]],woodstock[#All],8,FALSE)</f>
        <v>1</v>
      </c>
      <c r="K634" s="135" t="str">
        <f>VLOOKUP(woodflow[[#This Row],[to]],woodstock[#All],8,FALSE)</f>
        <v>0</v>
      </c>
      <c r="L634" s="136" t="str">
        <f>VLOOKUP(woodflow[[#This Row],[From]],woodstock[#All],9,FALSE)</f>
        <v>37-38-39-40-41-42</v>
      </c>
      <c r="M634" s="136" t="str">
        <f>VLOOKUP(woodflow[[#This Row],[to]],woodstock[#All],9,FALSE)</f>
        <v>nan</v>
      </c>
      <c r="N634" s="131"/>
      <c r="O634" s="126" t="s">
        <v>460</v>
      </c>
      <c r="P634" s="126"/>
      <c r="Q634" s="126"/>
    </row>
    <row r="635" spans="1:17" x14ac:dyDescent="0.3">
      <c r="A635" s="5" t="str">
        <f>CONCATENATE("F",IF(B635&lt;&gt;"",COUNTA($B$2:B635),""))</f>
        <v>F398</v>
      </c>
      <c r="B635" s="5" t="s">
        <v>36</v>
      </c>
      <c r="C635" s="5" t="s">
        <v>343</v>
      </c>
      <c r="D635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5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5" s="126">
        <f>VLOOKUP(woodflow[[#This Row],[From]],woodstock[#All],4,FALSE)</f>
        <v>2021</v>
      </c>
      <c r="G635" s="5" t="str">
        <f>VLOOKUP(woodflow[[#This Row],[From]],woodstock[#All],5,FALSE)</f>
        <v>OAS</v>
      </c>
      <c r="H635" s="135" t="str">
        <f>VLOOKUP(woodflow[[#This Row],[From]],woodstock[#All],7,FALSE)</f>
        <v>37</v>
      </c>
      <c r="I635" s="135" t="str">
        <f>VLOOKUP(woodflow[[#This Row],[to]],woodstock[#All],7,FALSE)</f>
        <v>66</v>
      </c>
      <c r="J635" s="135" t="str">
        <f>VLOOKUP(woodflow[[#This Row],[From]],woodstock[#All],8,FALSE)</f>
        <v>0</v>
      </c>
      <c r="K635" s="135" t="str">
        <f>VLOOKUP(woodflow[[#This Row],[to]],woodstock[#All],8,FALSE)</f>
        <v>0</v>
      </c>
      <c r="L635" s="136" t="str">
        <f>VLOOKUP(woodflow[[#This Row],[From]],woodstock[#All],9,FALSE)</f>
        <v>nan</v>
      </c>
      <c r="M635" s="136" t="str">
        <f>VLOOKUP(woodflow[[#This Row],[to]],woodstock[#All],9,FALSE)</f>
        <v>nan</v>
      </c>
      <c r="N635" s="131"/>
      <c r="O635" s="126" t="s">
        <v>460</v>
      </c>
      <c r="P635" s="126"/>
      <c r="Q635" s="126"/>
    </row>
    <row r="636" spans="1:17" x14ac:dyDescent="0.3">
      <c r="A636" s="5" t="str">
        <f>CONCATENATE("F",IF(B636&lt;&gt;"",COUNTA($B$2:B636),""))</f>
        <v>F399</v>
      </c>
      <c r="B636" s="5" t="s">
        <v>37</v>
      </c>
      <c r="C636" s="5" t="s">
        <v>343</v>
      </c>
      <c r="D636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6" s="126">
        <f>VLOOKUP(woodflow[[#This Row],[From]],woodstock[#All],4,FALSE)</f>
        <v>2021</v>
      </c>
      <c r="G636" s="5" t="str">
        <f>VLOOKUP(woodflow[[#This Row],[From]],woodstock[#All],5,FALSE)</f>
        <v>OAS</v>
      </c>
      <c r="H636" s="135" t="str">
        <f>VLOOKUP(woodflow[[#This Row],[From]],woodstock[#All],7,FALSE)</f>
        <v>38</v>
      </c>
      <c r="I636" s="135" t="str">
        <f>VLOOKUP(woodflow[[#This Row],[to]],woodstock[#All],7,FALSE)</f>
        <v>66</v>
      </c>
      <c r="J636" s="135" t="str">
        <f>VLOOKUP(woodflow[[#This Row],[From]],woodstock[#All],8,FALSE)</f>
        <v>0</v>
      </c>
      <c r="K636" s="135" t="str">
        <f>VLOOKUP(woodflow[[#This Row],[to]],woodstock[#All],8,FALSE)</f>
        <v>0</v>
      </c>
      <c r="L636" s="136" t="str">
        <f>VLOOKUP(woodflow[[#This Row],[From]],woodstock[#All],9,FALSE)</f>
        <v>nan</v>
      </c>
      <c r="M636" s="136" t="str">
        <f>VLOOKUP(woodflow[[#This Row],[to]],woodstock[#All],9,FALSE)</f>
        <v>nan</v>
      </c>
      <c r="N636" s="131"/>
      <c r="O636" s="126" t="s">
        <v>460</v>
      </c>
      <c r="P636" s="126"/>
      <c r="Q636" s="126"/>
    </row>
    <row r="637" spans="1:17" x14ac:dyDescent="0.3">
      <c r="A637" s="5" t="str">
        <f>CONCATENATE("F",IF(B637&lt;&gt;"",COUNTA($B$2:B637),""))</f>
        <v>F400</v>
      </c>
      <c r="B637" s="5" t="s">
        <v>39</v>
      </c>
      <c r="C637" s="5" t="s">
        <v>343</v>
      </c>
      <c r="D637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37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7" s="126">
        <f>VLOOKUP(woodflow[[#This Row],[From]],woodstock[#All],4,FALSE)</f>
        <v>2021</v>
      </c>
      <c r="G637" s="5" t="str">
        <f>VLOOKUP(woodflow[[#This Row],[From]],woodstock[#All],5,FALSE)</f>
        <v>OAS</v>
      </c>
      <c r="H637" s="135" t="str">
        <f>VLOOKUP(woodflow[[#This Row],[From]],woodstock[#All],7,FALSE)</f>
        <v>39</v>
      </c>
      <c r="I637" s="135" t="str">
        <f>VLOOKUP(woodflow[[#This Row],[to]],woodstock[#All],7,FALSE)</f>
        <v>66</v>
      </c>
      <c r="J637" s="135" t="str">
        <f>VLOOKUP(woodflow[[#This Row],[From]],woodstock[#All],8,FALSE)</f>
        <v>0</v>
      </c>
      <c r="K637" s="135" t="str">
        <f>VLOOKUP(woodflow[[#This Row],[to]],woodstock[#All],8,FALSE)</f>
        <v>0</v>
      </c>
      <c r="L637" s="136" t="str">
        <f>VLOOKUP(woodflow[[#This Row],[From]],woodstock[#All],9,FALSE)</f>
        <v>nan</v>
      </c>
      <c r="M637" s="136" t="str">
        <f>VLOOKUP(woodflow[[#This Row],[to]],woodstock[#All],9,FALSE)</f>
        <v>nan</v>
      </c>
      <c r="N637" s="131">
        <v>0</v>
      </c>
      <c r="O637" s="126" t="s">
        <v>556</v>
      </c>
      <c r="P637" s="126" t="s">
        <v>349</v>
      </c>
      <c r="Q637" s="126"/>
    </row>
    <row r="638" spans="1:17" x14ac:dyDescent="0.3">
      <c r="A638" s="5" t="str">
        <f>CONCATENATE("F",IF(B638&lt;&gt;"",COUNTA($B$2:B638),""))</f>
        <v>F401</v>
      </c>
      <c r="B638" s="5" t="s">
        <v>40</v>
      </c>
      <c r="C638" s="5" t="s">
        <v>343</v>
      </c>
      <c r="D638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8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8" s="126">
        <f>VLOOKUP(woodflow[[#This Row],[From]],woodstock[#All],4,FALSE)</f>
        <v>2021</v>
      </c>
      <c r="G638" s="5" t="str">
        <f>VLOOKUP(woodflow[[#This Row],[From]],woodstock[#All],5,FALSE)</f>
        <v>OAS</v>
      </c>
      <c r="H638" s="135" t="str">
        <f>VLOOKUP(woodflow[[#This Row],[From]],woodstock[#All],7,FALSE)</f>
        <v>40</v>
      </c>
      <c r="I638" s="135" t="str">
        <f>VLOOKUP(woodflow[[#This Row],[to]],woodstock[#All],7,FALSE)</f>
        <v>66</v>
      </c>
      <c r="J638" s="135" t="str">
        <f>VLOOKUP(woodflow[[#This Row],[From]],woodstock[#All],8,FALSE)</f>
        <v>0</v>
      </c>
      <c r="K638" s="135" t="str">
        <f>VLOOKUP(woodflow[[#This Row],[to]],woodstock[#All],8,FALSE)</f>
        <v>0</v>
      </c>
      <c r="L638" s="136" t="str">
        <f>VLOOKUP(woodflow[[#This Row],[From]],woodstock[#All],9,FALSE)</f>
        <v>nan</v>
      </c>
      <c r="M638" s="136" t="str">
        <f>VLOOKUP(woodflow[[#This Row],[to]],woodstock[#All],9,FALSE)</f>
        <v>nan</v>
      </c>
      <c r="N638" s="131"/>
      <c r="O638" s="126" t="s">
        <v>460</v>
      </c>
      <c r="P638" s="126"/>
      <c r="Q638" s="126"/>
    </row>
    <row r="639" spans="1:17" x14ac:dyDescent="0.3">
      <c r="A639" s="5" t="str">
        <f>CONCATENATE("F",IF(B639&lt;&gt;"",COUNTA($B$2:B639),""))</f>
        <v>F402</v>
      </c>
      <c r="B639" s="5" t="s">
        <v>41</v>
      </c>
      <c r="C639" s="5" t="s">
        <v>343</v>
      </c>
      <c r="D639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9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9" s="126">
        <f>VLOOKUP(woodflow[[#This Row],[From]],woodstock[#All],4,FALSE)</f>
        <v>2021</v>
      </c>
      <c r="G639" s="5" t="str">
        <f>VLOOKUP(woodflow[[#This Row],[From]],woodstock[#All],5,FALSE)</f>
        <v>OAS</v>
      </c>
      <c r="H639" s="135" t="str">
        <f>VLOOKUP(woodflow[[#This Row],[From]],woodstock[#All],7,FALSE)</f>
        <v>41</v>
      </c>
      <c r="I639" s="135" t="str">
        <f>VLOOKUP(woodflow[[#This Row],[to]],woodstock[#All],7,FALSE)</f>
        <v>66</v>
      </c>
      <c r="J639" s="135" t="str">
        <f>VLOOKUP(woodflow[[#This Row],[From]],woodstock[#All],8,FALSE)</f>
        <v>0</v>
      </c>
      <c r="K639" s="135" t="str">
        <f>VLOOKUP(woodflow[[#This Row],[to]],woodstock[#All],8,FALSE)</f>
        <v>0</v>
      </c>
      <c r="L639" s="136" t="str">
        <f>VLOOKUP(woodflow[[#This Row],[From]],woodstock[#All],9,FALSE)</f>
        <v>nan</v>
      </c>
      <c r="M639" s="136" t="str">
        <f>VLOOKUP(woodflow[[#This Row],[to]],woodstock[#All],9,FALSE)</f>
        <v>nan</v>
      </c>
      <c r="N639" s="131"/>
      <c r="O639" s="126" t="s">
        <v>460</v>
      </c>
      <c r="P639" s="126"/>
      <c r="Q639" s="126"/>
    </row>
    <row r="640" spans="1:17" x14ac:dyDescent="0.3">
      <c r="A640" s="5" t="str">
        <f>CONCATENATE("F",IF(B640&lt;&gt;"",COUNTA($B$2:B640),""))</f>
        <v>F403</v>
      </c>
      <c r="B640" s="5" t="s">
        <v>38</v>
      </c>
      <c r="C640" s="5" t="s">
        <v>343</v>
      </c>
      <c r="D640" s="133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40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0" s="126">
        <f>VLOOKUP(woodflow[[#This Row],[From]],woodstock[#All],4,FALSE)</f>
        <v>2021</v>
      </c>
      <c r="G640" s="5" t="str">
        <f>VLOOKUP(woodflow[[#This Row],[From]],woodstock[#All],5,FALSE)</f>
        <v>OAS</v>
      </c>
      <c r="H640" s="135" t="str">
        <f>VLOOKUP(woodflow[[#This Row],[From]],woodstock[#All],7,FALSE)</f>
        <v>42</v>
      </c>
      <c r="I640" s="135" t="str">
        <f>VLOOKUP(woodflow[[#This Row],[to]],woodstock[#All],7,FALSE)</f>
        <v>66</v>
      </c>
      <c r="J640" s="135" t="str">
        <f>VLOOKUP(woodflow[[#This Row],[From]],woodstock[#All],8,FALSE)</f>
        <v>0</v>
      </c>
      <c r="K640" s="135" t="str">
        <f>VLOOKUP(woodflow[[#This Row],[to]],woodstock[#All],8,FALSE)</f>
        <v>0</v>
      </c>
      <c r="L640" s="136" t="str">
        <f>VLOOKUP(woodflow[[#This Row],[From]],woodstock[#All],9,FALSE)</f>
        <v>nan</v>
      </c>
      <c r="M640" s="136" t="str">
        <f>VLOOKUP(woodflow[[#This Row],[to]],woodstock[#All],9,FALSE)</f>
        <v>nan</v>
      </c>
      <c r="N640" s="131"/>
      <c r="O640" s="126" t="s">
        <v>460</v>
      </c>
      <c r="P640" s="126"/>
      <c r="Q640" s="126"/>
    </row>
    <row r="641" spans="1:17" x14ac:dyDescent="0.3">
      <c r="A641" s="5" t="str">
        <f>CONCATENATE("F",IF(B641&lt;&gt;"",COUNTA($B$2:B641),""))</f>
        <v>F</v>
      </c>
      <c r="B641" s="126"/>
      <c r="C641" s="126"/>
      <c r="D641" s="133"/>
      <c r="E641" s="133"/>
      <c r="F641" s="126"/>
      <c r="G641" s="5"/>
      <c r="H641" s="135"/>
      <c r="I641" s="135"/>
      <c r="J641" s="135"/>
      <c r="K641" s="135"/>
      <c r="L641" s="136"/>
      <c r="M641" s="136"/>
      <c r="N641" s="131"/>
      <c r="O641" s="126"/>
      <c r="P641" s="126"/>
      <c r="Q641" s="126"/>
    </row>
    <row r="642" spans="1:17" x14ac:dyDescent="0.3">
      <c r="A642" s="5" t="str">
        <f>CONCATENATE("F",IF(B642&lt;&gt;"",COUNTA($B$2:B642),""))</f>
        <v>F</v>
      </c>
      <c r="B642" s="126"/>
      <c r="C642" s="126"/>
      <c r="D642" s="133"/>
      <c r="E642" s="133"/>
      <c r="F642" s="126"/>
      <c r="G642" s="5"/>
      <c r="H642" s="135"/>
      <c r="I642" s="135"/>
      <c r="J642" s="135"/>
      <c r="K642" s="135"/>
      <c r="L642" s="136"/>
      <c r="M642" s="136"/>
      <c r="N642" s="131"/>
      <c r="O642" s="126"/>
      <c r="P642" s="126"/>
      <c r="Q642" s="126"/>
    </row>
    <row r="643" spans="1:17" x14ac:dyDescent="0.3">
      <c r="A643" s="5" t="str">
        <f>CONCATENATE("F",IF(B643&lt;&gt;"",COUNTA($B$2:B643),""))</f>
        <v>F404</v>
      </c>
      <c r="B643" s="5" t="s">
        <v>539</v>
      </c>
      <c r="C643" s="5" t="s">
        <v>343</v>
      </c>
      <c r="D643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43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3" s="126">
        <f>VLOOKUP(woodflow[[#This Row],[From]],woodstock[#All],4,FALSE)</f>
        <v>2021</v>
      </c>
      <c r="G643" s="5" t="str">
        <f>VLOOKUP(woodflow[[#This Row],[From]],woodstock[#All],5,FALSE)</f>
        <v>OAS</v>
      </c>
      <c r="H643" s="135" t="str">
        <f>VLOOKUP(woodflow[[#This Row],[From]],woodstock[#All],7,FALSE)</f>
        <v>59</v>
      </c>
      <c r="I643" s="135" t="str">
        <f>VLOOKUP(woodflow[[#This Row],[to]],woodstock[#All],7,FALSE)</f>
        <v>66</v>
      </c>
      <c r="J643" s="135" t="str">
        <f>VLOOKUP(woodflow[[#This Row],[From]],woodstock[#All],8,FALSE)</f>
        <v>0</v>
      </c>
      <c r="K643" s="135" t="str">
        <f>VLOOKUP(woodflow[[#This Row],[to]],woodstock[#All],8,FALSE)</f>
        <v>0</v>
      </c>
      <c r="L643" s="136" t="str">
        <f>VLOOKUP(woodflow[[#This Row],[From]],woodstock[#All],9,FALSE)</f>
        <v>nan</v>
      </c>
      <c r="M643" s="136" t="str">
        <f>VLOOKUP(woodflow[[#This Row],[to]],woodstock[#All],9,FALSE)</f>
        <v>nan</v>
      </c>
      <c r="N643" s="131">
        <f>'faostat-data'!Q47</f>
        <v>0</v>
      </c>
      <c r="O643" s="126" t="s">
        <v>556</v>
      </c>
      <c r="P643" s="126"/>
      <c r="Q643" s="126" t="s">
        <v>234</v>
      </c>
    </row>
    <row r="644" spans="1:17" x14ac:dyDescent="0.3">
      <c r="A644" s="5" t="str">
        <f>CONCATENATE("F",IF(B644&lt;&gt;"",COUNTA($B$2:B644),""))</f>
        <v>F</v>
      </c>
      <c r="B644" s="126"/>
      <c r="C644" s="126"/>
      <c r="D644" s="133"/>
      <c r="E644" s="133"/>
      <c r="F644" s="126"/>
      <c r="G644" s="5"/>
      <c r="H644" s="135"/>
      <c r="I644" s="135"/>
      <c r="J644" s="135"/>
      <c r="K644" s="135"/>
      <c r="L644" s="136"/>
      <c r="M644" s="136"/>
      <c r="N644" s="131"/>
      <c r="O644" s="126"/>
      <c r="P644" s="126"/>
      <c r="Q644" s="126"/>
    </row>
    <row r="645" spans="1:17" x14ac:dyDescent="0.3">
      <c r="A645" s="5" t="str">
        <f>CONCATENATE("F",IF(B645&lt;&gt;"",COUNTA($B$2:B645),""))</f>
        <v>F</v>
      </c>
      <c r="B645" s="5"/>
      <c r="C645" s="5"/>
      <c r="D645" s="133"/>
      <c r="E645" s="133"/>
      <c r="F645" s="126"/>
      <c r="G645" s="5"/>
      <c r="H645" s="135"/>
      <c r="I645" s="135"/>
      <c r="J645" s="135"/>
      <c r="K645" s="135"/>
      <c r="L645" s="136"/>
      <c r="M645" s="136"/>
      <c r="N645" s="131"/>
      <c r="O645" s="126"/>
      <c r="P645" s="126"/>
      <c r="Q645" s="126"/>
    </row>
    <row r="646" spans="1:17" x14ac:dyDescent="0.3">
      <c r="A646" s="5" t="str">
        <f>CONCATENATE("F",IF(B646&lt;&gt;"",COUNTA($B$2:B646),""))</f>
        <v>F405</v>
      </c>
      <c r="B646" s="126" t="s">
        <v>540</v>
      </c>
      <c r="C646" s="5" t="s">
        <v>343</v>
      </c>
      <c r="D646" s="133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0.52854160624999991</v>
      </c>
      <c r="E646" s="133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6" s="126">
        <f>VLOOKUP(woodflow[[#This Row],[From]],woodstock[#All],4,FALSE)</f>
        <v>2021</v>
      </c>
      <c r="G646" s="5" t="str">
        <f>VLOOKUP(woodflow[[#This Row],[From]],woodstock[#All],5,FALSE)</f>
        <v>OAS</v>
      </c>
      <c r="H646" s="135" t="str">
        <f>VLOOKUP(woodflow[[#This Row],[From]],woodstock[#All],7,FALSE)</f>
        <v>60</v>
      </c>
      <c r="I646" s="135" t="str">
        <f>VLOOKUP(woodflow[[#This Row],[to]],woodstock[#All],7,FALSE)</f>
        <v>66</v>
      </c>
      <c r="J646" s="135" t="str">
        <f>VLOOKUP(woodflow[[#This Row],[From]],woodstock[#All],8,FALSE)</f>
        <v>0</v>
      </c>
      <c r="K646" s="135" t="str">
        <f>VLOOKUP(woodflow[[#This Row],[to]],woodstock[#All],8,FALSE)</f>
        <v>0</v>
      </c>
      <c r="L646" s="136" t="str">
        <f>VLOOKUP(woodflow[[#This Row],[From]],woodstock[#All],9,FALSE)</f>
        <v>nan</v>
      </c>
      <c r="M646" s="136" t="str">
        <f>VLOOKUP(woodflow[[#This Row],[to]],woodstock[#All],9,FALSE)</f>
        <v>nan</v>
      </c>
      <c r="N646" s="131">
        <f>'faostat-data'!Q122</f>
        <v>0.52854160624999991</v>
      </c>
      <c r="O646" s="126" t="s">
        <v>556</v>
      </c>
      <c r="P646" s="126"/>
      <c r="Q646" s="126" t="s">
        <v>234</v>
      </c>
    </row>
  </sheetData>
  <phoneticPr fontId="1" type="noConversion"/>
  <conditionalFormatting sqref="N2:N646">
    <cfRule type="expression" dxfId="10" priority="1">
      <formula>O2="No Flow"</formula>
    </cfRule>
    <cfRule type="expression" dxfId="9" priority="3">
      <formula>O2="BaMFA"</formula>
    </cfRule>
    <cfRule type="expression" dxfId="8" priority="5">
      <formula>O2="Prior"</formula>
    </cfRule>
    <cfRule type="expression" dxfId="7" priority="6">
      <formula>O2="Observed"</formula>
    </cfRule>
  </conditionalFormatting>
  <conditionalFormatting sqref="O2:O646">
    <cfRule type="containsText" dxfId="6" priority="2" operator="containsText" text="No Flow">
      <formula>NOT(ISERROR(SEARCH("No Flow",O2)))</formula>
    </cfRule>
    <cfRule type="containsText" dxfId="5" priority="22" operator="containsText" text="BaMFA">
      <formula>NOT(ISERROR(SEARCH("BaMFA",O2)))</formula>
    </cfRule>
    <cfRule type="containsText" dxfId="4" priority="67" operator="containsText" text="No Change">
      <formula>NOT(ISERROR(SEARCH("No Change",O2)))</formula>
    </cfRule>
    <cfRule type="containsText" dxfId="3" priority="68" operator="containsText" text="Observed">
      <formula>NOT(ISERROR(SEARCH("Observed",O2)))</formula>
    </cfRule>
    <cfRule type="containsText" dxfId="2" priority="69" operator="containsText" text="Prior">
      <formula>NOT(ISERROR(SEARCH("Prior",O2)))</formula>
    </cfRule>
  </conditionalFormatting>
  <conditionalFormatting sqref="O14 O17">
    <cfRule type="containsText" dxfId="1" priority="48" operator="containsText" text="Informative">
      <formula>NOT(ISERROR(SEARCH("Informative",O14)))</formula>
    </cfRule>
    <cfRule type="containsText" dxfId="0" priority="49" operator="containsText" text="Vague">
      <formula>NOT(ISERROR(SEARCH("Vague",O14)))</formula>
    </cfRule>
  </conditionalFormatting>
  <hyperlinks>
    <hyperlink ref="Q46" r:id="rId1" xr:uid="{6F965F2E-0C7F-4434-8AB4-7862722A1041}"/>
    <hyperlink ref="Q352" r:id="rId2" display="https://unece.org/forests/publications/forest-products-annual-market-review-2020-2021_x000a__x000a_" xr:uid="{F7140429-DC94-43E7-9608-94FCDCB56C11}"/>
  </hyperlinks>
  <pageMargins left="0.7" right="0.7" top="0.75" bottom="0.75" header="0.3" footer="0.3"/>
  <pageSetup orientation="portrait" horizontalDpi="1200" verticalDpi="1200"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G A A B Q S w M E F A A C A A g A S K + s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B I r 6 x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K + s V s b K C j H 5 A w A A n 1 w A A B M A H A B G b 3 J t d W x h c y 9 T Z W N 0 a W 9 u M S 5 t I K I Y A C i g F A A A A A A A A A A A A A A A A A A A A A A A A A A A A O 1 b X U / b M B R 9 r 8 R / s M J L K 4 V q K V 9 l U x + g p d q k M T H a b Q 9 k Q i Z x i 4 V j d 7 H D i F D / + 5 w m a 0 O b A E O 0 m p X L Q 6 n t G 3 / c n H N y f e N K 4 i k q O B q k / 5 0 P t Z q 8 w S H x E W Z R Q D m N g h E T v 1 E H M a K 2 a k j / D U Q U e k T X d O V d s y e 8 K C B c 1 f u U k W Z X c K U L s m 5 1 3 7 v f J A m l i + N W q + X 2 i L x V Y u K e x V 3 h E + m e 4 J h I i j k 6 6 x + 7 p 4 w k X Q x D 7 N 2 S c C f A l O + I k I 4 p x 2 z H E 5 O 4 y M K d z y / Q P T L X x w q 7 j + b c V P f K a t i X P c J o Q B U J O 5 Z t 2 a g r t B G X H c e x 0 S n 3 h E / 5 u O O 0 9 l s 2 + h o J R Q Y q Z q S z + N r 8 I j j 5 2 b D T x W 9 b e l m o T 0 O p 0 I X 2 C 5 b o I 8 G + X q m l P T L E 1 / q C 8 1 A E + u q s v p 7 6 y 0 a X W f 0 x Y w M P M x z K j g q j f N f d G 8 z H B A 3 j C V n 0 p h f N 5 U i E Q T r x p F H W n 5 i G / f B g 9 f V I e q l K 2 y J F 7 t X U R g + W E i t V v y L M F V X x q i 0 N i K 7 8 x N X B X j M Z c l b L h I c T l K y Y 9 7 W 7 e R R c k 3 C U j r x 0 4 a J 9 N o m l 1 n O N N 6 6 0 d z w i Z W J a 3 M m K W V F f g + h 6 k l q k 4 8 l R k S t W r J Z 8 M 2 1 s 1 S g v u i 0 F / N A X e 7 e m E W Q 2 6 W c Y 0 n 4 d Q T K Y + 2 9 O D P 9 l z F g Z P 2 F E B p u 1 M S D A U n q C 6 z t 6 R / w C 7 O b R 9 g y 0 X w D q Z 8 H q L 6 N 1 2 3 q s 5 / V W w z I N s 2 s U 9 f 8 S s 6 D i b 6 / i T x E j F X I T m Q F q X n E 1 3 z U P s 6 D m o O b r V P O U G H t A D C A G E A M d j 8 c h G W N F r p L J X A 1 o M G H k 6 n t 7 r e T o a V x L o t y y w Q H l g P J 1 o v w i c U 0 h w t P 7 l 9 y T D G z 1 h 8 + U E z m r O t H i H c b / C P w f Q v g J 6 F E v x K M c 5 O X O T N 2 L Z p b B H / G I s b + f C c w b 0 w X w B h N G V c Y I d B 2 j O V U W K J y Z p B Z z R F t p 2 d E u n D X r C 1 K 7 o f b l S T z v p T 4 j 3 B K V G s n 9 y D p o J l 3 M C 6 1 8 Y T d f 2 M s X 9 v O F g 3 z h M F 9 o 5 w t H 1 v S V d C t 3 U c K 7 / D o e I y 6 / q O K W 3 d K W v d K W / d K W g 9 K W w 9 K W d m n L 0 W u C o 0 J + l G 5 4 g S R A k g q S Z G k H s Q 8 7 C I i t I L Z a J c Y B E A O I A c Q o e I N g Y D Y W 3 i B U / A 3 C o X m Y B T U H N d + A m h v 4 C g H U v G p q X p z Z K Q t E I L M D m R 3 I 7 L T N E 3 Y I e S D k 2 U D I Y 2 D O E 0 K e q o U 8 y 6 A 1 M B 8 J o K 0 s a N M Q x H l n H m g h B o E Y Z A 0 x S P E O t i z 5 A j t Y 2 M F W e Q e b x T w G Z u 0 h 5 q l 4 z H N k H m Y h 5 I G Q Z w N p F w M T k q D m F V d z x z E P t C D n I O f r P x / p G P h D c m A G M G M D g Y 6 B W w A I d K o e 6 B h 4 q h f k H O R 8 Y 6 n 6 s k M D k K q H V H 2 V U / X Z 4 8 P A Y 8 T w + I D H x w b 2 y Q a e N g N m A D P e i h l b t a 1 y b h h 4 q A 2 4 A d x 4 K 2 7 8 A V B L A Q I t A B Q A A g A I A E i v r F a L o I C O p g A A A P Y A A A A S A A A A A A A A A A A A A A A A A A A A A A B D b 2 5 m a W c v U G F j a 2 F n Z S 5 4 b W x Q S w E C L Q A U A A I A C A B I r 6 x W U 3 I 4 L J s A A A D h A A A A E w A A A A A A A A A A A A A A A A D y A A A A W 0 N v b n R l b n R f V H l w Z X N d L n h t b F B L A Q I t A B Q A A g A I A E i v r F b G y g o x + Q M A A J 9 c A A A T A A A A A A A A A A A A A A A A A N o B A A B G b 3 J t d W x h c y 9 T Z W N 0 a W 9 u M S 5 t U E s F B g A A A A A D A A M A w g A A A C A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b A Q A A A A A A c J s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F s d W 1 p b m l 1 b W Z s b 3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D U 6 M D g u N j I w N z k 1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L 0 F 1 d G 9 S Z W 1 v d m V k Q 2 9 s d W 1 u c z E u e 0 Z y b 2 0 s M H 0 m c X V v d D s s J n F 1 b 3 Q 7 U 2 V j d G l v b j E v Y W x 1 b W l u a X V t Z m x v d y 9 B d X R v U m V t b 3 Z l Z E N v b H V t b n M x L n t 0 b y w x f S Z x d W 9 0 O y w m c X V v d D t T Z W N 0 a W 9 u M S 9 h b H V t a W 5 p d W 1 m b G 9 3 L 0 F 1 d G 9 S Z W 1 v d m V k Q 2 9 s d W 1 u c z E u e 3 F 1 Y W 5 0 a X R 5 L D J 9 J n F 1 b 3 Q 7 L C Z x d W 9 0 O 1 N l Y 3 R p b 2 4 x L 2 F s d W 1 p b m l 1 b W Z s b 3 c v Q X V 0 b 1 J l b W 9 2 Z W R D b 2 x 1 b W 5 z M S 5 7 d G l t Z S w z f S Z x d W 9 0 O y w m c X V v d D t T Z W N 0 a W 9 u M S 9 h b H V t a W 5 p d W 1 m b G 9 3 L 0 F 1 d G 9 S Z W 1 v d m V k Q 2 9 s d W 1 u c z E u e 2 x v Y 2 F 0 a W 9 u L D R 9 J n F 1 b 3 Q 7 L C Z x d W 9 0 O 1 N l Y 3 R p b 2 4 x L 2 F s d W 1 p b m l 1 b W Z s b 3 c v Q X V 0 b 1 J l b W 9 2 Z W R D b 2 x 1 b W 5 z M S 5 7 R m x v d 2 5 1 b W J l c m Z y b 2 0 s N X 0 m c X V v d D s s J n F 1 b 3 Q 7 U 2 V j d G l v b j E v Y W x 1 b W l u a X V t Z m x v d y 9 B d X R v U m V t b 3 Z l Z E N v b H V t b n M x L n t G b G 9 3 b n V t Y m V y d G 8 s N n 0 m c X V v d D s s J n F 1 b 3 Q 7 U 2 V j d G l v b j E v Y W x 1 b W l u a X V t Z m x v d y 9 B d X R v U m V t b 3 Z l Z E N v b H V t b n M x L n t Q Y X J l b n R Q c m 9 j Z X N z R m x v d 2 Z y b 2 0 s N 3 0 m c X V v d D s s J n F 1 b 3 Q 7 U 2 V j d G l v b j E v Y W x 1 b W l u a X V t Z m x v d y 9 B d X R v U m V t b 3 Z l Z E N v b H V t b n M x L n t Q Y X J l b n R Q c m 9 j Z X N z R m x v d 3 R v L D h 9 J n F 1 b 3 Q 7 L C Z x d W 9 0 O 1 N l Y 3 R p b 2 4 x L 2 F s d W 1 p b m l 1 b W Z s b 3 c v Q X V 0 b 1 J l b W 9 2 Z W R D b 2 x 1 b W 5 z M S 5 7 U 3 V i c H J v Y 2 V z c 2 5 1 b W J l c n N m c m 9 t L D l 9 J n F 1 b 3 Q 7 L C Z x d W 9 0 O 1 N l Y 3 R p b 2 4 x L 2 F s d W 1 p b m l 1 b W Z s b 3 c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v Q X V 0 b 1 J l b W 9 2 Z W R D b 2 x 1 b W 5 z M S 5 7 R n J v b S w w f S Z x d W 9 0 O y w m c X V v d D t T Z W N 0 a W 9 u M S 9 h b H V t a W 5 p d W 1 m b G 9 3 L 0 F 1 d G 9 S Z W 1 v d m V k Q 2 9 s d W 1 u c z E u e 3 R v L D F 9 J n F 1 b 3 Q 7 L C Z x d W 9 0 O 1 N l Y 3 R p b 2 4 x L 2 F s d W 1 p b m l 1 b W Z s b 3 c v Q X V 0 b 1 J l b W 9 2 Z W R D b 2 x 1 b W 5 z M S 5 7 c X V h b n R p d H k s M n 0 m c X V v d D s s J n F 1 b 3 Q 7 U 2 V j d G l v b j E v Y W x 1 b W l u a X V t Z m x v d y 9 B d X R v U m V t b 3 Z l Z E N v b H V t b n M x L n t 0 a W 1 l L D N 9 J n F 1 b 3 Q 7 L C Z x d W 9 0 O 1 N l Y 3 R p b 2 4 x L 2 F s d W 1 p b m l 1 b W Z s b 3 c v Q X V 0 b 1 J l b W 9 2 Z W R D b 2 x 1 b W 5 z M S 5 7 b G 9 j Y X R p b 2 4 s N H 0 m c X V v d D s s J n F 1 b 3 Q 7 U 2 V j d G l v b j E v Y W x 1 b W l u a X V t Z m x v d y 9 B d X R v U m V t b 3 Z l Z E N v b H V t b n M x L n t G b G 9 3 b n V t Y m V y Z n J v b S w 1 f S Z x d W 9 0 O y w m c X V v d D t T Z W N 0 a W 9 u M S 9 h b H V t a W 5 p d W 1 m b G 9 3 L 0 F 1 d G 9 S Z W 1 v d m V k Q 2 9 s d W 1 u c z E u e 0 Z s b 3 d u d W 1 i Z X J 0 b y w 2 f S Z x d W 9 0 O y w m c X V v d D t T Z W N 0 a W 9 u M S 9 h b H V t a W 5 p d W 1 m b G 9 3 L 0 F 1 d G 9 S Z W 1 v d m V k Q 2 9 s d W 1 u c z E u e 1 B h c m V u d F B y b 2 N l c 3 N G b G 9 3 Z n J v b S w 3 f S Z x d W 9 0 O y w m c X V v d D t T Z W N 0 a W 9 u M S 9 h b H V t a W 5 p d W 1 m b G 9 3 L 0 F 1 d G 9 S Z W 1 v d m V k Q 2 9 s d W 1 u c z E u e 1 B h c m V u d F B y b 2 N l c 3 N G b G 9 3 d G 8 s O H 0 m c X V v d D s s J n F 1 b 3 Q 7 U 2 V j d G l v b j E v Y W x 1 b W l u a X V t Z m x v d y 9 B d X R v U m V t b 3 Z l Z E N v b H V t b n M x L n t T d W J w c m 9 j Z X N z b n V t Y m V y c 2 Z y b 2 0 s O X 0 m c X V v d D s s J n F 1 b 3 Q 7 U 2 V j d G l v b j E v Y W x 1 b W l u a X V t Z m x v d y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z d G 9 j a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z d G 9 j a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n Z 3 J l Z 2 F 0 Z V 9 G b G 9 3 X 1 N p b X B s Z V 9 W O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5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1 Q x M T o 0 M j o 0 M S 4 y N j A 1 N D c 2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3 J l Z 2 F 0 Z V 9 G b G 9 3 X 1 N p b X B s Z V 9 W O C 9 B d X R v U m V t b 3 Z l Z E N v b H V t b n M x L n t G c m 9 t L D B 9 J n F 1 b 3 Q 7 L C Z x d W 9 0 O 1 N l Y 3 R p b 2 4 x L 0 F n Z 3 J l Z 2 F 0 Z V 9 G b G 9 3 X 1 N p b X B s Z V 9 W O C 9 B d X R v U m V t b 3 Z l Z E N v b H V t b n M x L n t 0 b y w x f S Z x d W 9 0 O y w m c X V v d D t T Z W N 0 a W 9 u M S 9 B Z 2 d y Z W d h d G V f R m x v d 1 9 T a W 1 w b G V f V j g v Q X V 0 b 1 J l b W 9 2 Z W R D b 2 x 1 b W 5 z M S 5 7 c X V h b n R p d H k s M n 0 m c X V v d D s s J n F 1 b 3 Q 7 U 2 V j d G l v b j E v Q W d n c m V n Y X R l X 0 Z s b 3 d f U 2 l t c G x l X 1 Y 4 L 0 F 1 d G 9 S Z W 1 v d m V k Q 2 9 s d W 1 u c z E u e 3 R p b W U s M 3 0 m c X V v d D s s J n F 1 b 3 Q 7 U 2 V j d G l v b j E v Q W d n c m V n Y X R l X 0 Z s b 3 d f U 2 l t c G x l X 1 Y 4 L 0 F 1 d G 9 S Z W 1 v d m V k Q 2 9 s d W 1 u c z E u e 2 x v Y 2 F 0 a W 9 u L D R 9 J n F 1 b 3 Q 7 L C Z x d W 9 0 O 1 N l Y 3 R p b 2 4 x L 0 F n Z 3 J l Z 2 F 0 Z V 9 G b G 9 3 X 1 N p b X B s Z V 9 W O C 9 B d X R v U m V t b 3 Z l Z E N v b H V t b n M x L n t G b G 9 3 b n V t Y m V y Z n J v b S w 1 f S Z x d W 9 0 O y w m c X V v d D t T Z W N 0 a W 9 u M S 9 B Z 2 d y Z W d h d G V f R m x v d 1 9 T a W 1 w b G V f V j g v Q X V 0 b 1 J l b W 9 2 Z W R D b 2 x 1 b W 5 z M S 5 7 R m x v d 2 5 1 b W J l c n R v L D Z 9 J n F 1 b 3 Q 7 L C Z x d W 9 0 O 1 N l Y 3 R p b 2 4 x L 0 F n Z 3 J l Z 2 F 0 Z V 9 G b G 9 3 X 1 N p b X B s Z V 9 W O C 9 B d X R v U m V t b 3 Z l Z E N v b H V t b n M x L n t Q Y X J l b n R Q c m 9 j Z X N z R m x v d 2 Z y b 2 0 s N 3 0 m c X V v d D s s J n F 1 b 3 Q 7 U 2 V j d G l v b j E v Q W d n c m V n Y X R l X 0 Z s b 3 d f U 2 l t c G x l X 1 Y 4 L 0 F 1 d G 9 S Z W 1 v d m V k Q 2 9 s d W 1 u c z E u e 1 B h c m V u d F B y b 2 N l c 3 N G b G 9 3 d G 8 s O H 0 m c X V v d D s s J n F 1 b 3 Q 7 U 2 V j d G l v b j E v Q W d n c m V n Y X R l X 0 Z s b 3 d f U 2 l t c G x l X 1 Y 4 L 0 F 1 d G 9 S Z W 1 v d m V k Q 2 9 s d W 1 u c z E u e 1 N 1 Y n B y b 2 N l c 3 N u d W 1 i Z X J z Z n J v b S w 5 f S Z x d W 9 0 O y w m c X V v d D t T Z W N 0 a W 9 u M S 9 B Z 2 d y Z W d h d G V f R m x v d 1 9 T a W 1 w b G V f V j g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n Z 3 J l Z 2 F 0 Z V 9 G b G 9 3 X 1 N p b X B s Z V 9 W O C 9 B d X R v U m V t b 3 Z l Z E N v b H V t b n M x L n t G c m 9 t L D B 9 J n F 1 b 3 Q 7 L C Z x d W 9 0 O 1 N l Y 3 R p b 2 4 x L 0 F n Z 3 J l Z 2 F 0 Z V 9 G b G 9 3 X 1 N p b X B s Z V 9 W O C 9 B d X R v U m V t b 3 Z l Z E N v b H V t b n M x L n t 0 b y w x f S Z x d W 9 0 O y w m c X V v d D t T Z W N 0 a W 9 u M S 9 B Z 2 d y Z W d h d G V f R m x v d 1 9 T a W 1 w b G V f V j g v Q X V 0 b 1 J l b W 9 2 Z W R D b 2 x 1 b W 5 z M S 5 7 c X V h b n R p d H k s M n 0 m c X V v d D s s J n F 1 b 3 Q 7 U 2 V j d G l v b j E v Q W d n c m V n Y X R l X 0 Z s b 3 d f U 2 l t c G x l X 1 Y 4 L 0 F 1 d G 9 S Z W 1 v d m V k Q 2 9 s d W 1 u c z E u e 3 R p b W U s M 3 0 m c X V v d D s s J n F 1 b 3 Q 7 U 2 V j d G l v b j E v Q W d n c m V n Y X R l X 0 Z s b 3 d f U 2 l t c G x l X 1 Y 4 L 0 F 1 d G 9 S Z W 1 v d m V k Q 2 9 s d W 1 u c z E u e 2 x v Y 2 F 0 a W 9 u L D R 9 J n F 1 b 3 Q 7 L C Z x d W 9 0 O 1 N l Y 3 R p b 2 4 x L 0 F n Z 3 J l Z 2 F 0 Z V 9 G b G 9 3 X 1 N p b X B s Z V 9 W O C 9 B d X R v U m V t b 3 Z l Z E N v b H V t b n M x L n t G b G 9 3 b n V t Y m V y Z n J v b S w 1 f S Z x d W 9 0 O y w m c X V v d D t T Z W N 0 a W 9 u M S 9 B Z 2 d y Z W d h d G V f R m x v d 1 9 T a W 1 w b G V f V j g v Q X V 0 b 1 J l b W 9 2 Z W R D b 2 x 1 b W 5 z M S 5 7 R m x v d 2 5 1 b W J l c n R v L D Z 9 J n F 1 b 3 Q 7 L C Z x d W 9 0 O 1 N l Y 3 R p b 2 4 x L 0 F n Z 3 J l Z 2 F 0 Z V 9 G b G 9 3 X 1 N p b X B s Z V 9 W O C 9 B d X R v U m V t b 3 Z l Z E N v b H V t b n M x L n t Q Y X J l b n R Q c m 9 j Z X N z R m x v d 2 Z y b 2 0 s N 3 0 m c X V v d D s s J n F 1 b 3 Q 7 U 2 V j d G l v b j E v Q W d n c m V n Y X R l X 0 Z s b 3 d f U 2 l t c G x l X 1 Y 4 L 0 F 1 d G 9 S Z W 1 v d m V k Q 2 9 s d W 1 u c z E u e 1 B h c m V u d F B y b 2 N l c 3 N G b G 9 3 d G 8 s O H 0 m c X V v d D s s J n F 1 b 3 Q 7 U 2 V j d G l v b j E v Q W d n c m V n Y X R l X 0 Z s b 3 d f U 2 l t c G x l X 1 Y 4 L 0 F 1 d G 9 S Z W 1 v d m V k Q 2 9 s d W 1 u c z E u e 1 N 1 Y n B y b 2 N l c 3 N u d W 1 i Z X J z Z n J v b S w 5 f S Z x d W 9 0 O y w m c X V v d D t T Z W N 0 a W 9 u M S 9 B Z 2 d y Z W d h d G V f R m x v d 1 9 T a W 1 w b G V f V j g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3 J l Z 2 F 0 Z V 9 G b G 9 3 X 1 J h d G l v L 0 F 1 d G 9 S Z W 1 v d m V k Q 2 9 s d W 1 u c z E u e 0 N v b H V t b j E u M S w w f S Z x d W 9 0 O y w m c X V v d D t T Z W N 0 a W 9 u M S 9 B Z 2 d y Z W d h d G V f R m x v d 1 9 S Y X R p b y 9 B d X R v U m V t b 3 Z l Z E N v b H V t b n M x L n t D b 2 x 1 b W 4 x L j I s M X 0 m c X V v d D s s J n F 1 b 3 Q 7 U 2 V j d G l v b j E v Q W d n c m V n Y X R l X 0 Z s b 3 d f U m F 0 a W 8 v Q X V 0 b 1 J l b W 9 2 Z W R D b 2 x 1 b W 5 z M S 5 7 Q 2 9 s d W 1 u M S 4 z L D J 9 J n F 1 b 3 Q 7 L C Z x d W 9 0 O 1 N l Y 3 R p b 2 4 x L 0 F n Z 3 J l Z 2 F 0 Z V 9 G b G 9 3 X 1 J h d G l v L 0 F 1 d G 9 S Z W 1 v d m V k Q 2 9 s d W 1 u c z E u e 0 N v b H V t b j E u N C w z f S Z x d W 9 0 O y w m c X V v d D t T Z W N 0 a W 9 u M S 9 B Z 2 d y Z W d h d G V f R m x v d 1 9 S Y X R p b y 9 B d X R v U m V t b 3 Z l Z E N v b H V t b n M x L n t D b 2 x 1 b W 4 x L j U s N H 0 m c X V v d D s s J n F 1 b 3 Q 7 U 2 V j d G l v b j E v Q W d n c m V n Y X R l X 0 Z s b 3 d f U m F 0 a W 8 v Q X V 0 b 1 J l b W 9 2 Z W R D b 2 x 1 b W 5 z M S 5 7 Q 2 9 s d W 1 u M S 4 2 L D V 9 J n F 1 b 3 Q 7 L C Z x d W 9 0 O 1 N l Y 3 R p b 2 4 x L 0 F n Z 3 J l Z 2 F 0 Z V 9 G b G 9 3 X 1 J h d G l v L 0 F 1 d G 9 S Z W 1 v d m V k Q 2 9 s d W 1 u c z E u e 0 N v b H V t b j E u N y w 2 f S Z x d W 9 0 O y w m c X V v d D t T Z W N 0 a W 9 u M S 9 B Z 2 d y Z W d h d G V f R m x v d 1 9 S Y X R p b y 9 B d X R v U m V t b 3 Z l Z E N v b H V t b n M x L n t D b 2 x 1 b W 4 x L j g s N 3 0 m c X V v d D s s J n F 1 b 3 Q 7 U 2 V j d G l v b j E v Q W d n c m V n Y X R l X 0 Z s b 3 d f U m F 0 a W 8 v Q X V 0 b 1 J l b W 9 2 Z W R D b 2 x 1 b W 5 z M S 5 7 Q 2 9 s d W 1 u M S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n Z 3 J l Z 2 F 0 Z V 9 G b G 9 3 X 1 J h d G l v L 0 F 1 d G 9 S Z W 1 v d m V k Q 2 9 s d W 1 u c z E u e 0 N v b H V t b j E u M S w w f S Z x d W 9 0 O y w m c X V v d D t T Z W N 0 a W 9 u M S 9 B Z 2 d y Z W d h d G V f R m x v d 1 9 S Y X R p b y 9 B d X R v U m V t b 3 Z l Z E N v b H V t b n M x L n t D b 2 x 1 b W 4 x L j I s M X 0 m c X V v d D s s J n F 1 b 3 Q 7 U 2 V j d G l v b j E v Q W d n c m V n Y X R l X 0 Z s b 3 d f U m F 0 a W 8 v Q X V 0 b 1 J l b W 9 2 Z W R D b 2 x 1 b W 5 z M S 5 7 Q 2 9 s d W 1 u M S 4 z L D J 9 J n F 1 b 3 Q 7 L C Z x d W 9 0 O 1 N l Y 3 R p b 2 4 x L 0 F n Z 3 J l Z 2 F 0 Z V 9 G b G 9 3 X 1 J h d G l v L 0 F 1 d G 9 S Z W 1 v d m V k Q 2 9 s d W 1 u c z E u e 0 N v b H V t b j E u N C w z f S Z x d W 9 0 O y w m c X V v d D t T Z W N 0 a W 9 u M S 9 B Z 2 d y Z W d h d G V f R m x v d 1 9 S Y X R p b y 9 B d X R v U m V t b 3 Z l Z E N v b H V t b n M x L n t D b 2 x 1 b W 4 x L j U s N H 0 m c X V v d D s s J n F 1 b 3 Q 7 U 2 V j d G l v b j E v Q W d n c m V n Y X R l X 0 Z s b 3 d f U m F 0 a W 8 v Q X V 0 b 1 J l b W 9 2 Z W R D b 2 x 1 b W 5 z M S 5 7 Q 2 9 s d W 1 u M S 4 2 L D V 9 J n F 1 b 3 Q 7 L C Z x d W 9 0 O 1 N l Y 3 R p b 2 4 x L 0 F n Z 3 J l Z 2 F 0 Z V 9 G b G 9 3 X 1 J h d G l v L 0 F 1 d G 9 S Z W 1 v d m V k Q 2 9 s d W 1 u c z E u e 0 N v b H V t b j E u N y w 2 f S Z x d W 9 0 O y w m c X V v d D t T Z W N 0 a W 9 u M S 9 B Z 2 d y Z W d h d G V f R m x v d 1 9 S Y X R p b y 9 B d X R v U m V t b 3 Z l Z E N v b H V t b n M x L n t D b 2 x 1 b W 4 x L j g s N 3 0 m c X V v d D s s J n F 1 b 3 Q 7 U 2 V j d G l v b j E v Q W d n c m V n Y X R l X 0 Z s b 3 d f U m F 0 a W 8 v Q X V 0 b 1 J l b W 9 2 Z W R D b 2 x 1 b W 5 z M S 5 7 Q 2 9 s d W 1 u M S 4 5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2 d y Z W d h d G V f R m x v d 1 9 S Y X R p b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x M D o x N T o x M C 4 5 M z k x N T M 4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d n c m V n Y X R l X 0 Z s b 3 d f U m F 0 a W 8 v Q X V 0 b 1 J l b W 9 2 Z W R D b 2 x 1 b W 5 z M S 5 7 Q 2 9 s d W 1 u M S 4 x L D B 9 J n F 1 b 3 Q 7 L C Z x d W 9 0 O 1 N l Y 3 R p b 2 4 x L 0 F n Z 3 J l Z 2 F 0 Z V 9 G b G 9 3 X 1 J h d G l v L 0 F 1 d G 9 S Z W 1 v d m V k Q 2 9 s d W 1 u c z E u e 0 N v b H V t b j E u M i w x f S Z x d W 9 0 O y w m c X V v d D t T Z W N 0 a W 9 u M S 9 B Z 2 d y Z W d h d G V f R m x v d 1 9 S Y X R p b y 9 B d X R v U m V t b 3 Z l Z E N v b H V t b n M x L n t D b 2 x 1 b W 4 x L j M s M n 0 m c X V v d D s s J n F 1 b 3 Q 7 U 2 V j d G l v b j E v Q W d n c m V n Y X R l X 0 Z s b 3 d f U m F 0 a W 8 v Q X V 0 b 1 J l b W 9 2 Z W R D b 2 x 1 b W 5 z M S 5 7 Q 2 9 s d W 1 u M S 4 0 L D N 9 J n F 1 b 3 Q 7 L C Z x d W 9 0 O 1 N l Y 3 R p b 2 4 x L 0 F n Z 3 J l Z 2 F 0 Z V 9 G b G 9 3 X 1 J h d G l v L 0 F 1 d G 9 S Z W 1 v d m V k Q 2 9 s d W 1 u c z E u e 0 N v b H V t b j E u N S w 0 f S Z x d W 9 0 O y w m c X V v d D t T Z W N 0 a W 9 u M S 9 B Z 2 d y Z W d h d G V f R m x v d 1 9 S Y X R p b y 9 B d X R v U m V t b 3 Z l Z E N v b H V t b n M x L n t D b 2 x 1 b W 4 x L j Y s N X 0 m c X V v d D s s J n F 1 b 3 Q 7 U 2 V j d G l v b j E v Q W d n c m V n Y X R l X 0 Z s b 3 d f U m F 0 a W 8 v Q X V 0 b 1 J l b W 9 2 Z W R D b 2 x 1 b W 5 z M S 5 7 Q 2 9 s d W 1 u M S 4 3 L D Z 9 J n F 1 b 3 Q 7 L C Z x d W 9 0 O 1 N l Y 3 R p b 2 4 x L 0 F n Z 3 J l Z 2 F 0 Z V 9 G b G 9 3 X 1 J h d G l v L 0 F 1 d G 9 S Z W 1 v d m V k Q 2 9 s d W 1 u c z E u e 0 N v b H V t b j E u O C w 3 f S Z x d W 9 0 O y w m c X V v d D t T Z W N 0 a W 9 u M S 9 B Z 2 d y Z W d h d G V f R m x v d 1 9 S Y X R p b y 9 B d X R v U m V t b 3 Z l Z E N v b H V t b n M x L n t D b 2 x 1 b W 4 x L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W d n c m V n Y X R l X 0 Z s b 3 d f U m F 0 a W 8 v Q X V 0 b 1 J l b W 9 2 Z W R D b 2 x 1 b W 5 z M S 5 7 Q 2 9 s d W 1 u M S 4 x L D B 9 J n F 1 b 3 Q 7 L C Z x d W 9 0 O 1 N l Y 3 R p b 2 4 x L 0 F n Z 3 J l Z 2 F 0 Z V 9 G b G 9 3 X 1 J h d G l v L 0 F 1 d G 9 S Z W 1 v d m V k Q 2 9 s d W 1 u c z E u e 0 N v b H V t b j E u M i w x f S Z x d W 9 0 O y w m c X V v d D t T Z W N 0 a W 9 u M S 9 B Z 2 d y Z W d h d G V f R m x v d 1 9 S Y X R p b y 9 B d X R v U m V t b 3 Z l Z E N v b H V t b n M x L n t D b 2 x 1 b W 4 x L j M s M n 0 m c X V v d D s s J n F 1 b 3 Q 7 U 2 V j d G l v b j E v Q W d n c m V n Y X R l X 0 Z s b 3 d f U m F 0 a W 8 v Q X V 0 b 1 J l b W 9 2 Z W R D b 2 x 1 b W 5 z M S 5 7 Q 2 9 s d W 1 u M S 4 0 L D N 9 J n F 1 b 3 Q 7 L C Z x d W 9 0 O 1 N l Y 3 R p b 2 4 x L 0 F n Z 3 J l Z 2 F 0 Z V 9 G b G 9 3 X 1 J h d G l v L 0 F 1 d G 9 S Z W 1 v d m V k Q 2 9 s d W 1 u c z E u e 0 N v b H V t b j E u N S w 0 f S Z x d W 9 0 O y w m c X V v d D t T Z W N 0 a W 9 u M S 9 B Z 2 d y Z W d h d G V f R m x v d 1 9 S Y X R p b y 9 B d X R v U m V t b 3 Z l Z E N v b H V t b n M x L n t D b 2 x 1 b W 4 x L j Y s N X 0 m c X V v d D s s J n F 1 b 3 Q 7 U 2 V j d G l v b j E v Q W d n c m V n Y X R l X 0 Z s b 3 d f U m F 0 a W 8 v Q X V 0 b 1 J l b W 9 2 Z W R D b 2 x 1 b W 5 z M S 5 7 Q 2 9 s d W 1 u M S 4 3 L D Z 9 J n F 1 b 3 Q 7 L C Z x d W 9 0 O 1 N l Y 3 R p b 2 4 x L 0 F n Z 3 J l Z 2 F 0 Z V 9 G b G 9 3 X 1 J h d G l v L 0 F 1 d G 9 S Z W 1 v d m V k Q 2 9 s d W 1 u c z E u e 0 N v b H V t b j E u O C w 3 f S Z x d W 9 0 O y w m c X V v d D t T Z W N 0 a W 9 u M S 9 B Z 2 d y Z W d h d G V f R m x v d 1 9 S Y X R p b y 9 B d X R v U m V t b 3 Z l Z E N v b H V t b n M x L n t D b 2 x 1 b W 4 x L j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R m l s b F R h c m d l d C I g V m F s d W U 9 I n N 3 b 2 9 k Z m x v d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G a W x s V G F y Z 2 V 0 I i B W Y W x 1 Z T 0 i c 3 d v b 2 R z d G 9 j a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n Z 3 J l Z 2 F 0 Z V 9 G b G 9 3 X 1 J h d G l v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E w O j E 1 O j E w L j k z O T E 1 M z h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4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T Q 6 N T g u M z c 4 M j U 5 M V o i I C 8 + P E V u d H J 5 I F R 5 c G U 9 I k Z p b G x D b 2 x 1 b W 5 U e X B l c y I g V m F s d W U 9 I n N C Z 1 l E Q m d N R E F 3 W T 0 i I C 8 + P E V u d H J 5 I F R 5 c G U 9 I k Z p b G x D b 2 x 1 b W 5 O Y W 1 l c y I g V m F s d W U 9 I n N b J n F 1 b 3 Q 7 U H J v Y 2 V z c y Z x d W 9 0 O y w m c X V v d D t x d W F u d G l 0 e S Z x d W 9 0 O y w m c X V v d D t 0 a W 1 l J n F 1 b 3 Q 7 L C Z x d W 9 0 O 2 x v Y 2 F 0 a W 9 u J n F 1 b 3 Q 7 L C Z x d W 9 0 O 2 1 h c 3 N j b 2 5 z Z X J 2 Z W Q m c X V v d D s s J n F 1 b 3 Q 7 U H J v Y 2 V z c 2 5 1 b W J l c i Z x d W 9 0 O y w m c X V v d D t Q Y X J l b n R Q c m 9 j Z X N z J n F 1 b 3 Q 7 L C Z x d W 9 0 O 1 N 1 Y n B y b 2 N l c 3 N u d W 1 i Z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w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v Z H J h d G l v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U 0 O j U 4 L j M 3 O D I 1 O T F a I i A v P j x F b n R y e S B U e X B l P S J G a W x s Q 2 9 s d W 1 u V H l w Z X M i I F Z h b H V l P S J z Q m d Z R E J n T U R B d 1 k 9 I i A v P j x F b n R y e S B U e X B l P S J G a W x s Q 2 9 s d W 1 u T m F t Z X M i I F Z h b H V l P S J z W y Z x d W 9 0 O 1 B y b 2 N l c 3 M m c X V v d D s s J n F 1 b 3 Q 7 c X V h b n R p d H k m c X V v d D s s J n F 1 b 3 Q 7 d G l t Z S Z x d W 9 0 O y w m c X V v d D t s b 2 N h d G l v b i Z x d W 9 0 O y w m c X V v d D t t Y X N z Y 2 9 u c 2 V y d m V k J n F 1 b 3 Q 7 L C Z x d W 9 0 O 1 B y b 2 N l c 3 N u d W 1 i Z X I m c X V v d D s s J n F 1 b 3 Q 7 U G F y Z W 5 0 U H J v Y 2 V z c y Z x d W 9 0 O y w m c X V v d D t T d W J w c m 9 j Z X N z b n V t Y m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5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T Q 6 N T g u M z c 4 M j U 5 M V o i I C 8 + P E V u d H J 5 I F R 5 c G U 9 I k Z p b G x D b 2 x 1 b W 5 U e X B l c y I g V m F s d W U 9 I n N C Z 1 l E Q m d N R E F 3 W T 0 i I C 8 + P E V u d H J 5 I F R 5 c G U 9 I k Z p b G x D b 2 x 1 b W 5 O Y W 1 l c y I g V m F s d W U 9 I n N b J n F 1 b 3 Q 7 U H J v Y 2 V z c y Z x d W 9 0 O y w m c X V v d D t x d W F u d G l 0 e S Z x d W 9 0 O y w m c X V v d D t 0 a W 1 l J n F 1 b 3 Q 7 L C Z x d W 9 0 O 2 x v Y 2 F 0 a W 9 u J n F 1 b 3 Q 7 L C Z x d W 9 0 O 2 1 h c 3 N j b 2 5 z Z X J 2 Z W Q m c X V v d D s s J n F 1 b 3 Q 7 U H J v Y 2 V z c 2 5 1 b W J l c i Z x d W 9 0 O y w m c X V v d D t Q Y X J l b n R Q c m 9 j Z X N z J n F 1 b 3 Q 7 L C Z x d W 9 0 O 1 N 1 Y n B y b 2 N l c 3 N u d W 1 i Z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x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k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U 0 O j U 4 L j M 3 O D I 1 O T F a I i A v P j x F b n R y e S B U e X B l P S J G a W x s Q 2 9 s d W 1 u V H l w Z X M i I F Z h b H V l P S J z Q m d Z R E J n T U R B d 1 k 9 I i A v P j x F b n R y e S B U e X B l P S J G a W x s Q 2 9 s d W 1 u T m F t Z X M i I F Z h b H V l P S J z W y Z x d W 9 0 O 1 B y b 2 N l c 3 M m c X V v d D s s J n F 1 b 3 Q 7 c X V h b n R p d H k m c X V v d D s s J n F 1 b 3 Q 7 d G l t Z S Z x d W 9 0 O y w m c X V v d D t s b 2 N h d G l v b i Z x d W 9 0 O y w m c X V v d D t t Y X N z Y 2 9 u c 2 V y d m V k J n F 1 b 3 Q 7 L C Z x d W 9 0 O 1 B y b 2 N l c 3 N u d W 1 i Z X I m c X V v d D s s J n F 1 b 3 Q 7 U G F y Z W 5 0 U H J v Y 2 V z c y Z x d W 9 0 O y w m c X V v d D t T d W J w c m 9 j Z X N z b n V t Y m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T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T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2 l t c G x l X 1 Y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N p b X B s Z V 9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T a W 1 w b G V f V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y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0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U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N i k 8 L 0 l 0 Z W 1 Q Y X R o P j w v S X R l b U x v Y 2 F 0 a W 9 u P j x T d G F i b G V F b n R y a W V z P j x F b n R y e S B U e X B l P S J G a W x s R X J y b 3 J D b 2 R l I i B W Y W x 1 Z T 0 i c 1 V u a 2 5 v d 2 4 i I C 8 + P E V u d H J 5 I F R 5 c G U 9 I l J l c 3 V s d F R 5 c G U i I F Z h b H V l P S J z R X h j Z X B 0 a W 9 u I i A v P j x F b n R y e S B U e X B l P S J G a W x s R X J y b 3 J D b 3 V u d C I g V m F s d W U 9 I m w w I i A v P j x F b n R y e S B U e X B l P S J G a W x s R W 5 h Y m x l Z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d W 5 0 I i B W Y W x 1 Z T 0 i b D E 0 N C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j 6 / 5 b 5 m P T b c H l n 9 v K e a e A A A A A A I A A A A A A B B m A A A A A Q A A I A A A A L r h i U d 3 W y F C U s T y U 3 9 8 F k I H X 3 c K E 3 E u c K h s R j i I N 7 p B A A A A A A 6 A A A A A A g A A I A A A A M + H E W A r J I h D K J q a Z a h C J K p o k X / n Q E r B x g / O + 6 n A h y e f U A A A A D U o l k E P L S C T U s 8 J e a 4 I c q 7 W u e B 3 4 q m m R Z O h H S 9 f E N G A a v o K + V X 6 o 4 V H v 6 f O i / J g g G c + i B 6 o J F m m t 8 I f P h m T x O T j 1 5 O A t i N x x G A S 2 H A / 0 4 R G Q A A A A E b I 4 0 D Z P F / s / 5 n D D O f o x 8 2 9 R A f M / S B l s + 6 D f w g O K h R S S j F S J X n k h D 2 + 3 F J V t O Q n Q X z l U Y l G Y N x M F G S + F t H M n M U = < / D a t a M a s h u p > 
</file>

<file path=customXml/itemProps1.xml><?xml version="1.0" encoding="utf-8"?>
<ds:datastoreItem xmlns:ds="http://schemas.openxmlformats.org/officeDocument/2006/customXml" ds:itemID="{4A902C82-E295-4BF2-AEE6-F1EB33EE2E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contents</vt:lpstr>
      <vt:lpstr>conversion-factors</vt:lpstr>
      <vt:lpstr>production-mass-balance</vt:lpstr>
      <vt:lpstr>waste</vt:lpstr>
      <vt:lpstr>supporting-percentages</vt:lpstr>
      <vt:lpstr>faostat-data</vt:lpstr>
      <vt:lpstr>woodclass</vt:lpstr>
      <vt:lpstr>woodstock</vt:lpstr>
      <vt:lpstr>woodflow</vt:lpstr>
      <vt:lpstr>woodratio</vt:lpstr>
      <vt:lpstr>changesinstocks-input</vt:lpstr>
      <vt:lpstr>changesinstocks-prior-input</vt:lpstr>
      <vt:lpstr>flows-input</vt:lpstr>
      <vt:lpstr>flows-prior-input</vt:lpstr>
      <vt:lpstr>ratios-input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Yayla, Alperen</dc:creator>
  <cp:lastModifiedBy>Yayla, Alperen</cp:lastModifiedBy>
  <dcterms:created xsi:type="dcterms:W3CDTF">2023-02-16T18:44:36Z</dcterms:created>
  <dcterms:modified xsi:type="dcterms:W3CDTF">2024-03-13T22:14:20Z</dcterms:modified>
</cp:coreProperties>
</file>