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 List" sheetId="1" r:id="rId4"/>
    <sheet state="hidden" name="Estimated Connected Power" sheetId="2" r:id="rId5"/>
    <sheet state="visible" name="Capital Estimate Worksheet" sheetId="3" r:id="rId6"/>
    <sheet state="hidden" name="Basis of Estimate" sheetId="4" r:id="rId7"/>
    <sheet state="hidden" name="Conc and Steel" sheetId="5" r:id="rId8"/>
  </sheets>
  <definedNames/>
  <calcPr/>
  <extLst>
    <ext uri="GoogleSheetsCustomDataVersion2">
      <go:sheetsCustomData xmlns:go="http://customooxmlschemas.google.com/" r:id="rId9" roundtripDataChecksum="T4pgPUTc2/EFnjhf1HPh2ZHOD8tSSFZbvBC+CwEskHM="/>
    </ext>
  </extLst>
</workbook>
</file>

<file path=xl/sharedStrings.xml><?xml version="1.0" encoding="utf-8"?>
<sst xmlns="http://schemas.openxmlformats.org/spreadsheetml/2006/main" count="146" uniqueCount="99">
  <si>
    <t>Project Equipment  List</t>
  </si>
  <si>
    <t>Project Name:</t>
  </si>
  <si>
    <t>Crusher Install</t>
  </si>
  <si>
    <t>Date:</t>
  </si>
  <si>
    <t>Client :</t>
  </si>
  <si>
    <t>XXX</t>
  </si>
  <si>
    <t>Revision:</t>
  </si>
  <si>
    <t>A</t>
  </si>
  <si>
    <t>Project Number :</t>
  </si>
  <si>
    <t>YYY</t>
  </si>
  <si>
    <t>Equip.</t>
  </si>
  <si>
    <t>Electrical Load Information</t>
  </si>
  <si>
    <t>Estimated</t>
  </si>
  <si>
    <t>Area</t>
  </si>
  <si>
    <t>Nº</t>
  </si>
  <si>
    <t>Quan.</t>
  </si>
  <si>
    <t>Equipment Name</t>
  </si>
  <si>
    <t>Description/Remarks</t>
  </si>
  <si>
    <t>kW</t>
  </si>
  <si>
    <t>HP</t>
  </si>
  <si>
    <t>RPM</t>
  </si>
  <si>
    <t>Volt</t>
  </si>
  <si>
    <t>Capital Cost</t>
  </si>
  <si>
    <t>Primary Crusher</t>
  </si>
  <si>
    <t>Total Connect Load</t>
  </si>
  <si>
    <t>Equipment Capital Cost</t>
  </si>
  <si>
    <t>Freight 10% of equipment cost</t>
  </si>
  <si>
    <t>Total Equipment Capital Cost</t>
  </si>
  <si>
    <t>Horsepower</t>
  </si>
  <si>
    <t>Count</t>
  </si>
  <si>
    <t>Under 200 HP</t>
  </si>
  <si>
    <t>200 HP &amp; over</t>
  </si>
  <si>
    <t>Total Motors</t>
  </si>
  <si>
    <t>Connected Horsepower</t>
  </si>
  <si>
    <t>Connect kW</t>
  </si>
  <si>
    <t>Capital Estimate Worksheet</t>
  </si>
  <si>
    <t>Rev:</t>
  </si>
  <si>
    <t>Client:</t>
  </si>
  <si>
    <t>Facility Type:</t>
  </si>
  <si>
    <t>Pull Down type of Facility</t>
  </si>
  <si>
    <t>MCE Project #:</t>
  </si>
  <si>
    <t>Solids Processing Plant</t>
  </si>
  <si>
    <t>Direct Costs</t>
  </si>
  <si>
    <t>Materials</t>
  </si>
  <si>
    <t>Labor</t>
  </si>
  <si>
    <t>% of Equipment Cost Materials</t>
  </si>
  <si>
    <t>% of Equipment Cost Labor</t>
  </si>
  <si>
    <t>Purchased equipment-delivered (including fabricated equipment and process machinery)</t>
  </si>
  <si>
    <t>Purchased equipment installation</t>
  </si>
  <si>
    <t>Site Development</t>
  </si>
  <si>
    <t>Concrete</t>
  </si>
  <si>
    <t>Structural Steel</t>
  </si>
  <si>
    <t>Buildings</t>
  </si>
  <si>
    <t>Piping</t>
  </si>
  <si>
    <t>Instrumentation and Controls</t>
  </si>
  <si>
    <t>Electrical</t>
  </si>
  <si>
    <t>Insulation</t>
  </si>
  <si>
    <t>Painting</t>
  </si>
  <si>
    <t>Totals</t>
  </si>
  <si>
    <t>Total Direct Cost</t>
  </si>
  <si>
    <t>Indirect Costs</t>
  </si>
  <si>
    <t>Labor Indirects &amp; Field Costs</t>
  </si>
  <si>
    <t>Contractor Engineering  &amp; Fee</t>
  </si>
  <si>
    <t xml:space="preserve">Contingency </t>
  </si>
  <si>
    <t>Total Indirect Cost</t>
  </si>
  <si>
    <t>Total Project Cost</t>
  </si>
  <si>
    <t>Owners Costs / Expenses</t>
  </si>
  <si>
    <t>Owners Cost (4-8% of Total Direct and Indirect Costs)</t>
  </si>
  <si>
    <t>Start-Up and Commissioning (3-5% of Total Direct and Indirect Costs)</t>
  </si>
  <si>
    <t>Capital Spares (1-3% of Total Direct and Indirect Costs)</t>
  </si>
  <si>
    <t>Total Owners Costs</t>
  </si>
  <si>
    <t>Solid- Fluid Processing Plant</t>
  </si>
  <si>
    <t>Fluid Processing Plant</t>
  </si>
  <si>
    <t>Ratio Factors for estimating capital investment based on delivered equipment cost</t>
  </si>
  <si>
    <t xml:space="preserve">CPI Inflation Factor </t>
  </si>
  <si>
    <t>Percent of Delivered Equipment Costs</t>
  </si>
  <si>
    <t>Item</t>
  </si>
  <si>
    <t>Mat'l</t>
  </si>
  <si>
    <t>Owner Engineering &amp; Fee</t>
  </si>
  <si>
    <t xml:space="preserve">Walls </t>
  </si>
  <si>
    <t>Length</t>
  </si>
  <si>
    <t>Height</t>
  </si>
  <si>
    <t>Width</t>
  </si>
  <si>
    <t>Volume Ft^3</t>
  </si>
  <si>
    <t>Yd^3</t>
  </si>
  <si>
    <t>Quantity</t>
  </si>
  <si>
    <t>Total yd^3</t>
  </si>
  <si>
    <t>Cost</t>
  </si>
  <si>
    <t>Pad</t>
  </si>
  <si>
    <t>Thickness</t>
  </si>
  <si>
    <t>New Maintenance Building Pad</t>
  </si>
  <si>
    <t>Conveyor/Bucket elevator foundations Foundation</t>
  </si>
  <si>
    <t>Heigth</t>
  </si>
  <si>
    <t>Total</t>
  </si>
  <si>
    <t>Bent Average Wt</t>
  </si>
  <si>
    <t>$/lbs Steel</t>
  </si>
  <si>
    <t>No. Bents</t>
  </si>
  <si>
    <t>Total Steel</t>
  </si>
  <si>
    <t>Transfer Structure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</si>
</sst>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_(&quot;$&quot;* #,##0_);_(&quot;$&quot;* \(#,##0\);_(&quot;$&quot;* &quot;-&quot;??_);_(@_)"/>
    <numFmt numFmtId="166" formatCode="0.000"/>
    <numFmt numFmtId="167" formatCode="_(&quot;$&quot;* #,##0.00_);_(&quot;$&quot;* \(#,##0.00\);_(&quot;$&quot;* &quot;-&quot;??_);_(@_)"/>
  </numFmts>
  <fonts count="20">
    <font>
      <sz val="10.0"/>
      <color rgb="FF000000"/>
      <name val="Helvetica Neue"/>
      <scheme val="minor"/>
    </font>
    <font>
      <b/>
      <sz val="10.0"/>
      <color theme="1"/>
      <name val="Calibri"/>
    </font>
    <font>
      <b/>
      <sz val="16.0"/>
      <color theme="1"/>
      <name val="Calibri"/>
    </font>
    <font>
      <sz val="11.0"/>
      <color theme="1"/>
      <name val="Calibri"/>
    </font>
    <font>
      <sz val="10.0"/>
      <color theme="1"/>
      <name val="Calibri"/>
    </font>
    <font/>
    <font>
      <sz val="10.0"/>
      <color theme="1"/>
      <name val="Helvetica Neue"/>
    </font>
    <font>
      <b/>
      <sz val="10.0"/>
      <color theme="1"/>
      <name val="Helvetica Neue"/>
    </font>
    <font>
      <u/>
      <sz val="10.0"/>
      <color theme="1"/>
      <name val="Helvetica Neue"/>
    </font>
    <font>
      <u/>
      <sz val="10.0"/>
      <color theme="1"/>
      <name val="Helvetica Neue"/>
    </font>
    <font>
      <b/>
      <i/>
      <sz val="10.0"/>
      <color theme="1"/>
      <name val="Helvetica Neue"/>
    </font>
    <font>
      <sz val="8.0"/>
      <color rgb="FFFF0000"/>
      <name val="Helvetica Neue"/>
    </font>
    <font>
      <sz val="10.0"/>
      <color rgb="FFFF0000"/>
      <name val="Helvetica Neue"/>
    </font>
    <font>
      <b/>
      <u/>
      <sz val="10.0"/>
      <color theme="1"/>
      <name val="Helvetica Neue"/>
    </font>
    <font>
      <u/>
      <sz val="10.0"/>
      <color theme="1"/>
      <name val="Helvetica Neue"/>
    </font>
    <font>
      <u/>
      <sz val="10.0"/>
      <color theme="1"/>
      <name val="Helvetica Neue"/>
    </font>
    <font>
      <b/>
      <sz val="10.0"/>
      <color rgb="FFFF0000"/>
      <name val="Helvetica Neue"/>
    </font>
    <font>
      <b/>
      <i/>
      <sz val="10.0"/>
      <color rgb="FFFF0000"/>
      <name val="Helvetica Neue"/>
    </font>
    <font>
      <b/>
      <i/>
      <u/>
      <sz val="10.0"/>
      <color theme="1"/>
      <name val="Helvetica Neue"/>
    </font>
    <font>
      <color theme="1"/>
      <name val="Helvetica Neue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D8D8D8"/>
        <bgColor rgb="FFD8D8D8"/>
      </patternFill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DAEEF3"/>
        <bgColor rgb="FFDAEEF3"/>
      </patternFill>
    </fill>
    <fill>
      <patternFill patternType="solid">
        <fgColor theme="9"/>
        <bgColor theme="9"/>
      </patternFill>
    </fill>
  </fills>
  <borders count="24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5" numFmtId="0" xfId="0" applyBorder="1" applyFont="1"/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2" fontId="1" numFmtId="0" xfId="0" applyAlignment="1" applyBorder="1" applyFill="1" applyFont="1">
      <alignment horizontal="center" shrinkToFit="0" vertical="top" wrapText="1"/>
    </xf>
    <xf borderId="3" fillId="2" fontId="1" numFmtId="0" xfId="0" applyAlignment="1" applyBorder="1" applyFont="1">
      <alignment horizontal="center" shrinkToFit="0" vertical="top" wrapText="1"/>
    </xf>
    <xf borderId="3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right"/>
    </xf>
    <xf borderId="5" fillId="2" fontId="1" numFmtId="0" xfId="0" applyAlignment="1" applyBorder="1" applyFont="1">
      <alignment horizontal="center" shrinkToFit="0" vertical="top" wrapText="1"/>
    </xf>
    <xf borderId="6" fillId="2" fontId="1" numFmtId="0" xfId="0" applyAlignment="1" applyBorder="1" applyFont="1">
      <alignment horizontal="center" shrinkToFit="0" vertical="top" wrapText="1"/>
    </xf>
    <xf borderId="7" fillId="2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vertical="center"/>
    </xf>
    <xf borderId="7" fillId="2" fontId="1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shrinkToFit="0" vertical="top" wrapText="1"/>
    </xf>
    <xf borderId="9" fillId="3" fontId="4" numFmtId="0" xfId="0" applyAlignment="1" applyBorder="1" applyFill="1" applyFont="1">
      <alignment horizontal="center" shrinkToFit="0" wrapText="1"/>
    </xf>
    <xf borderId="9" fillId="4" fontId="4" numFmtId="0" xfId="0" applyAlignment="1" applyBorder="1" applyFill="1" applyFont="1">
      <alignment horizontal="center"/>
    </xf>
    <xf borderId="10" fillId="4" fontId="4" numFmtId="0" xfId="0" applyAlignment="1" applyBorder="1" applyFont="1">
      <alignment shrinkToFit="0" wrapText="1"/>
    </xf>
    <xf borderId="8" fillId="0" fontId="1" numFmtId="164" xfId="0" applyAlignment="1" applyBorder="1" applyFont="1" applyNumberFormat="1">
      <alignment horizontal="center" shrinkToFit="0" wrapText="1"/>
    </xf>
    <xf borderId="10" fillId="0" fontId="1" numFmtId="1" xfId="0" applyAlignment="1" applyBorder="1" applyFont="1" applyNumberFormat="1">
      <alignment horizontal="center" shrinkToFit="0" wrapText="1"/>
    </xf>
    <xf borderId="8" fillId="0" fontId="4" numFmtId="0" xfId="0" applyAlignment="1" applyBorder="1" applyFont="1">
      <alignment horizontal="center" shrinkToFit="0" wrapText="1"/>
    </xf>
    <xf borderId="11" fillId="5" fontId="1" numFmtId="165" xfId="0" applyAlignment="1" applyBorder="1" applyFill="1" applyFont="1" applyNumberFormat="1">
      <alignment horizontal="center" shrinkToFit="0" wrapText="1"/>
    </xf>
    <xf borderId="9" fillId="4" fontId="4" numFmtId="0" xfId="0" applyAlignment="1" applyBorder="1" applyFont="1">
      <alignment shrinkToFit="0" wrapText="1"/>
    </xf>
    <xf borderId="10" fillId="0" fontId="1" numFmtId="0" xfId="0" applyAlignment="1" applyBorder="1" applyFont="1">
      <alignment shrinkToFit="0" vertical="top" wrapText="1"/>
    </xf>
    <xf borderId="9" fillId="6" fontId="1" numFmtId="0" xfId="0" applyAlignment="1" applyBorder="1" applyFill="1" applyFont="1">
      <alignment horizontal="center" shrinkToFit="0" wrapText="1"/>
    </xf>
    <xf borderId="10" fillId="4" fontId="1" numFmtId="0" xfId="0" applyAlignment="1" applyBorder="1" applyFont="1">
      <alignment horizontal="center"/>
    </xf>
    <xf borderId="10" fillId="4" fontId="1" numFmtId="0" xfId="0" applyAlignment="1" applyBorder="1" applyFont="1">
      <alignment shrinkToFit="0" wrapText="1"/>
    </xf>
    <xf borderId="8" fillId="0" fontId="1" numFmtId="1" xfId="0" applyAlignment="1" applyBorder="1" applyFont="1" applyNumberFormat="1">
      <alignment horizontal="center" shrinkToFit="0" wrapText="1"/>
    </xf>
    <xf borderId="8" fillId="0" fontId="1" numFmtId="0" xfId="0" applyAlignment="1" applyBorder="1" applyFont="1">
      <alignment horizontal="center" shrinkToFit="0" wrapText="1"/>
    </xf>
    <xf borderId="0" fillId="0" fontId="4" numFmtId="0" xfId="0" applyAlignment="1" applyFont="1">
      <alignment shrinkToFit="0" vertical="top" wrapText="1"/>
    </xf>
    <xf borderId="10" fillId="0" fontId="4" numFmtId="0" xfId="0" applyAlignment="1" applyBorder="1" applyFont="1">
      <alignment shrinkToFit="0" vertical="top" wrapText="1"/>
    </xf>
    <xf borderId="12" fillId="0" fontId="1" numFmtId="0" xfId="0" applyAlignment="1" applyBorder="1" applyFont="1">
      <alignment horizontal="center" shrinkToFit="0" wrapText="1"/>
    </xf>
    <xf borderId="13" fillId="0" fontId="5" numFmtId="0" xfId="0" applyBorder="1" applyFont="1"/>
    <xf borderId="14" fillId="0" fontId="5" numFmtId="0" xfId="0" applyBorder="1" applyFont="1"/>
    <xf borderId="10" fillId="0" fontId="4" numFmtId="0" xfId="0" applyAlignment="1" applyBorder="1" applyFont="1">
      <alignment horizontal="left" shrinkToFit="0" vertical="top" wrapText="1"/>
    </xf>
    <xf borderId="10" fillId="0" fontId="4" numFmtId="0" xfId="0" applyAlignment="1" applyBorder="1" applyFont="1">
      <alignment horizontal="center" shrinkToFit="0" vertical="top" wrapText="1"/>
    </xf>
    <xf borderId="12" fillId="0" fontId="1" numFmtId="0" xfId="0" applyAlignment="1" applyBorder="1" applyFont="1">
      <alignment horizontal="center" shrinkToFit="0" vertical="top" wrapText="1"/>
    </xf>
    <xf borderId="11" fillId="5" fontId="4" numFmtId="165" xfId="0" applyAlignment="1" applyBorder="1" applyFont="1" applyNumberFormat="1">
      <alignment shrinkToFit="0" wrapText="1"/>
    </xf>
    <xf borderId="12" fillId="0" fontId="1" numFmtId="164" xfId="0" applyAlignment="1" applyBorder="1" applyFont="1" applyNumberFormat="1">
      <alignment horizontal="center" shrinkToFit="0" wrapText="1"/>
    </xf>
    <xf borderId="0" fillId="0" fontId="4" numFmtId="0" xfId="0" applyFont="1"/>
    <xf borderId="15" fillId="0" fontId="6" numFmtId="0" xfId="0" applyBorder="1" applyFont="1"/>
    <xf borderId="16" fillId="0" fontId="7" numFmtId="0" xfId="0" applyAlignment="1" applyBorder="1" applyFont="1">
      <alignment horizontal="right"/>
    </xf>
    <xf borderId="16" fillId="0" fontId="7" numFmtId="0" xfId="0" applyAlignment="1" applyBorder="1" applyFont="1">
      <alignment horizontal="center"/>
    </xf>
    <xf borderId="16" fillId="0" fontId="6" numFmtId="0" xfId="0" applyBorder="1" applyFont="1"/>
    <xf borderId="17" fillId="0" fontId="6" numFmtId="0" xfId="0" applyBorder="1" applyFont="1"/>
    <xf borderId="18" fillId="0" fontId="6" numFmtId="0" xfId="0" applyBorder="1" applyFont="1"/>
    <xf borderId="10" fillId="0" fontId="6" numFmtId="0" xfId="0" applyAlignment="1" applyBorder="1" applyFont="1">
      <alignment horizontal="right"/>
    </xf>
    <xf borderId="10" fillId="0" fontId="8" numFmtId="0" xfId="0" applyBorder="1" applyFont="1"/>
    <xf borderId="19" fillId="0" fontId="9" numFmtId="0" xfId="0" applyBorder="1" applyFont="1"/>
    <xf borderId="10" fillId="0" fontId="6" numFmtId="0" xfId="0" applyBorder="1" applyFont="1"/>
    <xf borderId="19" fillId="0" fontId="6" numFmtId="0" xfId="0" applyBorder="1" applyFont="1"/>
    <xf borderId="10" fillId="0" fontId="7" numFmtId="0" xfId="0" applyAlignment="1" applyBorder="1" applyFont="1">
      <alignment horizontal="right"/>
    </xf>
    <xf borderId="20" fillId="0" fontId="7" numFmtId="0" xfId="0" applyAlignment="1" applyBorder="1" applyFont="1">
      <alignment horizontal="center"/>
    </xf>
    <xf borderId="0" fillId="0" fontId="10" numFmtId="0" xfId="0" applyFont="1"/>
    <xf borderId="21" fillId="0" fontId="6" numFmtId="0" xfId="0" applyBorder="1" applyFont="1"/>
    <xf borderId="22" fillId="0" fontId="7" numFmtId="0" xfId="0" applyAlignment="1" applyBorder="1" applyFont="1">
      <alignment horizontal="center"/>
    </xf>
    <xf borderId="1" fillId="0" fontId="10" numFmtId="1" xfId="0" applyBorder="1" applyFont="1" applyNumberFormat="1"/>
    <xf borderId="1" fillId="0" fontId="6" numFmtId="0" xfId="0" applyBorder="1" applyFont="1"/>
    <xf borderId="23" fillId="0" fontId="6" numFmtId="0" xfId="0" applyBorder="1" applyFont="1"/>
    <xf borderId="10" fillId="0" fontId="7" numFmtId="0" xfId="0" applyAlignment="1" applyBorder="1" applyFont="1">
      <alignment vertical="center"/>
    </xf>
    <xf borderId="10" fillId="0" fontId="6" numFmtId="0" xfId="0" applyAlignment="1" applyBorder="1" applyFont="1">
      <alignment vertical="center"/>
    </xf>
    <xf borderId="10" fillId="0" fontId="7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10" fillId="0" fontId="7" numFmtId="0" xfId="0" applyAlignment="1" applyBorder="1" applyFont="1">
      <alignment horizontal="left" vertical="center"/>
    </xf>
    <xf borderId="10" fillId="0" fontId="7" numFmtId="14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left" shrinkToFit="0" vertical="center" wrapText="1"/>
    </xf>
    <xf borderId="10" fillId="7" fontId="11" numFmtId="0" xfId="0" applyAlignment="1" applyBorder="1" applyFill="1" applyFont="1">
      <alignment vertical="center"/>
    </xf>
    <xf borderId="10" fillId="0" fontId="12" numFmtId="0" xfId="0" applyAlignment="1" applyBorder="1" applyFont="1">
      <alignment vertical="center"/>
    </xf>
    <xf borderId="10" fillId="0" fontId="13" numFmtId="0" xfId="0" applyAlignment="1" applyBorder="1" applyFont="1">
      <alignment horizontal="center" vertical="center"/>
    </xf>
    <xf borderId="10" fillId="0" fontId="7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shrinkToFit="0" vertical="center" wrapText="1"/>
    </xf>
    <xf borderId="10" fillId="0" fontId="6" numFmtId="165" xfId="0" applyAlignment="1" applyBorder="1" applyFont="1" applyNumberFormat="1">
      <alignment vertical="center"/>
    </xf>
    <xf borderId="10" fillId="0" fontId="6" numFmtId="166" xfId="0" applyAlignment="1" applyBorder="1" applyFont="1" applyNumberFormat="1">
      <alignment vertical="center"/>
    </xf>
    <xf borderId="10" fillId="0" fontId="6" numFmtId="9" xfId="0" applyAlignment="1" applyBorder="1" applyFont="1" applyNumberFormat="1">
      <alignment vertical="center"/>
    </xf>
    <xf borderId="10" fillId="0" fontId="14" numFmtId="167" xfId="0" applyAlignment="1" applyBorder="1" applyFont="1" applyNumberFormat="1">
      <alignment vertical="center"/>
    </xf>
    <xf borderId="0" fillId="0" fontId="6" numFmtId="9" xfId="0" applyAlignment="1" applyFont="1" applyNumberFormat="1">
      <alignment vertical="center"/>
    </xf>
    <xf borderId="10" fillId="8" fontId="7" numFmtId="0" xfId="0" applyAlignment="1" applyBorder="1" applyFill="1" applyFont="1">
      <alignment horizontal="right" shrinkToFit="0" vertical="center" wrapText="1"/>
    </xf>
    <xf borderId="10" fillId="8" fontId="6" numFmtId="165" xfId="0" applyAlignment="1" applyBorder="1" applyFont="1" applyNumberFormat="1">
      <alignment vertical="center"/>
    </xf>
    <xf borderId="10" fillId="7" fontId="7" numFmtId="0" xfId="0" applyAlignment="1" applyBorder="1" applyFont="1">
      <alignment horizontal="right" shrinkToFit="0" vertical="center" wrapText="1"/>
    </xf>
    <xf borderId="10" fillId="7" fontId="10" numFmtId="165" xfId="0" applyAlignment="1" applyBorder="1" applyFont="1" applyNumberFormat="1">
      <alignment vertical="center"/>
    </xf>
    <xf borderId="10" fillId="0" fontId="15" numFmtId="165" xfId="0" applyAlignment="1" applyBorder="1" applyFont="1" applyNumberFormat="1">
      <alignment vertical="center"/>
    </xf>
    <xf borderId="10" fillId="7" fontId="12" numFmtId="9" xfId="0" applyAlignment="1" applyBorder="1" applyFont="1" applyNumberFormat="1">
      <alignment vertical="center"/>
    </xf>
    <xf borderId="10" fillId="9" fontId="7" numFmtId="0" xfId="0" applyAlignment="1" applyBorder="1" applyFill="1" applyFont="1">
      <alignment horizontal="right" shrinkToFit="0" vertical="center" wrapText="1"/>
    </xf>
    <xf borderId="10" fillId="9" fontId="10" numFmtId="165" xfId="0" applyAlignment="1" applyBorder="1" applyFont="1" applyNumberFormat="1">
      <alignment vertical="center"/>
    </xf>
    <xf borderId="10" fillId="10" fontId="16" numFmtId="0" xfId="0" applyAlignment="1" applyBorder="1" applyFill="1" applyFont="1">
      <alignment horizontal="right" vertical="center"/>
    </xf>
    <xf borderId="10" fillId="10" fontId="17" numFmtId="165" xfId="0" applyAlignment="1" applyBorder="1" applyFont="1" applyNumberFormat="1">
      <alignment vertical="center"/>
    </xf>
    <xf borderId="10" fillId="10" fontId="18" numFmtId="165" xfId="0" applyAlignment="1" applyBorder="1" applyFont="1" applyNumberFormat="1">
      <alignment vertical="center"/>
    </xf>
    <xf borderId="0" fillId="0" fontId="6" numFmtId="165" xfId="0" applyAlignment="1" applyFont="1" applyNumberFormat="1">
      <alignment vertical="center"/>
    </xf>
    <xf borderId="10" fillId="11" fontId="7" numFmtId="0" xfId="0" applyAlignment="1" applyBorder="1" applyFill="1" applyFont="1">
      <alignment horizontal="right" vertical="center"/>
    </xf>
    <xf borderId="10" fillId="11" fontId="6" numFmtId="165" xfId="0" applyAlignment="1" applyBorder="1" applyFont="1" applyNumberFormat="1">
      <alignment vertical="center"/>
    </xf>
    <xf borderId="10" fillId="11" fontId="6" numFmtId="0" xfId="0" applyAlignment="1" applyBorder="1" applyFont="1">
      <alignment vertical="center"/>
    </xf>
    <xf borderId="0" fillId="0" fontId="7" numFmtId="0" xfId="0" applyAlignment="1" applyFont="1">
      <alignment horizontal="center" shrinkToFit="0" wrapText="1"/>
    </xf>
    <xf borderId="0" fillId="0" fontId="7" numFmtId="0" xfId="0" applyFont="1"/>
    <xf borderId="0" fillId="0" fontId="12" numFmtId="0" xfId="0" applyFont="1"/>
    <xf borderId="0" fillId="0" fontId="10" numFmtId="0" xfId="0" applyAlignment="1" applyFont="1">
      <alignment horizontal="center"/>
    </xf>
    <xf borderId="0" fillId="0" fontId="6" numFmtId="0" xfId="0" applyAlignment="1" applyFont="1">
      <alignment shrinkToFit="0" wrapText="1"/>
    </xf>
    <xf borderId="0" fillId="0" fontId="6" numFmtId="166" xfId="0" applyFont="1" applyNumberFormat="1"/>
    <xf borderId="0" fillId="0" fontId="6" numFmtId="9" xfId="0" applyFont="1" applyNumberFormat="1"/>
    <xf borderId="0" fillId="0" fontId="6" numFmtId="2" xfId="0" applyFont="1" applyNumberFormat="1"/>
    <xf borderId="0" fillId="0" fontId="19" numFmtId="0" xfId="0" applyFont="1"/>
    <xf borderId="11" fillId="7" fontId="6" numFmtId="0" xfId="0" applyBorder="1" applyFont="1"/>
    <xf borderId="0" fillId="0" fontId="6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8.14"/>
    <col customWidth="1" min="3" max="3" width="9.0"/>
    <col customWidth="1" min="4" max="4" width="8.43"/>
    <col customWidth="1" min="5" max="5" width="37.43"/>
    <col customWidth="1" min="6" max="6" width="45.71"/>
    <col customWidth="1" min="7" max="7" width="11.29"/>
    <col customWidth="1" min="8" max="10" width="7.86"/>
    <col customWidth="1" min="11" max="11" width="16.86"/>
    <col customWidth="1" min="12" max="26" width="10.86"/>
  </cols>
  <sheetData>
    <row r="1" ht="24.75" customHeight="1">
      <c r="A1" s="1"/>
      <c r="B1" s="2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3" t="s">
        <v>1</v>
      </c>
      <c r="C2" s="3"/>
      <c r="D2" s="4" t="s">
        <v>2</v>
      </c>
      <c r="G2" s="5" t="s">
        <v>3</v>
      </c>
      <c r="H2" s="6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1" t="s">
        <v>4</v>
      </c>
      <c r="C3" s="8" t="s">
        <v>5</v>
      </c>
      <c r="F3" s="1"/>
      <c r="G3" s="5" t="s">
        <v>6</v>
      </c>
      <c r="H3" s="8" t="s">
        <v>7</v>
      </c>
      <c r="I3" s="8"/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9"/>
      <c r="B4" s="10" t="s">
        <v>8</v>
      </c>
      <c r="C4" s="11"/>
      <c r="D4" s="11"/>
      <c r="E4" s="10" t="s">
        <v>9</v>
      </c>
      <c r="F4" s="12"/>
      <c r="G4" s="12"/>
      <c r="H4" s="13"/>
      <c r="I4" s="13"/>
      <c r="J4" s="13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6.0" customHeight="1">
      <c r="A5" s="14"/>
      <c r="B5" s="15"/>
      <c r="C5" s="15" t="s">
        <v>10</v>
      </c>
      <c r="D5" s="16"/>
      <c r="E5" s="15"/>
      <c r="F5" s="15"/>
      <c r="G5" s="16"/>
      <c r="H5" s="16"/>
      <c r="I5" s="17"/>
      <c r="J5" s="18" t="s">
        <v>11</v>
      </c>
      <c r="K5" s="15" t="s">
        <v>12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36.0" customHeight="1">
      <c r="A6" s="14"/>
      <c r="B6" s="19" t="s">
        <v>13</v>
      </c>
      <c r="C6" s="19" t="s">
        <v>14</v>
      </c>
      <c r="D6" s="20" t="s">
        <v>15</v>
      </c>
      <c r="E6" s="19" t="s">
        <v>16</v>
      </c>
      <c r="F6" s="19" t="s">
        <v>17</v>
      </c>
      <c r="G6" s="21" t="s">
        <v>18</v>
      </c>
      <c r="H6" s="21" t="s">
        <v>19</v>
      </c>
      <c r="I6" s="22" t="s">
        <v>20</v>
      </c>
      <c r="J6" s="21" t="s">
        <v>21</v>
      </c>
      <c r="K6" s="23" t="s">
        <v>22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2.0" customHeight="1">
      <c r="A7" s="14"/>
      <c r="B7" s="24"/>
      <c r="C7" s="25"/>
      <c r="D7" s="26">
        <v>1.0</v>
      </c>
      <c r="E7" s="27" t="s">
        <v>23</v>
      </c>
      <c r="F7" s="27"/>
      <c r="G7" s="28">
        <f>H7*0.7456999</f>
        <v>596.55992</v>
      </c>
      <c r="H7" s="29">
        <v>800.0</v>
      </c>
      <c r="I7" s="30"/>
      <c r="J7" s="30"/>
      <c r="K7" s="31">
        <f>4300000*1.3</f>
        <v>5590000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2.0" customHeight="1">
      <c r="A8" s="14"/>
      <c r="B8" s="24"/>
      <c r="C8" s="25"/>
      <c r="D8" s="26"/>
      <c r="E8" s="27"/>
      <c r="F8" s="32"/>
      <c r="G8" s="28"/>
      <c r="H8" s="29"/>
      <c r="I8" s="30"/>
      <c r="J8" s="30"/>
      <c r="K8" s="31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2.0" customHeight="1">
      <c r="A9" s="9"/>
      <c r="B9" s="33"/>
      <c r="C9" s="34"/>
      <c r="D9" s="35"/>
      <c r="E9" s="36"/>
      <c r="F9" s="36" t="s">
        <v>24</v>
      </c>
      <c r="G9" s="37">
        <f t="shared" ref="G9:H9" si="1">SUM(G7:G8)</f>
        <v>596.55992</v>
      </c>
      <c r="H9" s="29">
        <f t="shared" si="1"/>
        <v>800</v>
      </c>
      <c r="I9" s="38"/>
      <c r="J9" s="38"/>
      <c r="K9" s="31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6.0" customHeight="1">
      <c r="A10" s="39"/>
      <c r="B10" s="40"/>
      <c r="C10" s="40"/>
      <c r="D10" s="40"/>
      <c r="E10" s="40"/>
      <c r="F10" s="40"/>
      <c r="G10" s="41" t="s">
        <v>25</v>
      </c>
      <c r="H10" s="42"/>
      <c r="I10" s="42"/>
      <c r="J10" s="43"/>
      <c r="K10" s="31">
        <f>SUM(K7:K9)</f>
        <v>5590000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36.0" customHeight="1">
      <c r="A11" s="39"/>
      <c r="B11" s="40"/>
      <c r="C11" s="44"/>
      <c r="D11" s="45"/>
      <c r="E11" s="40"/>
      <c r="F11" s="40"/>
      <c r="G11" s="46"/>
      <c r="H11" s="42"/>
      <c r="I11" s="42"/>
      <c r="J11" s="43"/>
      <c r="K11" s="47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36.0" customHeight="1">
      <c r="A12" s="39"/>
      <c r="B12" s="40"/>
      <c r="C12" s="44"/>
      <c r="D12" s="45"/>
      <c r="E12" s="40"/>
      <c r="F12" s="40"/>
      <c r="G12" s="48" t="s">
        <v>26</v>
      </c>
      <c r="H12" s="42"/>
      <c r="I12" s="42"/>
      <c r="J12" s="43"/>
      <c r="K12" s="31">
        <f>+K10*0.1</f>
        <v>559000</v>
      </c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36.0" customHeight="1">
      <c r="A13" s="39"/>
      <c r="B13" s="40"/>
      <c r="C13" s="44"/>
      <c r="D13" s="45"/>
      <c r="E13" s="44"/>
      <c r="F13" s="40"/>
      <c r="G13" s="41" t="s">
        <v>27</v>
      </c>
      <c r="H13" s="42"/>
      <c r="I13" s="42"/>
      <c r="J13" s="43"/>
      <c r="K13" s="31">
        <f>+K10+K12</f>
        <v>6149000</v>
      </c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36.0" customHeight="1">
      <c r="A14" s="39"/>
      <c r="B14" s="49"/>
      <c r="C14" s="49"/>
      <c r="D14" s="49"/>
      <c r="E14" s="49"/>
      <c r="F14" s="49"/>
      <c r="G14" s="49"/>
      <c r="H14" s="49"/>
      <c r="I14" s="49"/>
      <c r="J14" s="4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36.0" customHeight="1">
      <c r="A15" s="39"/>
      <c r="B15" s="49"/>
      <c r="C15" s="49"/>
      <c r="D15" s="49"/>
      <c r="E15" s="49"/>
      <c r="F15" s="49"/>
      <c r="G15" s="49"/>
      <c r="H15" s="49"/>
      <c r="I15" s="49"/>
      <c r="J15" s="4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36.0" customHeight="1">
      <c r="A16" s="39"/>
      <c r="B16" s="49"/>
      <c r="C16" s="49"/>
      <c r="D16" s="49"/>
      <c r="E16" s="49"/>
      <c r="F16" s="49"/>
      <c r="G16" s="49"/>
      <c r="H16" s="49"/>
      <c r="I16" s="49"/>
      <c r="J16" s="4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36.0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36.0" customHeight="1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36.0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36.0" customHeight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36.0" customHeight="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36.0" customHeight="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36.0" customHeight="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36.0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36.0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36.0" customHeight="1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36.0" customHeight="1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36.0" customHeight="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36.0" customHeight="1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36.0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36.0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36.0" customHeigh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36.0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36.0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36.0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36.0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36.0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36.0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36.0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36.0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36.0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37.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37.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36.0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36.0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36.0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37.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36.0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39.0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36.0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36.0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36.0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36.0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36.0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36.0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36.0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36.0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36.0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36.0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36.0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36.0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36.0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36.0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36.0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36.0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36.0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36.0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36.0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36.0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36.0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36.0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36.0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36.0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36.0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36.0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36.0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36.0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36.0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36.0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36.0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36.0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36.0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36.0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36.0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36.0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36.0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36.0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36.0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36.0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36.0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36.0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36.0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36.0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36.0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36.0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36.0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36.0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36.0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36.0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36.0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36.0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36.0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36.0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36.0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36.0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36.0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36.0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36.0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36.0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36.0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36.0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36.0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36.0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36.0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36.0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36.0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36.0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36.0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36.0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36.0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36.0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36.0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36.0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36.0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36.0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36.0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36.0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36.0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36.0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36.0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36.0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36.0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36.0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36.0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36.0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36.0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36.0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36.0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36.0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36.0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36.0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36.0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36.0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36.0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36.0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36.0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36.0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36.0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36.0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36.0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36.0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36.0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36.0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36.0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36.0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36.0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36.0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36.0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36.0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36.0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36.0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36.0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36.0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36.0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36.0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36.0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36.0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36.0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36.0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36.0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36.0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36.0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36.0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36.0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36.0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36.0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36.0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36.0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36.0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36.0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36.0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36.0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36.0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36.0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36.0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36.0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36.0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36.0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36.0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36.0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36.0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36.0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36.0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36.0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36.0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36.0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36.0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36.0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36.0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36.0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36.0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36.0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36.0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36.0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36.0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36.0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36.0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36.0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36.0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36.0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36.0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36.0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36.0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36.0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36.0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36.0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36.0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36.0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36.0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36.0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36.0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36.0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36.0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36.0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36.0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36.0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36.0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36.0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36.0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36.0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36.0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36.0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36.0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36.0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36.0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36.0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36.0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36.0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36.0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36.0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36.0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36.0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36.0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36.0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36.0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36.0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36.0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36.0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36.0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36.0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36.0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36.0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36.0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36.0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36.0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36.0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36.0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36.0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36.0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36.0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36.0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36.0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36.0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36.0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36.0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36.0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36.0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36.0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36.0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36.0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36.0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36.0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36.0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36.0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36.0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36.0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36.0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36.0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36.0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36.0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36.0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36.0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36.0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36.0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36.0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36.0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36.0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36.0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36.0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36.0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36.0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36.0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36.0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36.0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36.0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36.0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36.0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36.0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36.0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36.0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36.0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36.0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36.0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36.0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36.0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36.0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36.0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36.0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36.0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36.0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36.0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36.0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36.0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36.0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36.0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36.0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36.0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36.0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36.0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36.0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36.0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36.0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36.0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36.0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36.0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36.0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36.0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36.0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36.0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36.0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36.0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36.0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36.0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36.0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36.0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36.0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36.0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36.0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36.0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36.0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36.0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36.0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36.0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36.0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36.0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36.0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36.0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36.0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36.0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36.0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36.0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36.0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36.0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36.0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36.0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36.0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36.0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36.0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36.0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36.0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36.0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36.0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36.0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36.0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36.0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36.0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36.0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36.0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36.0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36.0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36.0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36.0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36.0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36.0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36.0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36.0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36.0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36.0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36.0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36.0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36.0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36.0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36.0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36.0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36.0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36.0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36.0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36.0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36.0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36.0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36.0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36.0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36.0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36.0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36.0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36.0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36.0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36.0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36.0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36.0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36.0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36.0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36.0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36.0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36.0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36.0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36.0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36.0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36.0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36.0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36.0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36.0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36.0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36.0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36.0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36.0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36.0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36.0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36.0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36.0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36.0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36.0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36.0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36.0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36.0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36.0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36.0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36.0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36.0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36.0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36.0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36.0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36.0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36.0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36.0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36.0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36.0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36.0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36.0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36.0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36.0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36.0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36.0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36.0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36.0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36.0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36.0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36.0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36.0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36.0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36.0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36.0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36.0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36.0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36.0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36.0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36.0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36.0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36.0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36.0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36.0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36.0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36.0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36.0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36.0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36.0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36.0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36.0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36.0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36.0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36.0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36.0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36.0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36.0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36.0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36.0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36.0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36.0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36.0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36.0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36.0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36.0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36.0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36.0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36.0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36.0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36.0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36.0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36.0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36.0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36.0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36.0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36.0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36.0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36.0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36.0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36.0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36.0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36.0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36.0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36.0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36.0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36.0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36.0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36.0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36.0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36.0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36.0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36.0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36.0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36.0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36.0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36.0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36.0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36.0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36.0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36.0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36.0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36.0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36.0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36.0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36.0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36.0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36.0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36.0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36.0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36.0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36.0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36.0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36.0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36.0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36.0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36.0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36.0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36.0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36.0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36.0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36.0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36.0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36.0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36.0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36.0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36.0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36.0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36.0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36.0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36.0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36.0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36.0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36.0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36.0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36.0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36.0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36.0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36.0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36.0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36.0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36.0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36.0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36.0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36.0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36.0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36.0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36.0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36.0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36.0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36.0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36.0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36.0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36.0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36.0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36.0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36.0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36.0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36.0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36.0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36.0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36.0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36.0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36.0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36.0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36.0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36.0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36.0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36.0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36.0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36.0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36.0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36.0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36.0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36.0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36.0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36.0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36.0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36.0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36.0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36.0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36.0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36.0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36.0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36.0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36.0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36.0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36.0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36.0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36.0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36.0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36.0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36.0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36.0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36.0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36.0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36.0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36.0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36.0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36.0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36.0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36.0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36.0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36.0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36.0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36.0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36.0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36.0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36.0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36.0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36.0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36.0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36.0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36.0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36.0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36.0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36.0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36.0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36.0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36.0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36.0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36.0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36.0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36.0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36.0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36.0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36.0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36.0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36.0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36.0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36.0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36.0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36.0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36.0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36.0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36.0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36.0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36.0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36.0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36.0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36.0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36.0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36.0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36.0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36.0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36.0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36.0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36.0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36.0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36.0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36.0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36.0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36.0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36.0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36.0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36.0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36.0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36.0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36.0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36.0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36.0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36.0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36.0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36.0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36.0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36.0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36.0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36.0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36.0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36.0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36.0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36.0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36.0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36.0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36.0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36.0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36.0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36.0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36.0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36.0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36.0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36.0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36.0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36.0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36.0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36.0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36.0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36.0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36.0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36.0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36.0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36.0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36.0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36.0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36.0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36.0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36.0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36.0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36.0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36.0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36.0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36.0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36.0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36.0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36.0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36.0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36.0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36.0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36.0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36.0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36.0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36.0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36.0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36.0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36.0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36.0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36.0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36.0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36.0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36.0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36.0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36.0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36.0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36.0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36.0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36.0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36.0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36.0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36.0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36.0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36.0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36.0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36.0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36.0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36.0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36.0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36.0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36.0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36.0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36.0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36.0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36.0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36.0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36.0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36.0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36.0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36.0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36.0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36.0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36.0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36.0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36.0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36.0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36.0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36.0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36.0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36.0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36.0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36.0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36.0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36.0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36.0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36.0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36.0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36.0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36.0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36.0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36.0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36.0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36.0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36.0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36.0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36.0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36.0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36.0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36.0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36.0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36.0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36.0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36.0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36.0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36.0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36.0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36.0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36.0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36.0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36.0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36.0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36.0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36.0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36.0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36.0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36.0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36.0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36.0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36.0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36.0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36.0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36.0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36.0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36.0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36.0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36.0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36.0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36.0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36.0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36.0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36.0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36.0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36.0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36.0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36.0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36.0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36.0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36.0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36.0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36.0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36.0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36.0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36.0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36.0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36.0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36.0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36.0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36.0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36.0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36.0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36.0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36.0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36.0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36.0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36.0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36.0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36.0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36.0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36.0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36.0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36.0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36.0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36.0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36.0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36.0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36.0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36.0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36.0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36.0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36.0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36.0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36.0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36.0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36.0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36.0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36.0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36.0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36.0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36.0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36.0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36.0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36.0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36.0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36.0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36.0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36.0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36.0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36.0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36.0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36.0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36.0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36.0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36.0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36.0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36.0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36.0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36.0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36.0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36.0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36.0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36.0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36.0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36.0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36.0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36.0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36.0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36.0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36.0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36.0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36.0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36.0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36.0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36.0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36.0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36.0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36.0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36.0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36.0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36.0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36.0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36.0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36.0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36.0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36.0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36.0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36.0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36.0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36.0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36.0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36.0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36.0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36.0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36.0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36.0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36.0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36.0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36.0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36.0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36.0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36.0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36.0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36.0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36.0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36.0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36.0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36.0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36.0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36.0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36.0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36.0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36.0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36.0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36.0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36.0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36.0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36.0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36.0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36.0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36.0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36.0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36.0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36.0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36.0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36.0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36.0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36.0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36.0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36.0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36.0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36.0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36.0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36.0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36.0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36.0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36.0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36.0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36.0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36.0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36.0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36.0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36.0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36.0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36.0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36.0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36.0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36.0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36.0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36.0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36.0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36.0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36.0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36.0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36.0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36.0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36.0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36.0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36.0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36.0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36.0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36.0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36.0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36.0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36.0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36.0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36.0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36.0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36.0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mergeCells count="9">
    <mergeCell ref="G12:J12"/>
    <mergeCell ref="G13:J13"/>
    <mergeCell ref="B1:J1"/>
    <mergeCell ref="D2:F2"/>
    <mergeCell ref="H2:I2"/>
    <mergeCell ref="C3:E3"/>
    <mergeCell ref="B4:D4"/>
    <mergeCell ref="G10:J10"/>
    <mergeCell ref="G11:J11"/>
  </mergeCells>
  <printOptions horizontalCentered="1"/>
  <pageMargins bottom="0.75" footer="0.0" header="0.0" left="0.25" right="0.25" top="0.75"/>
  <pageSetup orientation="landscape"/>
  <headerFooter>
    <oddHeader>&amp;CMillcreek Engineering</oddHeader>
    <oddFooter>&amp;RPage 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14"/>
    <col customWidth="1" min="3" max="26" width="8.86"/>
  </cols>
  <sheetData>
    <row r="1" ht="12.75" customHeight="1">
      <c r="A1" s="50"/>
      <c r="B1" s="51" t="s">
        <v>28</v>
      </c>
      <c r="C1" s="52" t="s">
        <v>29</v>
      </c>
      <c r="D1" s="53"/>
      <c r="E1" s="54"/>
    </row>
    <row r="2" ht="12.75" customHeight="1">
      <c r="A2" s="55"/>
      <c r="B2" s="56">
        <v>0.25</v>
      </c>
      <c r="C2" s="57">
        <f>COUNTIF('Eq List'!$H$7:'Eq List'!$H$69,B2)</f>
        <v>0</v>
      </c>
      <c r="D2" s="57"/>
      <c r="E2" s="58">
        <f t="shared" ref="E2:E33" si="1">C2*B2</f>
        <v>0</v>
      </c>
    </row>
    <row r="3" ht="12.75" customHeight="1">
      <c r="A3" s="55"/>
      <c r="B3" s="56">
        <v>0.5</v>
      </c>
      <c r="C3" s="57">
        <f>COUNTIF('Eq List'!$H$7:'Eq List'!$H$69,B3)</f>
        <v>0</v>
      </c>
      <c r="D3" s="57"/>
      <c r="E3" s="58">
        <f t="shared" si="1"/>
        <v>0</v>
      </c>
    </row>
    <row r="4" ht="12.75" customHeight="1">
      <c r="A4" s="55"/>
      <c r="B4" s="56">
        <v>0.75</v>
      </c>
      <c r="C4" s="57">
        <f>COUNTIF('Eq List'!$H$7:'Eq List'!$H$69,B4)</f>
        <v>0</v>
      </c>
      <c r="D4" s="57"/>
      <c r="E4" s="58">
        <f t="shared" si="1"/>
        <v>0</v>
      </c>
    </row>
    <row r="5" ht="12.75" customHeight="1">
      <c r="A5" s="55"/>
      <c r="B5" s="59">
        <v>1.0</v>
      </c>
      <c r="C5" s="57">
        <f>COUNTIF('Eq List'!$H$7:'Eq List'!$H$69,B5)</f>
        <v>0</v>
      </c>
      <c r="D5" s="57"/>
      <c r="E5" s="58">
        <f t="shared" si="1"/>
        <v>0</v>
      </c>
    </row>
    <row r="6" ht="12.75" customHeight="1">
      <c r="A6" s="55"/>
      <c r="B6" s="59">
        <v>2.0</v>
      </c>
      <c r="C6" s="57">
        <f>COUNTIF('Eq List'!$H$7:'Eq List'!$H$69,B6)</f>
        <v>0</v>
      </c>
      <c r="D6" s="59"/>
      <c r="E6" s="60">
        <f t="shared" si="1"/>
        <v>0</v>
      </c>
    </row>
    <row r="7" ht="12.75" customHeight="1">
      <c r="A7" s="55"/>
      <c r="B7" s="59">
        <v>3.0</v>
      </c>
      <c r="C7" s="57">
        <f>COUNTIF('Eq List'!$H$7:'Eq List'!$H$69,B7)</f>
        <v>0</v>
      </c>
      <c r="D7" s="59"/>
      <c r="E7" s="60">
        <f t="shared" si="1"/>
        <v>0</v>
      </c>
    </row>
    <row r="8" ht="12.75" customHeight="1">
      <c r="A8" s="55"/>
      <c r="B8" s="59">
        <v>5.0</v>
      </c>
      <c r="C8" s="57">
        <f>COUNTIF('Eq List'!$H$7:'Eq List'!$H$69,B8)</f>
        <v>0</v>
      </c>
      <c r="D8" s="59"/>
      <c r="E8" s="60">
        <f t="shared" si="1"/>
        <v>0</v>
      </c>
    </row>
    <row r="9" ht="12.75" customHeight="1">
      <c r="A9" s="55"/>
      <c r="B9" s="59">
        <v>7.5</v>
      </c>
      <c r="C9" s="57">
        <f>COUNTIF('Eq List'!$H$7:'Eq List'!$H$69,B9)</f>
        <v>0</v>
      </c>
      <c r="D9" s="59"/>
      <c r="E9" s="60">
        <f t="shared" si="1"/>
        <v>0</v>
      </c>
    </row>
    <row r="10" ht="12.75" customHeight="1">
      <c r="A10" s="55"/>
      <c r="B10" s="59">
        <v>10.0</v>
      </c>
      <c r="C10" s="57">
        <f>COUNTIF('Eq List'!$H$7:'Eq List'!$H$69,B10)</f>
        <v>0</v>
      </c>
      <c r="D10" s="59"/>
      <c r="E10" s="60">
        <f t="shared" si="1"/>
        <v>0</v>
      </c>
    </row>
    <row r="11" ht="12.75" customHeight="1">
      <c r="A11" s="55"/>
      <c r="B11" s="59">
        <v>15.0</v>
      </c>
      <c r="C11" s="57">
        <f>COUNTIF('Eq List'!$H$7:'Eq List'!$H$69,B11)</f>
        <v>0</v>
      </c>
      <c r="D11" s="59"/>
      <c r="E11" s="60">
        <f t="shared" si="1"/>
        <v>0</v>
      </c>
    </row>
    <row r="12" ht="12.75" customHeight="1">
      <c r="A12" s="55"/>
      <c r="B12" s="59">
        <v>20.0</v>
      </c>
      <c r="C12" s="57">
        <f>COUNTIF('Eq List'!$H$7:'Eq List'!$H$69,B12)</f>
        <v>0</v>
      </c>
      <c r="D12" s="59"/>
      <c r="E12" s="60">
        <f t="shared" si="1"/>
        <v>0</v>
      </c>
    </row>
    <row r="13" ht="12.75" customHeight="1">
      <c r="A13" s="55"/>
      <c r="B13" s="59">
        <v>25.0</v>
      </c>
      <c r="C13" s="57">
        <f>COUNTIF('Eq List'!$H$7:'Eq List'!$H$69,B13)</f>
        <v>0</v>
      </c>
      <c r="D13" s="59"/>
      <c r="E13" s="60">
        <f t="shared" si="1"/>
        <v>0</v>
      </c>
    </row>
    <row r="14" ht="12.75" customHeight="1">
      <c r="A14" s="55"/>
      <c r="B14" s="59">
        <v>30.0</v>
      </c>
      <c r="C14" s="57">
        <f>COUNTIF('Eq List'!$H$7:'Eq List'!$H$69,B14)</f>
        <v>0</v>
      </c>
      <c r="D14" s="59"/>
      <c r="E14" s="60">
        <f t="shared" si="1"/>
        <v>0</v>
      </c>
    </row>
    <row r="15" ht="12.75" customHeight="1">
      <c r="A15" s="55"/>
      <c r="B15" s="59">
        <v>40.0</v>
      </c>
      <c r="C15" s="57">
        <f>COUNTIF('Eq List'!$H$7:'Eq List'!$H$69,B15)</f>
        <v>0</v>
      </c>
      <c r="D15" s="59"/>
      <c r="E15" s="60">
        <f t="shared" si="1"/>
        <v>0</v>
      </c>
    </row>
    <row r="16" ht="12.75" customHeight="1">
      <c r="A16" s="55"/>
      <c r="B16" s="59">
        <v>50.0</v>
      </c>
      <c r="C16" s="57">
        <f>COUNTIF('Eq List'!$H$7:'Eq List'!$H$69,B16)</f>
        <v>0</v>
      </c>
      <c r="D16" s="59"/>
      <c r="E16" s="60">
        <f t="shared" si="1"/>
        <v>0</v>
      </c>
    </row>
    <row r="17" ht="12.75" customHeight="1">
      <c r="A17" s="55"/>
      <c r="B17" s="59">
        <v>60.0</v>
      </c>
      <c r="C17" s="57">
        <f>COUNTIF('Eq List'!$H$7:'Eq List'!$H$69,B17)</f>
        <v>0</v>
      </c>
      <c r="D17" s="59"/>
      <c r="E17" s="60">
        <f t="shared" si="1"/>
        <v>0</v>
      </c>
    </row>
    <row r="18" ht="12.75" customHeight="1">
      <c r="A18" s="55"/>
      <c r="B18" s="59">
        <v>75.0</v>
      </c>
      <c r="C18" s="57">
        <f>COUNTIF('Eq List'!$H$7:'Eq List'!$H$69,B18)</f>
        <v>0</v>
      </c>
      <c r="D18" s="59"/>
      <c r="E18" s="60">
        <f t="shared" si="1"/>
        <v>0</v>
      </c>
    </row>
    <row r="19" ht="12.75" customHeight="1">
      <c r="A19" s="55"/>
      <c r="B19" s="59">
        <v>100.0</v>
      </c>
      <c r="C19" s="57">
        <f>COUNTIF('Eq List'!$H$7:'Eq List'!$H$69,B19)</f>
        <v>0</v>
      </c>
      <c r="D19" s="59"/>
      <c r="E19" s="60">
        <f t="shared" si="1"/>
        <v>0</v>
      </c>
    </row>
    <row r="20" ht="12.75" customHeight="1">
      <c r="A20" s="55"/>
      <c r="B20" s="59">
        <v>125.0</v>
      </c>
      <c r="C20" s="57">
        <f>COUNTIF('Eq List'!$H$7:'Eq List'!$H$69,B20)</f>
        <v>0</v>
      </c>
      <c r="D20" s="59"/>
      <c r="E20" s="60">
        <f t="shared" si="1"/>
        <v>0</v>
      </c>
    </row>
    <row r="21" ht="12.75" customHeight="1">
      <c r="A21" s="55"/>
      <c r="B21" s="59">
        <v>150.0</v>
      </c>
      <c r="C21" s="57">
        <f>COUNTIF('Eq List'!$H$7:'Eq List'!$H$69,B21)</f>
        <v>0</v>
      </c>
      <c r="D21" s="59"/>
      <c r="E21" s="60">
        <f t="shared" si="1"/>
        <v>0</v>
      </c>
    </row>
    <row r="22" ht="12.75" customHeight="1">
      <c r="A22" s="55"/>
      <c r="B22" s="59">
        <v>200.0</v>
      </c>
      <c r="C22" s="57">
        <f>COUNTIF('Eq List'!$H$7:'Eq List'!$H$69,B22)</f>
        <v>0</v>
      </c>
      <c r="D22" s="59"/>
      <c r="E22" s="60">
        <f t="shared" si="1"/>
        <v>0</v>
      </c>
    </row>
    <row r="23" ht="12.75" customHeight="1">
      <c r="A23" s="55"/>
      <c r="B23" s="59">
        <v>250.0</v>
      </c>
      <c r="C23" s="57">
        <f>COUNTIF('Eq List'!$H$7:'Eq List'!$H$69,B23)</f>
        <v>0</v>
      </c>
      <c r="D23" s="59"/>
      <c r="E23" s="60">
        <f t="shared" si="1"/>
        <v>0</v>
      </c>
    </row>
    <row r="24" ht="12.75" customHeight="1">
      <c r="A24" s="55"/>
      <c r="B24" s="59">
        <v>300.0</v>
      </c>
      <c r="C24" s="57">
        <f>COUNTIF('Eq List'!$H$7:'Eq List'!$H$69,B24)</f>
        <v>0</v>
      </c>
      <c r="D24" s="59"/>
      <c r="E24" s="60">
        <f t="shared" si="1"/>
        <v>0</v>
      </c>
    </row>
    <row r="25" ht="12.75" customHeight="1">
      <c r="A25" s="55"/>
      <c r="B25" s="59">
        <v>350.0</v>
      </c>
      <c r="C25" s="57">
        <f>COUNTIF('Eq List'!$H$7:'Eq List'!$H$69,B25)</f>
        <v>0</v>
      </c>
      <c r="D25" s="59"/>
      <c r="E25" s="60">
        <f t="shared" si="1"/>
        <v>0</v>
      </c>
    </row>
    <row r="26" ht="12.75" customHeight="1">
      <c r="A26" s="55"/>
      <c r="B26" s="59">
        <v>400.0</v>
      </c>
      <c r="C26" s="57">
        <f>COUNTIF('Eq List'!$H$7:'Eq List'!$H$69,B26)</f>
        <v>0</v>
      </c>
      <c r="D26" s="59"/>
      <c r="E26" s="60">
        <f t="shared" si="1"/>
        <v>0</v>
      </c>
    </row>
    <row r="27" ht="12.75" customHeight="1">
      <c r="A27" s="55"/>
      <c r="B27" s="59">
        <v>450.0</v>
      </c>
      <c r="C27" s="57">
        <f>COUNTIF('Eq List'!$H$7:'Eq List'!$H$69,B27)</f>
        <v>0</v>
      </c>
      <c r="D27" s="59"/>
      <c r="E27" s="60">
        <f t="shared" si="1"/>
        <v>0</v>
      </c>
    </row>
    <row r="28" ht="12.75" customHeight="1">
      <c r="A28" s="55"/>
      <c r="B28" s="59">
        <v>500.0</v>
      </c>
      <c r="C28" s="57">
        <f>COUNTIF('Eq List'!$H$7:'Eq List'!$H$69,B28)</f>
        <v>0</v>
      </c>
      <c r="D28" s="59"/>
      <c r="E28" s="60">
        <f t="shared" si="1"/>
        <v>0</v>
      </c>
    </row>
    <row r="29" ht="12.75" customHeight="1">
      <c r="A29" s="55"/>
      <c r="B29" s="59">
        <v>600.0</v>
      </c>
      <c r="C29" s="57">
        <f>COUNTIF('Eq List'!$H$7:'Eq List'!$H$69,B29)</f>
        <v>0</v>
      </c>
      <c r="D29" s="59"/>
      <c r="E29" s="60">
        <f t="shared" si="1"/>
        <v>0</v>
      </c>
    </row>
    <row r="30" ht="12.75" customHeight="1">
      <c r="A30" s="55"/>
      <c r="B30" s="59">
        <v>700.0</v>
      </c>
      <c r="C30" s="57">
        <f>COUNTIF('Eq List'!$H$7:'Eq List'!$H$69,B30)</f>
        <v>0</v>
      </c>
      <c r="D30" s="59"/>
      <c r="E30" s="60">
        <f t="shared" si="1"/>
        <v>0</v>
      </c>
    </row>
    <row r="31" ht="12.75" customHeight="1">
      <c r="A31" s="55"/>
      <c r="B31" s="59">
        <v>800.0</v>
      </c>
      <c r="C31" s="57">
        <f>COUNTIF('Eq List'!$H$7:'Eq List'!$H$69,B31)</f>
        <v>2</v>
      </c>
      <c r="D31" s="59"/>
      <c r="E31" s="60">
        <f t="shared" si="1"/>
        <v>1600</v>
      </c>
    </row>
    <row r="32" ht="12.75" customHeight="1">
      <c r="A32" s="55"/>
      <c r="B32" s="59">
        <v>900.0</v>
      </c>
      <c r="C32" s="57">
        <f>COUNTIF('Eq List'!$H$7:'Eq List'!$H$69,B32)</f>
        <v>0</v>
      </c>
      <c r="D32" s="59"/>
      <c r="E32" s="60">
        <f t="shared" si="1"/>
        <v>0</v>
      </c>
    </row>
    <row r="33" ht="12.75" customHeight="1">
      <c r="A33" s="55"/>
      <c r="B33" s="59">
        <v>1000.0</v>
      </c>
      <c r="C33" s="57">
        <f>COUNTIF('Eq List'!$H$7:'Eq List'!$H$69,B33)</f>
        <v>0</v>
      </c>
      <c r="D33" s="59"/>
      <c r="E33" s="60">
        <f t="shared" si="1"/>
        <v>0</v>
      </c>
    </row>
    <row r="34" ht="12.75" customHeight="1">
      <c r="A34" s="55"/>
      <c r="B34" s="59"/>
      <c r="C34" s="59"/>
      <c r="D34" s="59"/>
      <c r="E34" s="60"/>
    </row>
    <row r="35" ht="12.75" customHeight="1">
      <c r="A35" s="55"/>
      <c r="B35" s="61" t="s">
        <v>30</v>
      </c>
      <c r="C35" s="59">
        <f>SUM(C2:C21)</f>
        <v>0</v>
      </c>
      <c r="D35" s="59"/>
      <c r="E35" s="60"/>
    </row>
    <row r="36" ht="12.75" customHeight="1">
      <c r="A36" s="55"/>
      <c r="B36" s="61" t="s">
        <v>31</v>
      </c>
      <c r="C36" s="57">
        <f>SUM(C22:C32)</f>
        <v>2</v>
      </c>
      <c r="D36" s="59"/>
      <c r="E36" s="60"/>
    </row>
    <row r="37" ht="12.75" customHeight="1">
      <c r="A37" s="55"/>
      <c r="B37" s="61" t="s">
        <v>32</v>
      </c>
      <c r="C37" s="59">
        <f>SUM(C35:C36)</f>
        <v>2</v>
      </c>
      <c r="D37" s="59"/>
      <c r="E37" s="60">
        <f>SUM(E2:E36)</f>
        <v>1600</v>
      </c>
    </row>
    <row r="38" ht="12.75" customHeight="1">
      <c r="A38" s="55"/>
      <c r="B38" s="56"/>
      <c r="C38" s="59"/>
      <c r="D38" s="59"/>
      <c r="E38" s="60"/>
    </row>
    <row r="39" ht="12.75" customHeight="1">
      <c r="A39" s="62" t="s">
        <v>33</v>
      </c>
      <c r="C39" s="63">
        <f>SUMPRODUCT(B4:B33,C4:C33)</f>
        <v>1600</v>
      </c>
      <c r="E39" s="64"/>
    </row>
    <row r="40" ht="12.75" customHeight="1">
      <c r="A40" s="65" t="s">
        <v>34</v>
      </c>
      <c r="B40" s="11"/>
      <c r="C40" s="66">
        <f>0.7459666*C39</f>
        <v>1193.54656</v>
      </c>
      <c r="D40" s="67"/>
      <c r="E40" s="68"/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39:B39"/>
    <mergeCell ref="A40:B40"/>
  </mergeCells>
  <printOptions/>
  <pageMargins bottom="1.0" footer="0.0" header="0.0" left="0.75" right="0.75" top="1.0"/>
  <pageSetup orientation="portrait"/>
  <headerFooter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6.14"/>
    <col customWidth="1" min="2" max="2" width="25.0"/>
    <col customWidth="1" min="3" max="3" width="25.14"/>
    <col customWidth="1" min="4" max="4" width="20.86"/>
    <col customWidth="1" min="5" max="5" width="19.0"/>
    <col customWidth="1" min="6" max="26" width="9.14"/>
  </cols>
  <sheetData>
    <row r="1" ht="12.75" customHeight="1">
      <c r="A1" s="69" t="s">
        <v>35</v>
      </c>
      <c r="B1" s="69"/>
      <c r="C1" s="70"/>
      <c r="D1" s="69" t="s">
        <v>36</v>
      </c>
      <c r="E1" s="71" t="s">
        <v>7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ht="12.75" customHeight="1">
      <c r="A2" s="69" t="s">
        <v>37</v>
      </c>
      <c r="B2" s="73" t="str">
        <f>+'Eq List'!C3</f>
        <v>XXX</v>
      </c>
      <c r="C2" s="70"/>
      <c r="D2" s="69" t="s">
        <v>3</v>
      </c>
      <c r="E2" s="74" t="str">
        <f>'Eq List'!H2</f>
        <v/>
      </c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ht="12.75" customHeight="1">
      <c r="A3" s="69" t="s">
        <v>1</v>
      </c>
      <c r="B3" s="75" t="str">
        <f>+'Eq List'!D2</f>
        <v>Crusher Install</v>
      </c>
      <c r="C3" s="69" t="s">
        <v>38</v>
      </c>
      <c r="D3" s="76" t="s">
        <v>39</v>
      </c>
      <c r="E3" s="70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ht="12.75" customHeight="1">
      <c r="A4" s="69" t="s">
        <v>40</v>
      </c>
      <c r="B4" s="73" t="str">
        <f>+'Eq List'!E4</f>
        <v>YYY</v>
      </c>
      <c r="C4" s="77" t="s">
        <v>41</v>
      </c>
      <c r="D4" s="70"/>
      <c r="E4" s="70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ht="12.75" customHeight="1">
      <c r="A5" s="70"/>
      <c r="B5" s="70"/>
      <c r="C5" s="70"/>
      <c r="D5" s="70"/>
      <c r="E5" s="70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ht="12.75" customHeight="1">
      <c r="A6" s="78" t="s">
        <v>42</v>
      </c>
      <c r="B6" s="78"/>
      <c r="C6" s="78"/>
      <c r="D6" s="70"/>
      <c r="E6" s="70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ht="12.75" customHeight="1">
      <c r="A7" s="78"/>
      <c r="B7" s="79" t="s">
        <v>43</v>
      </c>
      <c r="C7" s="79" t="s">
        <v>44</v>
      </c>
      <c r="D7" s="79" t="s">
        <v>45</v>
      </c>
      <c r="E7" s="79" t="s">
        <v>46</v>
      </c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ht="12.75" customHeight="1">
      <c r="A8" s="80" t="s">
        <v>47</v>
      </c>
      <c r="B8" s="81">
        <f>+'Eq List'!K13</f>
        <v>6149000</v>
      </c>
      <c r="C8" s="81">
        <f>+$B$8*E8</f>
        <v>0</v>
      </c>
      <c r="D8" s="82">
        <f>IF($C$4="","",IF($C$4='Basis of Estimate'!$A$2,VLOOKUP(A8,'Basis of Estimate'!$A$10:$G$24,2,FALSE),IF($C$4='Basis of Estimate'!$A$3,VLOOKUP(A8,'Basis of Estimate'!$A$10:$G$24,4,FALSE),IF($C$4='Basis of Estimate'!$A$4,VLOOKUP(A8,'Basis of Estimate'!$A$10:$G$24,6,FALSE),"DEFINE PLANT"))))</f>
        <v>1</v>
      </c>
      <c r="E8" s="83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ht="12.75" customHeight="1">
      <c r="A9" s="80" t="s">
        <v>48</v>
      </c>
      <c r="B9" s="81">
        <f t="shared" ref="B9:C9" si="1">+$B$8*D9</f>
        <v>98138.04</v>
      </c>
      <c r="C9" s="81">
        <f t="shared" si="1"/>
        <v>168236.64</v>
      </c>
      <c r="D9" s="82">
        <f>IF($C$4="","",IF($C$4='Basis of Estimate'!$A$2,VLOOKUP(A9,'Basis of Estimate'!$A$10:$G$24,2,FALSE),IF($C$4='Basis of Estimate'!$A$3,VLOOKUP(A9,'Basis of Estimate'!$A$10:$G$24,4,FALSE),IF($C$4='Basis of Estimate'!$A$4,VLOOKUP(A9,'Basis of Estimate'!$A$10:$G$24,6,FALSE),"DEFINE PLANT"))))</f>
        <v>0.01596</v>
      </c>
      <c r="E9" s="82">
        <f>IF($C$4="","",IF($C$4='Basis of Estimate'!$A$2,VLOOKUP(A9,'Basis of Estimate'!$A$10:$G$24,3,FALSE),IF($C$4='Basis of Estimate'!$A$3,VLOOKUP(A9,'Basis of Estimate'!$A$10:$G$24,5,FALSE),IF($C$4='Basis of Estimate'!$A$4,VLOOKUP(A9,'Basis of Estimate'!$A$10:$G$24,7,FALSE),"DEFINE PLANT"))))</f>
        <v>0.02736</v>
      </c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ht="12.75" customHeight="1">
      <c r="A10" s="80" t="s">
        <v>49</v>
      </c>
      <c r="B10" s="81">
        <f t="shared" ref="B10:C10" si="2">+$B$8*D10</f>
        <v>55341</v>
      </c>
      <c r="C10" s="81">
        <f t="shared" si="2"/>
        <v>67639</v>
      </c>
      <c r="D10" s="82">
        <v>0.009</v>
      </c>
      <c r="E10" s="82">
        <v>0.011</v>
      </c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ht="12.75" customHeight="1">
      <c r="A11" s="80" t="s">
        <v>50</v>
      </c>
      <c r="B11" s="81">
        <f t="shared" ref="B11:C11" si="3">+$B$8*D11</f>
        <v>266374.68</v>
      </c>
      <c r="C11" s="81">
        <f t="shared" si="3"/>
        <v>378532.44</v>
      </c>
      <c r="D11" s="82">
        <f>IF($C$4="","",IF($C$4='Basis of Estimate'!$A$2,VLOOKUP(A11,'Basis of Estimate'!$A$10:$G$24,2,FALSE),IF($C$4='Basis of Estimate'!$A$3,VLOOKUP(A11,'Basis of Estimate'!$A$10:$G$24,4,FALSE),IF($C$4='Basis of Estimate'!$A$4,VLOOKUP(A11,'Basis of Estimate'!$A$10:$G$24,6,FALSE),"DEFINE PLANT"))))</f>
        <v>0.04332</v>
      </c>
      <c r="E11" s="82">
        <f>IF($C$4="","",IF($C$4='Basis of Estimate'!$A$2,VLOOKUP(A11,'Basis of Estimate'!$A$10:$G$24,3,FALSE),IF($C$4='Basis of Estimate'!$A$3,VLOOKUP(A11,'Basis of Estimate'!$A$10:$G$24,5,FALSE),IF($C$4='Basis of Estimate'!$A$4,VLOOKUP(A11,'Basis of Estimate'!$A$10:$G$24,7,FALSE),"DEFINE PLANT"))))</f>
        <v>0.06156</v>
      </c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ht="12.75" customHeight="1">
      <c r="A12" s="80" t="s">
        <v>51</v>
      </c>
      <c r="B12" s="81">
        <f t="shared" ref="B12:C12" si="4">+$B$8*D12</f>
        <v>430430</v>
      </c>
      <c r="C12" s="81">
        <f t="shared" si="4"/>
        <v>350493</v>
      </c>
      <c r="D12" s="82">
        <v>0.07</v>
      </c>
      <c r="E12" s="82">
        <f>IF($C$4="","",IF($C$4='Basis of Estimate'!$A$2,VLOOKUP(A12,'Basis of Estimate'!$A$10:$G$24,3,FALSE),IF($C$4='Basis of Estimate'!$A$3,VLOOKUP(A12,'Basis of Estimate'!$A$10:$G$24,5,FALSE),IF($C$4='Basis of Estimate'!$A$4,VLOOKUP(A12,'Basis of Estimate'!$A$10:$G$24,7,FALSE),"DEFINE PLANT"))))</f>
        <v>0.057</v>
      </c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ht="12.75" customHeight="1">
      <c r="A13" s="80" t="s">
        <v>52</v>
      </c>
      <c r="B13" s="81">
        <f t="shared" ref="B13:C13" si="5">+$B$8*D13</f>
        <v>112157.76</v>
      </c>
      <c r="C13" s="81">
        <f t="shared" si="5"/>
        <v>42059.16</v>
      </c>
      <c r="D13" s="82">
        <f>IF($C$4="","",IF($C$4='Basis of Estimate'!$A$2,VLOOKUP(A13,'Basis of Estimate'!$A$10:$G$24,2,FALSE),IF($C$4='Basis of Estimate'!$A$3,VLOOKUP(A13,'Basis of Estimate'!$A$10:$G$24,4,FALSE),IF($C$4='Basis of Estimate'!$A$4,VLOOKUP(A13,'Basis of Estimate'!$A$10:$G$24,6,FALSE),"DEFINE PLANT"))))</f>
        <v>0.01824</v>
      </c>
      <c r="E13" s="82">
        <f>IF($C$4="","",IF($C$4='Basis of Estimate'!$A$2,VLOOKUP(A13,'Basis of Estimate'!$A$10:$G$24,3,FALSE),IF($C$4='Basis of Estimate'!$A$3,VLOOKUP(A13,'Basis of Estimate'!$A$10:$G$24,5,FALSE),IF($C$4='Basis of Estimate'!$A$4,VLOOKUP(A13,'Basis of Estimate'!$A$10:$G$24,7,FALSE),"DEFINE PLANT"))))</f>
        <v>0.00684</v>
      </c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ht="12.75" customHeight="1">
      <c r="A14" s="80" t="s">
        <v>53</v>
      </c>
      <c r="B14" s="81">
        <f t="shared" ref="B14:C14" si="6">+$B$8*D14</f>
        <v>922350</v>
      </c>
      <c r="C14" s="81">
        <f t="shared" si="6"/>
        <v>614900</v>
      </c>
      <c r="D14" s="82">
        <v>0.15</v>
      </c>
      <c r="E14" s="82">
        <v>0.1</v>
      </c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ht="12.75" customHeight="1">
      <c r="A15" s="80" t="s">
        <v>54</v>
      </c>
      <c r="B15" s="81">
        <f t="shared" ref="B15:C15" si="7">+$B$8*D15</f>
        <v>7009860</v>
      </c>
      <c r="C15" s="81">
        <f t="shared" si="7"/>
        <v>491920</v>
      </c>
      <c r="D15" s="82">
        <f>IF($C$4="","",IF($C$4='Basis of Estimate'!$A$2,VLOOKUP(A15,'Basis of Estimate'!$A$10:$G$24,2,FALSE),IF($C$4='Basis of Estimate'!$A$3,VLOOKUP(A15,'Basis of Estimate'!$A$10:$G$24,4,FALSE),IF($C$4='Basis of Estimate'!$A$4,VLOOKUP(A15,'Basis of Estimate'!$A$10:$G$24,6,FALSE),"DEFINE PLANT"))))</f>
        <v>1.14</v>
      </c>
      <c r="E15" s="82">
        <v>0.08</v>
      </c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ht="12.75" customHeight="1">
      <c r="A16" s="80" t="s">
        <v>55</v>
      </c>
      <c r="B16" s="81">
        <f t="shared" ref="B16:C16" si="8">+$B$8*D16</f>
        <v>764074.74</v>
      </c>
      <c r="C16" s="81">
        <f t="shared" si="8"/>
        <v>602847.96</v>
      </c>
      <c r="D16" s="82">
        <f>IF($C$4="","",IF($C$4='Basis of Estimate'!$A$2,VLOOKUP(A16,'Basis of Estimate'!$A$10:$G$24,2,FALSE),IF($C$4='Basis of Estimate'!$A$3,VLOOKUP(A16,'Basis of Estimate'!$A$10:$G$24,4,FALSE),IF($C$4='Basis of Estimate'!$A$4,VLOOKUP(A16,'Basis of Estimate'!$A$10:$G$24,6,FALSE),"DEFINE PLANT"))))</f>
        <v>0.12426</v>
      </c>
      <c r="E16" s="82">
        <f>IF($C$4="","",IF($C$4='Basis of Estimate'!$A$2,VLOOKUP(A16,'Basis of Estimate'!$A$10:$G$24,3,FALSE),IF($C$4='Basis of Estimate'!$A$3,VLOOKUP(A16,'Basis of Estimate'!$A$10:$G$24,5,FALSE),IF($C$4='Basis of Estimate'!$A$4,VLOOKUP(A16,'Basis of Estimate'!$A$10:$G$24,7,FALSE),"DEFINE PLANT"))))</f>
        <v>0.09804</v>
      </c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ht="12.75" customHeight="1">
      <c r="A17" s="80" t="s">
        <v>56</v>
      </c>
      <c r="B17" s="81">
        <f t="shared" ref="B17:C17" si="9">+$B$8*D17</f>
        <v>104533</v>
      </c>
      <c r="C17" s="81">
        <f t="shared" si="9"/>
        <v>28039.44</v>
      </c>
      <c r="D17" s="82">
        <v>0.017</v>
      </c>
      <c r="E17" s="82">
        <f>IF($C$4="","",IF($C$4='Basis of Estimate'!$A$2,VLOOKUP(A17,'Basis of Estimate'!$A$10:$G$24,3,FALSE),IF($C$4='Basis of Estimate'!$A$3,VLOOKUP(A17,'Basis of Estimate'!$A$10:$G$24,5,FALSE),IF($C$4='Basis of Estimate'!$A$4,VLOOKUP(A17,'Basis of Estimate'!$A$10:$G$24,7,FALSE),"DEFINE PLANT"))))</f>
        <v>0.00456</v>
      </c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ht="12.75" customHeight="1">
      <c r="A18" s="80" t="s">
        <v>57</v>
      </c>
      <c r="B18" s="81">
        <f t="shared" ref="B18:C18" si="10">+$B$8*D18</f>
        <v>63088.74</v>
      </c>
      <c r="C18" s="81">
        <f t="shared" si="10"/>
        <v>202917</v>
      </c>
      <c r="D18" s="82">
        <f>IF($C$4="","",IF($C$4='Basis of Estimate'!$A$2,VLOOKUP(A18,'Basis of Estimate'!$A$10:$G$24,2,FALSE),IF($C$4='Basis of Estimate'!$A$3,VLOOKUP(A18,'Basis of Estimate'!$A$10:$G$24,4,FALSE),IF($C$4='Basis of Estimate'!$A$4,VLOOKUP(A18,'Basis of Estimate'!$A$10:$G$24,6,FALSE),"DEFINE PLANT"))))</f>
        <v>0.01026</v>
      </c>
      <c r="E18" s="82">
        <v>0.033</v>
      </c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ht="12.75" customHeight="1">
      <c r="A19" s="80"/>
      <c r="B19" s="84"/>
      <c r="C19" s="84"/>
      <c r="D19" s="83"/>
      <c r="E19" s="82"/>
      <c r="F19" s="85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ht="12.75" customHeight="1">
      <c r="A20" s="86" t="s">
        <v>58</v>
      </c>
      <c r="B20" s="87">
        <f>SUM(B8:B19)</f>
        <v>15975347.96</v>
      </c>
      <c r="C20" s="87">
        <f>SUM(C9:C19)</f>
        <v>2947584.64</v>
      </c>
      <c r="D20" s="84"/>
      <c r="E20" s="70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ht="12.75" customHeight="1">
      <c r="A21" s="88" t="s">
        <v>59</v>
      </c>
      <c r="B21" s="89">
        <f>+B20+C20</f>
        <v>18922932.6</v>
      </c>
      <c r="C21" s="89"/>
      <c r="D21" s="84"/>
      <c r="E21" s="70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ht="12.75" customHeight="1">
      <c r="A22" s="70"/>
      <c r="B22" s="70"/>
      <c r="C22" s="70"/>
      <c r="D22" s="84"/>
      <c r="E22" s="70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ht="12.75" customHeight="1">
      <c r="A23" s="78" t="s">
        <v>60</v>
      </c>
      <c r="B23" s="78"/>
      <c r="C23" s="78"/>
      <c r="D23" s="84"/>
      <c r="E23" s="70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ht="12.75" customHeight="1">
      <c r="A24" s="80" t="s">
        <v>61</v>
      </c>
      <c r="B24" s="81">
        <f t="shared" ref="B24:C24" si="11">+$B$8*D24</f>
        <v>614900</v>
      </c>
      <c r="C24" s="81">
        <f t="shared" si="11"/>
        <v>1844700</v>
      </c>
      <c r="D24" s="82">
        <v>0.1</v>
      </c>
      <c r="E24" s="82">
        <v>0.3</v>
      </c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ht="12.75" customHeight="1">
      <c r="A25" s="80" t="s">
        <v>62</v>
      </c>
      <c r="B25" s="81">
        <f t="shared" ref="B25:C25" si="12">+$B$8*D25</f>
        <v>105147.9</v>
      </c>
      <c r="C25" s="81">
        <f t="shared" si="12"/>
        <v>614900</v>
      </c>
      <c r="D25" s="82">
        <f>IF($C$4="","",IF($C$4='Basis of Estimate'!$A$2,VLOOKUP(A25,'Basis of Estimate'!$A$10:$G$24,2,FALSE),IF($C$4='Basis of Estimate'!$A$3,VLOOKUP(A25,'Basis of Estimate'!$A$10:$G$24,4,FALSE),IF($C$4='Basis of Estimate'!$A$4,VLOOKUP(A25,'Basis of Estimate'!$A$10:$G$24,6,FALSE),"DEFINE PLANT"))))</f>
        <v>0.0171</v>
      </c>
      <c r="E25" s="82">
        <v>0.1</v>
      </c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ht="12.75" customHeight="1">
      <c r="A26" s="86" t="s">
        <v>58</v>
      </c>
      <c r="B26" s="87">
        <f t="shared" ref="B26:C26" si="13">SUM(B24:B25)</f>
        <v>720047.9</v>
      </c>
      <c r="C26" s="87">
        <f t="shared" si="13"/>
        <v>2459600</v>
      </c>
      <c r="D26" s="84"/>
      <c r="E26" s="70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ht="12.75" customHeight="1">
      <c r="A27" s="80" t="s">
        <v>63</v>
      </c>
      <c r="B27" s="81">
        <f>D27*(B21)</f>
        <v>3784586.52</v>
      </c>
      <c r="C27" s="90"/>
      <c r="D27" s="91">
        <v>0.2</v>
      </c>
      <c r="E27" s="70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ht="12.75" customHeight="1">
      <c r="A28" s="92" t="s">
        <v>64</v>
      </c>
      <c r="B28" s="93">
        <f>+B26+C26+B27</f>
        <v>6964234.42</v>
      </c>
      <c r="C28" s="93"/>
      <c r="D28" s="84"/>
      <c r="E28" s="70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ht="12.75" customHeight="1">
      <c r="A29" s="94" t="s">
        <v>65</v>
      </c>
      <c r="B29" s="95">
        <f>+B28+B21</f>
        <v>25887167.02</v>
      </c>
      <c r="C29" s="96"/>
      <c r="D29" s="84"/>
      <c r="E29" s="70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ht="12.75" customHeight="1">
      <c r="A30" s="72"/>
      <c r="B30" s="97"/>
      <c r="C30" s="97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ht="12.75" customHeight="1">
      <c r="A31" s="78" t="s">
        <v>66</v>
      </c>
      <c r="B31" s="81"/>
      <c r="C31" s="81"/>
      <c r="D31" s="70"/>
      <c r="E31" s="70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ht="12.75" customHeight="1">
      <c r="A32" s="70" t="s">
        <v>67</v>
      </c>
      <c r="B32" s="81">
        <f>0.05*(B21+B28)</f>
        <v>1294358.351</v>
      </c>
      <c r="C32" s="70"/>
      <c r="D32" s="70"/>
      <c r="E32" s="70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ht="12.75" customHeight="1">
      <c r="A33" s="80" t="s">
        <v>68</v>
      </c>
      <c r="B33" s="81">
        <f>0.03*(B21+B28)</f>
        <v>776615.0106</v>
      </c>
      <c r="C33" s="70"/>
      <c r="D33" s="70"/>
      <c r="E33" s="70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 ht="12.75" customHeight="1">
      <c r="A34" s="70" t="s">
        <v>69</v>
      </c>
      <c r="B34" s="81">
        <f>0.02*(B21+B28)</f>
        <v>517743.3404</v>
      </c>
      <c r="C34" s="70"/>
      <c r="D34" s="70"/>
      <c r="E34" s="70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ht="12.75" customHeight="1">
      <c r="A35" s="98" t="s">
        <v>70</v>
      </c>
      <c r="B35" s="99">
        <f>SUM(B32:B34)</f>
        <v>2588716.702</v>
      </c>
      <c r="C35" s="100"/>
      <c r="D35" s="70"/>
      <c r="E35" s="70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ht="12.75" customHeight="1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ht="12.75" customHeight="1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ht="12.75" customHeight="1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ht="12.75" customHeight="1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ht="12.75" customHeight="1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ht="12.75" customHeight="1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 ht="12.75" customHeight="1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 ht="12.75" customHeight="1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 ht="12.75" customHeight="1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 ht="12.75" customHeight="1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ht="12.75" customHeight="1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ht="12.75" customHeight="1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ht="12.75" customHeight="1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 ht="12.75" customHeight="1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 ht="12.75" customHeight="1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ht="12.75" customHeight="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 ht="12.75" customHeight="1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 ht="12.75" customHeight="1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 ht="12.75" customHeight="1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 ht="12.75" customHeight="1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 ht="12.75" customHeight="1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 ht="12.75" customHeight="1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 ht="12.75" customHeight="1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 ht="12.75" customHeight="1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 ht="12.75" customHeight="1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 ht="12.75" customHeight="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 ht="12.75" customHeight="1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 ht="12.7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 ht="12.75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 ht="12.75" customHeight="1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 ht="12.75" customHeight="1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 ht="12.75" customHeight="1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 ht="12.75" customHeight="1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 ht="12.75" customHeight="1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ht="12.75" customHeight="1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 ht="12.75" customHeight="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 ht="12.75" customHeight="1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 ht="12.75" customHeight="1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 ht="12.75" customHeight="1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ht="12.75" customHeight="1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 ht="12.75" customHeight="1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 ht="12.75" customHeight="1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 ht="12.75" customHeight="1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 ht="12.75" customHeight="1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 ht="12.75" customHeight="1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 ht="12.75" customHeight="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 ht="12.75" customHeight="1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 ht="12.75" customHeight="1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 ht="12.75" customHeight="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 ht="12.75" customHeight="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 ht="12.75" customHeight="1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 ht="12.75" customHeight="1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 ht="12.75" customHeight="1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 ht="12.75" customHeight="1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 ht="12.75" customHeight="1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 ht="12.75" customHeight="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ht="12.75" customHeight="1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ht="12.75" customHeight="1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 ht="12.75" customHeight="1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 ht="12.75" customHeight="1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 ht="12.75" customHeight="1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 ht="12.75" customHeight="1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 ht="12.75" customHeight="1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 ht="12.75" customHeight="1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 ht="12.75" customHeight="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 ht="12.75" customHeight="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 ht="12.75" customHeight="1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 ht="12.75" customHeight="1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 ht="12.75" customHeight="1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ht="12.75" customHeight="1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ht="12.75" customHeight="1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ht="12.75" customHeight="1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 ht="12.75" customHeight="1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 ht="12.75" customHeight="1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 ht="12.75" customHeight="1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 ht="12.75" customHeight="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 ht="12.75" customHeight="1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 ht="12.75" customHeight="1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 ht="12.75" customHeight="1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 ht="12.75" customHeight="1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 ht="12.75" customHeight="1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 ht="12.75" customHeight="1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ht="12.75" customHeight="1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 ht="12.75" customHeight="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 ht="12.75" customHeight="1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 ht="12.75" customHeight="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 ht="12.75" customHeight="1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 ht="12.75" customHeight="1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 ht="12.75" customHeight="1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 ht="12.75" customHeight="1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 ht="12.75" customHeight="1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 ht="12.75" customHeight="1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 ht="12.75" customHeight="1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 ht="12.75" customHeight="1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 ht="12.75" customHeight="1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ht="12.75" customHeight="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 ht="12.75" customHeight="1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ht="12.75" customHeight="1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ht="12.75" customHeight="1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ht="12.75" customHeight="1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ht="12.75" customHeight="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ht="12.75" customHeight="1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ht="12.75" customHeight="1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ht="12.75" customHeight="1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ht="12.75" customHeight="1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ht="12.75" customHeight="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ht="12.75" customHeight="1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ht="12.75" customHeight="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ht="12.75" customHeight="1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ht="12.75" customHeight="1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 ht="12.75" customHeight="1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ht="12.75" customHeight="1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ht="12.75" customHeight="1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 ht="12.75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 ht="12.75" customHeight="1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ht="12.75" customHeight="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ht="12.75" customHeight="1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ht="12.75" customHeight="1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ht="12.75" customHeight="1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ht="12.75" customHeight="1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ht="12.75" customHeight="1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ht="12.75" customHeight="1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ht="12.75" customHeight="1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ht="12.75" customHeight="1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ht="12.75" customHeight="1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 ht="12.75" customHeight="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ht="12.75" customHeight="1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ht="12.75" customHeight="1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 ht="12.75" customHeight="1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 ht="12.75" customHeight="1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 ht="12.75" customHeight="1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 ht="12.75" customHeight="1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 ht="12.75" customHeight="1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 ht="12.75" customHeight="1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 ht="12.75" customHeight="1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 ht="12.75" customHeight="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 ht="12.75" customHeight="1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 ht="12.75" customHeight="1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 ht="12.75" customHeight="1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 ht="12.75" customHeight="1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 ht="12.75" customHeight="1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 ht="12.75" customHeight="1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 ht="12.75" customHeight="1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 ht="12.75" customHeight="1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 ht="12.75" customHeight="1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 ht="12.75" customHeight="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 ht="12.75" customHeight="1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 ht="12.75" customHeight="1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 ht="12.75" customHeight="1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 ht="12.75" customHeight="1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 ht="12.75" customHeight="1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 ht="12.75" customHeight="1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 ht="12.75" customHeight="1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 ht="12.75" customHeight="1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 ht="12.75" customHeight="1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 ht="12.75" customHeight="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 ht="12.75" customHeight="1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 ht="12.75" customHeight="1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 ht="12.75" customHeight="1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 ht="12.75" customHeight="1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 ht="12.75" customHeight="1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 ht="12.75" customHeight="1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 ht="12.75" customHeight="1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 ht="12.75" customHeight="1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 ht="12.75" customHeight="1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 ht="12.75" customHeight="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 ht="12.75" customHeight="1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 ht="12.75" customHeight="1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 ht="12.75" customHeight="1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 ht="12.75" customHeight="1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 ht="12.75" customHeight="1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ht="12.75" customHeight="1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 ht="12.75" customHeight="1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 ht="12.75" customHeight="1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 ht="12.75" customHeight="1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 ht="12.75" customHeight="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 ht="12.75" customHeight="1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 ht="12.75" customHeight="1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 ht="12.75" customHeight="1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 ht="12.75" customHeight="1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 ht="12.75" customHeight="1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 ht="12.75" customHeight="1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 ht="12.75" customHeight="1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 ht="12.75" customHeight="1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 ht="12.75" customHeight="1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 ht="12.75" customHeight="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 ht="12.75" customHeight="1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 ht="12.75" customHeight="1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 ht="12.75" customHeight="1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 ht="12.75" customHeight="1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 ht="12.75" customHeight="1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 ht="12.75" customHeight="1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 ht="12.75" customHeight="1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 ht="12.75" customHeight="1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 ht="12.75" customHeight="1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 ht="12.75" customHeight="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 ht="12.75" customHeight="1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 ht="12.75" customHeight="1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 ht="12.75" customHeight="1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 ht="12.75" customHeight="1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 ht="12.75" customHeight="1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 ht="12.75" customHeight="1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 ht="12.75" customHeight="1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 ht="12.75" customHeight="1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 ht="12.75" customHeight="1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 ht="12.75" customHeight="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 ht="12.75" customHeight="1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 ht="12.75" customHeight="1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 ht="12.75" customHeight="1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 ht="12.75" customHeight="1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 ht="12.75" customHeight="1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 ht="12.75" customHeight="1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 ht="12.75" customHeight="1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 ht="12.75" customHeight="1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 ht="12.75" customHeight="1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 ht="12.75" customHeight="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 ht="12.75" customHeight="1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 ht="12.75" customHeight="1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 ht="12.75" customHeight="1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 ht="12.75" customHeight="1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 ht="12.75" customHeight="1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</row>
    <row r="257" ht="12.75" customHeight="1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</row>
    <row r="258" ht="12.75" customHeight="1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</row>
    <row r="259" ht="12.75" customHeight="1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 ht="12.75" customHeight="1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 ht="12.75" customHeight="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 ht="12.75" customHeight="1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 ht="12.75" customHeight="1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 ht="12.75" customHeight="1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 ht="12.75" customHeight="1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 ht="12.75" customHeight="1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 ht="12.75" customHeight="1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 ht="12.75" customHeight="1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 ht="12.75" customHeight="1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 ht="12.75" customHeight="1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 ht="12.75" customHeight="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 ht="12.75" customHeight="1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 ht="12.75" customHeight="1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 ht="12.75" customHeight="1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 ht="12.75" customHeight="1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 ht="12.75" customHeight="1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 ht="12.75" customHeight="1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 ht="12.75" customHeight="1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 ht="12.75" customHeight="1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 ht="12.75" customHeight="1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 ht="12.75" customHeight="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 ht="12.75" customHeight="1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 ht="12.75" customHeight="1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 ht="12.75" customHeight="1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 ht="12.75" customHeight="1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 ht="12.75" customHeight="1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 ht="12.75" customHeight="1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 ht="12.75" customHeight="1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 ht="12.75" customHeight="1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 ht="12.75" customHeight="1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 ht="12.75" customHeight="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 ht="12.75" customHeight="1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 ht="12.75" customHeight="1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 ht="12.75" customHeight="1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 ht="12.75" customHeight="1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 ht="12.75" customHeight="1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 ht="12.75" customHeight="1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 ht="12.75" customHeight="1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 ht="12.75" customHeight="1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 ht="12.75" customHeight="1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 ht="12.75" customHeight="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 ht="12.75" customHeight="1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 ht="12.75" customHeight="1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 ht="12.75" customHeight="1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 ht="12.75" customHeight="1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 ht="12.75" customHeight="1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 ht="12.75" customHeight="1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 ht="12.75" customHeight="1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 ht="12.75" customHeight="1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 ht="12.75" customHeight="1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 ht="12.75" customHeight="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 ht="12.75" customHeight="1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 ht="12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2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2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2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2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2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2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2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2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2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2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2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2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2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2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2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2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2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2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2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2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2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2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2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2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2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2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2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2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2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2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2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2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2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2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2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2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2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2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2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2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2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2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2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2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2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2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2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2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2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2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2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2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2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2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2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2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2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2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2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2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2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2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2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2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2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2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2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2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2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2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2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2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2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2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2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2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2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2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2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2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2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2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2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2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2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2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2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2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2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2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2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2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2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2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2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2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2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2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2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2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2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2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2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2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2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2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2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2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2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2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2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2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2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2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2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2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2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2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2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2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2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2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2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2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2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2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2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2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2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2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2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2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2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2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2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2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2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2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2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2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2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2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2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2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2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2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2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2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2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2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2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2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2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2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2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2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2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2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2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2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2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2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2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2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2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2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2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2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2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2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2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2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2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2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2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2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2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2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2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2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2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2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2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2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2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2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2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2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2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2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2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2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2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2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2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2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2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2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2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2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2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2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2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2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2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2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2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2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2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2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2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2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2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2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2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2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2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2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2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2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2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2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2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2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2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2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2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2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2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2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2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2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2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2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2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2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2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2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2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2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2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2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2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2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2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2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2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2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2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2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2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2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2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2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2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2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2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2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2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2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2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2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2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2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2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2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2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2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2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2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2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2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2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2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2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2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2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2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2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2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2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2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2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2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2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2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2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2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2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2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2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2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2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2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2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2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2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2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2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2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2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2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2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2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2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2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2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2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2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2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2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2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2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2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2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2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2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2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2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2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2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2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2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2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2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2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2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2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2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2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2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2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2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2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2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2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2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2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2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2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2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2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2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2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2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2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2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2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2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2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2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2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2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2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2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2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2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2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2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2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2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2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2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2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2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2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2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2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2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2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2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2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2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2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2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2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2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2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2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2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2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2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2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2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2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2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2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2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2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2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2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2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2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2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2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2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2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2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2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2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2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2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2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2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2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2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2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2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2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2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2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2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2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2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2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2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2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2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2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2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2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2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2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2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2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2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2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2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2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2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2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2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2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2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2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2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2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2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2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2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2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2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2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2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2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2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2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2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2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2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2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2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2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2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2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2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2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2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2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2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2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2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2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2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2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2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2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2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2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2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2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2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2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2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2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2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2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2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2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2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2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2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2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2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2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2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2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2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2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2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2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2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2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2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2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2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2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2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2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2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2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2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2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2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2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2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2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2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2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2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2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2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2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2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2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2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2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2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2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2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2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2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2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2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2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2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2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2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2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2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2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2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2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2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2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2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2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2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2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2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2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2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2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2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2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2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2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2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2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2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2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2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2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2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2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2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2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2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2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2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2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2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2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2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2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2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2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2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2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2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2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2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2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2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2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2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2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2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2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2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2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2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2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2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2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2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2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2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2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2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2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2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2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2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2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2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2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2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2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2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2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2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2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2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2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2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2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2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2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2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2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2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2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2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2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2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2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2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2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2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2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2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2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2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2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2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2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2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2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2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2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2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2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2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2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2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2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2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2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2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2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2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2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2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2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2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2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2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2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2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2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2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2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2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2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2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2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2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2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2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2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2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2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2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2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2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2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2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2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2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2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2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2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2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2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2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2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2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2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2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2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2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2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2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2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2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2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dataValidations>
    <dataValidation type="list" allowBlank="1" showErrorMessage="1" sqref="C4">
      <formula1>'Basis of Estimate'!$A$2:$A$4</formula1>
    </dataValidation>
  </dataValidations>
  <printOptions/>
  <pageMargins bottom="0.75" footer="0.0" header="0.0" left="0.25" right="0.25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0"/>
    <col customWidth="1" min="2" max="2" width="26.0"/>
    <col customWidth="1" min="3" max="3" width="16.29"/>
    <col customWidth="1" min="4" max="5" width="13.0"/>
    <col customWidth="1" min="6" max="6" width="13.43"/>
    <col customWidth="1" min="7" max="26" width="8.86"/>
  </cols>
  <sheetData>
    <row r="1" ht="12.75" customHeight="1"/>
    <row r="2" ht="12.75" customHeight="1">
      <c r="A2" s="101" t="s">
        <v>41</v>
      </c>
    </row>
    <row r="3" ht="12.75" customHeight="1">
      <c r="A3" s="101" t="s">
        <v>71</v>
      </c>
    </row>
    <row r="4" ht="12.75" customHeight="1">
      <c r="A4" s="101" t="s">
        <v>72</v>
      </c>
    </row>
    <row r="5" ht="27.0" customHeight="1">
      <c r="A5" s="101" t="s">
        <v>73</v>
      </c>
      <c r="G5" s="102" t="s">
        <v>74</v>
      </c>
      <c r="I5" s="103">
        <v>1.14</v>
      </c>
    </row>
    <row r="6" ht="23.25" customHeight="1">
      <c r="B6" s="101" t="s">
        <v>75</v>
      </c>
    </row>
    <row r="7" ht="45.75" customHeight="1">
      <c r="A7" s="102" t="s">
        <v>76</v>
      </c>
      <c r="B7" s="101" t="s">
        <v>41</v>
      </c>
      <c r="C7" s="101"/>
      <c r="D7" s="101" t="s">
        <v>71</v>
      </c>
      <c r="E7" s="101"/>
      <c r="F7" s="101" t="s">
        <v>72</v>
      </c>
    </row>
    <row r="8" ht="12.75" customHeight="1">
      <c r="A8" s="104" t="s">
        <v>42</v>
      </c>
    </row>
    <row r="9" ht="12.75" customHeight="1">
      <c r="A9" s="104"/>
      <c r="B9" s="104" t="s">
        <v>77</v>
      </c>
      <c r="C9" s="104" t="s">
        <v>44</v>
      </c>
      <c r="D9" s="104" t="s">
        <v>77</v>
      </c>
      <c r="E9" s="104" t="s">
        <v>44</v>
      </c>
      <c r="F9" s="104" t="s">
        <v>77</v>
      </c>
      <c r="G9" s="104" t="s">
        <v>44</v>
      </c>
    </row>
    <row r="10" ht="12.75" customHeight="1">
      <c r="A10" s="105" t="s">
        <v>47</v>
      </c>
      <c r="B10" s="106">
        <v>1.0</v>
      </c>
      <c r="C10" s="107"/>
      <c r="D10" s="108">
        <v>1.0</v>
      </c>
      <c r="E10" s="108"/>
      <c r="F10" s="108">
        <v>1.0</v>
      </c>
      <c r="G10" s="108"/>
    </row>
    <row r="11" ht="12.75" customHeight="1">
      <c r="A11" s="105" t="s">
        <v>48</v>
      </c>
      <c r="B11" s="106">
        <f>0.014*$I$5</f>
        <v>0.01596</v>
      </c>
      <c r="C11" s="106">
        <f>0.024*I5</f>
        <v>0.02736</v>
      </c>
      <c r="D11" s="106">
        <f>0.014*I5</f>
        <v>0.01596</v>
      </c>
      <c r="E11" s="106">
        <f>0.024*I5</f>
        <v>0.02736</v>
      </c>
      <c r="F11" s="106">
        <f>0.014*I5</f>
        <v>0.01596</v>
      </c>
      <c r="G11" s="106">
        <f>0.024*I5</f>
        <v>0.02736</v>
      </c>
    </row>
    <row r="12" ht="12.75" customHeight="1">
      <c r="A12" s="105" t="s">
        <v>49</v>
      </c>
      <c r="B12" s="106">
        <f>0.016*I5</f>
        <v>0.01824</v>
      </c>
      <c r="C12" s="106">
        <f>0.029*I5</f>
        <v>0.03306</v>
      </c>
      <c r="D12" s="106">
        <f>0.016*I5</f>
        <v>0.01824</v>
      </c>
      <c r="E12" s="106">
        <f>0.029*I5</f>
        <v>0.03306</v>
      </c>
      <c r="F12" s="106">
        <f>0.016*I5</f>
        <v>0.01824</v>
      </c>
      <c r="G12" s="106">
        <f>0.029*I5</f>
        <v>0.03306</v>
      </c>
    </row>
    <row r="13" ht="12.75" customHeight="1">
      <c r="A13" s="105" t="s">
        <v>50</v>
      </c>
      <c r="B13" s="106">
        <f>0.038*I5</f>
        <v>0.04332</v>
      </c>
      <c r="C13" s="106">
        <f>0.054*I5</f>
        <v>0.06156</v>
      </c>
      <c r="D13" s="106">
        <f>0.031*I5</f>
        <v>0.03534</v>
      </c>
      <c r="E13" s="106">
        <f>0.059*I5</f>
        <v>0.06726</v>
      </c>
      <c r="F13" s="106">
        <f>0.028*I5</f>
        <v>0.03192</v>
      </c>
      <c r="G13" s="106">
        <f>0.052*I5</f>
        <v>0.05928</v>
      </c>
    </row>
    <row r="14" ht="12.75" customHeight="1">
      <c r="A14" s="105" t="s">
        <v>51</v>
      </c>
      <c r="B14" s="106">
        <f>0.106*I5</f>
        <v>0.12084</v>
      </c>
      <c r="C14" s="106">
        <f>0.05*I5</f>
        <v>0.057</v>
      </c>
      <c r="D14" s="106">
        <f>0.103*I5</f>
        <v>0.11742</v>
      </c>
      <c r="E14" s="106">
        <f>0.04*I5</f>
        <v>0.0456</v>
      </c>
      <c r="F14" s="106">
        <f>0.1*I5</f>
        <v>0.114</v>
      </c>
      <c r="G14" s="106">
        <f>0.03*I5</f>
        <v>0.0342</v>
      </c>
    </row>
    <row r="15" ht="12.75" customHeight="1">
      <c r="A15" s="105" t="s">
        <v>52</v>
      </c>
      <c r="B15" s="106">
        <f>0.016*I5</f>
        <v>0.01824</v>
      </c>
      <c r="C15" s="106">
        <f>0.006*I5</f>
        <v>0.00684</v>
      </c>
      <c r="D15" s="106">
        <f>0.016*I5</f>
        <v>0.01824</v>
      </c>
      <c r="E15" s="106">
        <f>0.006*I5</f>
        <v>0.00684</v>
      </c>
      <c r="F15" s="106">
        <f>0.016*I5</f>
        <v>0.01824</v>
      </c>
      <c r="G15" s="106">
        <f>0.006*I5</f>
        <v>0.00684</v>
      </c>
    </row>
    <row r="16" ht="12.75" customHeight="1">
      <c r="A16" s="105" t="s">
        <v>53</v>
      </c>
      <c r="B16" s="106">
        <f>0.2*I5</f>
        <v>0.228</v>
      </c>
      <c r="C16" s="106">
        <f>0.16*I5</f>
        <v>0.1824</v>
      </c>
      <c r="D16" s="106">
        <f>0.307*I5</f>
        <v>0.34998</v>
      </c>
      <c r="E16" s="106">
        <f>0.242*I5</f>
        <v>0.27588</v>
      </c>
      <c r="F16" s="106">
        <f>0.52*I5</f>
        <v>0.5928</v>
      </c>
      <c r="G16" s="106">
        <f>0.45*I5</f>
        <v>0.513</v>
      </c>
    </row>
    <row r="17" ht="12.75" customHeight="1">
      <c r="A17" s="105" t="s">
        <v>54</v>
      </c>
      <c r="B17" s="106">
        <f>1*I5</f>
        <v>1.14</v>
      </c>
      <c r="C17" s="106">
        <f>0.2*I5</f>
        <v>0.228</v>
      </c>
      <c r="D17" s="106">
        <f>0.1*I5</f>
        <v>0.114</v>
      </c>
      <c r="E17" s="106">
        <f>0.215*I5</f>
        <v>0.2451</v>
      </c>
      <c r="F17" s="106">
        <f>0.14*I5</f>
        <v>0.1596</v>
      </c>
      <c r="G17" s="106">
        <f>0.28*I5</f>
        <v>0.3192</v>
      </c>
    </row>
    <row r="18" ht="12.75" customHeight="1">
      <c r="A18" s="105" t="s">
        <v>55</v>
      </c>
      <c r="B18" s="106">
        <f>0.109*I5</f>
        <v>0.12426</v>
      </c>
      <c r="C18" s="106">
        <f>0.086*I5</f>
        <v>0.09804</v>
      </c>
      <c r="D18" s="106">
        <f>0.109*I5</f>
        <v>0.12426</v>
      </c>
      <c r="E18" s="106">
        <f>0.086*I5</f>
        <v>0.09804</v>
      </c>
      <c r="F18" s="106">
        <f>0.088*I5</f>
        <v>0.10032</v>
      </c>
      <c r="G18" s="106">
        <f>0.072*I5</f>
        <v>0.08208</v>
      </c>
    </row>
    <row r="19" ht="12.75" customHeight="1">
      <c r="A19" s="105" t="s">
        <v>56</v>
      </c>
      <c r="B19" s="106">
        <f>0.02*I5</f>
        <v>0.0228</v>
      </c>
      <c r="C19" s="106">
        <f>0.004*I5</f>
        <v>0.00456</v>
      </c>
      <c r="D19" s="106">
        <f>0.03*I5</f>
        <v>0.0342</v>
      </c>
      <c r="E19" s="106">
        <f>0.004*I5</f>
        <v>0.00456</v>
      </c>
      <c r="F19" s="106">
        <f>0.06*I5</f>
        <v>0.0684</v>
      </c>
      <c r="G19" s="106">
        <f>0.012*I5</f>
        <v>0.01368</v>
      </c>
    </row>
    <row r="20" ht="12.75" customHeight="1">
      <c r="A20" s="105" t="s">
        <v>57</v>
      </c>
      <c r="B20" s="106">
        <f>0.009*I5</f>
        <v>0.01026</v>
      </c>
      <c r="C20" s="106">
        <f>0.06*I5</f>
        <v>0.0684</v>
      </c>
      <c r="D20" s="106">
        <f>0.009*I5</f>
        <v>0.01026</v>
      </c>
      <c r="E20" s="106">
        <f>0.06*I5</f>
        <v>0.0684</v>
      </c>
      <c r="F20" s="106">
        <f>0.008*I5</f>
        <v>0.00912</v>
      </c>
      <c r="G20" s="106">
        <f>0.05*I5</f>
        <v>0.057</v>
      </c>
    </row>
    <row r="21" ht="12.75" customHeight="1">
      <c r="A21" s="106"/>
      <c r="B21" s="106"/>
      <c r="C21" s="106"/>
      <c r="D21" s="106"/>
      <c r="E21" s="106"/>
      <c r="F21" s="106"/>
      <c r="G21" s="106"/>
    </row>
    <row r="22" ht="12.75" customHeight="1">
      <c r="A22" s="106" t="s">
        <v>61</v>
      </c>
      <c r="B22" s="106">
        <f>0.16*I5</f>
        <v>0.1824</v>
      </c>
      <c r="C22" s="106">
        <f>0.392*I5</f>
        <v>0.44688</v>
      </c>
      <c r="D22" s="106">
        <f>0.176*I5</f>
        <v>0.20064</v>
      </c>
      <c r="E22" s="106">
        <f>0.424*I5</f>
        <v>0.48336</v>
      </c>
      <c r="F22" s="106">
        <f>0.22*I5</f>
        <v>0.2508</v>
      </c>
      <c r="G22" s="106">
        <f>0.5*I5</f>
        <v>0.57</v>
      </c>
    </row>
    <row r="23" ht="12.75" customHeight="1">
      <c r="A23" s="106" t="s">
        <v>62</v>
      </c>
      <c r="B23" s="106">
        <f>0.015*I5</f>
        <v>0.0171</v>
      </c>
      <c r="C23" s="106">
        <f>0.703*I5</f>
        <v>0.80142</v>
      </c>
      <c r="D23" s="106">
        <f>0.016*I5</f>
        <v>0.01824</v>
      </c>
      <c r="E23" s="106">
        <f>0.759*I5</f>
        <v>0.86526</v>
      </c>
      <c r="F23" s="106">
        <f>0.02*I5</f>
        <v>0.0228</v>
      </c>
      <c r="G23" s="106">
        <f>0.89*I5</f>
        <v>1.0146</v>
      </c>
    </row>
    <row r="24" ht="12.75" customHeight="1">
      <c r="A24" s="106" t="s">
        <v>78</v>
      </c>
      <c r="B24" s="106">
        <f>0.08*I5</f>
        <v>0.0912</v>
      </c>
      <c r="C24" s="106">
        <f>0.242*I5</f>
        <v>0.27588</v>
      </c>
      <c r="D24" s="106">
        <f>0.082*I5</f>
        <v>0.09348</v>
      </c>
      <c r="E24" s="106">
        <f>0.267*I5</f>
        <v>0.30438</v>
      </c>
      <c r="F24" s="106">
        <f>0.25*I5</f>
        <v>0.285</v>
      </c>
      <c r="G24" s="106">
        <f>0.33*I5</f>
        <v>0.3762</v>
      </c>
    </row>
    <row r="25" ht="12.75" customHeight="1">
      <c r="A25" s="105"/>
    </row>
    <row r="26" ht="12.75" customHeight="1">
      <c r="A26" s="105"/>
    </row>
    <row r="27" ht="12.75" customHeight="1">
      <c r="A27" s="105"/>
    </row>
    <row r="28" ht="12.75" customHeight="1">
      <c r="A28" s="105"/>
    </row>
    <row r="29" ht="12.75" customHeight="1">
      <c r="A29" s="105"/>
    </row>
    <row r="30" ht="12.75" customHeight="1">
      <c r="A30" s="105"/>
    </row>
    <row r="31" ht="12.75" customHeight="1">
      <c r="A31" s="105"/>
    </row>
    <row r="32" ht="12.75" customHeight="1">
      <c r="A32" s="105"/>
    </row>
    <row r="33" ht="12.75" customHeight="1">
      <c r="A33" s="105"/>
    </row>
    <row r="34" ht="12.75" customHeight="1">
      <c r="A34" s="105"/>
    </row>
    <row r="35" ht="12.75" customHeight="1">
      <c r="A35" s="105"/>
    </row>
    <row r="36" ht="12.75" customHeight="1">
      <c r="A36" s="105"/>
    </row>
    <row r="37" ht="12.75" customHeight="1">
      <c r="A37" s="105"/>
    </row>
    <row r="38" ht="12.75" customHeight="1">
      <c r="A38" s="105"/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5:F5"/>
    <mergeCell ref="B6:F6"/>
    <mergeCell ref="A8:F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15.43"/>
    <col customWidth="1" min="6" max="7" width="8.86"/>
    <col customWidth="1" min="8" max="8" width="15.0"/>
    <col customWidth="1" min="9" max="26" width="8.86"/>
  </cols>
  <sheetData>
    <row r="1" ht="12.75" customHeight="1"/>
    <row r="2" ht="12.75" customHeight="1">
      <c r="A2" s="109" t="s">
        <v>79</v>
      </c>
      <c r="D2" s="109" t="s">
        <v>80</v>
      </c>
    </row>
    <row r="3" ht="12.75" customHeight="1">
      <c r="A3" s="109" t="s">
        <v>81</v>
      </c>
      <c r="B3" s="109" t="s">
        <v>82</v>
      </c>
      <c r="C3" s="109" t="s">
        <v>80</v>
      </c>
      <c r="D3" s="109" t="s">
        <v>83</v>
      </c>
      <c r="E3" s="109" t="s">
        <v>84</v>
      </c>
      <c r="F3" s="109" t="s">
        <v>85</v>
      </c>
      <c r="G3" s="109" t="s">
        <v>86</v>
      </c>
      <c r="H3" s="109" t="s">
        <v>87</v>
      </c>
    </row>
    <row r="4" ht="12.75" customHeight="1">
      <c r="A4" s="110"/>
      <c r="B4" s="110"/>
      <c r="C4" s="110"/>
      <c r="D4" s="109">
        <f t="shared" ref="D4:D6" si="1">+A4*B4*C4</f>
        <v>0</v>
      </c>
      <c r="E4" s="109">
        <f t="shared" ref="E4:E6" si="2">+D4*0.037</f>
        <v>0</v>
      </c>
      <c r="F4" s="109">
        <v>0.0</v>
      </c>
      <c r="G4" s="109">
        <f t="shared" ref="G4:G6" si="3">+E4*F4</f>
        <v>0</v>
      </c>
      <c r="H4" s="111">
        <f t="shared" ref="H4:H6" si="4">+G4*1000</f>
        <v>0</v>
      </c>
    </row>
    <row r="5" ht="12.75" customHeight="1">
      <c r="A5" s="110"/>
      <c r="B5" s="110"/>
      <c r="C5" s="110"/>
      <c r="D5" s="109">
        <f t="shared" si="1"/>
        <v>0</v>
      </c>
      <c r="E5" s="109">
        <f t="shared" si="2"/>
        <v>0</v>
      </c>
      <c r="F5" s="109">
        <v>0.0</v>
      </c>
      <c r="G5" s="109">
        <f t="shared" si="3"/>
        <v>0</v>
      </c>
      <c r="H5" s="111">
        <f t="shared" si="4"/>
        <v>0</v>
      </c>
    </row>
    <row r="6" ht="12.75" customHeight="1">
      <c r="A6" s="110"/>
      <c r="B6" s="110"/>
      <c r="C6" s="110"/>
      <c r="D6" s="109">
        <f t="shared" si="1"/>
        <v>0</v>
      </c>
      <c r="E6" s="109">
        <f t="shared" si="2"/>
        <v>0</v>
      </c>
      <c r="F6" s="109">
        <v>0.0</v>
      </c>
      <c r="G6" s="109">
        <f t="shared" si="3"/>
        <v>0</v>
      </c>
      <c r="H6" s="111">
        <f t="shared" si="4"/>
        <v>0</v>
      </c>
    </row>
    <row r="7" ht="12.75" customHeight="1">
      <c r="A7" s="109" t="s">
        <v>88</v>
      </c>
      <c r="H7" s="111"/>
    </row>
    <row r="8" ht="12.75" customHeight="1">
      <c r="A8" s="109" t="s">
        <v>82</v>
      </c>
      <c r="B8" s="109" t="s">
        <v>80</v>
      </c>
      <c r="C8" s="109" t="s">
        <v>89</v>
      </c>
      <c r="D8" s="109" t="s">
        <v>83</v>
      </c>
      <c r="E8" s="109" t="s">
        <v>84</v>
      </c>
      <c r="F8" s="109" t="s">
        <v>85</v>
      </c>
      <c r="G8" s="109" t="s">
        <v>86</v>
      </c>
      <c r="H8" s="111"/>
    </row>
    <row r="9" ht="12.75" customHeight="1">
      <c r="A9" s="109">
        <v>100.0</v>
      </c>
      <c r="B9" s="109">
        <v>100.0</v>
      </c>
      <c r="C9" s="109">
        <v>1.0</v>
      </c>
      <c r="D9" s="109">
        <f t="shared" ref="D9:D10" si="5">+A9*B9*C9</f>
        <v>10000</v>
      </c>
      <c r="E9" s="109">
        <f t="shared" ref="E9:E10" si="6">+D9*0.037</f>
        <v>370</v>
      </c>
      <c r="F9" s="109">
        <v>1.0</v>
      </c>
      <c r="G9" s="109">
        <f t="shared" ref="G9:G10" si="7">+E9*F9</f>
        <v>370</v>
      </c>
      <c r="H9" s="111">
        <f t="shared" ref="H9:H10" si="8">+G9*1000</f>
        <v>370000</v>
      </c>
    </row>
    <row r="10" ht="12.75" customHeight="1">
      <c r="D10" s="109">
        <f t="shared" si="5"/>
        <v>0</v>
      </c>
      <c r="E10" s="109">
        <f t="shared" si="6"/>
        <v>0</v>
      </c>
      <c r="F10" s="109">
        <v>0.0</v>
      </c>
      <c r="G10" s="109">
        <f t="shared" si="7"/>
        <v>0</v>
      </c>
      <c r="H10" s="111">
        <f t="shared" si="8"/>
        <v>0</v>
      </c>
    </row>
    <row r="11" ht="12.75" customHeight="1">
      <c r="H11" s="111"/>
    </row>
    <row r="12" ht="12.75" customHeight="1">
      <c r="A12" s="109" t="s">
        <v>90</v>
      </c>
      <c r="H12" s="111"/>
    </row>
    <row r="13" ht="12.75" customHeight="1">
      <c r="A13" s="109" t="s">
        <v>82</v>
      </c>
      <c r="B13" s="109" t="s">
        <v>80</v>
      </c>
      <c r="C13" s="109" t="s">
        <v>89</v>
      </c>
      <c r="D13" s="109" t="s">
        <v>83</v>
      </c>
      <c r="E13" s="109" t="s">
        <v>84</v>
      </c>
      <c r="F13" s="109" t="s">
        <v>85</v>
      </c>
      <c r="G13" s="109" t="s">
        <v>86</v>
      </c>
      <c r="H13" s="111"/>
    </row>
    <row r="14" ht="12.75" customHeight="1">
      <c r="A14" s="110"/>
      <c r="B14" s="110"/>
      <c r="C14" s="110"/>
      <c r="D14" s="109">
        <f>+A14*B14*C14</f>
        <v>0</v>
      </c>
      <c r="E14" s="109">
        <f>+D14*0.037</f>
        <v>0</v>
      </c>
      <c r="F14" s="109">
        <v>0.0</v>
      </c>
      <c r="G14" s="109">
        <f>+E14*F14</f>
        <v>0</v>
      </c>
      <c r="H14" s="111">
        <f>+G14*1000</f>
        <v>0</v>
      </c>
    </row>
    <row r="15" ht="12.75" customHeight="1">
      <c r="A15" s="110"/>
      <c r="B15" s="110"/>
      <c r="C15" s="110"/>
      <c r="H15" s="111"/>
    </row>
    <row r="16" ht="12.75" customHeight="1">
      <c r="A16" s="110"/>
      <c r="B16" s="110"/>
      <c r="C16" s="110"/>
      <c r="H16" s="111"/>
    </row>
    <row r="17" ht="12.75" customHeight="1">
      <c r="H17" s="111"/>
    </row>
    <row r="18" ht="12.75" customHeight="1">
      <c r="A18" s="109" t="s">
        <v>91</v>
      </c>
      <c r="H18" s="111"/>
    </row>
    <row r="19" ht="12.75" customHeight="1">
      <c r="A19" s="109" t="s">
        <v>82</v>
      </c>
      <c r="B19" s="109" t="s">
        <v>80</v>
      </c>
      <c r="C19" s="109" t="s">
        <v>92</v>
      </c>
      <c r="D19" s="109" t="s">
        <v>83</v>
      </c>
      <c r="E19" s="109" t="s">
        <v>84</v>
      </c>
      <c r="F19" s="109" t="s">
        <v>85</v>
      </c>
      <c r="G19" s="109" t="s">
        <v>86</v>
      </c>
      <c r="H19" s="111"/>
    </row>
    <row r="20" ht="12.75" customHeight="1">
      <c r="A20" s="110"/>
      <c r="B20" s="110"/>
      <c r="C20" s="110"/>
      <c r="D20" s="109">
        <f t="shared" ref="D20:D21" si="9">+A20*B20*C20</f>
        <v>0</v>
      </c>
      <c r="E20" s="109">
        <f t="shared" ref="E20:E21" si="10">0.037*D20</f>
        <v>0</v>
      </c>
      <c r="F20" s="109">
        <v>2.0</v>
      </c>
      <c r="G20" s="109">
        <f t="shared" ref="G20:G21" si="11">+F20*E20</f>
        <v>0</v>
      </c>
      <c r="H20" s="111">
        <f t="shared" ref="H20:H21" si="12">+G20*1000</f>
        <v>0</v>
      </c>
    </row>
    <row r="21" ht="12.75" customHeight="1">
      <c r="A21" s="110"/>
      <c r="B21" s="110"/>
      <c r="C21" s="110"/>
      <c r="D21" s="109">
        <f t="shared" si="9"/>
        <v>0</v>
      </c>
      <c r="E21" s="109">
        <f t="shared" si="10"/>
        <v>0</v>
      </c>
      <c r="F21" s="109">
        <v>34.0</v>
      </c>
      <c r="G21" s="109">
        <f t="shared" si="11"/>
        <v>0</v>
      </c>
      <c r="H21" s="111">
        <f t="shared" si="12"/>
        <v>0</v>
      </c>
    </row>
    <row r="22" ht="12.75" customHeight="1">
      <c r="A22" s="110"/>
      <c r="B22" s="110"/>
      <c r="C22" s="110"/>
      <c r="H22" s="111">
        <f>SUM(H4:H21)</f>
        <v>370000</v>
      </c>
      <c r="I22" s="109" t="s">
        <v>93</v>
      </c>
    </row>
    <row r="23" ht="12.75" customHeight="1">
      <c r="A23" s="109" t="s">
        <v>94</v>
      </c>
      <c r="C23" s="109" t="s">
        <v>95</v>
      </c>
      <c r="D23" s="109" t="s">
        <v>96</v>
      </c>
      <c r="E23" s="109" t="s">
        <v>97</v>
      </c>
    </row>
    <row r="24" ht="12.75" customHeight="1">
      <c r="C24" s="109">
        <v>3.0</v>
      </c>
      <c r="D24" s="109">
        <v>10.0</v>
      </c>
      <c r="E24" s="111">
        <f>+A24*C24*D24</f>
        <v>0</v>
      </c>
    </row>
    <row r="25" ht="12.75" customHeight="1">
      <c r="E25" s="111"/>
    </row>
    <row r="26" ht="12.75" customHeight="1">
      <c r="A26" s="109" t="s">
        <v>98</v>
      </c>
      <c r="E26" s="111"/>
    </row>
    <row r="27" ht="12.75" customHeight="1">
      <c r="C27" s="109">
        <v>3.0</v>
      </c>
      <c r="D27" s="109">
        <v>2.0</v>
      </c>
      <c r="E27" s="111">
        <f>+D27*A27*C27</f>
        <v>0</v>
      </c>
    </row>
    <row r="28" ht="12.75" customHeight="1">
      <c r="E28" s="111">
        <f>SUM(E24:E27)</f>
        <v>0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2004-11-09T18:22:38Z</dcterms:created>
  <dc:creator>Ray Gibson</dc:creator>
</cp:coreProperties>
</file>