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so\Documents\"/>
    </mc:Choice>
  </mc:AlternateContent>
  <xr:revisionPtr revIDLastSave="0" documentId="13_ncr:1_{6B59EB5F-6E0C-4B41-B0C9-E260B21AAA96}" xr6:coauthVersionLast="47" xr6:coauthVersionMax="47" xr10:uidLastSave="{00000000-0000-0000-0000-000000000000}"/>
  <bookViews>
    <workbookView xWindow="-96" yWindow="-96" windowWidth="23232" windowHeight="13152" tabRatio="453" firstSheet="1" activeTab="2" xr2:uid="{52069499-E30B-42D4-AA33-1430D28AB6A7}"/>
  </bookViews>
  <sheets>
    <sheet name="HLFA Liposome Protocol" sheetId="5" r:id="rId1"/>
    <sheet name="NaLFA Liposome Protocol" sheetId="7" r:id="rId2"/>
    <sheet name="NavAb HLFA Protocol" sheetId="1" r:id="rId3"/>
    <sheet name="NavAb NaLFA Protocol-1" sheetId="6" r:id="rId4"/>
    <sheet name="CCCP Dilution" sheetId="2" r:id="rId5"/>
    <sheet name="ACMA Dilution" sheetId="3" r:id="rId6"/>
    <sheet name="Valinomycin Dilution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C15" i="1"/>
  <c r="C21" i="6"/>
  <c r="C19" i="6"/>
  <c r="C20" i="6"/>
  <c r="G2" i="6"/>
  <c r="E2" i="6"/>
  <c r="F2" i="6"/>
  <c r="F10" i="6" s="1"/>
  <c r="C4" i="6"/>
  <c r="F4" i="6" s="1"/>
  <c r="C5" i="6"/>
  <c r="C6" i="6"/>
  <c r="C2" i="6"/>
  <c r="G10" i="6"/>
  <c r="B2" i="6"/>
  <c r="D2" i="6" s="1"/>
  <c r="B19" i="6"/>
  <c r="G9" i="6"/>
  <c r="F9" i="6"/>
  <c r="E9" i="6"/>
  <c r="C7" i="6"/>
  <c r="B7" i="6"/>
  <c r="B5" i="6"/>
  <c r="B4" i="6"/>
  <c r="B3" i="6"/>
  <c r="C4" i="5"/>
  <c r="E4" i="5"/>
  <c r="E3" i="5" s="1"/>
  <c r="C7" i="5"/>
  <c r="E7" i="5" s="1"/>
  <c r="E6" i="5"/>
  <c r="E5" i="5"/>
  <c r="F8" i="5"/>
  <c r="B14" i="1"/>
  <c r="B14" i="5"/>
  <c r="C6" i="5"/>
  <c r="B6" i="5"/>
  <c r="B4" i="5"/>
  <c r="D2" i="5"/>
  <c r="D5" i="5"/>
  <c r="B3" i="5"/>
  <c r="C5" i="1"/>
  <c r="G15" i="4"/>
  <c r="F15" i="4"/>
  <c r="E15" i="4"/>
  <c r="D15" i="4"/>
  <c r="C15" i="4"/>
  <c r="B15" i="4"/>
  <c r="A15" i="4"/>
  <c r="D2" i="2"/>
  <c r="D2" i="3"/>
  <c r="B2" i="3"/>
  <c r="E2" i="3" s="1"/>
  <c r="F2" i="3" s="1"/>
  <c r="B8" i="4"/>
  <c r="C8" i="4"/>
  <c r="C2" i="4"/>
  <c r="D2" i="4" s="1"/>
  <c r="E2" i="4" s="1"/>
  <c r="C6" i="1"/>
  <c r="B6" i="1"/>
  <c r="B10" i="4"/>
  <c r="C10" i="4" s="1"/>
  <c r="E10" i="4" s="1"/>
  <c r="A10" i="4"/>
  <c r="D10" i="4"/>
  <c r="C2" i="2"/>
  <c r="C2" i="3"/>
  <c r="D8" i="4"/>
  <c r="D7" i="1"/>
  <c r="D5" i="1"/>
  <c r="A2" i="3"/>
  <c r="B2" i="2"/>
  <c r="A2" i="2"/>
  <c r="F7" i="1"/>
  <c r="E8" i="1"/>
  <c r="C7" i="1"/>
  <c r="G8" i="1"/>
  <c r="B3" i="1"/>
  <c r="F8" i="1"/>
  <c r="B7" i="1"/>
  <c r="B4" i="1"/>
  <c r="B5" i="1"/>
  <c r="G5" i="6" l="1"/>
  <c r="G4" i="6"/>
  <c r="D4" i="6"/>
  <c r="D7" i="6"/>
  <c r="G7" i="6"/>
  <c r="E6" i="6"/>
  <c r="D6" i="6"/>
  <c r="G6" i="6"/>
  <c r="D5" i="6"/>
  <c r="E4" i="6"/>
  <c r="F7" i="6"/>
  <c r="E5" i="6"/>
  <c r="F5" i="6"/>
  <c r="C3" i="5"/>
  <c r="C14" i="5"/>
  <c r="D6" i="5"/>
  <c r="D7" i="5"/>
  <c r="E2" i="2"/>
  <c r="G2" i="2" s="1"/>
  <c r="H2" i="2" s="1"/>
  <c r="E8" i="4"/>
  <c r="D6" i="1"/>
  <c r="F10" i="4"/>
  <c r="F8" i="4"/>
  <c r="F2" i="4"/>
  <c r="G2" i="4" s="1"/>
  <c r="G2" i="3"/>
  <c r="H2" i="3" s="1"/>
  <c r="F2" i="2"/>
  <c r="F4" i="1"/>
  <c r="F5" i="1"/>
  <c r="G7" i="1"/>
  <c r="G5" i="1"/>
  <c r="G6" i="1"/>
  <c r="G4" i="1"/>
  <c r="E4" i="1"/>
  <c r="B12" i="1" s="1"/>
  <c r="E5" i="1"/>
  <c r="E6" i="1"/>
  <c r="G3" i="6" l="1"/>
  <c r="E10" i="6"/>
  <c r="F3" i="6"/>
  <c r="E3" i="6"/>
  <c r="C3" i="6" s="1"/>
  <c r="D3" i="6" s="1"/>
  <c r="B18" i="6"/>
  <c r="B17" i="6"/>
  <c r="D3" i="5"/>
  <c r="G8" i="4"/>
  <c r="F3" i="1"/>
  <c r="G3" i="1"/>
  <c r="E3" i="1"/>
  <c r="C14" i="1" s="1"/>
  <c r="B13" i="1"/>
  <c r="D4" i="5"/>
  <c r="E8" i="5"/>
  <c r="C3" i="1" l="1"/>
  <c r="D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GrandProf</author>
  </authors>
  <commentList>
    <comment ref="F8" authorId="0" shapeId="0" xr:uid="{870B8195-8301-4C54-9884-C53E817572F6}">
      <text>
        <r>
          <rPr>
            <b/>
            <sz val="9"/>
            <color indexed="81"/>
            <rFont val="Tahoma"/>
            <family val="2"/>
          </rPr>
          <t>GrandProf:</t>
        </r>
        <r>
          <rPr>
            <sz val="9"/>
            <color indexed="81"/>
            <rFont val="Tahoma"/>
            <family val="2"/>
          </rPr>
          <t xml:space="preserve">
Reference cell for final volume</t>
        </r>
      </text>
    </comment>
    <comment ref="A17" authorId="0" shapeId="0" xr:uid="{BDA4ECE9-A8DC-4E9C-9B08-F18F92054545}">
      <text>
        <r>
          <rPr>
            <b/>
            <sz val="9"/>
            <color indexed="81"/>
            <rFont val="Tahoma"/>
            <family val="2"/>
          </rPr>
          <t>GrandProf:</t>
        </r>
        <r>
          <rPr>
            <sz val="9"/>
            <color indexed="81"/>
            <rFont val="Tahoma"/>
            <family val="2"/>
          </rPr>
          <t xml:space="preserve">
Although protons are everywhere our known buffers that are predominant sources of protons indicate that NMDG is the only system factor that can throw the system out of whack!</t>
        </r>
      </text>
    </comment>
    <comment ref="B24" authorId="0" shapeId="0" xr:uid="{5B0D8BFE-B6F7-4845-BC33-A8C1AB95D9A6}">
      <text>
        <r>
          <rPr>
            <b/>
            <sz val="9"/>
            <color indexed="81"/>
            <rFont val="Tahoma"/>
            <family val="2"/>
          </rPr>
          <t>GrandProf:</t>
        </r>
        <r>
          <rPr>
            <sz val="9"/>
            <color indexed="81"/>
            <rFont val="Tahoma"/>
            <family val="2"/>
          </rPr>
          <t xml:space="preserve">
LMNG detergent Micelles aid in the solubilization of membrane proteins while preserving structure and function. Suitable for protein stabilization and solubilization for single particle cryo-EM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GrandProf</author>
  </authors>
  <commentList>
    <comment ref="B12" authorId="0" shapeId="0" xr:uid="{D5C76C16-BB91-4220-938D-051AD9CE7A36}">
      <text>
        <r>
          <rPr>
            <b/>
            <sz val="9"/>
            <color indexed="81"/>
            <rFont val="Tahoma"/>
            <family val="2"/>
          </rPr>
          <t>GrandProf:</t>
        </r>
        <r>
          <rPr>
            <sz val="9"/>
            <color indexed="81"/>
            <rFont val="Tahoma"/>
            <family val="2"/>
          </rPr>
          <t xml:space="preserve">
I have been using 24ul for total reaction meaning 4ul per plate meaning about a 20x jump.</t>
        </r>
      </text>
    </comment>
    <comment ref="A21" authorId="0" shapeId="0" xr:uid="{958FEAF9-6814-4674-9BAE-5FA6BD3076C8}">
      <text>
        <r>
          <rPr>
            <b/>
            <sz val="9"/>
            <color indexed="81"/>
            <rFont val="Tahoma"/>
            <family val="2"/>
          </rPr>
          <t>GrandProf:</t>
        </r>
        <r>
          <rPr>
            <sz val="9"/>
            <color indexed="81"/>
            <rFont val="Tahoma"/>
            <family val="2"/>
          </rPr>
          <t xml:space="preserve">
We used data from the paper to notice a 1:30 concentration is equivalent to a 2.8:200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GrandProf</author>
  </authors>
  <commentList>
    <comment ref="B17" authorId="0" shapeId="0" xr:uid="{9BF94DE2-5C08-43BA-8E23-3BA0BC22D3DB}">
      <text>
        <r>
          <rPr>
            <b/>
            <sz val="9"/>
            <color indexed="81"/>
            <rFont val="Tahoma"/>
            <family val="2"/>
          </rPr>
          <t>GrandProf:</t>
        </r>
        <r>
          <rPr>
            <sz val="9"/>
            <color indexed="81"/>
            <rFont val="Tahoma"/>
            <family val="2"/>
          </rPr>
          <t xml:space="preserve">
I have been using 24ul for total reaction meaning 4ul per plate meaning about a 20x jump.</t>
        </r>
      </text>
    </comment>
    <comment ref="A26" authorId="0" shapeId="0" xr:uid="{07D13187-BB3A-4B46-A47E-1DBD85488A59}">
      <text>
        <r>
          <rPr>
            <b/>
            <sz val="9"/>
            <color indexed="81"/>
            <rFont val="Tahoma"/>
            <family val="2"/>
          </rPr>
          <t>GrandProf:</t>
        </r>
        <r>
          <rPr>
            <sz val="9"/>
            <color indexed="81"/>
            <rFont val="Tahoma"/>
            <family val="2"/>
          </rPr>
          <t xml:space="preserve">
We used data from the paper to notice a 1:30 concentration is equivalent to a 2.8:200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GrandProf</author>
  </authors>
  <commentList>
    <comment ref="B8" authorId="0" shapeId="0" xr:uid="{573F70DC-699B-4315-9632-0D3DC675FFE2}">
      <text>
        <r>
          <rPr>
            <b/>
            <sz val="9"/>
            <color indexed="81"/>
            <rFont val="Tahoma"/>
            <family val="2"/>
          </rPr>
          <t>GrandProf:</t>
        </r>
        <r>
          <rPr>
            <sz val="9"/>
            <color indexed="81"/>
            <rFont val="Tahoma"/>
            <family val="2"/>
          </rPr>
          <t xml:space="preserve">
Highly theoretical meaning it is not 45uM as Wang said but instead 4.5uM</t>
        </r>
      </text>
    </comment>
  </commentList>
</comments>
</file>

<file path=xl/sharedStrings.xml><?xml version="1.0" encoding="utf-8"?>
<sst xmlns="http://schemas.openxmlformats.org/spreadsheetml/2006/main" count="157" uniqueCount="82">
  <si>
    <t>Reagents</t>
  </si>
  <si>
    <t>5mM</t>
  </si>
  <si>
    <t>1.3μl</t>
  </si>
  <si>
    <t>150mM</t>
  </si>
  <si>
    <t>*KCL(1)</t>
  </si>
  <si>
    <t>Experiment (μl)</t>
  </si>
  <si>
    <t>Stock (μM)</t>
  </si>
  <si>
    <t>Final (μM)</t>
  </si>
  <si>
    <t>PVE Control (μl)</t>
  </si>
  <si>
    <t>NVE Control (μl)</t>
  </si>
  <si>
    <t>NOTES</t>
  </si>
  <si>
    <t>Valinomycin</t>
  </si>
  <si>
    <t>Liposome</t>
  </si>
  <si>
    <t>ACMA</t>
  </si>
  <si>
    <t>150mM NMDG/20mM HEPES</t>
  </si>
  <si>
    <t>CCCP</t>
  </si>
  <si>
    <t>ACMA Volume (ul) (sextuplets)</t>
  </si>
  <si>
    <t>ACMA Volume (ul) (nanoplets)</t>
  </si>
  <si>
    <t>Order of Reagents</t>
  </si>
  <si>
    <t>Pause</t>
  </si>
  <si>
    <t>Buffer (NMDG/HEPES)</t>
  </si>
  <si>
    <t>Liposome+ACMA</t>
  </si>
  <si>
    <t>CCCP(1x)</t>
  </si>
  <si>
    <t>Stock(mM)</t>
  </si>
  <si>
    <t>Working(mM)</t>
  </si>
  <si>
    <t>CCCP (ml)</t>
  </si>
  <si>
    <t>Desired Volume (ml)</t>
  </si>
  <si>
    <t>Diluent(DMSO)(ml)</t>
  </si>
  <si>
    <t>Diluent(DMSO)(ul)</t>
  </si>
  <si>
    <t>CCCP(ul)</t>
  </si>
  <si>
    <t>Stock(uM)</t>
  </si>
  <si>
    <t>Working(uM)</t>
  </si>
  <si>
    <t>Stock(mg/5ml)</t>
  </si>
  <si>
    <t>Dilution Factor</t>
  </si>
  <si>
    <t>Desired Volume (ul)</t>
  </si>
  <si>
    <t>CCCP (ul)</t>
  </si>
  <si>
    <t>Diluent(ml)</t>
  </si>
  <si>
    <t>Diluent(ul)</t>
  </si>
  <si>
    <t>5mg/5ml stock</t>
  </si>
  <si>
    <t>Desired Conc</t>
  </si>
  <si>
    <t>Desired Vol(L)</t>
  </si>
  <si>
    <t>Moles/L</t>
  </si>
  <si>
    <t>Val mm</t>
  </si>
  <si>
    <t>Mass Needed(g)</t>
  </si>
  <si>
    <t>Mass (mg)</t>
  </si>
  <si>
    <t>Ethanol(L)</t>
  </si>
  <si>
    <t>POPE/POPG(3:1)</t>
  </si>
  <si>
    <t>4mg</t>
  </si>
  <si>
    <t>150mM Kcl/20mM HEPES</t>
  </si>
  <si>
    <t>150 Kcl/20 Hepes are one solution</t>
  </si>
  <si>
    <t>We need lipids in a final concentration of 5mg/ml</t>
  </si>
  <si>
    <t>150 mM NMDG/20mM HEPES</t>
  </si>
  <si>
    <t>1% LMNG</t>
  </si>
  <si>
    <t>TCEP</t>
  </si>
  <si>
    <t>NanAb Protein</t>
  </si>
  <si>
    <t>Hepes Dilution</t>
  </si>
  <si>
    <t>20 Mm HEPES Dilution</t>
  </si>
  <si>
    <t>Academia Notes</t>
  </si>
  <si>
    <t xml:space="preserve">HEPES </t>
  </si>
  <si>
    <t>Hydroxyethyl piperazine ethanesulfonic acid</t>
  </si>
  <si>
    <t>NMDG</t>
  </si>
  <si>
    <t>N methyl D Glucamine</t>
  </si>
  <si>
    <t>LMNG</t>
  </si>
  <si>
    <t>Lauryl Maltose Neopentyl Glycol</t>
  </si>
  <si>
    <t>It seems we need about ~695ul  Kcl/HEPES for experimental purposes</t>
  </si>
  <si>
    <t>Consider where to use the density equation?</t>
  </si>
  <si>
    <t>NMDG is the only factor that can throw the system out of whack!</t>
  </si>
  <si>
    <t>Available Solutions</t>
  </si>
  <si>
    <t>20 mM Tris/150 mM KCL pH 8.0</t>
  </si>
  <si>
    <t>20 mM Hepes/150 mM NMDG pH 7.4 (Hcl adjusted)</t>
  </si>
  <si>
    <t>20 mM Hepes/150 mM Nacl pH 7.4</t>
  </si>
  <si>
    <t>20 mM Hepes/150 mM Kcl pH 7.4</t>
  </si>
  <si>
    <t>200 mM Tris-Hcl/150 mM NMDG pH 8.0</t>
  </si>
  <si>
    <t>200 mM Tris/150 mM KCL pH 8.0</t>
  </si>
  <si>
    <t>20 mM Tris-Hcl/150 mM NMDG pH 8.0</t>
  </si>
  <si>
    <t>*Kcl/Hepes 7.4 pH</t>
  </si>
  <si>
    <t>Final KCl concentration (mM)</t>
  </si>
  <si>
    <t>Buffer (KCl/HEPES)</t>
  </si>
  <si>
    <t>Baseline &gt; Pause</t>
  </si>
  <si>
    <t>HCl</t>
  </si>
  <si>
    <t>Na outside concentration</t>
  </si>
  <si>
    <t>Kcl outside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</si>
</sst>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0000"/>
    <numFmt numFmtId="167" formatCode="0.000E+00"/>
    <numFmt numFmtId="168" formatCode="0.0"/>
  </numFmts>
  <fonts count="4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rgb="FFFF0000"/>
      <name val="Mistral"/>
      <family val="4"/>
    </font>
    <font>
      <sz val="20"/>
      <color theme="1"/>
      <name val="Mistral"/>
      <family val="4"/>
    </font>
    <font>
      <sz val="16"/>
      <color theme="1"/>
      <name val="Mistral"/>
      <family val="4"/>
    </font>
    <font>
      <sz val="16"/>
      <color rgb="FF002060"/>
      <name val="Monotype Corsiva"/>
      <family val="4"/>
    </font>
    <font>
      <b/>
      <sz val="16"/>
      <color rgb="FF00B0F0"/>
      <name val="Monotype Corsiva"/>
      <family val="4"/>
    </font>
    <font>
      <sz val="16"/>
      <color theme="8" tint="-0.249977111117893"/>
      <name val="Monotype Corsiva"/>
      <family val="4"/>
    </font>
    <font>
      <sz val="16"/>
      <color theme="1"/>
      <name val="Monotype Corsiva"/>
      <family val="4"/>
    </font>
    <font>
      <sz val="16"/>
      <color rgb="FF00B0F0"/>
      <name val="Monotype Corsiva"/>
      <family val="4"/>
    </font>
    <font>
      <b/>
      <sz val="16"/>
      <color rgb="FFFF0000"/>
      <name val="Mistral"/>
      <family val="4"/>
    </font>
    <font>
      <b/>
      <sz val="18"/>
      <color rgb="FFFF0000"/>
      <name val="Monotype Corsiva"/>
      <family val="4"/>
    </font>
    <font>
      <b/>
      <sz val="16"/>
      <color rgb="FF00B050"/>
      <name val="Monotype Corsiva"/>
      <family val="4"/>
    </font>
    <font>
      <b/>
      <sz val="20"/>
      <color theme="4" tint="0.39997558519241921"/>
      <name val="Mistral"/>
      <family val="4"/>
    </font>
    <font>
      <b/>
      <sz val="20"/>
      <color rgb="FF00B050"/>
      <name val="Mistral"/>
      <family val="4"/>
    </font>
    <font>
      <b/>
      <sz val="20"/>
      <color theme="5"/>
      <name val="Mistral"/>
      <family val="4"/>
    </font>
    <font>
      <u/>
      <sz val="20"/>
      <color theme="8" tint="-0.249977111117893"/>
      <name val="Mistral"/>
      <family val="4"/>
    </font>
    <font>
      <u/>
      <sz val="20"/>
      <color rgb="FFFF0000"/>
      <name val="Mistral"/>
      <family val="4"/>
    </font>
    <font>
      <u/>
      <sz val="20"/>
      <color rgb="FF00B050"/>
      <name val="Mistral"/>
      <family val="4"/>
    </font>
    <font>
      <u/>
      <sz val="20"/>
      <color rgb="FF0070C0"/>
      <name val="Mistral"/>
      <family val="4"/>
    </font>
    <font>
      <sz val="16"/>
      <color theme="1"/>
      <name val="Ink Free"/>
      <family val="4"/>
    </font>
    <font>
      <b/>
      <sz val="16"/>
      <color rgb="FFFF0000"/>
      <name val="Ink Free"/>
      <family val="4"/>
    </font>
    <font>
      <sz val="20"/>
      <color rgb="FF7030A0"/>
      <name val="Mistral"/>
      <family val="4"/>
    </font>
    <font>
      <b/>
      <sz val="16"/>
      <color theme="8" tint="-0.249977111117893"/>
      <name val="Monotype Corsiva"/>
      <family val="4"/>
    </font>
    <font>
      <b/>
      <sz val="18"/>
      <color rgb="FFFF0000"/>
      <name val="Mistral"/>
      <family val="4"/>
    </font>
    <font>
      <sz val="18"/>
      <color rgb="FF7030A0"/>
      <name val="Mistral"/>
      <family val="4"/>
    </font>
    <font>
      <sz val="22"/>
      <color theme="1"/>
      <name val="Mistral"/>
      <family val="4"/>
    </font>
    <font>
      <b/>
      <sz val="22"/>
      <color rgb="FF7030A0"/>
      <name val="Mistral"/>
      <family val="4"/>
    </font>
    <font>
      <sz val="22"/>
      <color rgb="FF0070C0"/>
      <name val="Mistral"/>
      <family val="4"/>
    </font>
    <font>
      <sz val="22"/>
      <color rgb="FFFF0000"/>
      <name val="Mistral"/>
      <family val="4"/>
    </font>
    <font>
      <sz val="8"/>
      <name val="Calibri"/>
      <family val="2"/>
      <scheme val="minor"/>
    </font>
    <font>
      <sz val="24"/>
      <color theme="1"/>
      <name val="Mistral"/>
      <family val="4"/>
    </font>
    <font>
      <sz val="11"/>
      <color rgb="FF0070C0"/>
      <name val="Monotype Corsiva"/>
      <family val="4"/>
    </font>
    <font>
      <b/>
      <sz val="24"/>
      <color rgb="FF7030A0"/>
      <name val="Monotype Corsiva"/>
      <family val="4"/>
    </font>
    <font>
      <sz val="24"/>
      <color theme="1"/>
      <name val="Monotype Corsiva"/>
      <family val="4"/>
    </font>
    <font>
      <sz val="11"/>
      <color theme="1"/>
      <name val="Monotype Corsiva"/>
      <family val="4"/>
    </font>
    <font>
      <sz val="26"/>
      <color rgb="FF0070C0"/>
      <name val="Monotype Corsiva"/>
      <family val="4"/>
    </font>
    <font>
      <b/>
      <sz val="24"/>
      <color theme="5"/>
      <name val="Mistral"/>
      <family val="4"/>
    </font>
    <font>
      <b/>
      <sz val="24"/>
      <color theme="4" tint="0.39997558519241921"/>
      <name val="Mistral"/>
      <family val="4"/>
    </font>
    <font>
      <b/>
      <sz val="24"/>
      <color rgb="FFFF0000"/>
      <name val="Mistral"/>
      <family val="4"/>
    </font>
    <font>
      <b/>
      <sz val="24"/>
      <color rgb="FF00B050"/>
      <name val="Mistral"/>
      <family val="4"/>
    </font>
    <font>
      <u/>
      <sz val="24"/>
      <color theme="8" tint="-0.249977111117893"/>
      <name val="Mistral"/>
      <family val="4"/>
    </font>
    <font>
      <u/>
      <sz val="24"/>
      <color rgb="FFFF0000"/>
      <name val="Mistral"/>
      <family val="4"/>
    </font>
    <font>
      <u/>
      <sz val="24"/>
      <color rgb="FF00B050"/>
      <name val="Mistral"/>
      <family val="4"/>
    </font>
    <font>
      <u/>
      <sz val="24"/>
      <color rgb="FF0070C0"/>
      <name val="Mistral"/>
      <family val="4"/>
    </font>
    <font>
      <sz val="22"/>
      <color rgb="FF7030A0"/>
      <name val="Mistral"/>
      <family val="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1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0" xfId="0" applyFont="1"/>
    <xf numFmtId="2" fontId="17" fillId="0" borderId="1" xfId="0" applyNumberFormat="1" applyFont="1" applyBorder="1" applyAlignment="1">
      <alignment horizontal="center"/>
    </xf>
    <xf numFmtId="2" fontId="18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2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0" fontId="12" fillId="0" borderId="1" xfId="0" applyFont="1" applyBorder="1"/>
    <xf numFmtId="0" fontId="9" fillId="0" borderId="1" xfId="0" applyFont="1" applyBorder="1"/>
    <xf numFmtId="0" fontId="12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" fontId="21" fillId="0" borderId="0" xfId="0" applyNumberFormat="1" applyFont="1" applyAlignment="1">
      <alignment horizontal="center"/>
    </xf>
    <xf numFmtId="166" fontId="21" fillId="0" borderId="0" xfId="0" applyNumberFormat="1" applyFont="1" applyAlignment="1">
      <alignment horizontal="center"/>
    </xf>
    <xf numFmtId="0" fontId="1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3" fillId="0" borderId="0" xfId="0" applyFont="1"/>
    <xf numFmtId="2" fontId="24" fillId="0" borderId="0" xfId="0" applyNumberFormat="1" applyFont="1" applyBorder="1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168" fontId="8" fillId="0" borderId="1" xfId="0" applyNumberFormat="1" applyFont="1" applyBorder="1" applyAlignment="1">
      <alignment horizontal="center"/>
    </xf>
    <xf numFmtId="2" fontId="23" fillId="0" borderId="0" xfId="0" applyNumberFormat="1" applyFont="1"/>
    <xf numFmtId="168" fontId="5" fillId="0" borderId="0" xfId="0" applyNumberFormat="1" applyFont="1"/>
    <xf numFmtId="0" fontId="38" fillId="0" borderId="0" xfId="0" applyFont="1"/>
    <xf numFmtId="0" fontId="39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2" fontId="42" fillId="0" borderId="1" xfId="0" applyNumberFormat="1" applyFont="1" applyBorder="1" applyAlignment="1">
      <alignment horizontal="center"/>
    </xf>
    <xf numFmtId="2" fontId="43" fillId="0" borderId="1" xfId="0" applyNumberFormat="1" applyFont="1" applyBorder="1" applyAlignment="1">
      <alignment horizontal="center"/>
    </xf>
    <xf numFmtId="2" fontId="44" fillId="0" borderId="1" xfId="0" applyNumberFormat="1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0" fillId="0" borderId="1" xfId="0" applyBorder="1"/>
    <xf numFmtId="168" fontId="8" fillId="0" borderId="0" xfId="0" applyNumberFormat="1" applyFont="1" applyBorder="1" applyAlignment="1">
      <alignment horizontal="center"/>
    </xf>
    <xf numFmtId="0" fontId="0" fillId="0" borderId="0" xfId="0" applyBorder="1"/>
    <xf numFmtId="1" fontId="23" fillId="0" borderId="0" xfId="0" applyNumberFormat="1" applyFont="1"/>
    <xf numFmtId="168" fontId="26" fillId="0" borderId="0" xfId="0" applyNumberFormat="1" applyFont="1"/>
    <xf numFmtId="0" fontId="4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B52D-F95C-41CA-A8CA-3129341CF52A}">
  <dimension ref="A1:G36"/>
  <sheetViews>
    <sheetView workbookViewId="0">
      <selection activeCell="H6" sqref="H6"/>
    </sheetView>
  </sheetViews>
  <sheetFormatPr defaultRowHeight="14.4" x14ac:dyDescent="0.55000000000000004"/>
  <cols>
    <col min="1" max="1" width="33.47265625" customWidth="1"/>
    <col min="2" max="2" width="28.20703125" customWidth="1"/>
    <col min="3" max="3" width="15.41796875" customWidth="1"/>
    <col min="4" max="4" width="24.26171875" customWidth="1"/>
    <col min="5" max="5" width="20.05078125" customWidth="1"/>
    <col min="6" max="6" width="22.41796875" customWidth="1"/>
    <col min="7" max="7" width="22" customWidth="1"/>
  </cols>
  <sheetData>
    <row r="1" spans="1:7" ht="23.4" x14ac:dyDescent="0.9">
      <c r="A1" s="14" t="s">
        <v>0</v>
      </c>
      <c r="B1" s="14" t="s">
        <v>6</v>
      </c>
      <c r="C1" s="14" t="s">
        <v>7</v>
      </c>
      <c r="D1" s="26" t="s">
        <v>33</v>
      </c>
      <c r="E1" s="14" t="s">
        <v>5</v>
      </c>
      <c r="F1" s="35"/>
      <c r="G1" s="35"/>
    </row>
    <row r="2" spans="1:7" ht="21" x14ac:dyDescent="0.85">
      <c r="A2" s="4" t="s">
        <v>46</v>
      </c>
      <c r="B2" s="5" t="s">
        <v>47</v>
      </c>
      <c r="C2" s="5" t="s">
        <v>47</v>
      </c>
      <c r="D2" s="39">
        <f>1</f>
        <v>1</v>
      </c>
      <c r="E2" s="6" t="s">
        <v>47</v>
      </c>
      <c r="F2" s="36"/>
      <c r="G2" s="36"/>
    </row>
    <row r="3" spans="1:7" ht="21" x14ac:dyDescent="0.85">
      <c r="A3" s="4" t="s">
        <v>48</v>
      </c>
      <c r="B3" s="7">
        <f>150*1000</f>
        <v>150000</v>
      </c>
      <c r="C3" s="7">
        <f>(E3*B3)/F8</f>
        <v>130462.5</v>
      </c>
      <c r="D3" s="31">
        <f>B3/C3</f>
        <v>1.1497556769186548</v>
      </c>
      <c r="E3" s="8">
        <f>F8-(E4+E5+E6+E7)</f>
        <v>695.8</v>
      </c>
      <c r="F3" s="12"/>
      <c r="G3" s="12"/>
    </row>
    <row r="4" spans="1:7" ht="21" x14ac:dyDescent="0.85">
      <c r="A4" s="4" t="s">
        <v>51</v>
      </c>
      <c r="B4" s="7">
        <f>150*1000</f>
        <v>150000</v>
      </c>
      <c r="C4" s="7">
        <f>17.25*1000</f>
        <v>17250</v>
      </c>
      <c r="D4" s="31">
        <f>B4/C4</f>
        <v>8.695652173913043</v>
      </c>
      <c r="E4" s="8">
        <f>C4/B4*F8</f>
        <v>92</v>
      </c>
      <c r="F4" s="12"/>
      <c r="G4" s="12"/>
    </row>
    <row r="5" spans="1:7" ht="21" x14ac:dyDescent="0.85">
      <c r="A5" s="38" t="s">
        <v>52</v>
      </c>
      <c r="B5" s="7">
        <v>100</v>
      </c>
      <c r="C5" s="7">
        <v>1</v>
      </c>
      <c r="D5" s="31">
        <f>B5/C5</f>
        <v>100</v>
      </c>
      <c r="E5" s="8">
        <f>C5/B5*F8</f>
        <v>8</v>
      </c>
      <c r="F5" s="12"/>
      <c r="G5" s="12"/>
    </row>
    <row r="6" spans="1:7" ht="21" x14ac:dyDescent="0.85">
      <c r="A6" s="4" t="s">
        <v>53</v>
      </c>
      <c r="B6" s="7">
        <f>500*1000</f>
        <v>500000</v>
      </c>
      <c r="C6" s="37">
        <f>2*1000</f>
        <v>2000</v>
      </c>
      <c r="D6" s="31">
        <f>B6/C6</f>
        <v>250</v>
      </c>
      <c r="E6" s="8">
        <f>C6/B6*F8</f>
        <v>3.2</v>
      </c>
      <c r="F6" s="12"/>
      <c r="G6" s="12"/>
    </row>
    <row r="7" spans="1:7" ht="21" x14ac:dyDescent="0.85">
      <c r="A7" s="4" t="s">
        <v>54</v>
      </c>
      <c r="B7" s="9">
        <v>8000</v>
      </c>
      <c r="C7" s="9">
        <f>10</f>
        <v>10</v>
      </c>
      <c r="D7" s="31">
        <f>B7/C7</f>
        <v>800</v>
      </c>
      <c r="E7" s="8">
        <f>C7/B7*F8</f>
        <v>1</v>
      </c>
      <c r="F7" s="12"/>
      <c r="G7" s="12"/>
    </row>
    <row r="8" spans="1:7" ht="21" x14ac:dyDescent="0.85">
      <c r="A8" s="4"/>
      <c r="B8" s="10"/>
      <c r="C8" s="10"/>
      <c r="D8" s="27"/>
      <c r="E8" s="8">
        <f>E3+E4+E5+E6+E7</f>
        <v>800</v>
      </c>
      <c r="F8" s="41">
        <f>800</f>
        <v>800</v>
      </c>
      <c r="G8" s="12"/>
    </row>
    <row r="11" spans="1:7" ht="29.1" x14ac:dyDescent="1.2">
      <c r="A11" s="45" t="s">
        <v>10</v>
      </c>
      <c r="B11" s="44"/>
      <c r="C11" s="44"/>
      <c r="D11" s="44"/>
    </row>
    <row r="12" spans="1:7" ht="29.1" x14ac:dyDescent="1.2">
      <c r="A12" s="46" t="s">
        <v>49</v>
      </c>
      <c r="B12" s="46"/>
      <c r="C12" s="46"/>
      <c r="D12" s="46"/>
    </row>
    <row r="13" spans="1:7" ht="29.1" x14ac:dyDescent="1.2">
      <c r="A13" s="46" t="s">
        <v>50</v>
      </c>
      <c r="B13" s="46"/>
      <c r="C13" s="46"/>
      <c r="D13" s="46"/>
    </row>
    <row r="14" spans="1:7" ht="29.1" x14ac:dyDescent="1.2">
      <c r="A14" s="47" t="s">
        <v>55</v>
      </c>
      <c r="B14" s="47">
        <f>20</f>
        <v>20</v>
      </c>
      <c r="C14" s="47">
        <f>((E3+E4)*B14)/F8</f>
        <v>19.695</v>
      </c>
      <c r="D14" s="46"/>
    </row>
    <row r="15" spans="1:7" ht="29.1" x14ac:dyDescent="1.2">
      <c r="A15" s="46" t="s">
        <v>64</v>
      </c>
      <c r="B15" s="46"/>
      <c r="C15" s="46"/>
      <c r="D15" s="46"/>
    </row>
    <row r="16" spans="1:7" ht="29.1" x14ac:dyDescent="1.2">
      <c r="A16" s="46" t="s">
        <v>65</v>
      </c>
      <c r="B16" s="44"/>
      <c r="C16" s="44"/>
      <c r="D16" s="44"/>
    </row>
    <row r="17" spans="1:5" ht="29.1" x14ac:dyDescent="1.2">
      <c r="A17" s="47" t="s">
        <v>66</v>
      </c>
      <c r="B17" s="44"/>
      <c r="C17" s="44"/>
      <c r="D17" s="44"/>
    </row>
    <row r="21" spans="1:5" ht="29.1" x14ac:dyDescent="1.2">
      <c r="A21" s="45" t="s">
        <v>57</v>
      </c>
      <c r="B21" s="44"/>
      <c r="C21" s="44"/>
      <c r="D21" s="44"/>
    </row>
    <row r="22" spans="1:5" ht="29.1" x14ac:dyDescent="1.2">
      <c r="A22" s="46" t="s">
        <v>58</v>
      </c>
      <c r="B22" s="46" t="s">
        <v>59</v>
      </c>
      <c r="C22" s="46"/>
      <c r="D22" s="46"/>
    </row>
    <row r="23" spans="1:5" ht="29.1" x14ac:dyDescent="1.2">
      <c r="A23" s="46" t="s">
        <v>60</v>
      </c>
      <c r="B23" s="46" t="s">
        <v>61</v>
      </c>
      <c r="C23" s="46"/>
      <c r="D23" s="46"/>
    </row>
    <row r="24" spans="1:5" ht="29.1" x14ac:dyDescent="1.2">
      <c r="A24" s="46" t="s">
        <v>62</v>
      </c>
      <c r="B24" s="46" t="s">
        <v>63</v>
      </c>
      <c r="C24" s="46"/>
      <c r="D24" s="46"/>
    </row>
    <row r="28" spans="1:5" ht="31.5" x14ac:dyDescent="1.25">
      <c r="A28" s="50" t="s">
        <v>67</v>
      </c>
      <c r="B28" s="51"/>
      <c r="C28" s="51"/>
      <c r="D28" s="52"/>
      <c r="E28" s="52"/>
    </row>
    <row r="29" spans="1:5" ht="35.1" x14ac:dyDescent="1.45">
      <c r="A29" s="53" t="s">
        <v>68</v>
      </c>
      <c r="B29" s="53"/>
      <c r="C29" s="53"/>
      <c r="D29" s="49"/>
      <c r="E29" s="49"/>
    </row>
    <row r="30" spans="1:5" ht="35.1" x14ac:dyDescent="1.45">
      <c r="A30" s="53" t="s">
        <v>74</v>
      </c>
      <c r="B30" s="53"/>
      <c r="C30" s="53"/>
      <c r="D30" s="49"/>
      <c r="E30" s="49"/>
    </row>
    <row r="31" spans="1:5" ht="35.1" x14ac:dyDescent="1.45">
      <c r="A31" s="53" t="s">
        <v>73</v>
      </c>
      <c r="B31" s="53"/>
      <c r="C31" s="53"/>
      <c r="D31" s="49"/>
      <c r="E31" s="49"/>
    </row>
    <row r="32" spans="1:5" ht="35.1" x14ac:dyDescent="1.45">
      <c r="A32" s="53" t="s">
        <v>72</v>
      </c>
      <c r="B32" s="53"/>
      <c r="C32" s="53"/>
      <c r="D32" s="49"/>
      <c r="E32" s="49"/>
    </row>
    <row r="33" spans="1:5" ht="35.1" x14ac:dyDescent="1.45">
      <c r="A33" s="53" t="s">
        <v>71</v>
      </c>
      <c r="B33" s="53"/>
      <c r="C33" s="53"/>
      <c r="D33" s="49"/>
      <c r="E33" s="49"/>
    </row>
    <row r="34" spans="1:5" ht="35.1" x14ac:dyDescent="1.45">
      <c r="A34" s="53" t="s">
        <v>69</v>
      </c>
      <c r="B34" s="53"/>
      <c r="C34" s="53"/>
      <c r="D34" s="49"/>
      <c r="E34" s="49"/>
    </row>
    <row r="35" spans="1:5" ht="35.1" x14ac:dyDescent="1.45">
      <c r="A35" s="53" t="s">
        <v>70</v>
      </c>
      <c r="B35" s="53"/>
      <c r="C35" s="53"/>
      <c r="D35" s="49"/>
      <c r="E35" s="49"/>
    </row>
    <row r="36" spans="1:5" ht="14.7" x14ac:dyDescent="0.6">
      <c r="A36" s="52"/>
      <c r="B36" s="52"/>
      <c r="C36" s="52"/>
      <c r="D36" s="52"/>
      <c r="E36" s="52"/>
    </row>
  </sheetData>
  <phoneticPr fontId="3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1E10-F050-4B35-BEF8-F8B94B234199}">
  <dimension ref="A1"/>
  <sheetViews>
    <sheetView workbookViewId="0">
      <selection activeCell="C31" sqref="C31"/>
    </sheetView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5245-B1B9-43EA-B582-1B9B4BAD9FF2}">
  <dimension ref="A1:H24"/>
  <sheetViews>
    <sheetView tabSelected="1" workbookViewId="0">
      <selection activeCell="E14" sqref="E14"/>
    </sheetView>
  </sheetViews>
  <sheetFormatPr defaultRowHeight="21.3" x14ac:dyDescent="0.9"/>
  <cols>
    <col min="1" max="1" width="39.62890625" style="3" customWidth="1"/>
    <col min="2" max="2" width="26.68359375" style="3" customWidth="1"/>
    <col min="3" max="3" width="26.5234375" style="3" customWidth="1"/>
    <col min="4" max="4" width="21.89453125" style="3" customWidth="1"/>
    <col min="5" max="5" width="22.578125" style="3" customWidth="1"/>
    <col min="6" max="6" width="21.47265625" style="3" customWidth="1"/>
    <col min="7" max="7" width="23.15625" style="3" customWidth="1"/>
    <col min="8" max="16384" width="8.83984375" style="3"/>
  </cols>
  <sheetData>
    <row r="1" spans="1:8" ht="23.4" x14ac:dyDescent="0.9">
      <c r="A1" s="14" t="s">
        <v>0</v>
      </c>
      <c r="B1" s="14" t="s">
        <v>6</v>
      </c>
      <c r="C1" s="14" t="s">
        <v>7</v>
      </c>
      <c r="D1" s="26" t="s">
        <v>33</v>
      </c>
      <c r="E1" s="14" t="s">
        <v>5</v>
      </c>
      <c r="F1" s="14" t="s">
        <v>9</v>
      </c>
      <c r="G1" s="28" t="s">
        <v>8</v>
      </c>
      <c r="H1" s="13"/>
    </row>
    <row r="2" spans="1:8" hidden="1" x14ac:dyDescent="0.9">
      <c r="A2" s="4" t="s">
        <v>4</v>
      </c>
      <c r="B2" s="5" t="s">
        <v>3</v>
      </c>
      <c r="C2" s="5" t="s">
        <v>1</v>
      </c>
      <c r="D2" s="27"/>
      <c r="E2" s="6" t="s">
        <v>2</v>
      </c>
      <c r="F2" s="6" t="s">
        <v>2</v>
      </c>
      <c r="G2" s="29" t="s">
        <v>2</v>
      </c>
      <c r="H2" s="13"/>
    </row>
    <row r="3" spans="1:8" x14ac:dyDescent="0.9">
      <c r="A3" s="4" t="s">
        <v>14</v>
      </c>
      <c r="B3" s="7">
        <f>150*1000</f>
        <v>150000</v>
      </c>
      <c r="C3" s="7">
        <f>B3*E3/(E8)</f>
        <v>132750</v>
      </c>
      <c r="D3" s="31">
        <f>B3/C3</f>
        <v>1.1299435028248588</v>
      </c>
      <c r="E3" s="8">
        <f>E8-(E4+E5+E6)</f>
        <v>88.5</v>
      </c>
      <c r="F3" s="8">
        <f>F8-(F4+F5+F7)</f>
        <v>88.5</v>
      </c>
      <c r="G3" s="30">
        <f>G8-(G4+G5+G6+G7)</f>
        <v>87.5</v>
      </c>
      <c r="H3" s="13"/>
    </row>
    <row r="4" spans="1:8" x14ac:dyDescent="0.9">
      <c r="A4" s="4" t="s">
        <v>13</v>
      </c>
      <c r="B4" s="7">
        <f>1*1000</f>
        <v>1000</v>
      </c>
      <c r="C4" s="9">
        <f>5</f>
        <v>5</v>
      </c>
      <c r="D4" s="31">
        <f>B4/C4</f>
        <v>200</v>
      </c>
      <c r="E4" s="8">
        <f>C4/B4*E8</f>
        <v>0.5</v>
      </c>
      <c r="F4" s="8">
        <f>C4/B4*F8</f>
        <v>0.5</v>
      </c>
      <c r="G4" s="30">
        <f>C4/B4*G8</f>
        <v>0.5</v>
      </c>
      <c r="H4" s="13"/>
    </row>
    <row r="5" spans="1:8" x14ac:dyDescent="0.9">
      <c r="A5" s="4" t="s">
        <v>12</v>
      </c>
      <c r="B5" s="7">
        <f>150*1000</f>
        <v>150000</v>
      </c>
      <c r="C5" s="7">
        <f>15*1000</f>
        <v>15000</v>
      </c>
      <c r="D5" s="31">
        <f>B5/C5</f>
        <v>10</v>
      </c>
      <c r="E5" s="8">
        <f>C5/B5*E8</f>
        <v>10</v>
      </c>
      <c r="F5" s="8">
        <f>C5/B5*F8</f>
        <v>10</v>
      </c>
      <c r="G5" s="30">
        <f>C5/B5*G8</f>
        <v>10</v>
      </c>
      <c r="H5" s="13"/>
    </row>
    <row r="6" spans="1:8" x14ac:dyDescent="0.9">
      <c r="A6" s="4" t="s">
        <v>11</v>
      </c>
      <c r="B6" s="9">
        <f>4.5/1000*1000</f>
        <v>4.5</v>
      </c>
      <c r="C6" s="32">
        <f>0.045/1000*1000</f>
        <v>4.4999999999999998E-2</v>
      </c>
      <c r="D6" s="31">
        <f>B6/C6</f>
        <v>100</v>
      </c>
      <c r="E6" s="8">
        <f>C6/B6*E8</f>
        <v>1</v>
      </c>
      <c r="F6" s="8"/>
      <c r="G6" s="30">
        <f>C6/B6*G8</f>
        <v>1</v>
      </c>
      <c r="H6" s="13"/>
    </row>
    <row r="7" spans="1:8" x14ac:dyDescent="0.9">
      <c r="A7" s="4" t="s">
        <v>22</v>
      </c>
      <c r="B7" s="9">
        <f>0.1*1000</f>
        <v>100</v>
      </c>
      <c r="C7" s="9">
        <f>1</f>
        <v>1</v>
      </c>
      <c r="D7" s="31">
        <f>B7/C7</f>
        <v>100</v>
      </c>
      <c r="E7" s="8"/>
      <c r="F7" s="8">
        <f>C7/B7*F8</f>
        <v>1</v>
      </c>
      <c r="G7" s="30">
        <f>C7/B7*G8</f>
        <v>1</v>
      </c>
      <c r="H7" s="13"/>
    </row>
    <row r="8" spans="1:8" x14ac:dyDescent="0.9">
      <c r="A8" s="4"/>
      <c r="B8" s="10"/>
      <c r="C8" s="10"/>
      <c r="D8" s="27"/>
      <c r="E8" s="8">
        <f>100</f>
        <v>100</v>
      </c>
      <c r="F8" s="8">
        <f>100</f>
        <v>100</v>
      </c>
      <c r="G8" s="30">
        <f>100</f>
        <v>100</v>
      </c>
      <c r="H8" s="13"/>
    </row>
    <row r="11" spans="1:8" ht="24" x14ac:dyDescent="1">
      <c r="A11" s="42" t="s">
        <v>10</v>
      </c>
    </row>
    <row r="12" spans="1:8" ht="26.7" x14ac:dyDescent="1.1000000000000001">
      <c r="A12" s="40" t="s">
        <v>16</v>
      </c>
      <c r="B12" s="40">
        <f>E4*6</f>
        <v>3</v>
      </c>
      <c r="C12" s="11"/>
    </row>
    <row r="13" spans="1:8" ht="26.7" x14ac:dyDescent="1.1000000000000001">
      <c r="A13" s="40" t="s">
        <v>17</v>
      </c>
      <c r="B13" s="43">
        <f>E4*9</f>
        <v>4.5</v>
      </c>
    </row>
    <row r="14" spans="1:8" ht="26.7" x14ac:dyDescent="1.1000000000000001">
      <c r="A14" s="40" t="s">
        <v>56</v>
      </c>
      <c r="B14" s="40">
        <f>20</f>
        <v>20</v>
      </c>
      <c r="C14" s="40">
        <f>((E3+E5)*B14)/E8</f>
        <v>19.7</v>
      </c>
    </row>
    <row r="15" spans="1:8" ht="26.7" x14ac:dyDescent="1.1000000000000001">
      <c r="A15" s="40" t="s">
        <v>81</v>
      </c>
      <c r="B15" s="40"/>
      <c r="C15" s="55">
        <f>C5/1000</f>
        <v>15</v>
      </c>
    </row>
    <row r="18" spans="1:3" ht="26.7" x14ac:dyDescent="1.1000000000000001">
      <c r="A18" s="17" t="s">
        <v>18</v>
      </c>
      <c r="B18" s="2"/>
      <c r="C18" s="2"/>
    </row>
    <row r="19" spans="1:3" ht="26.7" x14ac:dyDescent="1.1000000000000001">
      <c r="A19" s="15" t="s">
        <v>5</v>
      </c>
      <c r="B19" s="1" t="s">
        <v>9</v>
      </c>
      <c r="C19" s="16" t="s">
        <v>8</v>
      </c>
    </row>
    <row r="20" spans="1:3" ht="26.7" x14ac:dyDescent="1.1000000000000001">
      <c r="A20" s="18" t="s">
        <v>20</v>
      </c>
      <c r="B20" s="19" t="s">
        <v>20</v>
      </c>
      <c r="C20" s="20" t="s">
        <v>20</v>
      </c>
    </row>
    <row r="21" spans="1:3" ht="26.7" x14ac:dyDescent="1.1000000000000001">
      <c r="A21" s="18" t="s">
        <v>21</v>
      </c>
      <c r="B21" s="19" t="s">
        <v>21</v>
      </c>
      <c r="C21" s="20" t="s">
        <v>21</v>
      </c>
    </row>
    <row r="22" spans="1:3" ht="26.7" x14ac:dyDescent="1.1000000000000001">
      <c r="A22" s="18" t="s">
        <v>19</v>
      </c>
      <c r="B22" s="19" t="s">
        <v>19</v>
      </c>
      <c r="C22" s="20" t="s">
        <v>15</v>
      </c>
    </row>
    <row r="23" spans="1:3" ht="26.7" x14ac:dyDescent="1.1000000000000001">
      <c r="A23" s="21" t="s">
        <v>11</v>
      </c>
      <c r="B23" s="19" t="s">
        <v>15</v>
      </c>
      <c r="C23" s="20" t="s">
        <v>19</v>
      </c>
    </row>
    <row r="24" spans="1:3" ht="26.7" x14ac:dyDescent="1.1000000000000001">
      <c r="A24" s="18"/>
      <c r="B24" s="19"/>
      <c r="C24" s="20" t="s">
        <v>11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82C13-1A7C-44F3-A987-E966C7AA7ADB}">
  <dimension ref="A1:G29"/>
  <sheetViews>
    <sheetView workbookViewId="0">
      <selection activeCell="F21" sqref="F21"/>
    </sheetView>
  </sheetViews>
  <sheetFormatPr defaultRowHeight="14.4" x14ac:dyDescent="0.55000000000000004"/>
  <cols>
    <col min="1" max="1" width="38.41796875" customWidth="1"/>
    <col min="2" max="2" width="37.9453125" customWidth="1"/>
    <col min="3" max="3" width="33.68359375" customWidth="1"/>
    <col min="4" max="4" width="24" customWidth="1"/>
    <col min="5" max="5" width="21.7890625" customWidth="1"/>
    <col min="6" max="6" width="22.15625" customWidth="1"/>
    <col min="7" max="7" width="24.62890625" customWidth="1"/>
  </cols>
  <sheetData>
    <row r="1" spans="1:7" ht="23.4" x14ac:dyDescent="0.9">
      <c r="A1" s="14" t="s">
        <v>0</v>
      </c>
      <c r="B1" s="14" t="s">
        <v>6</v>
      </c>
      <c r="C1" s="14" t="s">
        <v>7</v>
      </c>
      <c r="D1" s="26" t="s">
        <v>33</v>
      </c>
      <c r="E1" s="14" t="s">
        <v>5</v>
      </c>
      <c r="F1" s="14" t="s">
        <v>9</v>
      </c>
      <c r="G1" s="14" t="s">
        <v>8</v>
      </c>
    </row>
    <row r="2" spans="1:7" ht="21" x14ac:dyDescent="0.85">
      <c r="A2" s="4" t="s">
        <v>75</v>
      </c>
      <c r="B2" s="7">
        <f>150*1000</f>
        <v>150000</v>
      </c>
      <c r="C2" s="7">
        <f>130*1000</f>
        <v>130000</v>
      </c>
      <c r="D2" s="31">
        <f t="shared" ref="D2:D7" si="0">B2/C2</f>
        <v>1.1538461538461537</v>
      </c>
      <c r="E2" s="54">
        <f>C2/B2*E9</f>
        <v>86.666666666666671</v>
      </c>
      <c r="F2" s="54">
        <f>100-(F4+F5+F7)</f>
        <v>88.65</v>
      </c>
      <c r="G2" s="54">
        <f>G9-(G4+G5+G6+G7)</f>
        <v>85.65</v>
      </c>
    </row>
    <row r="3" spans="1:7" ht="21" hidden="1" x14ac:dyDescent="0.85">
      <c r="A3" s="4" t="s">
        <v>14</v>
      </c>
      <c r="B3" s="7">
        <f>150*1000</f>
        <v>150000</v>
      </c>
      <c r="C3" s="7">
        <f>B3*E3/(E9)</f>
        <v>-24.999999999998582</v>
      </c>
      <c r="D3" s="31">
        <f t="shared" si="0"/>
        <v>-6000.0000000003402</v>
      </c>
      <c r="E3" s="54">
        <f>E9-(E2+E4+E5+E6)</f>
        <v>-1.6666666666665719E-2</v>
      </c>
      <c r="F3" s="8">
        <f>F9-(F4+F5+F7)</f>
        <v>88.65</v>
      </c>
      <c r="G3" s="8">
        <f>G9-(G4+G5+G6+G7)</f>
        <v>85.65</v>
      </c>
    </row>
    <row r="4" spans="1:7" ht="21" x14ac:dyDescent="0.85">
      <c r="A4" s="4" t="s">
        <v>13</v>
      </c>
      <c r="B4" s="7">
        <f>1*1000</f>
        <v>1000</v>
      </c>
      <c r="C4" s="9">
        <f>3.5</f>
        <v>3.5</v>
      </c>
      <c r="D4" s="31">
        <f t="shared" si="0"/>
        <v>285.71428571428572</v>
      </c>
      <c r="E4" s="8">
        <f>C4/B4*E9</f>
        <v>0.35000000000000003</v>
      </c>
      <c r="F4" s="8">
        <f>C4/B4*F9</f>
        <v>0.35000000000000003</v>
      </c>
      <c r="G4" s="8">
        <f>C4/B4*G9</f>
        <v>0.35000000000000003</v>
      </c>
    </row>
    <row r="5" spans="1:7" ht="21" x14ac:dyDescent="0.85">
      <c r="A5" s="4" t="s">
        <v>12</v>
      </c>
      <c r="B5" s="7">
        <f>150*1000</f>
        <v>150000</v>
      </c>
      <c r="C5" s="7">
        <f>15*1000</f>
        <v>15000</v>
      </c>
      <c r="D5" s="31">
        <f t="shared" si="0"/>
        <v>10</v>
      </c>
      <c r="E5" s="54">
        <f>C5/B5*E9</f>
        <v>10</v>
      </c>
      <c r="F5" s="8">
        <f>C5/B5*F9</f>
        <v>10</v>
      </c>
      <c r="G5" s="8">
        <f>C5/B5*G9</f>
        <v>10</v>
      </c>
    </row>
    <row r="6" spans="1:7" ht="21" x14ac:dyDescent="0.85">
      <c r="A6" s="38" t="s">
        <v>79</v>
      </c>
      <c r="B6" s="9">
        <v>1000</v>
      </c>
      <c r="C6" s="32">
        <f>30/1000*1000</f>
        <v>30</v>
      </c>
      <c r="D6" s="31">
        <f t="shared" si="0"/>
        <v>33.333333333333336</v>
      </c>
      <c r="E6" s="8">
        <f>C6/B6*E9</f>
        <v>3</v>
      </c>
      <c r="F6" s="8"/>
      <c r="G6" s="8">
        <f>C6/B6*G9</f>
        <v>3</v>
      </c>
    </row>
    <row r="7" spans="1:7" ht="21" x14ac:dyDescent="0.85">
      <c r="A7" s="4" t="s">
        <v>22</v>
      </c>
      <c r="B7" s="9">
        <f>0.1*1000</f>
        <v>100</v>
      </c>
      <c r="C7" s="9">
        <f>1</f>
        <v>1</v>
      </c>
      <c r="D7" s="31">
        <f t="shared" si="0"/>
        <v>100</v>
      </c>
      <c r="E7" s="8"/>
      <c r="F7" s="8">
        <f>C7/B7*F9</f>
        <v>1</v>
      </c>
      <c r="G7" s="8">
        <f>C7/B7*G9</f>
        <v>1</v>
      </c>
    </row>
    <row r="8" spans="1:7" ht="21" x14ac:dyDescent="0.85">
      <c r="A8" s="4" t="s">
        <v>11</v>
      </c>
      <c r="B8" s="10"/>
      <c r="C8" s="10"/>
      <c r="D8" s="27"/>
      <c r="E8" s="65"/>
      <c r="F8" s="65"/>
      <c r="G8" s="65"/>
    </row>
    <row r="9" spans="1:7" ht="21" x14ac:dyDescent="0.85">
      <c r="A9" s="65"/>
      <c r="B9" s="65"/>
      <c r="C9" s="65"/>
      <c r="D9" s="65"/>
      <c r="E9" s="8">
        <f>100</f>
        <v>100</v>
      </c>
      <c r="F9" s="8">
        <f>100</f>
        <v>100</v>
      </c>
      <c r="G9" s="8">
        <f>100</f>
        <v>100</v>
      </c>
    </row>
    <row r="10" spans="1:7" ht="21" x14ac:dyDescent="0.85">
      <c r="A10" s="4"/>
      <c r="B10" s="10"/>
      <c r="C10" s="10"/>
      <c r="D10" s="27"/>
      <c r="E10" s="54">
        <f>E2+E4+E5+E6</f>
        <v>100.01666666666667</v>
      </c>
      <c r="F10" s="8">
        <f>F2+F4+F5+F7</f>
        <v>100</v>
      </c>
      <c r="G10" s="8">
        <f>100</f>
        <v>100</v>
      </c>
    </row>
    <row r="11" spans="1:7" ht="21.3" x14ac:dyDescent="0.9">
      <c r="D11" s="3"/>
      <c r="E11" s="56"/>
      <c r="F11" s="3"/>
      <c r="G11" s="3"/>
    </row>
    <row r="12" spans="1:7" ht="21.3" x14ac:dyDescent="0.9">
      <c r="D12" s="3"/>
      <c r="E12" s="3"/>
      <c r="F12" s="3"/>
      <c r="G12" s="3"/>
    </row>
    <row r="13" spans="1:7" ht="21.3" x14ac:dyDescent="0.9">
      <c r="D13" s="3"/>
      <c r="F13" s="3"/>
      <c r="G13" s="3"/>
    </row>
    <row r="14" spans="1:7" ht="21.3" x14ac:dyDescent="0.9">
      <c r="D14" s="3"/>
      <c r="E14" s="3"/>
      <c r="F14" s="3"/>
      <c r="G14" s="3"/>
    </row>
    <row r="15" spans="1:7" ht="21.3" x14ac:dyDescent="0.9">
      <c r="D15" s="3"/>
      <c r="E15" s="3"/>
      <c r="F15" s="66"/>
      <c r="G15" s="3"/>
    </row>
    <row r="16" spans="1:7" ht="24" x14ac:dyDescent="1">
      <c r="A16" s="42" t="s">
        <v>10</v>
      </c>
      <c r="B16" s="3"/>
      <c r="C16" s="3"/>
      <c r="D16" s="3"/>
      <c r="E16" s="3"/>
      <c r="F16" s="66"/>
      <c r="G16" s="3"/>
    </row>
    <row r="17" spans="1:7" ht="26.7" x14ac:dyDescent="1.1000000000000001">
      <c r="A17" s="40" t="s">
        <v>16</v>
      </c>
      <c r="B17" s="40">
        <f>E4*6</f>
        <v>2.1</v>
      </c>
      <c r="C17" s="11"/>
      <c r="D17" s="3"/>
      <c r="E17" s="3"/>
      <c r="F17" s="12"/>
      <c r="G17" s="3"/>
    </row>
    <row r="18" spans="1:7" ht="26.7" x14ac:dyDescent="1.1000000000000001">
      <c r="A18" s="40" t="s">
        <v>17</v>
      </c>
      <c r="B18" s="69">
        <f>E4*9</f>
        <v>3.1500000000000004</v>
      </c>
      <c r="C18" s="3"/>
      <c r="D18" s="3"/>
      <c r="E18" s="3"/>
      <c r="F18" s="66"/>
      <c r="G18" s="3"/>
    </row>
    <row r="19" spans="1:7" ht="26.7" x14ac:dyDescent="1.1000000000000001">
      <c r="A19" s="40" t="s">
        <v>56</v>
      </c>
      <c r="B19" s="40">
        <f>20</f>
        <v>20</v>
      </c>
      <c r="C19" s="55">
        <f>((E2+E5)*B19)/E9</f>
        <v>19.333333333333336</v>
      </c>
      <c r="D19" s="3"/>
      <c r="E19" s="3"/>
      <c r="F19" s="12"/>
      <c r="G19" s="3"/>
    </row>
    <row r="20" spans="1:7" ht="26.7" x14ac:dyDescent="1.1000000000000001">
      <c r="A20" s="40" t="s">
        <v>76</v>
      </c>
      <c r="B20" s="3"/>
      <c r="C20" s="68">
        <f>((F2+E5)*150)/E10</f>
        <v>147.95034160973171</v>
      </c>
      <c r="D20" s="3"/>
      <c r="E20" s="3"/>
      <c r="F20" s="12"/>
      <c r="G20" s="3"/>
    </row>
    <row r="21" spans="1:7" ht="29.1" x14ac:dyDescent="1.2">
      <c r="A21" s="70" t="s">
        <v>80</v>
      </c>
      <c r="B21" s="70"/>
      <c r="C21" s="70">
        <f>E5*150/E9</f>
        <v>15</v>
      </c>
      <c r="D21" s="3"/>
      <c r="E21" s="3"/>
      <c r="F21" s="67"/>
      <c r="G21" s="3"/>
    </row>
    <row r="22" spans="1:7" ht="21.3" x14ac:dyDescent="0.9">
      <c r="A22" s="3"/>
      <c r="B22" s="3"/>
      <c r="C22" s="3"/>
      <c r="D22" s="3"/>
      <c r="E22" s="3"/>
      <c r="F22" s="12"/>
      <c r="G22" s="3"/>
    </row>
    <row r="23" spans="1:7" ht="31.8" x14ac:dyDescent="1.3">
      <c r="A23" s="57" t="s">
        <v>18</v>
      </c>
      <c r="B23" s="48"/>
      <c r="C23" s="48"/>
      <c r="D23" s="3"/>
      <c r="E23" s="3"/>
      <c r="F23" s="66"/>
      <c r="G23" s="3"/>
    </row>
    <row r="24" spans="1:7" ht="31.8" x14ac:dyDescent="1.3">
      <c r="A24" s="58" t="s">
        <v>5</v>
      </c>
      <c r="B24" s="59" t="s">
        <v>9</v>
      </c>
      <c r="C24" s="60" t="s">
        <v>8</v>
      </c>
      <c r="D24" s="3"/>
      <c r="E24" s="3"/>
      <c r="F24" s="3"/>
      <c r="G24" s="3"/>
    </row>
    <row r="25" spans="1:7" ht="31.8" x14ac:dyDescent="1.3">
      <c r="A25" s="61" t="s">
        <v>77</v>
      </c>
      <c r="B25" s="62" t="s">
        <v>20</v>
      </c>
      <c r="C25" s="63" t="s">
        <v>20</v>
      </c>
    </row>
    <row r="26" spans="1:7" ht="31.8" x14ac:dyDescent="1.3">
      <c r="A26" s="61" t="s">
        <v>21</v>
      </c>
      <c r="B26" s="62" t="s">
        <v>21</v>
      </c>
      <c r="C26" s="63" t="s">
        <v>21</v>
      </c>
    </row>
    <row r="27" spans="1:7" ht="31.8" x14ac:dyDescent="1.3">
      <c r="A27" s="61" t="s">
        <v>78</v>
      </c>
      <c r="B27" s="62" t="s">
        <v>19</v>
      </c>
      <c r="C27" s="63" t="s">
        <v>79</v>
      </c>
    </row>
    <row r="28" spans="1:7" ht="31.8" x14ac:dyDescent="1.3">
      <c r="A28" s="64" t="s">
        <v>79</v>
      </c>
      <c r="B28" s="62" t="s">
        <v>15</v>
      </c>
      <c r="C28" s="63" t="s">
        <v>19</v>
      </c>
    </row>
    <row r="29" spans="1:7" ht="31.8" x14ac:dyDescent="1.3">
      <c r="A29" s="61"/>
      <c r="B29" s="62"/>
      <c r="C29" s="63" t="s">
        <v>15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2A79-AD9D-45FA-A768-4DA70E49FD03}">
  <dimension ref="A1:H2"/>
  <sheetViews>
    <sheetView workbookViewId="0">
      <selection activeCell="D16" sqref="D16"/>
    </sheetView>
  </sheetViews>
  <sheetFormatPr defaultRowHeight="14.4" x14ac:dyDescent="0.55000000000000004"/>
  <cols>
    <col min="1" max="1" width="23.20703125" customWidth="1"/>
    <col min="2" max="2" width="22.68359375" customWidth="1"/>
    <col min="3" max="3" width="25.9453125" customWidth="1"/>
    <col min="4" max="4" width="27.20703125" customWidth="1"/>
    <col min="5" max="5" width="20.3125" customWidth="1"/>
    <col min="6" max="6" width="16.9453125" customWidth="1"/>
    <col min="7" max="7" width="26.47265625" customWidth="1"/>
    <col min="8" max="8" width="23.68359375" customWidth="1"/>
  </cols>
  <sheetData>
    <row r="1" spans="1:8" ht="21.3" x14ac:dyDescent="0.9">
      <c r="A1" s="23" t="s">
        <v>23</v>
      </c>
      <c r="B1" s="23" t="s">
        <v>24</v>
      </c>
      <c r="C1" s="23" t="s">
        <v>33</v>
      </c>
      <c r="D1" s="23" t="s">
        <v>26</v>
      </c>
      <c r="E1" s="23" t="s">
        <v>25</v>
      </c>
      <c r="F1" s="23" t="s">
        <v>29</v>
      </c>
      <c r="G1" s="23" t="s">
        <v>27</v>
      </c>
      <c r="H1" s="23" t="s">
        <v>28</v>
      </c>
    </row>
    <row r="2" spans="1:8" ht="21.3" x14ac:dyDescent="0.9">
      <c r="A2" s="22">
        <f>20</f>
        <v>20</v>
      </c>
      <c r="B2" s="22">
        <f>0.1</f>
        <v>0.1</v>
      </c>
      <c r="C2" s="22">
        <f>A2/B2</f>
        <v>200</v>
      </c>
      <c r="D2" s="22">
        <f>10</f>
        <v>10</v>
      </c>
      <c r="E2" s="22">
        <f>B2/A2*D2</f>
        <v>0.05</v>
      </c>
      <c r="F2" s="22">
        <f>E2*1000</f>
        <v>50</v>
      </c>
      <c r="G2" s="22">
        <f>D2-E2</f>
        <v>9.9499999999999993</v>
      </c>
      <c r="H2" s="22">
        <f>G2*1000</f>
        <v>9950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A8FB-59B1-4BF7-BEB2-FF53BF0965DD}">
  <dimension ref="A1:H2"/>
  <sheetViews>
    <sheetView workbookViewId="0">
      <selection activeCell="F11" sqref="F11"/>
    </sheetView>
  </sheetViews>
  <sheetFormatPr defaultRowHeight="14.4" x14ac:dyDescent="0.55000000000000004"/>
  <cols>
    <col min="1" max="1" width="28.68359375" customWidth="1"/>
    <col min="2" max="2" width="25.3671875" customWidth="1"/>
    <col min="3" max="3" width="25.68359375" customWidth="1"/>
    <col min="4" max="4" width="25.89453125" customWidth="1"/>
    <col min="5" max="5" width="17.47265625" customWidth="1"/>
    <col min="6" max="6" width="15.3671875" customWidth="1"/>
    <col min="7" max="7" width="27.47265625" customWidth="1"/>
    <col min="8" max="8" width="24.734375" customWidth="1"/>
  </cols>
  <sheetData>
    <row r="1" spans="1:8" ht="21.3" x14ac:dyDescent="0.9">
      <c r="A1" s="23" t="s">
        <v>23</v>
      </c>
      <c r="B1" s="23" t="s">
        <v>24</v>
      </c>
      <c r="C1" s="23" t="s">
        <v>33</v>
      </c>
      <c r="D1" s="23" t="s">
        <v>26</v>
      </c>
      <c r="E1" s="23" t="s">
        <v>25</v>
      </c>
      <c r="F1" s="23" t="s">
        <v>29</v>
      </c>
      <c r="G1" s="23" t="s">
        <v>27</v>
      </c>
      <c r="H1" s="23" t="s">
        <v>28</v>
      </c>
    </row>
    <row r="2" spans="1:8" ht="21.3" x14ac:dyDescent="0.9">
      <c r="A2" s="22">
        <f>20</f>
        <v>20</v>
      </c>
      <c r="B2" s="22">
        <f>1</f>
        <v>1</v>
      </c>
      <c r="C2" s="22">
        <f>A2/B2</f>
        <v>20</v>
      </c>
      <c r="D2" s="22">
        <f>10</f>
        <v>10</v>
      </c>
      <c r="E2" s="22">
        <f>B2/A2*D2</f>
        <v>0.5</v>
      </c>
      <c r="F2" s="22">
        <f>E2*1000</f>
        <v>500</v>
      </c>
      <c r="G2" s="22">
        <f>D2-E2</f>
        <v>9.5</v>
      </c>
      <c r="H2" s="22">
        <f>G2*1000</f>
        <v>9500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387C5-2DFF-4632-9753-2ACD486CC75A}">
  <dimension ref="A1:H15"/>
  <sheetViews>
    <sheetView workbookViewId="0">
      <selection activeCell="B10" sqref="B10"/>
    </sheetView>
  </sheetViews>
  <sheetFormatPr defaultRowHeight="14.4" x14ac:dyDescent="0.55000000000000004"/>
  <cols>
    <col min="1" max="1" width="22.1015625" customWidth="1"/>
    <col min="2" max="2" width="21.47265625" customWidth="1"/>
    <col min="3" max="3" width="27.1015625" customWidth="1"/>
    <col min="4" max="4" width="27.26171875" customWidth="1"/>
    <col min="5" max="5" width="20.47265625" customWidth="1"/>
    <col min="6" max="6" width="26.734375" customWidth="1"/>
    <col min="7" max="7" width="26.7890625" customWidth="1"/>
    <col min="8" max="8" width="27.3125" customWidth="1"/>
  </cols>
  <sheetData>
    <row r="1" spans="1:8" ht="21.3" x14ac:dyDescent="0.9">
      <c r="A1" s="23" t="s">
        <v>30</v>
      </c>
      <c r="B1" s="23" t="s">
        <v>31</v>
      </c>
      <c r="C1" s="23" t="s">
        <v>26</v>
      </c>
      <c r="D1" s="23" t="s">
        <v>25</v>
      </c>
      <c r="E1" s="23" t="s">
        <v>29</v>
      </c>
      <c r="F1" s="23" t="s">
        <v>36</v>
      </c>
      <c r="G1" s="23" t="s">
        <v>37</v>
      </c>
    </row>
    <row r="2" spans="1:8" ht="21.3" x14ac:dyDescent="0.9">
      <c r="A2" s="22">
        <v>45</v>
      </c>
      <c r="B2" s="22">
        <v>0.45</v>
      </c>
      <c r="C2" s="22">
        <f>1</f>
        <v>1</v>
      </c>
      <c r="D2" s="22">
        <f>B2/A2*C2</f>
        <v>0.01</v>
      </c>
      <c r="E2" s="22">
        <f>D2*1000</f>
        <v>10</v>
      </c>
      <c r="F2" s="22">
        <f>C2-D2</f>
        <v>0.99</v>
      </c>
      <c r="G2" s="22">
        <f>F2*1000</f>
        <v>990</v>
      </c>
    </row>
    <row r="7" spans="1:8" ht="21.3" x14ac:dyDescent="0.9">
      <c r="A7" s="23" t="s">
        <v>32</v>
      </c>
      <c r="B7" s="23" t="s">
        <v>30</v>
      </c>
      <c r="C7" s="23" t="s">
        <v>24</v>
      </c>
      <c r="D7" s="23" t="s">
        <v>26</v>
      </c>
      <c r="E7" s="23" t="s">
        <v>25</v>
      </c>
      <c r="F7" s="23" t="s">
        <v>29</v>
      </c>
      <c r="G7" s="23" t="s">
        <v>36</v>
      </c>
    </row>
    <row r="8" spans="1:8" ht="21.3" x14ac:dyDescent="0.9">
      <c r="A8" s="22">
        <v>5</v>
      </c>
      <c r="B8" s="24">
        <f>(5/1000)/1111.32*1000*1000</f>
        <v>4.4991541590181052</v>
      </c>
      <c r="C8" s="22">
        <f>0.045/1000*1000</f>
        <v>4.4999999999999998E-2</v>
      </c>
      <c r="D8" s="22">
        <f>100</f>
        <v>100</v>
      </c>
      <c r="E8" s="24">
        <f>C8/B8*D8</f>
        <v>1.0001879999999999</v>
      </c>
      <c r="F8" s="33">
        <f t="shared" ref="F8" si="0">E8*1000</f>
        <v>1000.1879999999999</v>
      </c>
      <c r="G8" s="33">
        <f>D8-E8</f>
        <v>98.999812000000006</v>
      </c>
    </row>
    <row r="9" spans="1:8" ht="21.3" x14ac:dyDescent="0.9">
      <c r="A9" s="23" t="s">
        <v>32</v>
      </c>
      <c r="B9" s="23" t="s">
        <v>23</v>
      </c>
      <c r="C9" s="23" t="s">
        <v>24</v>
      </c>
      <c r="D9" s="23" t="s">
        <v>34</v>
      </c>
      <c r="E9" s="23" t="s">
        <v>35</v>
      </c>
      <c r="F9" s="23" t="s">
        <v>37</v>
      </c>
      <c r="G9" s="23"/>
      <c r="H9" s="23"/>
    </row>
    <row r="10" spans="1:8" ht="21.3" x14ac:dyDescent="0.9">
      <c r="A10" s="22">
        <f>5</f>
        <v>5</v>
      </c>
      <c r="B10" s="24">
        <f>(((5/1000)/1111.32)/(5/1000))*1000</f>
        <v>0.89983083180362089</v>
      </c>
      <c r="C10" s="25">
        <f>B10/100</f>
        <v>8.9983083180362085E-3</v>
      </c>
      <c r="D10" s="22">
        <f>100</f>
        <v>100</v>
      </c>
      <c r="E10" s="22">
        <f>C10/B10*100</f>
        <v>1</v>
      </c>
      <c r="F10" s="22">
        <f>D10-E10</f>
        <v>99</v>
      </c>
      <c r="G10" s="22"/>
      <c r="H10" s="22"/>
    </row>
    <row r="13" spans="1:8" ht="21.3" x14ac:dyDescent="0.9">
      <c r="A13" s="23" t="s">
        <v>38</v>
      </c>
      <c r="B13" s="23"/>
      <c r="C13" s="23"/>
      <c r="D13" s="23"/>
      <c r="E13" s="23"/>
      <c r="F13" s="23"/>
      <c r="G13" s="23"/>
      <c r="H13" s="23"/>
    </row>
    <row r="14" spans="1:8" ht="21.3" x14ac:dyDescent="0.9">
      <c r="A14" s="23" t="s">
        <v>39</v>
      </c>
      <c r="B14" s="23" t="s">
        <v>40</v>
      </c>
      <c r="C14" s="23" t="s">
        <v>41</v>
      </c>
      <c r="D14" s="23" t="s">
        <v>42</v>
      </c>
      <c r="E14" s="23" t="s">
        <v>43</v>
      </c>
      <c r="F14" s="23" t="s">
        <v>44</v>
      </c>
      <c r="G14" s="23" t="s">
        <v>45</v>
      </c>
    </row>
    <row r="15" spans="1:8" ht="21.3" x14ac:dyDescent="0.9">
      <c r="A15" s="22">
        <f>4.5*10^-6</f>
        <v>4.5000000000000001E-6</v>
      </c>
      <c r="B15" s="24">
        <f>1</f>
        <v>1</v>
      </c>
      <c r="C15" s="34">
        <f>B15*A15</f>
        <v>4.5000000000000001E-6</v>
      </c>
      <c r="D15" s="22">
        <f>1111.32</f>
        <v>1111.32</v>
      </c>
      <c r="E15" s="22">
        <f>C15*D15</f>
        <v>5.0009399999999997E-3</v>
      </c>
      <c r="F15" s="24">
        <f>E15*1000</f>
        <v>5.0009399999999999</v>
      </c>
      <c r="G15" s="22">
        <f>1</f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HLFA Liposome Protocol</vt:lpstr>
      <vt:lpstr>NaLFA Liposome Protocol</vt:lpstr>
      <vt:lpstr>NavAb HLFA Protocol</vt:lpstr>
      <vt:lpstr>NavAb NaLFA Protocol-1</vt:lpstr>
      <vt:lpstr>CCCP Dilution</vt:lpstr>
      <vt:lpstr>ACMA Dilution</vt:lpstr>
      <vt:lpstr>Valinomycin Dilution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GrandProf</dc:creator>
  <cp:lastModifiedBy>GrandProf</cp:lastModifiedBy>
  <dcterms:created xsi:type="dcterms:W3CDTF">2022-01-07T10:50:46Z</dcterms:created>
  <dcterms:modified xsi:type="dcterms:W3CDTF">2022-01-21T22:58:38Z</dcterms:modified>
</cp:coreProperties>
</file>