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hc\OneDrive\Documents\BAPG Course outline\EXL 1002\Week 9\"/>
    </mc:Choice>
  </mc:AlternateContent>
  <xr:revisionPtr revIDLastSave="0" documentId="13_ncr:1_{9942F1E4-29E1-44E3-A967-377030B42C12}" xr6:coauthVersionLast="47" xr6:coauthVersionMax="47" xr10:uidLastSave="{00000000-0000-0000-0000-000000000000}"/>
  <bookViews>
    <workbookView xWindow="28680" yWindow="-120" windowWidth="25440" windowHeight="15270" activeTab="2" xr2:uid="{00000000-000D-0000-FFFF-FFFF00000000}"/>
  </bookViews>
  <sheets>
    <sheet name="Portfolio Summary" sheetId="3" r:id="rId1"/>
    <sheet name="Performance Summary" sheetId="9" r:id="rId2"/>
    <sheet name="Investment Detail" sheetId="1" r:id="rId3"/>
    <sheet name="Investment List" sheetId="8" r:id="rId4"/>
    <sheet name="Benchmark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 s="1"/>
  <c r="F1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M5" i="1"/>
  <c r="T5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J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G2" i="1"/>
  <c r="F2" i="1"/>
  <c r="S5" i="1" l="1"/>
  <c r="N5" i="1"/>
</calcChain>
</file>

<file path=xl/sharedStrings.xml><?xml version="1.0" encoding="utf-8"?>
<sst xmlns="http://schemas.openxmlformats.org/spreadsheetml/2006/main" count="193" uniqueCount="114">
  <si>
    <t>Investment Type</t>
  </si>
  <si>
    <t>Symbol</t>
  </si>
  <si>
    <t>Description</t>
  </si>
  <si>
    <t>Shares Purchased</t>
  </si>
  <si>
    <t>Current Price</t>
  </si>
  <si>
    <t>Current Value</t>
  </si>
  <si>
    <t>Unrealized Gain/Loss</t>
  </si>
  <si>
    <t>Current Percent of Portfolio</t>
  </si>
  <si>
    <t>Target Percent of Portfolio</t>
  </si>
  <si>
    <t>Rebalance Indicator</t>
  </si>
  <si>
    <t>Long/Short Indicator</t>
  </si>
  <si>
    <t>Number of Investments</t>
  </si>
  <si>
    <t>TOTAL</t>
  </si>
  <si>
    <t>Emerging Markets</t>
  </si>
  <si>
    <t>MSFT</t>
  </si>
  <si>
    <t>AAPL</t>
  </si>
  <si>
    <t>IBM</t>
  </si>
  <si>
    <t>JNJ</t>
  </si>
  <si>
    <t>S&amp;P 500 Index</t>
  </si>
  <si>
    <t>Equity Income</t>
  </si>
  <si>
    <t>Mid Cap</t>
  </si>
  <si>
    <t>Developed Markets</t>
  </si>
  <si>
    <t>Apple Inc.</t>
  </si>
  <si>
    <t>International Business Machine</t>
  </si>
  <si>
    <t>Johnson and Johnson</t>
  </si>
  <si>
    <t>KO</t>
  </si>
  <si>
    <t>Coca Cola</t>
  </si>
  <si>
    <t>Microsoft Corporation</t>
  </si>
  <si>
    <t>TRV</t>
  </si>
  <si>
    <t>The Travelers Companies, Inc.</t>
  </si>
  <si>
    <t>Dividend / Yield</t>
  </si>
  <si>
    <t>Benchmark</t>
  </si>
  <si>
    <t>Estimated Dividend Payments</t>
  </si>
  <si>
    <t>Months Owned</t>
  </si>
  <si>
    <t>Current Investment Value</t>
  </si>
  <si>
    <t>Percent Gain/Loss</t>
  </si>
  <si>
    <t>Actual Annual Growth Rate</t>
  </si>
  <si>
    <t>Descriptive Information</t>
  </si>
  <si>
    <t>Average Months Owned</t>
  </si>
  <si>
    <t>Investment List</t>
  </si>
  <si>
    <t>S&amp;P 500</t>
  </si>
  <si>
    <t>Current vs. Target</t>
  </si>
  <si>
    <t>FB</t>
  </si>
  <si>
    <t>Facebook</t>
  </si>
  <si>
    <t>GOOGL</t>
  </si>
  <si>
    <t>Alphabet</t>
  </si>
  <si>
    <t>Bond ETF</t>
  </si>
  <si>
    <t>Investment Portfolio: Balance Analysis</t>
  </si>
  <si>
    <t>TRLT</t>
  </si>
  <si>
    <t>NEM</t>
  </si>
  <si>
    <t>Precious Metals ETF</t>
  </si>
  <si>
    <t>Rebalance Exceptions</t>
  </si>
  <si>
    <t>Investment Value</t>
  </si>
  <si>
    <t>Performance Exceptions</t>
  </si>
  <si>
    <t>SFIX</t>
  </si>
  <si>
    <t>CMG</t>
  </si>
  <si>
    <t>Top Performers</t>
  </si>
  <si>
    <t>Benchmark Growth Rate 5 Year</t>
  </si>
  <si>
    <t>Precious Metals</t>
  </si>
  <si>
    <t>Stock ETF</t>
  </si>
  <si>
    <t>Common Stock</t>
  </si>
  <si>
    <t>Global Stock ETF</t>
  </si>
  <si>
    <t>ST Inv Grade</t>
  </si>
  <si>
    <t>High Yield</t>
  </si>
  <si>
    <t>Small Cap</t>
  </si>
  <si>
    <t>LT Treasury</t>
  </si>
  <si>
    <t>IT  Inv Grade</t>
  </si>
  <si>
    <t>IT Treasury</t>
  </si>
  <si>
    <t>ST Index</t>
  </si>
  <si>
    <t>Global Value</t>
  </si>
  <si>
    <t>Gold Mining</t>
  </si>
  <si>
    <t>IGST</t>
  </si>
  <si>
    <t>HYCR</t>
  </si>
  <si>
    <t>IGIT</t>
  </si>
  <si>
    <t>TRIT</t>
  </si>
  <si>
    <t>IXST</t>
  </si>
  <si>
    <t>SDIV</t>
  </si>
  <si>
    <t>MCST</t>
  </si>
  <si>
    <t>SCST</t>
  </si>
  <si>
    <t>SPFH</t>
  </si>
  <si>
    <t>GLEM</t>
  </si>
  <si>
    <t>GLDM</t>
  </si>
  <si>
    <t>GLVL</t>
  </si>
  <si>
    <t>MCTX</t>
  </si>
  <si>
    <t>Big Technology</t>
  </si>
  <si>
    <t>IGLT</t>
  </si>
  <si>
    <t>LT Inv Grade</t>
  </si>
  <si>
    <t>GDMG</t>
  </si>
  <si>
    <t>Bond Market</t>
  </si>
  <si>
    <t>Global</t>
  </si>
  <si>
    <t>Financial Benchmarks Average Growth per Year</t>
  </si>
  <si>
    <t>10 Years</t>
  </si>
  <si>
    <t>5 Years</t>
  </si>
  <si>
    <t>3 Years</t>
  </si>
  <si>
    <t>1 Year</t>
  </si>
  <si>
    <t>Chipotle Mexican Grill</t>
  </si>
  <si>
    <t>Stitch Fix</t>
  </si>
  <si>
    <t>Newmont GoldCorp Mine</t>
  </si>
  <si>
    <t>Benchmark vs Actual Growth Rate</t>
  </si>
  <si>
    <t>Sell Amount</t>
  </si>
  <si>
    <t>Buy Amount</t>
  </si>
  <si>
    <t>Total Gain</t>
  </si>
  <si>
    <t>Average Time Owned</t>
  </si>
  <si>
    <t>Percent of Portfolio</t>
  </si>
  <si>
    <t>Target Percent</t>
  </si>
  <si>
    <t>Diff</t>
  </si>
  <si>
    <t>Totals</t>
  </si>
  <si>
    <t>Count of Top Performers</t>
  </si>
  <si>
    <t>Count of Falling Behind</t>
  </si>
  <si>
    <t>Amount to be Sold</t>
  </si>
  <si>
    <t>Amount to be Purchased</t>
  </si>
  <si>
    <t>Top Performer Analysis</t>
  </si>
  <si>
    <t>Balance Summary by Investment Type</t>
  </si>
  <si>
    <t>Original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</si>
</sst>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_(&quot;$&quot;* #,##0_);_(&quot;$&quot;* \(#,##0\);_(&quot;$&quot;* &quot;-&quot;??_);_(@_)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10" fontId="1" fillId="0" borderId="0" xfId="1" applyNumberFormat="1" applyFont="1"/>
    <xf numFmtId="164" fontId="1" fillId="0" borderId="0" xfId="0" applyNumberFormat="1" applyFont="1"/>
    <xf numFmtId="0" fontId="1" fillId="0" borderId="1" xfId="0" applyFont="1" applyBorder="1"/>
    <xf numFmtId="10" fontId="1" fillId="0" borderId="1" xfId="1" applyNumberFormat="1" applyFont="1" applyBorder="1"/>
    <xf numFmtId="166" fontId="1" fillId="0" borderId="1" xfId="1" applyNumberFormat="1" applyFont="1" applyBorder="1"/>
    <xf numFmtId="0" fontId="1" fillId="0" borderId="6" xfId="0" applyFont="1" applyBorder="1"/>
    <xf numFmtId="167" fontId="1" fillId="0" borderId="7" xfId="0" applyNumberFormat="1" applyFont="1" applyBorder="1"/>
    <xf numFmtId="164" fontId="1" fillId="0" borderId="6" xfId="3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10" fontId="1" fillId="0" borderId="15" xfId="1" applyNumberFormat="1" applyFont="1" applyBorder="1"/>
    <xf numFmtId="167" fontId="1" fillId="0" borderId="16" xfId="0" applyNumberFormat="1" applyFont="1" applyBorder="1"/>
    <xf numFmtId="164" fontId="1" fillId="0" borderId="13" xfId="3" applyFont="1" applyBorder="1"/>
    <xf numFmtId="166" fontId="1" fillId="0" borderId="13" xfId="1" applyNumberFormat="1" applyFont="1" applyBorder="1"/>
    <xf numFmtId="166" fontId="1" fillId="0" borderId="14" xfId="1" applyNumberFormat="1" applyFont="1" applyBorder="1"/>
    <xf numFmtId="0" fontId="1" fillId="0" borderId="16" xfId="0" applyFont="1" applyBorder="1"/>
    <xf numFmtId="10" fontId="1" fillId="0" borderId="14" xfId="1" applyNumberFormat="1" applyFont="1" applyBorder="1"/>
    <xf numFmtId="0" fontId="6" fillId="0" borderId="8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2" xfId="0" applyFont="1" applyFill="1" applyBorder="1" applyAlignment="1">
      <alignment wrapText="1"/>
    </xf>
    <xf numFmtId="166" fontId="1" fillId="0" borderId="9" xfId="1" applyNumberFormat="1" applyFont="1" applyBorder="1"/>
    <xf numFmtId="168" fontId="1" fillId="0" borderId="13" xfId="2" applyNumberFormat="1" applyFont="1" applyBorder="1"/>
    <xf numFmtId="168" fontId="1" fillId="0" borderId="6" xfId="2" applyNumberFormat="1" applyFont="1" applyBorder="1"/>
    <xf numFmtId="0" fontId="3" fillId="7" borderId="1" xfId="0" applyFont="1" applyFill="1" applyBorder="1"/>
    <xf numFmtId="0" fontId="3" fillId="3" borderId="1" xfId="0" applyFont="1" applyFill="1" applyBorder="1"/>
    <xf numFmtId="1" fontId="1" fillId="0" borderId="1" xfId="0" applyNumberFormat="1" applyFont="1" applyBorder="1"/>
    <xf numFmtId="167" fontId="1" fillId="0" borderId="1" xfId="3" applyNumberFormat="1" applyFont="1" applyBorder="1"/>
    <xf numFmtId="0" fontId="3" fillId="0" borderId="14" xfId="0" applyFont="1" applyBorder="1"/>
    <xf numFmtId="1" fontId="1" fillId="0" borderId="9" xfId="0" applyNumberFormat="1" applyFont="1" applyBorder="1"/>
    <xf numFmtId="167" fontId="1" fillId="0" borderId="9" xfId="3" applyNumberFormat="1" applyFont="1" applyBorder="1"/>
    <xf numFmtId="167" fontId="1" fillId="0" borderId="14" xfId="3" applyNumberFormat="1" applyFont="1" applyBorder="1"/>
    <xf numFmtId="167" fontId="1" fillId="0" borderId="16" xfId="3" applyNumberFormat="1" applyFont="1" applyBorder="1"/>
    <xf numFmtId="1" fontId="1" fillId="0" borderId="14" xfId="0" applyNumberFormat="1" applyFont="1" applyBorder="1"/>
    <xf numFmtId="0" fontId="4" fillId="0" borderId="9" xfId="0" applyFont="1" applyBorder="1" applyAlignment="1">
      <alignment wrapText="1"/>
    </xf>
    <xf numFmtId="0" fontId="7" fillId="0" borderId="18" xfId="0" applyFont="1" applyFill="1" applyBorder="1" applyAlignment="1"/>
    <xf numFmtId="0" fontId="1" fillId="0" borderId="0" xfId="0" applyFont="1" applyBorder="1"/>
    <xf numFmtId="1" fontId="3" fillId="0" borderId="14" xfId="0" applyNumberFormat="1" applyFont="1" applyBorder="1"/>
    <xf numFmtId="167" fontId="3" fillId="0" borderId="14" xfId="0" applyNumberFormat="1" applyFont="1" applyBorder="1"/>
    <xf numFmtId="0" fontId="4" fillId="3" borderId="1" xfId="0" applyFont="1" applyFill="1" applyBorder="1"/>
    <xf numFmtId="0" fontId="1" fillId="0" borderId="19" xfId="0" applyFont="1" applyFill="1" applyBorder="1" applyAlignment="1">
      <alignment vertical="center"/>
    </xf>
    <xf numFmtId="14" fontId="1" fillId="0" borderId="0" xfId="0" applyNumberFormat="1" applyFont="1"/>
    <xf numFmtId="168" fontId="1" fillId="0" borderId="0" xfId="2" applyNumberFormat="1" applyFont="1"/>
    <xf numFmtId="0" fontId="1" fillId="0" borderId="17" xfId="0" applyFont="1" applyBorder="1"/>
    <xf numFmtId="167" fontId="1" fillId="0" borderId="13" xfId="3" applyNumberFormat="1" applyFont="1" applyBorder="1"/>
    <xf numFmtId="0" fontId="1" fillId="0" borderId="21" xfId="0" applyFont="1" applyBorder="1"/>
    <xf numFmtId="1" fontId="1" fillId="0" borderId="21" xfId="0" applyNumberFormat="1" applyFont="1" applyBorder="1"/>
    <xf numFmtId="167" fontId="1" fillId="0" borderId="21" xfId="3" applyNumberFormat="1" applyFont="1" applyBorder="1"/>
    <xf numFmtId="9" fontId="3" fillId="0" borderId="14" xfId="1" applyFont="1" applyBorder="1"/>
    <xf numFmtId="166" fontId="1" fillId="0" borderId="1" xfId="0" applyNumberFormat="1" applyFont="1" applyBorder="1"/>
    <xf numFmtId="166" fontId="1" fillId="0" borderId="14" xfId="0" applyNumberFormat="1" applyFont="1" applyBorder="1"/>
    <xf numFmtId="0" fontId="3" fillId="0" borderId="9" xfId="0" applyFont="1" applyBorder="1"/>
    <xf numFmtId="166" fontId="1" fillId="0" borderId="9" xfId="0" applyNumberFormat="1" applyFont="1" applyBorder="1"/>
    <xf numFmtId="168" fontId="9" fillId="0" borderId="19" xfId="2" applyNumberFormat="1" applyFont="1" applyFill="1" applyBorder="1" applyAlignment="1">
      <alignment vertical="center"/>
    </xf>
    <xf numFmtId="167" fontId="9" fillId="0" borderId="19" xfId="0" applyNumberFormat="1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0" fontId="9" fillId="0" borderId="15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10" fontId="1" fillId="0" borderId="16" xfId="1" applyNumberFormat="1" applyFont="1" applyBorder="1"/>
    <xf numFmtId="0" fontId="7" fillId="5" borderId="22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7" borderId="20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66" fontId="10" fillId="0" borderId="24" xfId="0" applyNumberFormat="1" applyFont="1" applyFill="1" applyBorder="1" applyAlignment="1">
      <alignment vertic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120" zoomScaleNormal="120" workbookViewId="0">
      <selection sqref="A1:H1"/>
    </sheetView>
  </sheetViews>
  <sheetFormatPr defaultColWidth="9.140625" defaultRowHeight="15" x14ac:dyDescent="0.2"/>
  <cols>
    <col min="1" max="1" width="28.7109375" style="1" customWidth="1"/>
    <col min="2" max="2" width="14.140625" style="1" customWidth="1"/>
    <col min="3" max="3" width="10.85546875" style="1" customWidth="1"/>
    <col min="4" max="4" width="13.28515625" style="1" customWidth="1"/>
    <col min="5" max="6" width="12.140625" style="1" customWidth="1"/>
    <col min="7" max="7" width="12.85546875" style="1" customWidth="1"/>
    <col min="8" max="16384" width="9.140625" style="1"/>
  </cols>
  <sheetData>
    <row r="1" spans="1:8" ht="27.75" customHeight="1" x14ac:dyDescent="0.2">
      <c r="A1" s="65" t="s">
        <v>112</v>
      </c>
      <c r="B1" s="66"/>
      <c r="C1" s="66"/>
      <c r="D1" s="66"/>
      <c r="E1" s="66"/>
      <c r="F1" s="66"/>
      <c r="G1" s="66"/>
      <c r="H1" s="67"/>
    </row>
    <row r="2" spans="1:8" ht="45.75" thickBot="1" x14ac:dyDescent="0.3">
      <c r="A2" s="4"/>
      <c r="B2" s="38" t="s">
        <v>11</v>
      </c>
      <c r="C2" s="38" t="s">
        <v>38</v>
      </c>
      <c r="D2" s="38" t="s">
        <v>101</v>
      </c>
      <c r="E2" s="38" t="s">
        <v>5</v>
      </c>
      <c r="F2" s="38" t="s">
        <v>103</v>
      </c>
      <c r="G2" s="38" t="s">
        <v>104</v>
      </c>
      <c r="H2" s="55" t="s">
        <v>105</v>
      </c>
    </row>
    <row r="3" spans="1:8" x14ac:dyDescent="0.2">
      <c r="A3" s="12" t="s">
        <v>46</v>
      </c>
      <c r="B3" s="12"/>
      <c r="C3" s="37"/>
      <c r="D3" s="35"/>
      <c r="E3" s="35"/>
      <c r="F3" s="17"/>
      <c r="G3" s="17"/>
      <c r="H3" s="54"/>
    </row>
    <row r="4" spans="1:8" x14ac:dyDescent="0.2">
      <c r="A4" s="4" t="s">
        <v>59</v>
      </c>
      <c r="B4" s="4"/>
      <c r="C4" s="30"/>
      <c r="D4" s="31"/>
      <c r="E4" s="31"/>
      <c r="F4" s="6"/>
      <c r="G4" s="6"/>
      <c r="H4" s="53"/>
    </row>
    <row r="5" spans="1:8" x14ac:dyDescent="0.2">
      <c r="A5" s="4" t="s">
        <v>61</v>
      </c>
      <c r="B5" s="4"/>
      <c r="C5" s="30"/>
      <c r="D5" s="31"/>
      <c r="E5" s="31"/>
      <c r="F5" s="6"/>
      <c r="G5" s="6"/>
      <c r="H5" s="53"/>
    </row>
    <row r="6" spans="1:8" x14ac:dyDescent="0.2">
      <c r="A6" s="4" t="s">
        <v>50</v>
      </c>
      <c r="B6" s="4"/>
      <c r="C6" s="30"/>
      <c r="D6" s="31"/>
      <c r="E6" s="31"/>
      <c r="F6" s="6"/>
      <c r="G6" s="6"/>
      <c r="H6" s="53"/>
    </row>
    <row r="7" spans="1:8" ht="15.75" thickBot="1" x14ac:dyDescent="0.25">
      <c r="A7" s="4" t="s">
        <v>60</v>
      </c>
      <c r="B7" s="10"/>
      <c r="C7" s="33"/>
      <c r="D7" s="34"/>
      <c r="E7" s="34"/>
      <c r="F7" s="25"/>
      <c r="G7" s="25"/>
      <c r="H7" s="56"/>
    </row>
    <row r="8" spans="1:8" ht="21" customHeight="1" x14ac:dyDescent="0.25">
      <c r="A8" s="32" t="s">
        <v>12</v>
      </c>
      <c r="B8" s="32"/>
      <c r="C8" s="41"/>
      <c r="D8" s="42"/>
      <c r="E8" s="42"/>
      <c r="F8" s="52"/>
      <c r="G8" s="52"/>
      <c r="H8" s="47"/>
    </row>
    <row r="11" spans="1:8" ht="15.75" x14ac:dyDescent="0.25">
      <c r="A11" s="68"/>
      <c r="B11" s="68"/>
      <c r="C11" s="68"/>
      <c r="D11" s="68"/>
      <c r="E11" s="68"/>
      <c r="F11" s="68"/>
      <c r="G11" s="68"/>
      <c r="H11" s="68"/>
    </row>
  </sheetData>
  <mergeCells count="2">
    <mergeCell ref="A1:H1"/>
    <mergeCell ref="A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="120" zoomScaleNormal="120" workbookViewId="0">
      <selection sqref="A1:F1"/>
    </sheetView>
  </sheetViews>
  <sheetFormatPr defaultRowHeight="15" x14ac:dyDescent="0.25"/>
  <cols>
    <col min="1" max="1" width="22.140625" customWidth="1"/>
    <col min="2" max="2" width="15.42578125" customWidth="1"/>
    <col min="3" max="3" width="16.28515625" customWidth="1"/>
    <col min="4" max="4" width="14.42578125" customWidth="1"/>
    <col min="5" max="5" width="13.28515625" customWidth="1"/>
    <col min="6" max="6" width="15.28515625" customWidth="1"/>
  </cols>
  <sheetData>
    <row r="1" spans="1:7" ht="30.75" customHeight="1" x14ac:dyDescent="0.25">
      <c r="A1" s="69" t="s">
        <v>111</v>
      </c>
      <c r="B1" s="70"/>
      <c r="C1" s="70"/>
      <c r="D1" s="70"/>
      <c r="E1" s="70"/>
      <c r="F1" s="70"/>
      <c r="G1" s="39"/>
    </row>
    <row r="2" spans="1:7" ht="30.75" thickBot="1" x14ac:dyDescent="0.3">
      <c r="A2" s="4"/>
      <c r="B2" s="38" t="s">
        <v>107</v>
      </c>
      <c r="C2" s="38" t="s">
        <v>108</v>
      </c>
      <c r="D2" s="38" t="s">
        <v>102</v>
      </c>
      <c r="E2" s="38" t="s">
        <v>109</v>
      </c>
      <c r="F2" s="38" t="s">
        <v>110</v>
      </c>
      <c r="G2" s="40"/>
    </row>
    <row r="3" spans="1:7" ht="15.75" x14ac:dyDescent="0.25">
      <c r="A3" s="11" t="s">
        <v>46</v>
      </c>
      <c r="B3" s="12"/>
      <c r="C3" s="12"/>
      <c r="D3" s="37"/>
      <c r="E3" s="35"/>
      <c r="F3" s="35"/>
      <c r="G3" s="40"/>
    </row>
    <row r="4" spans="1:7" ht="15.75" x14ac:dyDescent="0.25">
      <c r="A4" s="7" t="s">
        <v>59</v>
      </c>
      <c r="B4" s="4"/>
      <c r="C4" s="4"/>
      <c r="D4" s="30"/>
      <c r="E4" s="31"/>
      <c r="F4" s="31"/>
      <c r="G4" s="40"/>
    </row>
    <row r="5" spans="1:7" ht="15.75" x14ac:dyDescent="0.25">
      <c r="A5" s="7" t="s">
        <v>61</v>
      </c>
      <c r="B5" s="4"/>
      <c r="C5" s="4"/>
      <c r="D5" s="30"/>
      <c r="E5" s="31"/>
      <c r="F5" s="31"/>
      <c r="G5" s="40"/>
    </row>
    <row r="6" spans="1:7" ht="15.75" x14ac:dyDescent="0.25">
      <c r="A6" s="7" t="s">
        <v>50</v>
      </c>
      <c r="B6" s="49"/>
      <c r="C6" s="49"/>
      <c r="D6" s="50"/>
      <c r="E6" s="51"/>
      <c r="F6" s="51"/>
      <c r="G6" s="40"/>
    </row>
    <row r="7" spans="1:7" ht="16.5" thickBot="1" x14ac:dyDescent="0.3">
      <c r="A7" s="7" t="s">
        <v>60</v>
      </c>
      <c r="B7" s="10"/>
      <c r="C7" s="10"/>
      <c r="D7" s="33"/>
      <c r="E7" s="34"/>
      <c r="F7" s="34"/>
      <c r="G7" s="40"/>
    </row>
    <row r="8" spans="1:7" ht="15.75" x14ac:dyDescent="0.25">
      <c r="A8" s="32" t="s">
        <v>12</v>
      </c>
      <c r="B8" s="32"/>
      <c r="C8" s="32"/>
      <c r="D8" s="41"/>
      <c r="E8" s="42"/>
      <c r="F8" s="42"/>
      <c r="G8" s="40"/>
    </row>
    <row r="11" spans="1:7" ht="15.75" x14ac:dyDescent="0.25">
      <c r="A11" s="68"/>
      <c r="B11" s="68"/>
      <c r="C11" s="68"/>
      <c r="D11" s="68"/>
      <c r="E11" s="68"/>
      <c r="F11" s="68"/>
    </row>
  </sheetData>
  <mergeCells count="2">
    <mergeCell ref="A1:F1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"/>
  <sheetViews>
    <sheetView tabSelected="1" zoomScale="130" zoomScaleNormal="130"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L5" sqref="L5"/>
    </sheetView>
  </sheetViews>
  <sheetFormatPr defaultColWidth="9.140625" defaultRowHeight="15" x14ac:dyDescent="0.2"/>
  <cols>
    <col min="1" max="1" width="18.28515625" style="1" customWidth="1"/>
    <col min="2" max="2" width="23" style="1" customWidth="1"/>
    <col min="3" max="3" width="9.85546875" style="1" customWidth="1"/>
    <col min="4" max="4" width="26.42578125" style="1" customWidth="1"/>
    <col min="5" max="5" width="10" style="1" customWidth="1"/>
    <col min="6" max="6" width="10.7109375" style="1" customWidth="1"/>
    <col min="7" max="7" width="12.7109375" style="1" customWidth="1"/>
    <col min="8" max="8" width="13" style="1" customWidth="1"/>
    <col min="9" max="9" width="14.85546875" style="1" customWidth="1"/>
    <col min="10" max="10" width="13.7109375" style="1" customWidth="1"/>
    <col min="11" max="11" width="11.42578125" style="1" customWidth="1"/>
    <col min="12" max="12" width="11.85546875" style="1" customWidth="1"/>
    <col min="13" max="13" width="11.28515625" style="1" customWidth="1"/>
    <col min="14" max="14" width="12.5703125" style="1" customWidth="1"/>
    <col min="15" max="15" width="8.85546875" style="1" customWidth="1"/>
    <col min="16" max="16" width="12.5703125" style="1" customWidth="1"/>
    <col min="17" max="17" width="11.28515625" style="1" customWidth="1"/>
    <col min="18" max="18" width="13.5703125" style="1" customWidth="1"/>
    <col min="19" max="19" width="12.85546875" style="1" customWidth="1"/>
    <col min="20" max="20" width="13.5703125" style="1" customWidth="1"/>
    <col min="21" max="21" width="11.28515625" style="1" customWidth="1"/>
    <col min="22" max="22" width="13.7109375" style="1" customWidth="1"/>
    <col min="23" max="23" width="13.140625" style="1" customWidth="1"/>
    <col min="24" max="24" width="14.85546875" style="1" customWidth="1"/>
    <col min="25" max="16384" width="9.140625" style="1"/>
  </cols>
  <sheetData>
    <row r="1" spans="1:24" ht="24.75" customHeight="1" thickBot="1" x14ac:dyDescent="0.25">
      <c r="A1" s="82" t="s">
        <v>47</v>
      </c>
      <c r="B1" s="82"/>
      <c r="C1" s="82"/>
      <c r="D1" s="82"/>
      <c r="E1" s="60"/>
      <c r="F1" s="63" t="str">
        <f>IF(ISBLANK(A35),"","Data exceeds function capacity")</f>
        <v/>
      </c>
      <c r="G1" s="63"/>
      <c r="H1" s="63"/>
      <c r="I1" s="63"/>
      <c r="J1" s="59"/>
      <c r="K1" s="59"/>
      <c r="L1" s="1" t="str">
        <f>IF(L2&lt;&gt;1,"Target Percent Does not Equal 100%","")</f>
        <v/>
      </c>
      <c r="M1" s="63"/>
      <c r="N1" s="63"/>
      <c r="O1" s="63"/>
      <c r="P1" s="59"/>
      <c r="Q1" s="59"/>
      <c r="R1" s="59"/>
      <c r="S1" s="59"/>
      <c r="T1" s="59"/>
      <c r="U1" s="59"/>
      <c r="V1" s="59"/>
      <c r="W1" s="59"/>
      <c r="X1" s="59"/>
    </row>
    <row r="2" spans="1:24" ht="20.25" customHeight="1" x14ac:dyDescent="0.2">
      <c r="A2" s="61"/>
      <c r="B2" s="62"/>
      <c r="C2" s="62"/>
      <c r="D2" s="62"/>
      <c r="E2" s="62" t="s">
        <v>106</v>
      </c>
      <c r="F2" s="57">
        <f>SUM(F5:F34)</f>
        <v>4625</v>
      </c>
      <c r="G2" s="58">
        <f>SUM(G5:G34)</f>
        <v>357501</v>
      </c>
      <c r="H2" s="44"/>
      <c r="I2" s="44"/>
      <c r="J2" s="58">
        <f>SUM(J5:J34)</f>
        <v>493800.05954166665</v>
      </c>
      <c r="K2" s="44"/>
      <c r="L2" s="86">
        <f>SUM(L5:L19)</f>
        <v>1.0000000000000004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spans="1:24" ht="21" customHeight="1" x14ac:dyDescent="0.2">
      <c r="A3" s="71" t="s">
        <v>37</v>
      </c>
      <c r="B3" s="71"/>
      <c r="C3" s="71"/>
      <c r="D3" s="71"/>
      <c r="E3" s="72"/>
      <c r="F3" s="79" t="s">
        <v>52</v>
      </c>
      <c r="G3" s="80"/>
      <c r="H3" s="80"/>
      <c r="I3" s="80"/>
      <c r="J3" s="81"/>
      <c r="K3" s="73" t="s">
        <v>51</v>
      </c>
      <c r="L3" s="74"/>
      <c r="M3" s="74"/>
      <c r="N3" s="74"/>
      <c r="O3" s="74"/>
      <c r="P3" s="75"/>
      <c r="Q3" s="76" t="s">
        <v>53</v>
      </c>
      <c r="R3" s="77"/>
      <c r="S3" s="77"/>
      <c r="T3" s="77"/>
      <c r="U3" s="77"/>
      <c r="V3" s="77"/>
      <c r="W3" s="77"/>
      <c r="X3" s="78"/>
    </row>
    <row r="4" spans="1:24" ht="39" thickBot="1" x14ac:dyDescent="0.25">
      <c r="A4" s="24" t="s">
        <v>31</v>
      </c>
      <c r="B4" s="24" t="s">
        <v>0</v>
      </c>
      <c r="C4" s="21" t="s">
        <v>1</v>
      </c>
      <c r="D4" s="21" t="s">
        <v>2</v>
      </c>
      <c r="E4" s="22" t="s">
        <v>30</v>
      </c>
      <c r="F4" s="20" t="s">
        <v>3</v>
      </c>
      <c r="G4" s="23" t="s">
        <v>113</v>
      </c>
      <c r="H4" s="20" t="s">
        <v>4</v>
      </c>
      <c r="I4" s="21" t="s">
        <v>32</v>
      </c>
      <c r="J4" s="23" t="s">
        <v>34</v>
      </c>
      <c r="K4" s="20" t="s">
        <v>7</v>
      </c>
      <c r="L4" s="21" t="s">
        <v>8</v>
      </c>
      <c r="M4" s="21" t="s">
        <v>41</v>
      </c>
      <c r="N4" s="21" t="s">
        <v>9</v>
      </c>
      <c r="O4" s="21" t="s">
        <v>33</v>
      </c>
      <c r="P4" s="23" t="s">
        <v>10</v>
      </c>
      <c r="Q4" s="20" t="s">
        <v>6</v>
      </c>
      <c r="R4" s="21" t="s">
        <v>35</v>
      </c>
      <c r="S4" s="21" t="s">
        <v>100</v>
      </c>
      <c r="T4" s="21" t="s">
        <v>99</v>
      </c>
      <c r="U4" s="21" t="s">
        <v>56</v>
      </c>
      <c r="V4" s="21" t="s">
        <v>57</v>
      </c>
      <c r="W4" s="21" t="s">
        <v>36</v>
      </c>
      <c r="X4" s="23" t="s">
        <v>98</v>
      </c>
    </row>
    <row r="5" spans="1:24" x14ac:dyDescent="0.2">
      <c r="A5" s="11" t="str">
        <f>VLOOKUP(C5,'Investment List'!$A$3:$D$50,4,FALSE)</f>
        <v>Bond Market</v>
      </c>
      <c r="B5" s="47" t="str">
        <f>VLOOKUP(C5,'Investment List'!$A$3:$C$50,3,FALSE)</f>
        <v>Bond ETF</v>
      </c>
      <c r="C5" s="4" t="s">
        <v>48</v>
      </c>
      <c r="D5" s="47" t="str">
        <f>VLOOKUP(C5,'Investment List'!$A$3:$C$50,2,FALSE)</f>
        <v>LT Treasury</v>
      </c>
      <c r="E5" s="13">
        <v>2.58E-2</v>
      </c>
      <c r="F5" s="26">
        <v>375</v>
      </c>
      <c r="G5" s="14">
        <v>45311</v>
      </c>
      <c r="H5" s="15">
        <v>127.24</v>
      </c>
      <c r="I5" s="35">
        <f>IF(E5&gt;0,(((E5*H5)/12)*F5)*O5,0)</f>
        <v>4924.1880000000001</v>
      </c>
      <c r="J5" s="36">
        <f>(H5*F5)+I5</f>
        <v>52639.188000000002</v>
      </c>
      <c r="K5" s="16">
        <f>J5/$J$2</f>
        <v>0.10660020585833552</v>
      </c>
      <c r="L5" s="17">
        <v>0.08</v>
      </c>
      <c r="M5" s="17">
        <f t="shared" ref="M5:M19" si="0">K5-L5</f>
        <v>2.6600205858335516E-2</v>
      </c>
      <c r="N5" s="12" t="str">
        <f>IF(M5&gt;1%,"Rebalance",IF(M5&lt;=-1%,"Rebalance","OK"))</f>
        <v>Rebalance</v>
      </c>
      <c r="O5" s="12">
        <v>48</v>
      </c>
      <c r="P5" s="18" t="str">
        <f>IF(O5&gt;=12,"Long","Short")</f>
        <v>Long</v>
      </c>
      <c r="Q5" s="48">
        <f>J5-G5</f>
        <v>7328.1880000000019</v>
      </c>
      <c r="R5" s="19">
        <f>Q5/G5</f>
        <v>0.16173088212575318</v>
      </c>
      <c r="S5" s="35">
        <f>IF(AND(M5&lt;-1%,Q5&gt;=0),(L5*$J$2)-J5,0)</f>
        <v>0</v>
      </c>
      <c r="T5" s="35">
        <f>IF(AND(M5&gt;1%,O5&gt;12,Q5&gt;0),J5-($J$2*L5),0)</f>
        <v>13135.183236666671</v>
      </c>
      <c r="U5" s="19" t="str">
        <f>IF(OR(R5&gt;20%,Q5&gt;2000),"TOP","")</f>
        <v>TOP</v>
      </c>
      <c r="V5" s="19">
        <f>HLOOKUP(A5,Benchmarks!$B$2:$E$6,4,FALSE)</f>
        <v>2.7900000000000001E-2</v>
      </c>
      <c r="W5" s="19">
        <f>R5/(O5/12)</f>
        <v>4.0432720531438295E-2</v>
      </c>
      <c r="X5" s="64">
        <f>W5-V5</f>
        <v>1.2532720531438293E-2</v>
      </c>
    </row>
    <row r="6" spans="1:24" x14ac:dyDescent="0.2">
      <c r="A6" s="11" t="str">
        <f>VLOOKUP(C6,'Investment List'!$A$3:$D$50,4,FALSE)</f>
        <v>Bond Market</v>
      </c>
      <c r="B6" s="47" t="str">
        <f>VLOOKUP(C6,'Investment List'!$A$3:$C$50,3,FALSE)</f>
        <v>Bond ETF</v>
      </c>
      <c r="C6" s="4" t="s">
        <v>71</v>
      </c>
      <c r="D6" s="47" t="str">
        <f>VLOOKUP(C6,'Investment List'!$A$3:$C$50,2,FALSE)</f>
        <v>ST Inv Grade</v>
      </c>
      <c r="E6" s="13">
        <v>2.18E-2</v>
      </c>
      <c r="F6" s="27">
        <v>750</v>
      </c>
      <c r="G6" s="8">
        <v>64125</v>
      </c>
      <c r="H6" s="9">
        <v>80.58</v>
      </c>
      <c r="I6" s="35">
        <f t="shared" ref="I6:I19" si="1">IF(E6&gt;0,(((E6*H6)/12)*F6)*O6,0)</f>
        <v>4062.2392499999996</v>
      </c>
      <c r="J6" s="36">
        <f t="shared" ref="J6:J19" si="2">(H6*F6)+I6</f>
        <v>64497.239249999999</v>
      </c>
      <c r="K6" s="16">
        <f t="shared" ref="K6:K19" si="3">J6/$J$2</f>
        <v>0.13061407750712867</v>
      </c>
      <c r="L6" s="6">
        <v>0.13</v>
      </c>
      <c r="M6" s="17">
        <f t="shared" si="0"/>
        <v>6.1407750712866305E-4</v>
      </c>
      <c r="N6" s="12" t="str">
        <f t="shared" ref="N6:N19" si="4">IF(M6&gt;1%,"Rebalance",IF(M6&lt;=-1%,"Rebalance","OK"))</f>
        <v>OK</v>
      </c>
      <c r="O6" s="4">
        <v>37</v>
      </c>
      <c r="P6" s="18" t="str">
        <f t="shared" ref="P6:P19" si="5">IF(O6&gt;=12,"Long","Short")</f>
        <v>Long</v>
      </c>
      <c r="Q6" s="48">
        <f t="shared" ref="Q6:Q19" si="6">J6-G6</f>
        <v>372.23924999999872</v>
      </c>
      <c r="R6" s="19">
        <f t="shared" ref="R6:R19" si="7">Q6/G6</f>
        <v>5.8049005847953016E-3</v>
      </c>
      <c r="S6" s="35">
        <f t="shared" ref="S6:S19" si="8">IF(AND(M6&lt;-1%,Q6&gt;=0),(L6*$J$2)-J6,0)</f>
        <v>0</v>
      </c>
      <c r="T6" s="35">
        <f t="shared" ref="T6:T19" si="9">IF(AND(M6&gt;1%,O6&gt;12,Q6&gt;0),J6-($J$2*L6),0)</f>
        <v>0</v>
      </c>
      <c r="U6" s="19" t="str">
        <f t="shared" ref="U6:U19" si="10">IF(OR(R6&gt;20%,Q6&gt;2000),"TOP","")</f>
        <v/>
      </c>
      <c r="V6" s="19">
        <f>HLOOKUP(A6,Benchmarks!$B$2:$E$6,4,FALSE)</f>
        <v>2.7900000000000001E-2</v>
      </c>
      <c r="W6" s="19">
        <f t="shared" ref="W6:W19" si="11">R6/(O6/12)</f>
        <v>1.8826704599336113E-3</v>
      </c>
      <c r="X6" s="64">
        <f t="shared" ref="X6:X19" si="12">W6-V6</f>
        <v>-2.601732954006639E-2</v>
      </c>
    </row>
    <row r="7" spans="1:24" x14ac:dyDescent="0.2">
      <c r="A7" s="11" t="str">
        <f>VLOOKUP(C7,'Investment List'!$A$3:$D$50,4,FALSE)</f>
        <v>Bond Market</v>
      </c>
      <c r="B7" s="47" t="str">
        <f>VLOOKUP(C7,'Investment List'!$A$3:$C$50,3,FALSE)</f>
        <v>Bond ETF</v>
      </c>
      <c r="C7" s="4" t="s">
        <v>85</v>
      </c>
      <c r="D7" s="47" t="str">
        <f>VLOOKUP(C7,'Investment List'!$A$3:$C$50,2,FALSE)</f>
        <v>LT Inv Grade</v>
      </c>
      <c r="E7" s="13">
        <v>3.4599999999999999E-2</v>
      </c>
      <c r="F7" s="27">
        <v>500</v>
      </c>
      <c r="G7" s="8">
        <v>43340</v>
      </c>
      <c r="H7" s="9">
        <v>96.75</v>
      </c>
      <c r="I7" s="35">
        <f t="shared" si="1"/>
        <v>6695.0999999999995</v>
      </c>
      <c r="J7" s="36">
        <f t="shared" si="2"/>
        <v>55070.1</v>
      </c>
      <c r="K7" s="16">
        <f t="shared" si="3"/>
        <v>0.11152307282245924</v>
      </c>
      <c r="L7" s="6">
        <v>0.1</v>
      </c>
      <c r="M7" s="17">
        <f t="shared" si="0"/>
        <v>1.1523072822459235E-2</v>
      </c>
      <c r="N7" s="12" t="str">
        <f t="shared" si="4"/>
        <v>Rebalance</v>
      </c>
      <c r="O7" s="4">
        <v>48</v>
      </c>
      <c r="P7" s="18" t="str">
        <f t="shared" si="5"/>
        <v>Long</v>
      </c>
      <c r="Q7" s="48">
        <f t="shared" si="6"/>
        <v>11730.099999999999</v>
      </c>
      <c r="R7" s="19">
        <f t="shared" si="7"/>
        <v>0.27065297646515918</v>
      </c>
      <c r="S7" s="35">
        <f t="shared" si="8"/>
        <v>0</v>
      </c>
      <c r="T7" s="35">
        <f t="shared" si="9"/>
        <v>5690.094045833328</v>
      </c>
      <c r="U7" s="19" t="str">
        <f t="shared" si="10"/>
        <v>TOP</v>
      </c>
      <c r="V7" s="19">
        <f>HLOOKUP(A7,Benchmarks!$B$2:$E$6,4,FALSE)</f>
        <v>2.7900000000000001E-2</v>
      </c>
      <c r="W7" s="19">
        <f t="shared" si="11"/>
        <v>6.7663244116289795E-2</v>
      </c>
      <c r="X7" s="64">
        <f t="shared" si="12"/>
        <v>3.9763244116289793E-2</v>
      </c>
    </row>
    <row r="8" spans="1:24" x14ac:dyDescent="0.2">
      <c r="A8" s="11" t="str">
        <f>VLOOKUP(C8,'Investment List'!$A$3:$D$50,4,FALSE)</f>
        <v>Precious Metals</v>
      </c>
      <c r="B8" s="47" t="str">
        <f>VLOOKUP(C8,'Investment List'!$A$3:$C$50,3,FALSE)</f>
        <v>Precious Metals ETF</v>
      </c>
      <c r="C8" s="4" t="s">
        <v>87</v>
      </c>
      <c r="D8" s="47" t="str">
        <f>VLOOKUP(C8,'Investment List'!$A$3:$C$50,2,FALSE)</f>
        <v>Gold Mining</v>
      </c>
      <c r="E8" s="13">
        <v>0</v>
      </c>
      <c r="F8" s="27">
        <v>500</v>
      </c>
      <c r="G8" s="8">
        <v>11500</v>
      </c>
      <c r="H8" s="9">
        <v>32.67</v>
      </c>
      <c r="I8" s="35">
        <f t="shared" si="1"/>
        <v>0</v>
      </c>
      <c r="J8" s="36">
        <f t="shared" si="2"/>
        <v>16335</v>
      </c>
      <c r="K8" s="16">
        <f t="shared" si="3"/>
        <v>3.3080190421932623E-2</v>
      </c>
      <c r="L8" s="6">
        <v>0.1</v>
      </c>
      <c r="M8" s="17">
        <f t="shared" si="0"/>
        <v>-6.6919809578067382E-2</v>
      </c>
      <c r="N8" s="12" t="str">
        <f t="shared" si="4"/>
        <v>Rebalance</v>
      </c>
      <c r="O8" s="4">
        <v>10</v>
      </c>
      <c r="P8" s="18" t="str">
        <f t="shared" si="5"/>
        <v>Short</v>
      </c>
      <c r="Q8" s="48">
        <f t="shared" si="6"/>
        <v>4835</v>
      </c>
      <c r="R8" s="19">
        <f t="shared" si="7"/>
        <v>0.42043478260869566</v>
      </c>
      <c r="S8" s="35">
        <f t="shared" si="8"/>
        <v>33045.005954166671</v>
      </c>
      <c r="T8" s="35">
        <f t="shared" si="9"/>
        <v>0</v>
      </c>
      <c r="U8" s="19" t="str">
        <f t="shared" si="10"/>
        <v>TOP</v>
      </c>
      <c r="V8" s="19">
        <f>HLOOKUP(A8,Benchmarks!$B$2:$E$6,4,FALSE)</f>
        <v>2.9000000000000001E-2</v>
      </c>
      <c r="W8" s="19">
        <f t="shared" si="11"/>
        <v>0.50452173913043474</v>
      </c>
      <c r="X8" s="64">
        <f t="shared" si="12"/>
        <v>0.47552173913043472</v>
      </c>
    </row>
    <row r="9" spans="1:24" x14ac:dyDescent="0.2">
      <c r="A9" s="11" t="str">
        <f>VLOOKUP(C9,'Investment List'!$A$3:$D$50,4,FALSE)</f>
        <v>Global</v>
      </c>
      <c r="B9" s="47" t="str">
        <f>VLOOKUP(C9,'Investment List'!$A$3:$C$50,3,FALSE)</f>
        <v>Global Stock ETF</v>
      </c>
      <c r="C9" s="4" t="s">
        <v>82</v>
      </c>
      <c r="D9" s="47" t="str">
        <f>VLOOKUP(C9,'Investment List'!$A$3:$C$50,2,FALSE)</f>
        <v>Global Value</v>
      </c>
      <c r="E9" s="13">
        <v>0</v>
      </c>
      <c r="F9" s="27">
        <v>500</v>
      </c>
      <c r="G9" s="8">
        <v>22200</v>
      </c>
      <c r="H9" s="9">
        <v>56.78</v>
      </c>
      <c r="I9" s="35">
        <f t="shared" si="1"/>
        <v>0</v>
      </c>
      <c r="J9" s="36">
        <f t="shared" si="2"/>
        <v>28390</v>
      </c>
      <c r="K9" s="16">
        <f t="shared" si="3"/>
        <v>5.7492905177757403E-2</v>
      </c>
      <c r="L9" s="6">
        <v>7.0000000000000007E-2</v>
      </c>
      <c r="M9" s="17">
        <f t="shared" si="0"/>
        <v>-1.2507094822242604E-2</v>
      </c>
      <c r="N9" s="12" t="str">
        <f t="shared" si="4"/>
        <v>Rebalance</v>
      </c>
      <c r="O9" s="4">
        <v>42</v>
      </c>
      <c r="P9" s="18" t="str">
        <f t="shared" si="5"/>
        <v>Long</v>
      </c>
      <c r="Q9" s="48">
        <f t="shared" si="6"/>
        <v>6190</v>
      </c>
      <c r="R9" s="19">
        <f t="shared" si="7"/>
        <v>0.27882882882882881</v>
      </c>
      <c r="S9" s="35">
        <f t="shared" si="8"/>
        <v>6176.0041679166679</v>
      </c>
      <c r="T9" s="35">
        <f t="shared" si="9"/>
        <v>0</v>
      </c>
      <c r="U9" s="19" t="str">
        <f t="shared" si="10"/>
        <v>TOP</v>
      </c>
      <c r="V9" s="19">
        <f>HLOOKUP(A9,Benchmarks!$B$2:$E$6,4,FALSE)</f>
        <v>5.3999999999999999E-2</v>
      </c>
      <c r="W9" s="19">
        <f t="shared" si="11"/>
        <v>7.9665379665379663E-2</v>
      </c>
      <c r="X9" s="64">
        <f t="shared" si="12"/>
        <v>2.5665379665379663E-2</v>
      </c>
    </row>
    <row r="10" spans="1:24" x14ac:dyDescent="0.2">
      <c r="A10" s="11" t="str">
        <f>VLOOKUP(C10,'Investment List'!$A$3:$D$50,4,FALSE)</f>
        <v>S&amp;P 500</v>
      </c>
      <c r="B10" s="47" t="str">
        <f>VLOOKUP(C10,'Investment List'!$A$3:$C$50,3,FALSE)</f>
        <v>Stock ETF</v>
      </c>
      <c r="C10" s="4" t="s">
        <v>83</v>
      </c>
      <c r="D10" s="47" t="str">
        <f>VLOOKUP(C10,'Investment List'!$A$3:$C$50,2,FALSE)</f>
        <v>Big Technology</v>
      </c>
      <c r="E10" s="13">
        <v>1.34E-2</v>
      </c>
      <c r="F10" s="27">
        <v>500</v>
      </c>
      <c r="G10" s="8">
        <v>56000</v>
      </c>
      <c r="H10" s="9">
        <v>129.41</v>
      </c>
      <c r="I10" s="35">
        <f t="shared" si="1"/>
        <v>1589.5861666666667</v>
      </c>
      <c r="J10" s="36">
        <f t="shared" si="2"/>
        <v>66294.586166666661</v>
      </c>
      <c r="K10" s="16">
        <f t="shared" si="3"/>
        <v>0.13425390476501706</v>
      </c>
      <c r="L10" s="6">
        <v>0.05</v>
      </c>
      <c r="M10" s="17">
        <f t="shared" si="0"/>
        <v>8.4253904765017054E-2</v>
      </c>
      <c r="N10" s="12" t="str">
        <f t="shared" si="4"/>
        <v>Rebalance</v>
      </c>
      <c r="O10" s="4">
        <v>22</v>
      </c>
      <c r="P10" s="18" t="str">
        <f t="shared" si="5"/>
        <v>Long</v>
      </c>
      <c r="Q10" s="48">
        <f t="shared" si="6"/>
        <v>10294.586166666661</v>
      </c>
      <c r="R10" s="19">
        <f t="shared" si="7"/>
        <v>0.18383189583333323</v>
      </c>
      <c r="S10" s="35">
        <f t="shared" si="8"/>
        <v>0</v>
      </c>
      <c r="T10" s="35">
        <f t="shared" si="9"/>
        <v>41604.583189583325</v>
      </c>
      <c r="U10" s="19" t="str">
        <f t="shared" si="10"/>
        <v>TOP</v>
      </c>
      <c r="V10" s="19">
        <f>HLOOKUP(A10,Benchmarks!$B$2:$E$6,4,FALSE)</f>
        <v>0.12</v>
      </c>
      <c r="W10" s="19">
        <f t="shared" si="11"/>
        <v>0.10027194318181813</v>
      </c>
      <c r="X10" s="64">
        <f t="shared" si="12"/>
        <v>-1.9728056818181863E-2</v>
      </c>
    </row>
    <row r="11" spans="1:24" x14ac:dyDescent="0.2">
      <c r="A11" s="11" t="str">
        <f>VLOOKUP(C11,'Investment List'!$A$3:$D$50,4,FALSE)</f>
        <v>Precious Metals</v>
      </c>
      <c r="B11" s="47" t="str">
        <f>VLOOKUP(C11,'Investment List'!$A$3:$C$50,3,FALSE)</f>
        <v>Common Stock</v>
      </c>
      <c r="C11" s="4" t="s">
        <v>49</v>
      </c>
      <c r="D11" s="47" t="str">
        <f>VLOOKUP(C11,'Investment List'!$A$3:$C$50,2,FALSE)</f>
        <v>Newmont GoldCorp Mine</v>
      </c>
      <c r="E11" s="13">
        <v>1.4999999999999999E-2</v>
      </c>
      <c r="F11" s="27">
        <v>250</v>
      </c>
      <c r="G11" s="8">
        <v>9075</v>
      </c>
      <c r="H11" s="9">
        <v>38.29</v>
      </c>
      <c r="I11" s="35">
        <f t="shared" si="1"/>
        <v>394.86562499999997</v>
      </c>
      <c r="J11" s="36">
        <f t="shared" si="2"/>
        <v>9967.3656250000004</v>
      </c>
      <c r="K11" s="16">
        <f t="shared" si="3"/>
        <v>2.018502313315124E-2</v>
      </c>
      <c r="L11" s="6">
        <v>0.05</v>
      </c>
      <c r="M11" s="17">
        <f t="shared" si="0"/>
        <v>-2.9814976866848763E-2</v>
      </c>
      <c r="N11" s="12" t="str">
        <f t="shared" si="4"/>
        <v>Rebalance</v>
      </c>
      <c r="O11" s="4">
        <v>33</v>
      </c>
      <c r="P11" s="18" t="str">
        <f t="shared" si="5"/>
        <v>Long</v>
      </c>
      <c r="Q11" s="48">
        <f t="shared" si="6"/>
        <v>892.36562500000036</v>
      </c>
      <c r="R11" s="19">
        <f t="shared" si="7"/>
        <v>9.8332300275482135E-2</v>
      </c>
      <c r="S11" s="35">
        <f t="shared" si="8"/>
        <v>14722.637352083335</v>
      </c>
      <c r="T11" s="35">
        <f t="shared" si="9"/>
        <v>0</v>
      </c>
      <c r="U11" s="19" t="str">
        <f t="shared" si="10"/>
        <v/>
      </c>
      <c r="V11" s="19">
        <f>HLOOKUP(A11,Benchmarks!$B$2:$E$6,4,FALSE)</f>
        <v>2.9000000000000001E-2</v>
      </c>
      <c r="W11" s="19">
        <f t="shared" si="11"/>
        <v>3.5757200100175322E-2</v>
      </c>
      <c r="X11" s="64">
        <f t="shared" si="12"/>
        <v>6.7572001001753208E-3</v>
      </c>
    </row>
    <row r="12" spans="1:24" x14ac:dyDescent="0.2">
      <c r="A12" s="11" t="str">
        <f>VLOOKUP(C12,'Investment List'!$A$3:$D$50,4,FALSE)</f>
        <v>S&amp;P 500</v>
      </c>
      <c r="B12" s="47" t="str">
        <f>VLOOKUP(C12,'Investment List'!$A$3:$C$50,3,FALSE)</f>
        <v>Stock ETF</v>
      </c>
      <c r="C12" s="4" t="s">
        <v>78</v>
      </c>
      <c r="D12" s="47" t="str">
        <f>VLOOKUP(C12,'Investment List'!$A$3:$C$50,2,FALSE)</f>
        <v>Small Cap</v>
      </c>
      <c r="E12" s="13">
        <v>1.6500000000000001E-2</v>
      </c>
      <c r="F12" s="27">
        <v>250</v>
      </c>
      <c r="G12" s="8">
        <v>31000</v>
      </c>
      <c r="H12" s="9">
        <v>153.79</v>
      </c>
      <c r="I12" s="35">
        <f t="shared" si="1"/>
        <v>2431.8043750000002</v>
      </c>
      <c r="J12" s="36">
        <f t="shared" si="2"/>
        <v>40879.304375</v>
      </c>
      <c r="K12" s="16">
        <f t="shared" si="3"/>
        <v>8.2785134560216925E-2</v>
      </c>
      <c r="L12" s="6">
        <v>0.05</v>
      </c>
      <c r="M12" s="17">
        <f t="shared" si="0"/>
        <v>3.2785134560216922E-2</v>
      </c>
      <c r="N12" s="12" t="str">
        <f t="shared" si="4"/>
        <v>Rebalance</v>
      </c>
      <c r="O12" s="4">
        <v>46</v>
      </c>
      <c r="P12" s="18" t="str">
        <f t="shared" si="5"/>
        <v>Long</v>
      </c>
      <c r="Q12" s="48">
        <f t="shared" si="6"/>
        <v>9879.3043749999997</v>
      </c>
      <c r="R12" s="19">
        <f t="shared" si="7"/>
        <v>0.31868723790322578</v>
      </c>
      <c r="S12" s="35">
        <f t="shared" si="8"/>
        <v>0</v>
      </c>
      <c r="T12" s="35">
        <f t="shared" si="9"/>
        <v>16189.301397916664</v>
      </c>
      <c r="U12" s="19" t="str">
        <f t="shared" si="10"/>
        <v>TOP</v>
      </c>
      <c r="V12" s="19">
        <f>HLOOKUP(A12,Benchmarks!$B$2:$E$6,4,FALSE)</f>
        <v>0.12</v>
      </c>
      <c r="W12" s="19">
        <f t="shared" si="11"/>
        <v>8.313580119214585E-2</v>
      </c>
      <c r="X12" s="64">
        <f t="shared" si="12"/>
        <v>-3.6864198807854145E-2</v>
      </c>
    </row>
    <row r="13" spans="1:24" x14ac:dyDescent="0.2">
      <c r="A13" s="11" t="str">
        <f>VLOOKUP(C13,'Investment List'!$A$3:$D$50,4,FALSE)</f>
        <v>Global</v>
      </c>
      <c r="B13" s="47" t="str">
        <f>VLOOKUP(C13,'Investment List'!$A$3:$C$50,3,FALSE)</f>
        <v>Global Stock ETF</v>
      </c>
      <c r="C13" s="4" t="s">
        <v>80</v>
      </c>
      <c r="D13" s="47" t="str">
        <f>VLOOKUP(C13,'Investment List'!$A$3:$C$50,2,FALSE)</f>
        <v>Emerging Markets</v>
      </c>
      <c r="E13" s="13">
        <v>0</v>
      </c>
      <c r="F13" s="27">
        <v>250</v>
      </c>
      <c r="G13" s="8">
        <v>10000</v>
      </c>
      <c r="H13" s="9">
        <v>41.9</v>
      </c>
      <c r="I13" s="35">
        <f t="shared" si="1"/>
        <v>0</v>
      </c>
      <c r="J13" s="36">
        <f t="shared" si="2"/>
        <v>10475</v>
      </c>
      <c r="K13" s="16">
        <f t="shared" si="3"/>
        <v>2.1213039159457867E-2</v>
      </c>
      <c r="L13" s="6">
        <v>7.0000000000000007E-2</v>
      </c>
      <c r="M13" s="17">
        <f t="shared" si="0"/>
        <v>-4.878696084054214E-2</v>
      </c>
      <c r="N13" s="12" t="str">
        <f t="shared" si="4"/>
        <v>Rebalance</v>
      </c>
      <c r="O13" s="4">
        <v>29</v>
      </c>
      <c r="P13" s="18" t="str">
        <f t="shared" si="5"/>
        <v>Long</v>
      </c>
      <c r="Q13" s="48">
        <f t="shared" si="6"/>
        <v>475</v>
      </c>
      <c r="R13" s="19">
        <f t="shared" si="7"/>
        <v>4.7500000000000001E-2</v>
      </c>
      <c r="S13" s="35">
        <f t="shared" si="8"/>
        <v>24091.004167916668</v>
      </c>
      <c r="T13" s="35">
        <f t="shared" si="9"/>
        <v>0</v>
      </c>
      <c r="U13" s="19" t="str">
        <f t="shared" si="10"/>
        <v/>
      </c>
      <c r="V13" s="19">
        <f>HLOOKUP(A13,Benchmarks!$B$2:$E$6,4,FALSE)</f>
        <v>5.3999999999999999E-2</v>
      </c>
      <c r="W13" s="19">
        <f t="shared" si="11"/>
        <v>1.9655172413793106E-2</v>
      </c>
      <c r="X13" s="64">
        <f t="shared" si="12"/>
        <v>-3.4344827586206897E-2</v>
      </c>
    </row>
    <row r="14" spans="1:24" x14ac:dyDescent="0.2">
      <c r="A14" s="11" t="str">
        <f>VLOOKUP(C14,'Investment List'!$A$3:$D$50,4,FALSE)</f>
        <v>S&amp;P 500</v>
      </c>
      <c r="B14" s="47" t="str">
        <f>VLOOKUP(C14,'Investment List'!$A$3:$C$50,3,FALSE)</f>
        <v>Common Stock</v>
      </c>
      <c r="C14" s="4" t="s">
        <v>54</v>
      </c>
      <c r="D14" s="47" t="str">
        <f>VLOOKUP(C14,'Investment List'!$A$3:$C$50,2,FALSE)</f>
        <v>Stitch Fix</v>
      </c>
      <c r="E14" s="13">
        <v>0</v>
      </c>
      <c r="F14" s="27">
        <v>250</v>
      </c>
      <c r="G14" s="8">
        <v>9625</v>
      </c>
      <c r="H14" s="9">
        <v>31.16</v>
      </c>
      <c r="I14" s="35">
        <f t="shared" si="1"/>
        <v>0</v>
      </c>
      <c r="J14" s="36">
        <f t="shared" si="2"/>
        <v>7790</v>
      </c>
      <c r="K14" s="16">
        <f t="shared" si="3"/>
        <v>1.5775615756771052E-2</v>
      </c>
      <c r="L14" s="6">
        <v>0.06</v>
      </c>
      <c r="M14" s="17">
        <f t="shared" si="0"/>
        <v>-4.4224384243228942E-2</v>
      </c>
      <c r="N14" s="12" t="str">
        <f t="shared" si="4"/>
        <v>Rebalance</v>
      </c>
      <c r="O14" s="4">
        <v>9</v>
      </c>
      <c r="P14" s="18" t="str">
        <f t="shared" si="5"/>
        <v>Short</v>
      </c>
      <c r="Q14" s="48">
        <f t="shared" si="6"/>
        <v>-1835</v>
      </c>
      <c r="R14" s="19">
        <f t="shared" si="7"/>
        <v>-0.19064935064935065</v>
      </c>
      <c r="S14" s="35">
        <f t="shared" si="8"/>
        <v>0</v>
      </c>
      <c r="T14" s="35">
        <f t="shared" si="9"/>
        <v>0</v>
      </c>
      <c r="U14" s="19" t="str">
        <f t="shared" si="10"/>
        <v/>
      </c>
      <c r="V14" s="19">
        <f>HLOOKUP(A14,Benchmarks!$B$2:$E$6,4,FALSE)</f>
        <v>0.12</v>
      </c>
      <c r="W14" s="19">
        <f t="shared" si="11"/>
        <v>-0.2541991341991342</v>
      </c>
      <c r="X14" s="64">
        <f t="shared" si="12"/>
        <v>-0.3741991341991342</v>
      </c>
    </row>
    <row r="15" spans="1:24" x14ac:dyDescent="0.2">
      <c r="A15" s="11" t="str">
        <f>VLOOKUP(C15,'Investment List'!$A$3:$D$50,4,FALSE)</f>
        <v>S&amp;P 500</v>
      </c>
      <c r="B15" s="47" t="str">
        <f>VLOOKUP(C15,'Investment List'!$A$3:$C$50,3,FALSE)</f>
        <v>Stock ETF</v>
      </c>
      <c r="C15" s="4" t="s">
        <v>79</v>
      </c>
      <c r="D15" s="47" t="str">
        <f>VLOOKUP(C15,'Investment List'!$A$3:$C$50,2,FALSE)</f>
        <v>S&amp;P 500 Index</v>
      </c>
      <c r="E15" s="13">
        <v>2.07E-2</v>
      </c>
      <c r="F15" s="27">
        <v>150</v>
      </c>
      <c r="G15" s="8">
        <v>23250</v>
      </c>
      <c r="H15" s="9">
        <v>269.18</v>
      </c>
      <c r="I15" s="35">
        <f t="shared" si="1"/>
        <v>5014.8233999999993</v>
      </c>
      <c r="J15" s="36">
        <f t="shared" si="2"/>
        <v>45391.823400000001</v>
      </c>
      <c r="K15" s="16">
        <f t="shared" si="3"/>
        <v>9.192348709340295E-2</v>
      </c>
      <c r="L15" s="6">
        <v>0.04</v>
      </c>
      <c r="M15" s="17">
        <f t="shared" si="0"/>
        <v>5.1923487093402949E-2</v>
      </c>
      <c r="N15" s="12" t="str">
        <f t="shared" si="4"/>
        <v>Rebalance</v>
      </c>
      <c r="O15" s="4">
        <v>72</v>
      </c>
      <c r="P15" s="18" t="str">
        <f t="shared" si="5"/>
        <v>Long</v>
      </c>
      <c r="Q15" s="48">
        <f t="shared" si="6"/>
        <v>22141.823400000001</v>
      </c>
      <c r="R15" s="19">
        <f t="shared" si="7"/>
        <v>0.95233649032258072</v>
      </c>
      <c r="S15" s="35">
        <f t="shared" si="8"/>
        <v>0</v>
      </c>
      <c r="T15" s="35">
        <f t="shared" si="9"/>
        <v>25639.821018333336</v>
      </c>
      <c r="U15" s="19" t="str">
        <f t="shared" si="10"/>
        <v>TOP</v>
      </c>
      <c r="V15" s="19">
        <f>HLOOKUP(A15,Benchmarks!$B$2:$E$6,4,FALSE)</f>
        <v>0.12</v>
      </c>
      <c r="W15" s="19">
        <f t="shared" si="11"/>
        <v>0.1587227483870968</v>
      </c>
      <c r="X15" s="64">
        <f t="shared" si="12"/>
        <v>3.87227483870968E-2</v>
      </c>
    </row>
    <row r="16" spans="1:24" x14ac:dyDescent="0.2">
      <c r="A16" s="11" t="str">
        <f>VLOOKUP(C16,'Investment List'!$A$3:$D$50,4,FALSE)</f>
        <v>S&amp;P 500</v>
      </c>
      <c r="B16" s="47" t="str">
        <f>VLOOKUP(C16,'Investment List'!$A$3:$C$50,3,FALSE)</f>
        <v>Common Stock</v>
      </c>
      <c r="C16" s="4" t="s">
        <v>14</v>
      </c>
      <c r="D16" s="47" t="str">
        <f>VLOOKUP(C16,'Investment List'!$A$3:$C$50,2,FALSE)</f>
        <v>Microsoft Corporation</v>
      </c>
      <c r="E16" s="13">
        <v>1.34E-2</v>
      </c>
      <c r="F16" s="27">
        <v>150</v>
      </c>
      <c r="G16" s="8">
        <v>4650</v>
      </c>
      <c r="H16" s="9">
        <v>133.21</v>
      </c>
      <c r="I16" s="35">
        <f t="shared" si="1"/>
        <v>1941.2027250000001</v>
      </c>
      <c r="J16" s="36">
        <f t="shared" si="2"/>
        <v>21922.702724999999</v>
      </c>
      <c r="K16" s="16">
        <f t="shared" si="3"/>
        <v>4.439590944024617E-2</v>
      </c>
      <c r="L16" s="6">
        <v>0.05</v>
      </c>
      <c r="M16" s="17">
        <f t="shared" si="0"/>
        <v>-5.6040905597538326E-3</v>
      </c>
      <c r="N16" s="12" t="str">
        <f t="shared" si="4"/>
        <v>OK</v>
      </c>
      <c r="O16" s="4">
        <v>87</v>
      </c>
      <c r="P16" s="18" t="str">
        <f t="shared" si="5"/>
        <v>Long</v>
      </c>
      <c r="Q16" s="48">
        <f t="shared" si="6"/>
        <v>17272.702724999999</v>
      </c>
      <c r="R16" s="19">
        <f t="shared" si="7"/>
        <v>3.7145597258064513</v>
      </c>
      <c r="S16" s="35">
        <f t="shared" si="8"/>
        <v>0</v>
      </c>
      <c r="T16" s="35">
        <f t="shared" si="9"/>
        <v>0</v>
      </c>
      <c r="U16" s="19" t="str">
        <f t="shared" si="10"/>
        <v>TOP</v>
      </c>
      <c r="V16" s="19">
        <f>HLOOKUP(A16,Benchmarks!$B$2:$E$6,4,FALSE)</f>
        <v>0.12</v>
      </c>
      <c r="W16" s="19">
        <f t="shared" si="11"/>
        <v>0.51235306562847605</v>
      </c>
      <c r="X16" s="64">
        <f t="shared" si="12"/>
        <v>0.39235306562847605</v>
      </c>
    </row>
    <row r="17" spans="1:24" x14ac:dyDescent="0.2">
      <c r="A17" s="11" t="str">
        <f>VLOOKUP(C17,'Investment List'!$A$3:$D$50,4,FALSE)</f>
        <v>S&amp;P 500</v>
      </c>
      <c r="B17" s="47" t="str">
        <f>VLOOKUP(C17,'Investment List'!$A$3:$C$50,3,FALSE)</f>
        <v>Common Stock</v>
      </c>
      <c r="C17" s="4" t="s">
        <v>42</v>
      </c>
      <c r="D17" s="47" t="str">
        <f>VLOOKUP(C17,'Investment List'!$A$3:$C$50,2,FALSE)</f>
        <v>Facebook</v>
      </c>
      <c r="E17" s="13">
        <v>0</v>
      </c>
      <c r="F17" s="27">
        <v>150</v>
      </c>
      <c r="G17" s="8">
        <v>12300</v>
      </c>
      <c r="H17" s="9">
        <v>188.7</v>
      </c>
      <c r="I17" s="35">
        <f t="shared" si="1"/>
        <v>0</v>
      </c>
      <c r="J17" s="36">
        <f t="shared" si="2"/>
        <v>28305</v>
      </c>
      <c r="K17" s="16">
        <f t="shared" si="3"/>
        <v>5.732077073111741E-2</v>
      </c>
      <c r="L17" s="6">
        <v>0.05</v>
      </c>
      <c r="M17" s="17">
        <f t="shared" si="0"/>
        <v>7.3207707311174069E-3</v>
      </c>
      <c r="N17" s="12" t="str">
        <f t="shared" si="4"/>
        <v>OK</v>
      </c>
      <c r="O17" s="4">
        <v>50</v>
      </c>
      <c r="P17" s="18" t="str">
        <f t="shared" si="5"/>
        <v>Long</v>
      </c>
      <c r="Q17" s="48">
        <f t="shared" si="6"/>
        <v>16005</v>
      </c>
      <c r="R17" s="19">
        <f t="shared" si="7"/>
        <v>1.301219512195122</v>
      </c>
      <c r="S17" s="35">
        <f t="shared" si="8"/>
        <v>0</v>
      </c>
      <c r="T17" s="35">
        <f t="shared" si="9"/>
        <v>0</v>
      </c>
      <c r="U17" s="19" t="str">
        <f t="shared" si="10"/>
        <v>TOP</v>
      </c>
      <c r="V17" s="19">
        <f>HLOOKUP(A17,Benchmarks!$B$2:$E$6,4,FALSE)</f>
        <v>0.12</v>
      </c>
      <c r="W17" s="19">
        <f t="shared" si="11"/>
        <v>0.31229268292682927</v>
      </c>
      <c r="X17" s="64">
        <f t="shared" si="12"/>
        <v>0.19229268292682927</v>
      </c>
    </row>
    <row r="18" spans="1:24" x14ac:dyDescent="0.2">
      <c r="A18" s="11" t="str">
        <f>VLOOKUP(C18,'Investment List'!$A$3:$D$50,4,FALSE)</f>
        <v>S&amp;P 500</v>
      </c>
      <c r="B18" s="47" t="str">
        <f>VLOOKUP(C18,'Investment List'!$A$3:$C$50,3,FALSE)</f>
        <v>Common Stock</v>
      </c>
      <c r="C18" s="4" t="s">
        <v>55</v>
      </c>
      <c r="D18" s="47" t="str">
        <f>VLOOKUP(C18,'Investment List'!$A$3:$C$50,2,FALSE)</f>
        <v>Chipotle Mexican Grill</v>
      </c>
      <c r="E18" s="13">
        <v>0</v>
      </c>
      <c r="F18" s="27">
        <v>25</v>
      </c>
      <c r="G18" s="8">
        <v>7500</v>
      </c>
      <c r="H18" s="9">
        <v>736.97</v>
      </c>
      <c r="I18" s="35">
        <f t="shared" si="1"/>
        <v>0</v>
      </c>
      <c r="J18" s="36">
        <f t="shared" si="2"/>
        <v>18424.25</v>
      </c>
      <c r="K18" s="16">
        <f t="shared" si="3"/>
        <v>3.7311153864786784E-2</v>
      </c>
      <c r="L18" s="6">
        <v>0.05</v>
      </c>
      <c r="M18" s="17">
        <f t="shared" si="0"/>
        <v>-1.2688846135213219E-2</v>
      </c>
      <c r="N18" s="12" t="str">
        <f t="shared" si="4"/>
        <v>Rebalance</v>
      </c>
      <c r="O18" s="4">
        <v>6</v>
      </c>
      <c r="P18" s="18" t="str">
        <f t="shared" si="5"/>
        <v>Short</v>
      </c>
      <c r="Q18" s="48">
        <f t="shared" si="6"/>
        <v>10924.25</v>
      </c>
      <c r="R18" s="19">
        <f t="shared" si="7"/>
        <v>1.4565666666666666</v>
      </c>
      <c r="S18" s="35">
        <f t="shared" si="8"/>
        <v>6265.7529770833353</v>
      </c>
      <c r="T18" s="35">
        <f t="shared" si="9"/>
        <v>0</v>
      </c>
      <c r="U18" s="19" t="str">
        <f t="shared" si="10"/>
        <v>TOP</v>
      </c>
      <c r="V18" s="19">
        <f>HLOOKUP(A18,Benchmarks!$B$2:$E$6,4,FALSE)</f>
        <v>0.12</v>
      </c>
      <c r="W18" s="19">
        <f t="shared" si="11"/>
        <v>2.9131333333333331</v>
      </c>
      <c r="X18" s="64">
        <f t="shared" si="12"/>
        <v>2.793133333333333</v>
      </c>
    </row>
    <row r="19" spans="1:24" x14ac:dyDescent="0.2">
      <c r="A19" s="11" t="str">
        <f>VLOOKUP(C19,'Investment List'!$A$3:$D$50,4,FALSE)</f>
        <v>S&amp;P 500</v>
      </c>
      <c r="B19" s="47" t="str">
        <f>VLOOKUP(C19,'Investment List'!$A$3:$C$50,3,FALSE)</f>
        <v>Common Stock</v>
      </c>
      <c r="C19" s="4" t="s">
        <v>44</v>
      </c>
      <c r="D19" s="47" t="str">
        <f>VLOOKUP(C19,'Investment List'!$A$3:$C$50,2,FALSE)</f>
        <v>Alphabet</v>
      </c>
      <c r="E19" s="13">
        <v>0</v>
      </c>
      <c r="F19" s="27">
        <v>25</v>
      </c>
      <c r="G19" s="8">
        <v>7625</v>
      </c>
      <c r="H19" s="9">
        <v>1096.74</v>
      </c>
      <c r="I19" s="35">
        <f t="shared" si="1"/>
        <v>0</v>
      </c>
      <c r="J19" s="36">
        <f t="shared" si="2"/>
        <v>27418.5</v>
      </c>
      <c r="K19" s="16">
        <f t="shared" si="3"/>
        <v>5.5525509708219137E-2</v>
      </c>
      <c r="L19" s="6">
        <v>0.05</v>
      </c>
      <c r="M19" s="17">
        <f t="shared" si="0"/>
        <v>5.525509708219134E-3</v>
      </c>
      <c r="N19" s="12" t="str">
        <f t="shared" si="4"/>
        <v>OK</v>
      </c>
      <c r="O19" s="4">
        <v>100</v>
      </c>
      <c r="P19" s="18" t="str">
        <f t="shared" si="5"/>
        <v>Long</v>
      </c>
      <c r="Q19" s="48">
        <f t="shared" si="6"/>
        <v>19793.5</v>
      </c>
      <c r="R19" s="19">
        <f t="shared" si="7"/>
        <v>2.5958688524590166</v>
      </c>
      <c r="S19" s="35">
        <f t="shared" si="8"/>
        <v>0</v>
      </c>
      <c r="T19" s="35">
        <f t="shared" si="9"/>
        <v>0</v>
      </c>
      <c r="U19" s="19" t="str">
        <f t="shared" si="10"/>
        <v>TOP</v>
      </c>
      <c r="V19" s="19">
        <f>HLOOKUP(A19,Benchmarks!$B$2:$E$6,4,FALSE)</f>
        <v>0.12</v>
      </c>
      <c r="W19" s="19">
        <f t="shared" si="11"/>
        <v>0.31150426229508199</v>
      </c>
      <c r="X19" s="64">
        <f t="shared" si="12"/>
        <v>0.191504262295082</v>
      </c>
    </row>
    <row r="21" spans="1:24" x14ac:dyDescent="0.2">
      <c r="G21" s="3"/>
    </row>
    <row r="23" spans="1:24" x14ac:dyDescent="0.2">
      <c r="D23" s="45"/>
    </row>
    <row r="24" spans="1:24" x14ac:dyDescent="0.2">
      <c r="D24" s="45"/>
    </row>
    <row r="25" spans="1:24" x14ac:dyDescent="0.2">
      <c r="D25" s="46"/>
    </row>
  </sheetData>
  <sortState xmlns:xlrd2="http://schemas.microsoft.com/office/spreadsheetml/2017/richdata2" ref="B4:Y18">
    <sortCondition descending="1" ref="F4:F18"/>
  </sortState>
  <mergeCells count="5">
    <mergeCell ref="A3:E3"/>
    <mergeCell ref="K3:P3"/>
    <mergeCell ref="Q3:X3"/>
    <mergeCell ref="F3:J3"/>
    <mergeCell ref="A1:D1"/>
  </mergeCells>
  <conditionalFormatting sqref="R5:R34">
    <cfRule type="iconSet" priority="1">
      <iconSet>
        <cfvo type="percent" val="0"/>
        <cfvo type="num" val="0"/>
        <cfvo type="num" val="0.05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zoomScale="130" zoomScaleNormal="130" workbookViewId="0">
      <selection activeCell="B5" sqref="B5"/>
    </sheetView>
  </sheetViews>
  <sheetFormatPr defaultColWidth="9.140625" defaultRowHeight="15" x14ac:dyDescent="0.2"/>
  <cols>
    <col min="1" max="1" width="11.5703125" style="1" customWidth="1"/>
    <col min="2" max="2" width="33.7109375" style="1" customWidth="1"/>
    <col min="3" max="3" width="26.140625" style="1" customWidth="1"/>
    <col min="4" max="4" width="21.5703125" style="1" customWidth="1"/>
    <col min="5" max="16384" width="9.140625" style="1"/>
  </cols>
  <sheetData>
    <row r="1" spans="1:4" ht="24.75" customHeight="1" x14ac:dyDescent="0.2">
      <c r="A1" s="83" t="s">
        <v>39</v>
      </c>
      <c r="B1" s="84"/>
      <c r="C1" s="84"/>
      <c r="D1" s="84"/>
    </row>
    <row r="2" spans="1:4" ht="15.75" x14ac:dyDescent="0.25">
      <c r="A2" s="29" t="s">
        <v>1</v>
      </c>
      <c r="B2" s="43" t="s">
        <v>2</v>
      </c>
      <c r="C2" s="43" t="s">
        <v>0</v>
      </c>
      <c r="D2" s="43" t="s">
        <v>31</v>
      </c>
    </row>
    <row r="3" spans="1:4" x14ac:dyDescent="0.2">
      <c r="A3" s="4" t="s">
        <v>15</v>
      </c>
      <c r="B3" s="4" t="s">
        <v>22</v>
      </c>
      <c r="C3" s="4" t="s">
        <v>60</v>
      </c>
      <c r="D3" s="4" t="s">
        <v>40</v>
      </c>
    </row>
    <row r="4" spans="1:4" x14ac:dyDescent="0.2">
      <c r="A4" s="4" t="s">
        <v>55</v>
      </c>
      <c r="B4" s="4" t="s">
        <v>95</v>
      </c>
      <c r="C4" s="4" t="s">
        <v>60</v>
      </c>
      <c r="D4" s="4" t="s">
        <v>40</v>
      </c>
    </row>
    <row r="5" spans="1:4" x14ac:dyDescent="0.2">
      <c r="A5" s="4" t="s">
        <v>42</v>
      </c>
      <c r="B5" s="4" t="s">
        <v>43</v>
      </c>
      <c r="C5" s="4" t="s">
        <v>60</v>
      </c>
      <c r="D5" s="4" t="s">
        <v>40</v>
      </c>
    </row>
    <row r="6" spans="1:4" x14ac:dyDescent="0.2">
      <c r="A6" s="4" t="s">
        <v>87</v>
      </c>
      <c r="B6" s="4" t="s">
        <v>70</v>
      </c>
      <c r="C6" s="4" t="s">
        <v>50</v>
      </c>
      <c r="D6" s="4" t="s">
        <v>58</v>
      </c>
    </row>
    <row r="7" spans="1:4" x14ac:dyDescent="0.2">
      <c r="A7" s="4" t="s">
        <v>81</v>
      </c>
      <c r="B7" s="4" t="s">
        <v>21</v>
      </c>
      <c r="C7" s="4" t="s">
        <v>61</v>
      </c>
      <c r="D7" s="4" t="s">
        <v>89</v>
      </c>
    </row>
    <row r="8" spans="1:4" x14ac:dyDescent="0.2">
      <c r="A8" s="4" t="s">
        <v>80</v>
      </c>
      <c r="B8" s="4" t="s">
        <v>13</v>
      </c>
      <c r="C8" s="4" t="s">
        <v>61</v>
      </c>
      <c r="D8" s="4" t="s">
        <v>89</v>
      </c>
    </row>
    <row r="9" spans="1:4" x14ac:dyDescent="0.2">
      <c r="A9" s="4" t="s">
        <v>82</v>
      </c>
      <c r="B9" s="4" t="s">
        <v>69</v>
      </c>
      <c r="C9" s="4" t="s">
        <v>61</v>
      </c>
      <c r="D9" s="4" t="s">
        <v>89</v>
      </c>
    </row>
    <row r="10" spans="1:4" x14ac:dyDescent="0.2">
      <c r="A10" s="4" t="s">
        <v>44</v>
      </c>
      <c r="B10" s="4" t="s">
        <v>45</v>
      </c>
      <c r="C10" s="4" t="s">
        <v>60</v>
      </c>
      <c r="D10" s="4" t="s">
        <v>40</v>
      </c>
    </row>
    <row r="11" spans="1:4" x14ac:dyDescent="0.2">
      <c r="A11" s="4" t="s">
        <v>72</v>
      </c>
      <c r="B11" s="4" t="s">
        <v>63</v>
      </c>
      <c r="C11" s="4" t="s">
        <v>46</v>
      </c>
      <c r="D11" s="4" t="s">
        <v>88</v>
      </c>
    </row>
    <row r="12" spans="1:4" x14ac:dyDescent="0.2">
      <c r="A12" s="4" t="s">
        <v>16</v>
      </c>
      <c r="B12" s="4" t="s">
        <v>23</v>
      </c>
      <c r="C12" s="4" t="s">
        <v>60</v>
      </c>
      <c r="D12" s="4" t="s">
        <v>40</v>
      </c>
    </row>
    <row r="13" spans="1:4" x14ac:dyDescent="0.2">
      <c r="A13" s="4" t="s">
        <v>73</v>
      </c>
      <c r="B13" s="4" t="s">
        <v>66</v>
      </c>
      <c r="C13" s="4" t="s">
        <v>46</v>
      </c>
      <c r="D13" s="4" t="s">
        <v>88</v>
      </c>
    </row>
    <row r="14" spans="1:4" x14ac:dyDescent="0.2">
      <c r="A14" s="4" t="s">
        <v>85</v>
      </c>
      <c r="B14" s="4" t="s">
        <v>86</v>
      </c>
      <c r="C14" s="4" t="s">
        <v>46</v>
      </c>
      <c r="D14" s="4" t="s">
        <v>88</v>
      </c>
    </row>
    <row r="15" spans="1:4" x14ac:dyDescent="0.2">
      <c r="A15" s="4" t="s">
        <v>71</v>
      </c>
      <c r="B15" s="4" t="s">
        <v>62</v>
      </c>
      <c r="C15" s="4" t="s">
        <v>46</v>
      </c>
      <c r="D15" s="4" t="s">
        <v>88</v>
      </c>
    </row>
    <row r="16" spans="1:4" x14ac:dyDescent="0.2">
      <c r="A16" s="4" t="s">
        <v>75</v>
      </c>
      <c r="B16" s="4" t="s">
        <v>68</v>
      </c>
      <c r="C16" s="4" t="s">
        <v>46</v>
      </c>
      <c r="D16" s="4" t="s">
        <v>88</v>
      </c>
    </row>
    <row r="17" spans="1:4" x14ac:dyDescent="0.2">
      <c r="A17" s="4" t="s">
        <v>17</v>
      </c>
      <c r="B17" s="4" t="s">
        <v>24</v>
      </c>
      <c r="C17" s="4" t="s">
        <v>60</v>
      </c>
      <c r="D17" s="4" t="s">
        <v>40</v>
      </c>
    </row>
    <row r="18" spans="1:4" x14ac:dyDescent="0.2">
      <c r="A18" s="4" t="s">
        <v>25</v>
      </c>
      <c r="B18" s="4" t="s">
        <v>26</v>
      </c>
      <c r="C18" s="4" t="s">
        <v>60</v>
      </c>
      <c r="D18" s="4" t="s">
        <v>40</v>
      </c>
    </row>
    <row r="19" spans="1:4" x14ac:dyDescent="0.2">
      <c r="A19" s="4" t="s">
        <v>77</v>
      </c>
      <c r="B19" s="4" t="s">
        <v>20</v>
      </c>
      <c r="C19" s="4" t="s">
        <v>59</v>
      </c>
      <c r="D19" s="4" t="s">
        <v>40</v>
      </c>
    </row>
    <row r="20" spans="1:4" x14ac:dyDescent="0.2">
      <c r="A20" s="4" t="s">
        <v>83</v>
      </c>
      <c r="B20" s="4" t="s">
        <v>84</v>
      </c>
      <c r="C20" s="4" t="s">
        <v>59</v>
      </c>
      <c r="D20" s="4" t="s">
        <v>40</v>
      </c>
    </row>
    <row r="21" spans="1:4" x14ac:dyDescent="0.2">
      <c r="A21" s="4" t="s">
        <v>14</v>
      </c>
      <c r="B21" s="4" t="s">
        <v>27</v>
      </c>
      <c r="C21" s="4" t="s">
        <v>60</v>
      </c>
      <c r="D21" s="4" t="s">
        <v>40</v>
      </c>
    </row>
    <row r="22" spans="1:4" x14ac:dyDescent="0.2">
      <c r="A22" s="4" t="s">
        <v>49</v>
      </c>
      <c r="B22" s="4" t="s">
        <v>97</v>
      </c>
      <c r="C22" s="4" t="s">
        <v>60</v>
      </c>
      <c r="D22" s="4" t="s">
        <v>58</v>
      </c>
    </row>
    <row r="23" spans="1:4" x14ac:dyDescent="0.2">
      <c r="A23" s="4" t="s">
        <v>78</v>
      </c>
      <c r="B23" s="4" t="s">
        <v>64</v>
      </c>
      <c r="C23" s="4" t="s">
        <v>59</v>
      </c>
      <c r="D23" s="4" t="s">
        <v>40</v>
      </c>
    </row>
    <row r="24" spans="1:4" x14ac:dyDescent="0.2">
      <c r="A24" s="4" t="s">
        <v>76</v>
      </c>
      <c r="B24" s="4" t="s">
        <v>19</v>
      </c>
      <c r="C24" s="4" t="s">
        <v>59</v>
      </c>
      <c r="D24" s="4" t="s">
        <v>40</v>
      </c>
    </row>
    <row r="25" spans="1:4" x14ac:dyDescent="0.2">
      <c r="A25" s="4" t="s">
        <v>54</v>
      </c>
      <c r="B25" s="4" t="s">
        <v>96</v>
      </c>
      <c r="C25" s="4" t="s">
        <v>60</v>
      </c>
      <c r="D25" s="4" t="s">
        <v>40</v>
      </c>
    </row>
    <row r="26" spans="1:4" x14ac:dyDescent="0.2">
      <c r="A26" s="4" t="s">
        <v>79</v>
      </c>
      <c r="B26" s="4" t="s">
        <v>18</v>
      </c>
      <c r="C26" s="4" t="s">
        <v>59</v>
      </c>
      <c r="D26" s="4" t="s">
        <v>40</v>
      </c>
    </row>
    <row r="27" spans="1:4" x14ac:dyDescent="0.2">
      <c r="A27" s="4" t="s">
        <v>74</v>
      </c>
      <c r="B27" s="4" t="s">
        <v>67</v>
      </c>
      <c r="C27" s="4" t="s">
        <v>46</v>
      </c>
      <c r="D27" s="4" t="s">
        <v>88</v>
      </c>
    </row>
    <row r="28" spans="1:4" x14ac:dyDescent="0.2">
      <c r="A28" s="4" t="s">
        <v>48</v>
      </c>
      <c r="B28" s="4" t="s">
        <v>65</v>
      </c>
      <c r="C28" s="4" t="s">
        <v>46</v>
      </c>
      <c r="D28" s="4" t="s">
        <v>88</v>
      </c>
    </row>
    <row r="29" spans="1:4" x14ac:dyDescent="0.2">
      <c r="A29" s="4" t="s">
        <v>28</v>
      </c>
      <c r="B29" s="4" t="s">
        <v>29</v>
      </c>
      <c r="C29" s="4" t="s">
        <v>60</v>
      </c>
      <c r="D29" s="4" t="s">
        <v>40</v>
      </c>
    </row>
  </sheetData>
  <sortState xmlns:xlrd2="http://schemas.microsoft.com/office/spreadsheetml/2017/richdata2" ref="A3:E29">
    <sortCondition ref="A3:A29"/>
  </sortState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zoomScale="130" zoomScaleNormal="130" workbookViewId="0">
      <selection sqref="A1:E1"/>
    </sheetView>
  </sheetViews>
  <sheetFormatPr defaultColWidth="9.140625" defaultRowHeight="15" x14ac:dyDescent="0.2"/>
  <cols>
    <col min="1" max="1" width="20.42578125" style="1" customWidth="1"/>
    <col min="2" max="2" width="17.7109375" style="1" customWidth="1"/>
    <col min="3" max="3" width="16.7109375" style="1" customWidth="1"/>
    <col min="4" max="4" width="14.5703125" style="1" customWidth="1"/>
    <col min="5" max="5" width="20.140625" style="1" customWidth="1"/>
    <col min="6" max="16384" width="9.140625" style="1"/>
  </cols>
  <sheetData>
    <row r="1" spans="1:6" ht="21.75" customHeight="1" x14ac:dyDescent="0.2">
      <c r="A1" s="85" t="s">
        <v>90</v>
      </c>
      <c r="B1" s="85"/>
      <c r="C1" s="85"/>
      <c r="D1" s="85"/>
      <c r="E1" s="85"/>
    </row>
    <row r="2" spans="1:6" ht="21" customHeight="1" x14ac:dyDescent="0.25">
      <c r="A2" s="4"/>
      <c r="B2" s="28" t="s">
        <v>40</v>
      </c>
      <c r="C2" s="28" t="s">
        <v>88</v>
      </c>
      <c r="D2" s="28" t="s">
        <v>89</v>
      </c>
      <c r="E2" s="28" t="s">
        <v>58</v>
      </c>
    </row>
    <row r="3" spans="1:6" x14ac:dyDescent="0.2">
      <c r="A3" s="4" t="s">
        <v>94</v>
      </c>
      <c r="B3" s="5">
        <v>8.5000000000000006E-2</v>
      </c>
      <c r="C3" s="5">
        <v>7.2999999999999995E-2</v>
      </c>
      <c r="D3" s="5">
        <v>2.7E-2</v>
      </c>
      <c r="E3" s="5">
        <v>0.13700000000000001</v>
      </c>
    </row>
    <row r="4" spans="1:6" x14ac:dyDescent="0.2">
      <c r="A4" s="4" t="s">
        <v>93</v>
      </c>
      <c r="B4" s="5">
        <v>0.13</v>
      </c>
      <c r="C4" s="5">
        <v>2.7900000000000001E-2</v>
      </c>
      <c r="D4" s="5">
        <v>0.13</v>
      </c>
      <c r="E4" s="5">
        <v>0.24629999999999999</v>
      </c>
    </row>
    <row r="5" spans="1:6" x14ac:dyDescent="0.2">
      <c r="A5" s="4" t="s">
        <v>92</v>
      </c>
      <c r="B5" s="5">
        <v>0.12</v>
      </c>
      <c r="C5" s="5">
        <v>2.7900000000000001E-2</v>
      </c>
      <c r="D5" s="5">
        <v>5.3999999999999999E-2</v>
      </c>
      <c r="E5" s="5">
        <v>2.9000000000000001E-2</v>
      </c>
    </row>
    <row r="6" spans="1:6" x14ac:dyDescent="0.2">
      <c r="A6" s="4" t="s">
        <v>91</v>
      </c>
      <c r="B6" s="5">
        <v>0.216</v>
      </c>
      <c r="C6" s="5">
        <v>3.5799999999999998E-2</v>
      </c>
      <c r="D6" s="5">
        <v>0.13300000000000001</v>
      </c>
      <c r="E6" s="5">
        <v>-1.9199999999999998E-2</v>
      </c>
    </row>
    <row r="14" spans="1:6" x14ac:dyDescent="0.2">
      <c r="C14" s="2"/>
      <c r="D14" s="2"/>
      <c r="E14" s="2"/>
      <c r="F14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Summary</vt:lpstr>
      <vt:lpstr>Performance Summary</vt:lpstr>
      <vt:lpstr>Investment Detail</vt:lpstr>
      <vt:lpstr>Investment List</vt:lpstr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Chukwuka Alphonsus</cp:lastModifiedBy>
  <dcterms:created xsi:type="dcterms:W3CDTF">2011-04-14T02:30:18Z</dcterms:created>
  <dcterms:modified xsi:type="dcterms:W3CDTF">2022-05-26T20:30:51Z</dcterms:modified>
</cp:coreProperties>
</file>