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9405" activeTab="1"/>
  </bookViews>
  <sheets>
    <sheet name="Uniformity" sheetId="1" r:id="rId1"/>
    <sheet name="Metformin Hydrochloride" sheetId="2" r:id="rId2"/>
  </sheets>
  <calcPr calcId="145621"/>
</workbook>
</file>

<file path=xl/calcChain.xml><?xml version="1.0" encoding="utf-8"?>
<calcChain xmlns="http://schemas.openxmlformats.org/spreadsheetml/2006/main">
  <c r="G120" i="2" l="1"/>
  <c r="G91" i="2"/>
  <c r="E91" i="2"/>
  <c r="B116" i="2"/>
  <c r="B98" i="2"/>
  <c r="G76" i="2"/>
  <c r="G65" i="2"/>
  <c r="B69" i="2"/>
  <c r="B57" i="2"/>
  <c r="G38" i="2"/>
  <c r="B45" i="2"/>
  <c r="D47" i="2"/>
  <c r="B30" i="2"/>
  <c r="C120" i="2"/>
  <c r="D100" i="2"/>
  <c r="D101" i="2" s="1"/>
  <c r="D102" i="2" s="1"/>
  <c r="E113" i="2"/>
  <c r="F113" i="2" s="1"/>
  <c r="E112" i="2"/>
  <c r="F112" i="2" s="1"/>
  <c r="F111" i="2"/>
  <c r="E111" i="2"/>
  <c r="E110" i="2"/>
  <c r="F110" i="2" s="1"/>
  <c r="F109" i="2"/>
  <c r="E109" i="2"/>
  <c r="E108" i="2"/>
  <c r="F108" i="2" s="1"/>
  <c r="D97" i="2"/>
  <c r="F95" i="2"/>
  <c r="D95" i="2"/>
  <c r="I92" i="2" s="1"/>
  <c r="G94" i="2"/>
  <c r="E94" i="2"/>
  <c r="B87" i="2"/>
  <c r="F97" i="2" s="1"/>
  <c r="B81" i="2"/>
  <c r="B83" i="2" s="1"/>
  <c r="B80" i="2"/>
  <c r="B79" i="2"/>
  <c r="C76" i="2"/>
  <c r="H71" i="2"/>
  <c r="G71" i="2"/>
  <c r="G70" i="2"/>
  <c r="H70" i="2" s="1"/>
  <c r="G69" i="2"/>
  <c r="H69" i="2" s="1"/>
  <c r="G68" i="2"/>
  <c r="H68" i="2" s="1"/>
  <c r="B68" i="2"/>
  <c r="H67" i="2"/>
  <c r="G67" i="2"/>
  <c r="H66" i="2"/>
  <c r="G66" i="2"/>
  <c r="H65" i="2"/>
  <c r="G64" i="2"/>
  <c r="H64" i="2" s="1"/>
  <c r="H63" i="2"/>
  <c r="G63" i="2"/>
  <c r="G62" i="2"/>
  <c r="H62" i="2" s="1"/>
  <c r="G61" i="2"/>
  <c r="H61" i="2" s="1"/>
  <c r="G60" i="2"/>
  <c r="H60" i="2" s="1"/>
  <c r="C56" i="2"/>
  <c r="B55" i="2"/>
  <c r="F42" i="2"/>
  <c r="D42" i="2"/>
  <c r="G41" i="2"/>
  <c r="E41" i="2"/>
  <c r="I39" i="2"/>
  <c r="B34" i="2"/>
  <c r="F44" i="2" s="1"/>
  <c r="C46" i="1"/>
  <c r="C49" i="1" s="1"/>
  <c r="C45" i="1"/>
  <c r="D41" i="1"/>
  <c r="D37" i="1"/>
  <c r="D33" i="1"/>
  <c r="D29" i="1"/>
  <c r="D25" i="1"/>
  <c r="F117" i="2" l="1"/>
  <c r="D48" i="2"/>
  <c r="D49" i="2" s="1"/>
  <c r="F45" i="2"/>
  <c r="H72" i="2"/>
  <c r="H73" i="2" s="1"/>
  <c r="F115" i="2"/>
  <c r="D98" i="2"/>
  <c r="F98" i="2"/>
  <c r="D24" i="1"/>
  <c r="D28" i="1"/>
  <c r="D32" i="1"/>
  <c r="D36" i="1"/>
  <c r="D40" i="1"/>
  <c r="D49" i="1"/>
  <c r="H74" i="2"/>
  <c r="D26" i="1"/>
  <c r="D30" i="1"/>
  <c r="D34" i="1"/>
  <c r="D38" i="1"/>
  <c r="D42" i="1"/>
  <c r="B49" i="1"/>
  <c r="D50" i="1"/>
  <c r="D44" i="2"/>
  <c r="D45" i="2" s="1"/>
  <c r="C50" i="1"/>
  <c r="D27" i="1"/>
  <c r="D31" i="1"/>
  <c r="D35" i="1"/>
  <c r="D39" i="1"/>
  <c r="D43" i="1"/>
  <c r="F99" i="2" l="1"/>
  <c r="G93" i="2"/>
  <c r="G95" i="2"/>
  <c r="G92" i="2"/>
  <c r="D99" i="2"/>
  <c r="E93" i="2"/>
  <c r="E92" i="2"/>
  <c r="F46" i="2"/>
  <c r="G40" i="2"/>
  <c r="G39" i="2"/>
  <c r="D46" i="2"/>
  <c r="E38" i="2"/>
  <c r="E39" i="2"/>
  <c r="E40" i="2"/>
  <c r="F116" i="2"/>
  <c r="D103" i="2" l="1"/>
  <c r="D104" i="2" s="1"/>
  <c r="D105" i="2"/>
  <c r="E95" i="2"/>
  <c r="G42" i="2"/>
  <c r="D50" i="2"/>
  <c r="D51" i="2" s="1"/>
  <c r="D52" i="2"/>
  <c r="E42" i="2"/>
</calcChain>
</file>

<file path=xl/sharedStrings.xml><?xml version="1.0" encoding="utf-8"?>
<sst xmlns="http://schemas.openxmlformats.org/spreadsheetml/2006/main" count="188" uniqueCount="109">
  <si>
    <t>Please enter the required information in the cells highlighted in green</t>
  </si>
  <si>
    <t>GLUCOFIT-850 TABLET</t>
  </si>
  <si>
    <t>Uniformity of Weight Test Report</t>
  </si>
  <si>
    <t>NDQD201503120</t>
  </si>
  <si>
    <t>Metformin</t>
  </si>
  <si>
    <t>Sample Name:</t>
  </si>
  <si>
    <t>Metformin Hydrochloride USP 850mg</t>
  </si>
  <si>
    <t>Laboratory Ref No:</t>
  </si>
  <si>
    <t>2015-03-05 13:49:00</t>
  </si>
  <si>
    <t>Active Ingredient:</t>
  </si>
  <si>
    <t>Label Claim: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</si>
  <si>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</si>
  <si>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</si>
  <si>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</si>
  <si>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</si>
  <si>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</si>
  <si>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</si>
  <si>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</si>
  <si>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</si>
  <si>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</si>
  <si>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</si>
  <si>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</si>
  <si>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</si>
  <si>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</si>
  <si>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</si>
  <si>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</si>
  <si>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</si>
  <si>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Metformin Hydrochloride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</si>
  <si>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</si>
  <si>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</si>
  <si>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</si>
  <si>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</si>
  <si>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</si>
  <si>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</si>
  <si>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</si>
  <si>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</si>
  <si>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</si>
  <si>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</si>
  <si>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</si>
  <si>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</si>
  <si>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</si>
  <si>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</si>
  <si>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</si>
  <si>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</si>
  <si>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</si>
  <si>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</si>
  <si>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</si>
  <si>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</si>
  <si>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</si>
  <si>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</si>
  <si>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</si>
  <si>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</si>
  <si>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</si>
  <si>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</si>
  <si>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</si>
  <si>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</si>
  <si>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</si>
  <si>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</si>
  <si>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</si>
  <si>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</si>
  <si>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</si>
  <si>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</si>
  <si>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</si>
  <si>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</si>
  <si>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</si>
  <si>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</si>
  <si>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</si>
  <si>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</si>
  <si>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</si>
  <si>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</si>
  <si>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</si>
  <si>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</si>
  <si>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</si>
  <si>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</si>
  <si>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</si>
  <si>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</si>
  <si>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</si>
  <si>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</si>
  <si>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</si>
  <si>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</si>
  <si>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</si>
  <si>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</si>
  <si>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</si>
  <si>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</si>
  <si>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</si>
  <si>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</si>
  <si>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</si>
  <si>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</si>
  <si>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</si>
  <si>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</si>
  <si>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</si>
  <si>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</si>
  <si>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</si>
  <si>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</si>
  <si>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</si>
  <si>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</si>
  <si>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</si>
  <si>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</si>
  <si>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</si>
  <si>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</si>
  <si>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</si>
  <si>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</si>
  <si>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</si>
  <si>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</si>
  <si>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</si>
  <si>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</si>
  <si>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</si>
  <si>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NQCL-WRS-M19-7</t>
  </si>
  <si>
    <t>Clement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</si>
</sst>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0.0000\ &quot;mg&quot;"/>
    <numFmt numFmtId="170" formatCode="0.000"/>
    <numFmt numFmtId="171" formatCode="0.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right"/>
    </xf>
    <xf numFmtId="165" fontId="1" fillId="2" borderId="0" xfId="0" applyNumberFormat="1" applyFont="1" applyFill="1"/>
    <xf numFmtId="2" fontId="4" fillId="2" borderId="0" xfId="0" applyNumberFormat="1" applyFont="1" applyFill="1"/>
    <xf numFmtId="0" fontId="5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/>
    <xf numFmtId="0" fontId="6" fillId="2" borderId="0" xfId="0" applyFont="1" applyFill="1" applyAlignment="1">
      <alignment horizontal="right"/>
    </xf>
    <xf numFmtId="0" fontId="3" fillId="2" borderId="1" xfId="0" applyFont="1" applyFill="1" applyBorder="1"/>
    <xf numFmtId="0" fontId="3" fillId="2" borderId="0" xfId="0" applyFont="1" applyFill="1" applyAlignment="1">
      <alignment horizontal="center"/>
    </xf>
    <xf numFmtId="10" fontId="3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3" fillId="2" borderId="3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3" fillId="2" borderId="4" xfId="0" applyFont="1" applyFill="1" applyBorder="1"/>
    <xf numFmtId="166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2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3" fillId="2" borderId="6" xfId="0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Protection="1">
      <protection locked="0"/>
    </xf>
    <xf numFmtId="2" fontId="3" fillId="3" borderId="8" xfId="0" applyNumberFormat="1" applyFont="1" applyFill="1" applyBorder="1" applyProtection="1">
      <protection locked="0"/>
    </xf>
    <xf numFmtId="166" fontId="3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5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0" fontId="9" fillId="2" borderId="19" xfId="0" applyNumberFormat="1" applyFont="1" applyFill="1" applyBorder="1" applyAlignment="1">
      <alignment horizontal="center"/>
    </xf>
    <xf numFmtId="170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0" fontId="9" fillId="2" borderId="24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0" fontId="9" fillId="2" borderId="28" xfId="0" applyNumberFormat="1" applyFont="1" applyFill="1" applyBorder="1" applyAlignment="1">
      <alignment horizontal="center"/>
    </xf>
    <xf numFmtId="170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0" fontId="10" fillId="4" borderId="31" xfId="0" applyNumberFormat="1" applyFont="1" applyFill="1" applyBorder="1" applyAlignment="1">
      <alignment horizontal="center"/>
    </xf>
    <xf numFmtId="170" fontId="10" fillId="4" borderId="3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0" fontId="10" fillId="5" borderId="6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0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2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0" fontId="10" fillId="5" borderId="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70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11" fillId="3" borderId="16" xfId="0" applyNumberFormat="1" applyFont="1" applyFill="1" applyBorder="1" applyAlignment="1" applyProtection="1">
      <alignment horizontal="center"/>
      <protection locked="0"/>
    </xf>
    <xf numFmtId="0" fontId="11" fillId="3" borderId="24" xfId="0" applyNumberFormat="1" applyFont="1" applyFill="1" applyBorder="1" applyAlignment="1" applyProtection="1">
      <alignment horizontal="center"/>
      <protection locked="0"/>
    </xf>
    <xf numFmtId="0" fontId="11" fillId="3" borderId="28" xfId="0" applyNumberFormat="1" applyFont="1" applyFill="1" applyBorder="1" applyAlignment="1" applyProtection="1">
      <alignment horizontal="center"/>
      <protection locked="0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33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15" fontId="9" fillId="2" borderId="3" xfId="0" applyNumberFormat="1" applyFont="1" applyFill="1" applyBorder="1"/>
    <xf numFmtId="15" fontId="3" fillId="2" borderId="3" xfId="0" applyNumberFormat="1" applyFont="1" applyFill="1" applyBorder="1"/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F53" sqref="F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4" t="s">
        <v>0</v>
      </c>
      <c r="B11" s="235"/>
      <c r="C11" s="235" t="s">
        <v>1</v>
      </c>
      <c r="D11" s="235"/>
      <c r="E11" s="235"/>
      <c r="F11" s="236"/>
      <c r="G11" s="41"/>
    </row>
    <row r="12" spans="1:7" ht="16.5" customHeight="1" x14ac:dyDescent="0.3">
      <c r="A12" s="233" t="s">
        <v>2</v>
      </c>
      <c r="B12" s="233"/>
      <c r="C12" s="233" t="s">
        <v>3</v>
      </c>
      <c r="D12" s="233"/>
      <c r="E12" s="233"/>
      <c r="F12" s="233"/>
      <c r="G12" s="40"/>
    </row>
    <row r="13" spans="1:7" x14ac:dyDescent="0.3">
      <c r="C13" s="1" t="s">
        <v>4</v>
      </c>
    </row>
    <row r="14" spans="1:7" ht="16.5" customHeight="1" x14ac:dyDescent="0.3">
      <c r="A14" s="238" t="s">
        <v>5</v>
      </c>
      <c r="B14" s="238"/>
      <c r="C14" s="10" t="s">
        <v>6</v>
      </c>
    </row>
    <row r="15" spans="1:7" ht="16.5" customHeight="1" x14ac:dyDescent="0.3">
      <c r="A15" s="238" t="s">
        <v>7</v>
      </c>
      <c r="B15" s="238"/>
      <c r="C15" s="10" t="s">
        <v>8</v>
      </c>
    </row>
    <row r="16" spans="1:7" ht="16.5" customHeight="1" x14ac:dyDescent="0.3">
      <c r="A16" s="238" t="s">
        <v>9</v>
      </c>
      <c r="B16" s="238"/>
      <c r="C16" s="10" t="s">
        <v>4</v>
      </c>
    </row>
    <row r="17" spans="1:5" ht="16.5" customHeight="1" x14ac:dyDescent="0.3">
      <c r="A17" s="238" t="s">
        <v>10</v>
      </c>
      <c r="B17" s="238"/>
      <c r="C17" s="22" t="s">
        <v>6</v>
      </c>
    </row>
    <row r="18" spans="1:5" ht="16.5" customHeight="1" x14ac:dyDescent="0.3">
      <c r="A18" s="238" t="s">
        <v>11</v>
      </c>
      <c r="B18" s="238"/>
      <c r="C18" s="47">
        <v>42075.575694444444</v>
      </c>
    </row>
    <row r="19" spans="1:5" ht="16.5" customHeight="1" x14ac:dyDescent="0.3">
      <c r="A19" s="238" t="s">
        <v>12</v>
      </c>
      <c r="B19" s="238"/>
      <c r="C19" s="47">
        <v>42075.575694444444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33" t="s">
        <v>13</v>
      </c>
      <c r="B21" s="233"/>
      <c r="C21" s="9" t="s">
        <v>14</v>
      </c>
      <c r="D21" s="16"/>
    </row>
    <row r="22" spans="1:5" ht="15.75" customHeight="1" x14ac:dyDescent="0.3">
      <c r="A22" s="237"/>
      <c r="B22" s="237"/>
      <c r="C22" s="7"/>
      <c r="D22" s="237"/>
      <c r="E22" s="237"/>
    </row>
    <row r="23" spans="1:5" ht="33.75" customHeight="1" x14ac:dyDescent="0.3">
      <c r="C23" s="36" t="s">
        <v>15</v>
      </c>
      <c r="D23" s="35" t="s">
        <v>16</v>
      </c>
      <c r="E23" s="2"/>
    </row>
    <row r="24" spans="1:5" ht="15.75" customHeight="1" x14ac:dyDescent="0.3">
      <c r="C24" s="45">
        <v>1000.44</v>
      </c>
      <c r="D24" s="37">
        <f t="shared" ref="D24:D43" si="0">(C24-$C$46)/$C$46</f>
        <v>-1.3333859323838964E-2</v>
      </c>
      <c r="E24" s="3"/>
    </row>
    <row r="25" spans="1:5" ht="15.75" customHeight="1" x14ac:dyDescent="0.3">
      <c r="C25" s="45">
        <v>998.36</v>
      </c>
      <c r="D25" s="38">
        <f t="shared" si="0"/>
        <v>-1.5385222296737345E-2</v>
      </c>
      <c r="E25" s="3"/>
    </row>
    <row r="26" spans="1:5" ht="15.75" customHeight="1" x14ac:dyDescent="0.3">
      <c r="C26" s="45">
        <v>1020.24</v>
      </c>
      <c r="D26" s="38">
        <f t="shared" si="0"/>
        <v>6.1935382066355691E-3</v>
      </c>
      <c r="E26" s="3"/>
    </row>
    <row r="27" spans="1:5" ht="15.75" customHeight="1" x14ac:dyDescent="0.3">
      <c r="C27" s="45">
        <v>1016.37</v>
      </c>
      <c r="D27" s="38">
        <f t="shared" si="0"/>
        <v>2.3768195984064421E-3</v>
      </c>
      <c r="E27" s="3"/>
    </row>
    <row r="28" spans="1:5" ht="15.75" customHeight="1" x14ac:dyDescent="0.3">
      <c r="C28" s="45">
        <v>1012.32</v>
      </c>
      <c r="D28" s="38">
        <f t="shared" si="0"/>
        <v>-1.6174208055542223E-3</v>
      </c>
      <c r="E28" s="3"/>
    </row>
    <row r="29" spans="1:5" ht="15.75" customHeight="1" x14ac:dyDescent="0.3">
      <c r="C29" s="45">
        <v>1004.07</v>
      </c>
      <c r="D29" s="38">
        <f t="shared" si="0"/>
        <v>-9.753836443251963E-3</v>
      </c>
      <c r="E29" s="3"/>
    </row>
    <row r="30" spans="1:5" ht="15.75" customHeight="1" x14ac:dyDescent="0.3">
      <c r="C30" s="45">
        <v>1026.8800000000001</v>
      </c>
      <c r="D30" s="38">
        <f t="shared" si="0"/>
        <v>1.2742120004734212E-2</v>
      </c>
      <c r="E30" s="3"/>
    </row>
    <row r="31" spans="1:5" ht="15.75" customHeight="1" x14ac:dyDescent="0.3">
      <c r="C31" s="45">
        <v>1016.01</v>
      </c>
      <c r="D31" s="38">
        <f t="shared" si="0"/>
        <v>2.0217760069432544E-3</v>
      </c>
      <c r="E31" s="3"/>
    </row>
    <row r="32" spans="1:5" ht="15.75" customHeight="1" x14ac:dyDescent="0.3">
      <c r="C32" s="45">
        <v>1032.9000000000001</v>
      </c>
      <c r="D32" s="38">
        <f t="shared" si="0"/>
        <v>1.8679237839757275E-2</v>
      </c>
      <c r="E32" s="3"/>
    </row>
    <row r="33" spans="1:7" ht="15.75" customHeight="1" x14ac:dyDescent="0.3">
      <c r="C33" s="45">
        <v>1008.75</v>
      </c>
      <c r="D33" s="38">
        <f t="shared" si="0"/>
        <v>-5.138269754230749E-3</v>
      </c>
      <c r="E33" s="3"/>
    </row>
    <row r="34" spans="1:7" ht="15.75" customHeight="1" x14ac:dyDescent="0.3">
      <c r="C34" s="45">
        <v>1018.1</v>
      </c>
      <c r="D34" s="38">
        <f t="shared" si="0"/>
        <v>4.083001301826714E-3</v>
      </c>
      <c r="E34" s="3"/>
    </row>
    <row r="35" spans="1:7" ht="15.75" customHeight="1" x14ac:dyDescent="0.3">
      <c r="C35" s="45">
        <v>1027.3</v>
      </c>
      <c r="D35" s="38">
        <f t="shared" si="0"/>
        <v>1.3156337528107763E-2</v>
      </c>
      <c r="E35" s="3"/>
    </row>
    <row r="36" spans="1:7" ht="15.75" customHeight="1" x14ac:dyDescent="0.3">
      <c r="C36" s="45">
        <v>1002.18</v>
      </c>
      <c r="D36" s="38">
        <f t="shared" si="0"/>
        <v>-1.1617815298433726E-2</v>
      </c>
      <c r="E36" s="3"/>
    </row>
    <row r="37" spans="1:7" ht="15.75" customHeight="1" x14ac:dyDescent="0.3">
      <c r="C37" s="45">
        <v>1020.31</v>
      </c>
      <c r="D37" s="38">
        <f t="shared" si="0"/>
        <v>6.2625744605311236E-3</v>
      </c>
      <c r="E37" s="3"/>
    </row>
    <row r="38" spans="1:7" ht="15.75" customHeight="1" x14ac:dyDescent="0.3">
      <c r="C38" s="45">
        <v>1006.2</v>
      </c>
      <c r="D38" s="38">
        <f t="shared" si="0"/>
        <v>-7.6531618604281874E-3</v>
      </c>
      <c r="E38" s="3"/>
    </row>
    <row r="39" spans="1:7" ht="15.75" customHeight="1" x14ac:dyDescent="0.3">
      <c r="C39" s="45">
        <v>993.87</v>
      </c>
      <c r="D39" s="38">
        <f t="shared" si="0"/>
        <v>-1.9813404868041944E-2</v>
      </c>
      <c r="E39" s="3"/>
    </row>
    <row r="40" spans="1:7" ht="15.75" customHeight="1" x14ac:dyDescent="0.3">
      <c r="C40" s="45">
        <v>1030.54</v>
      </c>
      <c r="D40" s="38">
        <f t="shared" si="0"/>
        <v>1.635172985127634E-2</v>
      </c>
      <c r="E40" s="3"/>
    </row>
    <row r="41" spans="1:7" ht="15.75" customHeight="1" x14ac:dyDescent="0.3">
      <c r="C41" s="45">
        <v>1030.53</v>
      </c>
      <c r="D41" s="38">
        <f t="shared" si="0"/>
        <v>1.634186752929126E-2</v>
      </c>
      <c r="E41" s="3"/>
    </row>
    <row r="42" spans="1:7" ht="15.75" customHeight="1" x14ac:dyDescent="0.3">
      <c r="C42" s="45">
        <v>1011.05</v>
      </c>
      <c r="D42" s="38">
        <f t="shared" si="0"/>
        <v>-2.8699356976605141E-3</v>
      </c>
      <c r="E42" s="3"/>
    </row>
    <row r="43" spans="1:7" ht="16.5" customHeight="1" x14ac:dyDescent="0.3">
      <c r="C43" s="46">
        <v>1002.78</v>
      </c>
      <c r="D43" s="39">
        <f t="shared" si="0"/>
        <v>-1.1026075979328413E-2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17</v>
      </c>
      <c r="C45" s="33">
        <f>SUM(C24:C44)</f>
        <v>20279.199999999997</v>
      </c>
      <c r="D45" s="28"/>
      <c r="E45" s="4"/>
    </row>
    <row r="46" spans="1:7" ht="17.25" customHeight="1" x14ac:dyDescent="0.3">
      <c r="B46" s="32" t="s">
        <v>18</v>
      </c>
      <c r="C46" s="34">
        <f>AVERAGE(C24:C44)</f>
        <v>1013.9599999999998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18</v>
      </c>
      <c r="C48" s="35" t="s">
        <v>19</v>
      </c>
      <c r="D48" s="30"/>
      <c r="G48" s="8"/>
    </row>
    <row r="49" spans="1:6" ht="17.25" customHeight="1" x14ac:dyDescent="0.3">
      <c r="B49" s="231">
        <f>C46</f>
        <v>1013.9599999999998</v>
      </c>
      <c r="C49" s="43">
        <f>-IF(C46&lt;=80,10%,IF(C46&lt;250,7.5%,5%))</f>
        <v>-0.05</v>
      </c>
      <c r="D49" s="31">
        <f>IF(C46&lt;=80,C46*0.9,IF(C46&lt;250,C46*0.925,C46*0.95))</f>
        <v>963.26199999999983</v>
      </c>
    </row>
    <row r="50" spans="1:6" ht="17.25" customHeight="1" x14ac:dyDescent="0.3">
      <c r="B50" s="232"/>
      <c r="C50" s="44">
        <f>IF(C46&lt;=80, 10%, IF(C46&lt;250, 7.5%, 5%))</f>
        <v>0.05</v>
      </c>
      <c r="D50" s="31">
        <f>IF(C46&lt;=80, C46*1.1, IF(C46&lt;250, C46*1.075, C46*1.05))</f>
        <v>1064.6579999999999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20</v>
      </c>
      <c r="C52" s="17"/>
      <c r="D52" s="18" t="s">
        <v>21</v>
      </c>
      <c r="E52" s="19"/>
      <c r="F52" s="18" t="s">
        <v>22</v>
      </c>
    </row>
    <row r="53" spans="1:6" ht="34.5" customHeight="1" x14ac:dyDescent="0.3">
      <c r="A53" s="20" t="s">
        <v>23</v>
      </c>
      <c r="B53" s="21" t="s">
        <v>108</v>
      </c>
      <c r="C53" s="22"/>
      <c r="D53" s="277">
        <v>42075</v>
      </c>
      <c r="E53" s="11"/>
      <c r="F53" s="23"/>
    </row>
    <row r="54" spans="1:6" ht="34.5" customHeight="1" x14ac:dyDescent="0.3">
      <c r="A54" s="20" t="s">
        <v>24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topLeftCell="A31" zoomScale="59" zoomScaleNormal="59" workbookViewId="0">
      <selection activeCell="G123" sqref="G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8"/>
    </row>
    <row r="16" spans="1:8" ht="19.5" customHeight="1" x14ac:dyDescent="0.3">
      <c r="A16" s="271" t="s">
        <v>0</v>
      </c>
      <c r="B16" s="272"/>
      <c r="C16" s="272"/>
      <c r="D16" s="272"/>
      <c r="E16" s="272"/>
      <c r="F16" s="272"/>
      <c r="G16" s="272"/>
      <c r="H16" s="273"/>
    </row>
    <row r="17" spans="1:14" ht="20.25" customHeight="1" x14ac:dyDescent="0.25">
      <c r="A17" s="274" t="s">
        <v>25</v>
      </c>
      <c r="B17" s="274"/>
      <c r="C17" s="274"/>
      <c r="D17" s="274"/>
      <c r="E17" s="274"/>
      <c r="F17" s="274"/>
      <c r="G17" s="274"/>
      <c r="H17" s="274"/>
    </row>
    <row r="18" spans="1:14" ht="26.25" customHeight="1" x14ac:dyDescent="0.4">
      <c r="A18" s="50" t="s">
        <v>5</v>
      </c>
      <c r="B18" s="270" t="s">
        <v>1</v>
      </c>
      <c r="C18" s="270"/>
      <c r="D18" s="227"/>
      <c r="E18" s="51"/>
      <c r="F18" s="52"/>
      <c r="G18" s="52"/>
      <c r="H18" s="52"/>
    </row>
    <row r="19" spans="1:14" ht="26.25" customHeight="1" x14ac:dyDescent="0.4">
      <c r="A19" s="50" t="s">
        <v>7</v>
      </c>
      <c r="B19" s="53" t="s">
        <v>3</v>
      </c>
      <c r="C19" s="52">
        <v>1</v>
      </c>
      <c r="D19" s="52"/>
      <c r="E19" s="52"/>
      <c r="F19" s="52"/>
      <c r="G19" s="52"/>
      <c r="H19" s="52"/>
    </row>
    <row r="20" spans="1:14" ht="26.25" customHeight="1" x14ac:dyDescent="0.4">
      <c r="A20" s="50" t="s">
        <v>9</v>
      </c>
      <c r="B20" s="275" t="s">
        <v>4</v>
      </c>
      <c r="C20" s="275"/>
      <c r="D20" s="52"/>
      <c r="E20" s="52"/>
      <c r="F20" s="52"/>
      <c r="G20" s="52"/>
      <c r="H20" s="52"/>
    </row>
    <row r="21" spans="1:14" ht="26.25" customHeight="1" x14ac:dyDescent="0.4">
      <c r="A21" s="50" t="s">
        <v>10</v>
      </c>
      <c r="B21" s="275" t="s">
        <v>6</v>
      </c>
      <c r="C21" s="275"/>
      <c r="D21" s="275"/>
      <c r="E21" s="275"/>
      <c r="F21" s="275"/>
      <c r="G21" s="275"/>
      <c r="H21" s="275"/>
      <c r="I21" s="54"/>
    </row>
    <row r="22" spans="1:14" ht="26.25" customHeight="1" x14ac:dyDescent="0.4">
      <c r="A22" s="50" t="s">
        <v>11</v>
      </c>
      <c r="B22" s="55">
        <v>42075.575694444444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12</v>
      </c>
      <c r="B23" s="55">
        <v>42075</v>
      </c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13</v>
      </c>
      <c r="B25" s="56"/>
    </row>
    <row r="26" spans="1:14" ht="26.25" customHeight="1" x14ac:dyDescent="0.4">
      <c r="A26" s="58" t="s">
        <v>26</v>
      </c>
      <c r="B26" s="270" t="s">
        <v>27</v>
      </c>
      <c r="C26" s="270"/>
    </row>
    <row r="27" spans="1:14" ht="26.25" customHeight="1" x14ac:dyDescent="0.4">
      <c r="A27" s="59" t="s">
        <v>28</v>
      </c>
      <c r="B27" s="268" t="s">
        <v>107</v>
      </c>
      <c r="C27" s="268"/>
    </row>
    <row r="28" spans="1:14" ht="27" customHeight="1" x14ac:dyDescent="0.4">
      <c r="A28" s="59" t="s">
        <v>29</v>
      </c>
      <c r="B28" s="60">
        <v>99.5</v>
      </c>
    </row>
    <row r="29" spans="1:14" s="15" customFormat="1" ht="27" customHeight="1" x14ac:dyDescent="0.4">
      <c r="A29" s="59" t="s">
        <v>30</v>
      </c>
      <c r="B29" s="61">
        <v>0</v>
      </c>
      <c r="C29" s="245" t="s">
        <v>31</v>
      </c>
      <c r="D29" s="246"/>
      <c r="E29" s="246"/>
      <c r="F29" s="246"/>
      <c r="G29" s="247"/>
      <c r="I29" s="62"/>
      <c r="J29" s="62"/>
      <c r="K29" s="62"/>
      <c r="L29" s="62"/>
    </row>
    <row r="30" spans="1:14" s="15" customFormat="1" ht="19.5" customHeight="1" x14ac:dyDescent="0.3">
      <c r="A30" s="59" t="s">
        <v>32</v>
      </c>
      <c r="B30" s="63">
        <f>B28-B29</f>
        <v>99.5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5" customFormat="1" ht="27" customHeight="1" x14ac:dyDescent="0.4">
      <c r="A31" s="59" t="s">
        <v>33</v>
      </c>
      <c r="B31" s="66">
        <v>1</v>
      </c>
      <c r="C31" s="248" t="s">
        <v>34</v>
      </c>
      <c r="D31" s="249"/>
      <c r="E31" s="249"/>
      <c r="F31" s="249"/>
      <c r="G31" s="249"/>
      <c r="H31" s="250"/>
      <c r="I31" s="62"/>
      <c r="J31" s="62"/>
      <c r="K31" s="62"/>
      <c r="L31" s="62"/>
    </row>
    <row r="32" spans="1:14" s="15" customFormat="1" ht="27" customHeight="1" x14ac:dyDescent="0.4">
      <c r="A32" s="59" t="s">
        <v>35</v>
      </c>
      <c r="B32" s="66">
        <v>1</v>
      </c>
      <c r="C32" s="248" t="s">
        <v>36</v>
      </c>
      <c r="D32" s="249"/>
      <c r="E32" s="249"/>
      <c r="F32" s="249"/>
      <c r="G32" s="249"/>
      <c r="H32" s="250"/>
      <c r="I32" s="62"/>
      <c r="J32" s="62"/>
      <c r="K32" s="62"/>
      <c r="L32" s="67"/>
      <c r="M32" s="67"/>
      <c r="N32" s="68"/>
    </row>
    <row r="33" spans="1:14" s="15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5" customFormat="1" ht="18.75" x14ac:dyDescent="0.3">
      <c r="A34" s="59" t="s">
        <v>37</v>
      </c>
      <c r="B34" s="71">
        <f>B31/B32</f>
        <v>1</v>
      </c>
      <c r="C34" s="49" t="s">
        <v>38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15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15" customFormat="1" ht="27" customHeight="1" x14ac:dyDescent="0.4">
      <c r="A36" s="72" t="s">
        <v>39</v>
      </c>
      <c r="B36" s="73">
        <v>50</v>
      </c>
      <c r="C36" s="49"/>
      <c r="D36" s="251" t="s">
        <v>40</v>
      </c>
      <c r="E36" s="269"/>
      <c r="F36" s="251" t="s">
        <v>41</v>
      </c>
      <c r="G36" s="252"/>
      <c r="J36" s="62"/>
      <c r="K36" s="62"/>
      <c r="L36" s="67"/>
      <c r="M36" s="67"/>
      <c r="N36" s="68"/>
    </row>
    <row r="37" spans="1:14" s="15" customFormat="1" ht="27" customHeight="1" x14ac:dyDescent="0.4">
      <c r="A37" s="74" t="s">
        <v>42</v>
      </c>
      <c r="B37" s="75">
        <v>2</v>
      </c>
      <c r="C37" s="76" t="s">
        <v>43</v>
      </c>
      <c r="D37" s="77" t="s">
        <v>44</v>
      </c>
      <c r="E37" s="78" t="s">
        <v>45</v>
      </c>
      <c r="F37" s="77" t="s">
        <v>44</v>
      </c>
      <c r="G37" s="79" t="s">
        <v>45</v>
      </c>
      <c r="I37" s="80" t="s">
        <v>46</v>
      </c>
      <c r="J37" s="62"/>
      <c r="K37" s="62"/>
      <c r="L37" s="67"/>
      <c r="M37" s="67"/>
      <c r="N37" s="68"/>
    </row>
    <row r="38" spans="1:14" s="15" customFormat="1" ht="26.25" customHeight="1" x14ac:dyDescent="0.4">
      <c r="A38" s="74" t="s">
        <v>47</v>
      </c>
      <c r="B38" s="75">
        <v>100</v>
      </c>
      <c r="C38" s="81">
        <v>1</v>
      </c>
      <c r="D38" s="82">
        <v>0.82899999999999996</v>
      </c>
      <c r="E38" s="83">
        <f>IF(ISBLANK(D38),"-",$D$48/$D$45*D38)</f>
        <v>0.78275632200838829</v>
      </c>
      <c r="F38" s="82">
        <v>0.80300000000000005</v>
      </c>
      <c r="G38" s="84">
        <f>IF(ISBLANK(F38),"-",$D$48/$F$45*F38)</f>
        <v>0.7987284005140507</v>
      </c>
      <c r="I38" s="85"/>
      <c r="J38" s="62"/>
      <c r="K38" s="62"/>
      <c r="L38" s="67"/>
      <c r="M38" s="67"/>
      <c r="N38" s="68"/>
    </row>
    <row r="39" spans="1:14" s="15" customFormat="1" ht="26.25" customHeight="1" x14ac:dyDescent="0.4">
      <c r="A39" s="74" t="s">
        <v>48</v>
      </c>
      <c r="B39" s="75">
        <v>1</v>
      </c>
      <c r="C39" s="86">
        <v>2</v>
      </c>
      <c r="D39" s="87">
        <v>0.83599999999999997</v>
      </c>
      <c r="E39" s="88">
        <f>IF(ISBLANK(D39),"-",$D$48/$D$45*D39)</f>
        <v>0.78936584463089587</v>
      </c>
      <c r="F39" s="87">
        <v>0.80600000000000005</v>
      </c>
      <c r="G39" s="89">
        <f>IF(ISBLANK(F39),"-",$D$48/$F$45*F39)</f>
        <v>0.8017124418609276</v>
      </c>
      <c r="I39" s="253">
        <f>ABS((F43/D43*D42)-F42)/D42</f>
        <v>1.3903343644475711E-2</v>
      </c>
      <c r="J39" s="62"/>
      <c r="K39" s="62"/>
      <c r="L39" s="67"/>
      <c r="M39" s="67"/>
      <c r="N39" s="68"/>
    </row>
    <row r="40" spans="1:14" ht="26.25" customHeight="1" x14ac:dyDescent="0.4">
      <c r="A40" s="74" t="s">
        <v>49</v>
      </c>
      <c r="B40" s="75">
        <v>1</v>
      </c>
      <c r="C40" s="86">
        <v>3</v>
      </c>
      <c r="D40" s="87">
        <v>0.83299999999999996</v>
      </c>
      <c r="E40" s="88">
        <f>IF(ISBLANK(D40),"-",$D$48/$D$45*D40)</f>
        <v>0.78653319207839267</v>
      </c>
      <c r="F40" s="87">
        <v>0.79700000000000004</v>
      </c>
      <c r="G40" s="89">
        <f>IF(ISBLANK(F40),"-",$D$48/$F$45*F40)</f>
        <v>0.79276031782029688</v>
      </c>
      <c r="I40" s="253"/>
      <c r="L40" s="67"/>
      <c r="M40" s="67"/>
      <c r="N40" s="90"/>
    </row>
    <row r="41" spans="1:14" ht="27" customHeight="1" x14ac:dyDescent="0.4">
      <c r="A41" s="74" t="s">
        <v>50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">
      <c r="A42" s="74" t="s">
        <v>51</v>
      </c>
      <c r="B42" s="75">
        <v>1</v>
      </c>
      <c r="C42" s="96" t="s">
        <v>52</v>
      </c>
      <c r="D42" s="97">
        <f>AVERAGE(D38:D41)</f>
        <v>0.83266666666666678</v>
      </c>
      <c r="E42" s="98">
        <f>AVERAGE(E38:E41)</f>
        <v>0.78621845290589221</v>
      </c>
      <c r="F42" s="97">
        <f>AVERAGE(F38:F41)</f>
        <v>0.80200000000000005</v>
      </c>
      <c r="G42" s="99">
        <f>AVERAGE(G38:G41)</f>
        <v>0.79773372006509169</v>
      </c>
      <c r="H42" s="100"/>
    </row>
    <row r="43" spans="1:14" ht="26.25" customHeight="1" x14ac:dyDescent="0.4">
      <c r="A43" s="74" t="s">
        <v>53</v>
      </c>
      <c r="B43" s="75">
        <v>1</v>
      </c>
      <c r="C43" s="101" t="s">
        <v>54</v>
      </c>
      <c r="D43" s="102">
        <v>26.61</v>
      </c>
      <c r="E43" s="90"/>
      <c r="F43" s="102">
        <v>25.26</v>
      </c>
      <c r="H43" s="100"/>
    </row>
    <row r="44" spans="1:14" ht="26.25" customHeight="1" x14ac:dyDescent="0.4">
      <c r="A44" s="74" t="s">
        <v>55</v>
      </c>
      <c r="B44" s="75">
        <v>1</v>
      </c>
      <c r="C44" s="103" t="s">
        <v>56</v>
      </c>
      <c r="D44" s="104">
        <f>D43*$B$34</f>
        <v>26.61</v>
      </c>
      <c r="E44" s="105"/>
      <c r="F44" s="104">
        <f>F43*$B$34</f>
        <v>25.26</v>
      </c>
      <c r="H44" s="100"/>
    </row>
    <row r="45" spans="1:14" ht="19.5" customHeight="1" x14ac:dyDescent="0.3">
      <c r="A45" s="74" t="s">
        <v>57</v>
      </c>
      <c r="B45" s="106">
        <f>(B44/B43)*(B42/B41)*(B40/B39)*(B38/B37)*B36</f>
        <v>2500</v>
      </c>
      <c r="C45" s="103" t="s">
        <v>58</v>
      </c>
      <c r="D45" s="107">
        <f>D44*$B$30/100</f>
        <v>26.476950000000002</v>
      </c>
      <c r="E45" s="108"/>
      <c r="F45" s="107">
        <f>F44*$B$30/100</f>
        <v>25.133700000000005</v>
      </c>
      <c r="H45" s="100"/>
    </row>
    <row r="46" spans="1:14" ht="19.5" customHeight="1" x14ac:dyDescent="0.3">
      <c r="A46" s="239" t="s">
        <v>59</v>
      </c>
      <c r="B46" s="240"/>
      <c r="C46" s="103" t="s">
        <v>60</v>
      </c>
      <c r="D46" s="109">
        <f>D45/$B$45</f>
        <v>1.0590780000000001E-2</v>
      </c>
      <c r="E46" s="110"/>
      <c r="F46" s="111">
        <f>F45/$B$45</f>
        <v>1.0053480000000002E-2</v>
      </c>
      <c r="H46" s="100"/>
    </row>
    <row r="47" spans="1:14" ht="27" customHeight="1" x14ac:dyDescent="0.4">
      <c r="A47" s="241"/>
      <c r="B47" s="242"/>
      <c r="C47" s="112" t="s">
        <v>61</v>
      </c>
      <c r="D47" s="113">
        <f>25/50*2/100</f>
        <v>0.01</v>
      </c>
      <c r="E47" s="114"/>
      <c r="F47" s="110"/>
      <c r="H47" s="100"/>
    </row>
    <row r="48" spans="1:14" ht="18.75" x14ac:dyDescent="0.3">
      <c r="C48" s="115" t="s">
        <v>62</v>
      </c>
      <c r="D48" s="107">
        <f>D47*$B$45</f>
        <v>25</v>
      </c>
      <c r="F48" s="116"/>
      <c r="H48" s="100"/>
    </row>
    <row r="49" spans="1:12" ht="19.5" customHeight="1" x14ac:dyDescent="0.3">
      <c r="C49" s="117" t="s">
        <v>63</v>
      </c>
      <c r="D49" s="118">
        <f>D48/B34</f>
        <v>25</v>
      </c>
      <c r="F49" s="116"/>
      <c r="H49" s="100"/>
    </row>
    <row r="50" spans="1:12" ht="18.75" x14ac:dyDescent="0.3">
      <c r="C50" s="72" t="s">
        <v>64</v>
      </c>
      <c r="D50" s="119">
        <f>AVERAGE(E38:E41,G38:G41)</f>
        <v>0.791976086485492</v>
      </c>
      <c r="F50" s="120"/>
      <c r="H50" s="100"/>
    </row>
    <row r="51" spans="1:12" ht="18.75" x14ac:dyDescent="0.3">
      <c r="C51" s="74" t="s">
        <v>65</v>
      </c>
      <c r="D51" s="121">
        <f>STDEV(E38:E41,G38:G41)/D50</f>
        <v>9.1479646840975995E-3</v>
      </c>
      <c r="F51" s="120"/>
      <c r="H51" s="100"/>
    </row>
    <row r="52" spans="1:12" ht="19.5" customHeight="1" x14ac:dyDescent="0.3">
      <c r="C52" s="122" t="s">
        <v>66</v>
      </c>
      <c r="D52" s="123">
        <f>COUNT(E38:E41,G38:G41)</f>
        <v>6</v>
      </c>
      <c r="F52" s="120"/>
    </row>
    <row r="54" spans="1:12" ht="18.75" x14ac:dyDescent="0.3">
      <c r="A54" s="124" t="s">
        <v>13</v>
      </c>
      <c r="B54" s="125" t="s">
        <v>67</v>
      </c>
    </row>
    <row r="55" spans="1:12" ht="18.75" x14ac:dyDescent="0.3">
      <c r="A55" s="49" t="s">
        <v>68</v>
      </c>
      <c r="B55" s="126" t="str">
        <f>B21</f>
        <v>Metformin Hydrochloride USP 850mg</v>
      </c>
    </row>
    <row r="56" spans="1:12" ht="26.25" customHeight="1" x14ac:dyDescent="0.4">
      <c r="A56" s="127" t="s">
        <v>69</v>
      </c>
      <c r="B56" s="128">
        <v>850</v>
      </c>
      <c r="C56" s="49" t="str">
        <f>B20</f>
        <v>Metformin</v>
      </c>
      <c r="H56" s="129"/>
    </row>
    <row r="57" spans="1:12" ht="18.75" x14ac:dyDescent="0.3">
      <c r="A57" s="126" t="s">
        <v>70</v>
      </c>
      <c r="B57" s="130">
        <f>Uniformity!C46</f>
        <v>1013.9599999999998</v>
      </c>
      <c r="H57" s="129"/>
    </row>
    <row r="58" spans="1:12" ht="19.5" customHeight="1" x14ac:dyDescent="0.3">
      <c r="H58" s="129"/>
    </row>
    <row r="59" spans="1:12" s="15" customFormat="1" ht="27" customHeight="1" x14ac:dyDescent="0.4">
      <c r="A59" s="72" t="s">
        <v>71</v>
      </c>
      <c r="B59" s="73">
        <v>50</v>
      </c>
      <c r="C59" s="49"/>
      <c r="D59" s="131" t="s">
        <v>72</v>
      </c>
      <c r="E59" s="132" t="s">
        <v>43</v>
      </c>
      <c r="F59" s="132" t="s">
        <v>44</v>
      </c>
      <c r="G59" s="132" t="s">
        <v>73</v>
      </c>
      <c r="H59" s="76" t="s">
        <v>74</v>
      </c>
      <c r="L59" s="62"/>
    </row>
    <row r="60" spans="1:12" s="15" customFormat="1" ht="26.25" customHeight="1" x14ac:dyDescent="0.4">
      <c r="A60" s="74" t="s">
        <v>75</v>
      </c>
      <c r="B60" s="75">
        <v>2</v>
      </c>
      <c r="C60" s="256" t="s">
        <v>76</v>
      </c>
      <c r="D60" s="259">
        <v>27.85</v>
      </c>
      <c r="E60" s="133">
        <v>1</v>
      </c>
      <c r="F60" s="134">
        <v>0.753</v>
      </c>
      <c r="G60" s="135">
        <f>IF(ISBLANK(F60),"-",(F60/$D$50*$D$47*$B$68)*($B$57/$D$60))</f>
        <v>865.40328559960494</v>
      </c>
      <c r="H60" s="136">
        <f t="shared" ref="H60:H71" si="0">IF(ISBLANK(F60),"-",G60/$B$56)</f>
        <v>1.0181215124701235</v>
      </c>
      <c r="L60" s="62"/>
    </row>
    <row r="61" spans="1:12" s="15" customFormat="1" ht="26.25" customHeight="1" x14ac:dyDescent="0.4">
      <c r="A61" s="74" t="s">
        <v>77</v>
      </c>
      <c r="B61" s="75">
        <v>100</v>
      </c>
      <c r="C61" s="257"/>
      <c r="D61" s="260"/>
      <c r="E61" s="137">
        <v>2</v>
      </c>
      <c r="F61" s="87">
        <v>0.745</v>
      </c>
      <c r="G61" s="138">
        <f>IF(ISBLANK(F61),"-",(F61/$D$50*$D$47*$B$68)*($B$57/$D$60))</f>
        <v>856.20909398632875</v>
      </c>
      <c r="H61" s="139">
        <f t="shared" si="0"/>
        <v>1.0073048164545044</v>
      </c>
      <c r="L61" s="62"/>
    </row>
    <row r="62" spans="1:12" s="15" customFormat="1" ht="26.25" customHeight="1" x14ac:dyDescent="0.4">
      <c r="A62" s="74" t="s">
        <v>78</v>
      </c>
      <c r="B62" s="75">
        <v>1</v>
      </c>
      <c r="C62" s="257"/>
      <c r="D62" s="260"/>
      <c r="E62" s="137">
        <v>3</v>
      </c>
      <c r="F62" s="228">
        <v>0.74099999999999999</v>
      </c>
      <c r="G62" s="138">
        <f>IF(ISBLANK(F62),"-",(F62/$D$50*$D$47*$B$68)*($B$57/$D$60))</f>
        <v>851.61199817969077</v>
      </c>
      <c r="H62" s="139">
        <f t="shared" si="0"/>
        <v>1.0018964684466951</v>
      </c>
      <c r="L62" s="62"/>
    </row>
    <row r="63" spans="1:12" ht="27" customHeight="1" x14ac:dyDescent="0.4">
      <c r="A63" s="74" t="s">
        <v>79</v>
      </c>
      <c r="B63" s="75">
        <v>1</v>
      </c>
      <c r="C63" s="267"/>
      <c r="D63" s="261"/>
      <c r="E63" s="140">
        <v>4</v>
      </c>
      <c r="F63" s="141"/>
      <c r="G63" s="138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4" t="s">
        <v>80</v>
      </c>
      <c r="B64" s="75">
        <v>1</v>
      </c>
      <c r="C64" s="256" t="s">
        <v>81</v>
      </c>
      <c r="D64" s="259">
        <v>30.38</v>
      </c>
      <c r="E64" s="133">
        <v>1</v>
      </c>
      <c r="F64" s="134">
        <v>0.81</v>
      </c>
      <c r="G64" s="142">
        <f>IF(ISBLANK(F64),"-",(F64/$D$50*$D$47*$B$68)*($B$57/$D$64))</f>
        <v>853.38697954282009</v>
      </c>
      <c r="H64" s="143">
        <f t="shared" si="0"/>
        <v>1.0039846818150824</v>
      </c>
    </row>
    <row r="65" spans="1:8" ht="26.25" customHeight="1" x14ac:dyDescent="0.4">
      <c r="A65" s="74" t="s">
        <v>82</v>
      </c>
      <c r="B65" s="75">
        <v>1</v>
      </c>
      <c r="C65" s="257"/>
      <c r="D65" s="260"/>
      <c r="E65" s="137">
        <v>2</v>
      </c>
      <c r="F65" s="87">
        <v>0.80300000000000005</v>
      </c>
      <c r="G65" s="144">
        <f>IF(ISBLANK(F65),"-",(F65/$D$50*$D$47*$B$68)*($B$57/$D$64))</f>
        <v>846.01203033689455</v>
      </c>
      <c r="H65" s="145">
        <f t="shared" si="0"/>
        <v>0.99530827098458186</v>
      </c>
    </row>
    <row r="66" spans="1:8" ht="26.25" customHeight="1" x14ac:dyDescent="0.4">
      <c r="A66" s="74" t="s">
        <v>83</v>
      </c>
      <c r="B66" s="75">
        <v>1</v>
      </c>
      <c r="C66" s="257"/>
      <c r="D66" s="260"/>
      <c r="E66" s="137">
        <v>3</v>
      </c>
      <c r="F66" s="87">
        <v>0.80600000000000005</v>
      </c>
      <c r="G66" s="144">
        <f>IF(ISBLANK(F66),"-",(F66/$D$50*$D$47*$B$68)*($B$57/$D$64))</f>
        <v>849.17272285371962</v>
      </c>
      <c r="H66" s="145">
        <f t="shared" si="0"/>
        <v>0.99902673276908194</v>
      </c>
    </row>
    <row r="67" spans="1:8" ht="27" customHeight="1" x14ac:dyDescent="0.4">
      <c r="A67" s="74" t="s">
        <v>84</v>
      </c>
      <c r="B67" s="75">
        <v>1</v>
      </c>
      <c r="C67" s="267"/>
      <c r="D67" s="261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4" t="s">
        <v>85</v>
      </c>
      <c r="B68" s="148">
        <f>(B67/B66)*(B65/B64)*(B63/B62)*(B61/B60)*B59</f>
        <v>2500</v>
      </c>
      <c r="C68" s="256" t="s">
        <v>86</v>
      </c>
      <c r="D68" s="259">
        <v>28.9</v>
      </c>
      <c r="E68" s="133">
        <v>1</v>
      </c>
      <c r="F68" s="134">
        <v>0.78300000000000003</v>
      </c>
      <c r="G68" s="142">
        <f>IF(ISBLANK(F68),"-",(F68/$D$50*$D$47*$B$68)*($B$57/$D$68))</f>
        <v>867.1868474242392</v>
      </c>
      <c r="H68" s="139">
        <f t="shared" si="0"/>
        <v>1.0202198204991049</v>
      </c>
    </row>
    <row r="69" spans="1:8" ht="27" customHeight="1" x14ac:dyDescent="0.4">
      <c r="A69" s="122" t="s">
        <v>87</v>
      </c>
      <c r="B69" s="149">
        <f>(D47*B68)/B56*B57</f>
        <v>29.822352941176465</v>
      </c>
      <c r="C69" s="257"/>
      <c r="D69" s="260"/>
      <c r="E69" s="137">
        <v>2</v>
      </c>
      <c r="F69" s="87">
        <v>0.77700000000000002</v>
      </c>
      <c r="G69" s="144">
        <f>IF(ISBLANK(F69),"-",(F69/$D$50*$D$47*$B$68)*($B$57/$D$68))</f>
        <v>860.54173748229118</v>
      </c>
      <c r="H69" s="139">
        <f t="shared" si="0"/>
        <v>1.0124020440968131</v>
      </c>
    </row>
    <row r="70" spans="1:8" ht="26.25" customHeight="1" x14ac:dyDescent="0.4">
      <c r="A70" s="262" t="s">
        <v>59</v>
      </c>
      <c r="B70" s="263"/>
      <c r="C70" s="257"/>
      <c r="D70" s="260"/>
      <c r="E70" s="137">
        <v>3</v>
      </c>
      <c r="F70" s="87">
        <v>0.77800000000000002</v>
      </c>
      <c r="G70" s="144">
        <f>IF(ISBLANK(F70),"-",(F70/$D$50*$D$47*$B$68)*($B$57/$D$68))</f>
        <v>861.64925580594911</v>
      </c>
      <c r="H70" s="139">
        <f t="shared" si="0"/>
        <v>1.0137050068305284</v>
      </c>
    </row>
    <row r="71" spans="1:8" ht="27" customHeight="1" x14ac:dyDescent="0.4">
      <c r="A71" s="264"/>
      <c r="B71" s="265"/>
      <c r="C71" s="258"/>
      <c r="D71" s="261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52"/>
      <c r="G72" s="153" t="s">
        <v>52</v>
      </c>
      <c r="H72" s="154">
        <f>AVERAGE(H60:H71)</f>
        <v>1.0079965949296128</v>
      </c>
    </row>
    <row r="73" spans="1:8" ht="26.25" customHeight="1" x14ac:dyDescent="0.4">
      <c r="C73" s="151"/>
      <c r="D73" s="151"/>
      <c r="E73" s="151"/>
      <c r="F73" s="152"/>
      <c r="G73" s="155" t="s">
        <v>65</v>
      </c>
      <c r="H73" s="156">
        <f>STDEV(H60:H71)/H72</f>
        <v>8.5854822943506378E-3</v>
      </c>
    </row>
    <row r="74" spans="1:8" ht="27" customHeight="1" x14ac:dyDescent="0.4">
      <c r="A74" s="151"/>
      <c r="B74" s="151"/>
      <c r="C74" s="152"/>
      <c r="D74" s="152"/>
      <c r="E74" s="157"/>
      <c r="F74" s="152"/>
      <c r="G74" s="158" t="s">
        <v>66</v>
      </c>
      <c r="H74" s="159">
        <f>COUNT(H60:H71)</f>
        <v>9</v>
      </c>
    </row>
    <row r="76" spans="1:8" ht="26.25" customHeight="1" x14ac:dyDescent="0.4">
      <c r="A76" s="58" t="s">
        <v>88</v>
      </c>
      <c r="B76" s="160" t="s">
        <v>89</v>
      </c>
      <c r="C76" s="243" t="str">
        <f>B20</f>
        <v>Metformin</v>
      </c>
      <c r="D76" s="243"/>
      <c r="E76" s="161" t="s">
        <v>90</v>
      </c>
      <c r="F76" s="161"/>
      <c r="G76" s="162">
        <f>H72</f>
        <v>1.0079965949296128</v>
      </c>
      <c r="H76" s="163"/>
    </row>
    <row r="77" spans="1:8" ht="18.75" x14ac:dyDescent="0.3">
      <c r="A77" s="57" t="s">
        <v>91</v>
      </c>
      <c r="B77" s="57" t="s">
        <v>92</v>
      </c>
    </row>
    <row r="78" spans="1:8" ht="18.75" x14ac:dyDescent="0.3">
      <c r="A78" s="57"/>
      <c r="B78" s="57"/>
    </row>
    <row r="79" spans="1:8" ht="26.25" customHeight="1" x14ac:dyDescent="0.4">
      <c r="A79" s="58" t="s">
        <v>26</v>
      </c>
      <c r="B79" s="266" t="str">
        <f>B26</f>
        <v>Metformin Hydrochloride</v>
      </c>
      <c r="C79" s="266"/>
    </row>
    <row r="80" spans="1:8" ht="26.25" customHeight="1" x14ac:dyDescent="0.4">
      <c r="A80" s="59" t="s">
        <v>28</v>
      </c>
      <c r="B80" s="266" t="str">
        <f>B27</f>
        <v>NQCL-WRS-M19-7</v>
      </c>
      <c r="C80" s="266"/>
    </row>
    <row r="81" spans="1:12" ht="27" customHeight="1" x14ac:dyDescent="0.4">
      <c r="A81" s="59" t="s">
        <v>29</v>
      </c>
      <c r="B81" s="164">
        <f>B28</f>
        <v>99.5</v>
      </c>
    </row>
    <row r="82" spans="1:12" s="15" customFormat="1" ht="27" customHeight="1" x14ac:dyDescent="0.4">
      <c r="A82" s="59" t="s">
        <v>30</v>
      </c>
      <c r="B82" s="61">
        <v>0</v>
      </c>
      <c r="C82" s="245" t="s">
        <v>31</v>
      </c>
      <c r="D82" s="246"/>
      <c r="E82" s="246"/>
      <c r="F82" s="246"/>
      <c r="G82" s="247"/>
      <c r="I82" s="62"/>
      <c r="J82" s="62"/>
      <c r="K82" s="62"/>
      <c r="L82" s="62"/>
    </row>
    <row r="83" spans="1:12" s="15" customFormat="1" ht="19.5" customHeight="1" x14ac:dyDescent="0.3">
      <c r="A83" s="59" t="s">
        <v>32</v>
      </c>
      <c r="B83" s="63">
        <f>B81-B82</f>
        <v>99.5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5" customFormat="1" ht="27" customHeight="1" x14ac:dyDescent="0.4">
      <c r="A84" s="59" t="s">
        <v>33</v>
      </c>
      <c r="B84" s="66">
        <v>1</v>
      </c>
      <c r="C84" s="248" t="s">
        <v>93</v>
      </c>
      <c r="D84" s="249"/>
      <c r="E84" s="249"/>
      <c r="F84" s="249"/>
      <c r="G84" s="249"/>
      <c r="H84" s="250"/>
      <c r="I84" s="62"/>
      <c r="J84" s="62"/>
      <c r="K84" s="62"/>
      <c r="L84" s="62"/>
    </row>
    <row r="85" spans="1:12" s="15" customFormat="1" ht="27" customHeight="1" x14ac:dyDescent="0.4">
      <c r="A85" s="59" t="s">
        <v>35</v>
      </c>
      <c r="B85" s="66">
        <v>1</v>
      </c>
      <c r="C85" s="248" t="s">
        <v>94</v>
      </c>
      <c r="D85" s="249"/>
      <c r="E85" s="249"/>
      <c r="F85" s="249"/>
      <c r="G85" s="249"/>
      <c r="H85" s="250"/>
      <c r="I85" s="62"/>
      <c r="J85" s="62"/>
      <c r="K85" s="62"/>
      <c r="L85" s="62"/>
    </row>
    <row r="86" spans="1:12" s="15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5" customFormat="1" ht="18.75" x14ac:dyDescent="0.3">
      <c r="A87" s="59" t="s">
        <v>37</v>
      </c>
      <c r="B87" s="71">
        <f>B84/B85</f>
        <v>1</v>
      </c>
      <c r="C87" s="49" t="s">
        <v>38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39</v>
      </c>
      <c r="B89" s="73">
        <v>50</v>
      </c>
      <c r="D89" s="165" t="s">
        <v>40</v>
      </c>
      <c r="E89" s="166"/>
      <c r="F89" s="251" t="s">
        <v>41</v>
      </c>
      <c r="G89" s="252"/>
    </row>
    <row r="90" spans="1:12" ht="27" customHeight="1" x14ac:dyDescent="0.4">
      <c r="A90" s="74" t="s">
        <v>42</v>
      </c>
      <c r="B90" s="75">
        <v>2</v>
      </c>
      <c r="C90" s="167" t="s">
        <v>43</v>
      </c>
      <c r="D90" s="77" t="s">
        <v>44</v>
      </c>
      <c r="E90" s="78" t="s">
        <v>45</v>
      </c>
      <c r="F90" s="77" t="s">
        <v>44</v>
      </c>
      <c r="G90" s="168" t="s">
        <v>45</v>
      </c>
      <c r="I90" s="80" t="s">
        <v>46</v>
      </c>
    </row>
    <row r="91" spans="1:12" ht="26.25" customHeight="1" x14ac:dyDescent="0.4">
      <c r="A91" s="74" t="s">
        <v>47</v>
      </c>
      <c r="B91" s="75">
        <v>100</v>
      </c>
      <c r="C91" s="169">
        <v>1</v>
      </c>
      <c r="D91" s="82">
        <v>0.82899999999999996</v>
      </c>
      <c r="E91" s="83">
        <f>IF(ISBLANK(D91),"-",$D$101/$D$98*D91)</f>
        <v>0.66534287370713008</v>
      </c>
      <c r="F91" s="82">
        <v>0.80300000000000005</v>
      </c>
      <c r="G91" s="84">
        <f>IF(ISBLANK(F91),"-",$D$101/$F$98*F91)</f>
        <v>0.67891914043694312</v>
      </c>
      <c r="I91" s="85"/>
    </row>
    <row r="92" spans="1:12" ht="26.25" customHeight="1" x14ac:dyDescent="0.4">
      <c r="A92" s="74" t="s">
        <v>48</v>
      </c>
      <c r="B92" s="75">
        <v>1</v>
      </c>
      <c r="C92" s="152">
        <v>2</v>
      </c>
      <c r="D92" s="87">
        <v>0.83599999999999997</v>
      </c>
      <c r="E92" s="88">
        <f>IF(ISBLANK(D92),"-",$D$101/$D$98*D92)</f>
        <v>0.67096096793626137</v>
      </c>
      <c r="F92" s="87">
        <v>0.80600000000000005</v>
      </c>
      <c r="G92" s="89">
        <f>IF(ISBLANK(F92),"-",$D$101/$F$98*F92)</f>
        <v>0.68145557558178849</v>
      </c>
      <c r="I92" s="253">
        <f>ABS((F96/D96*D95)-F95)/D95</f>
        <v>1.3903343644475711E-2</v>
      </c>
    </row>
    <row r="93" spans="1:12" ht="26.25" customHeight="1" x14ac:dyDescent="0.4">
      <c r="A93" s="74" t="s">
        <v>49</v>
      </c>
      <c r="B93" s="75">
        <v>1</v>
      </c>
      <c r="C93" s="152">
        <v>3</v>
      </c>
      <c r="D93" s="87">
        <v>0.83299999999999996</v>
      </c>
      <c r="E93" s="88">
        <f>IF(ISBLANK(D93),"-",$D$101/$D$98*D93)</f>
        <v>0.66855321326663364</v>
      </c>
      <c r="F93" s="87">
        <v>0.79700000000000004</v>
      </c>
      <c r="G93" s="89">
        <f>IF(ISBLANK(F93),"-",$D$101/$F$98*F93)</f>
        <v>0.6738462701472524</v>
      </c>
      <c r="I93" s="253"/>
    </row>
    <row r="94" spans="1:12" ht="27" customHeight="1" x14ac:dyDescent="0.4">
      <c r="A94" s="74" t="s">
        <v>50</v>
      </c>
      <c r="B94" s="75">
        <v>1</v>
      </c>
      <c r="C94" s="170">
        <v>4</v>
      </c>
      <c r="D94" s="92"/>
      <c r="E94" s="93" t="str">
        <f>IF(ISBLANK(D94),"-",$D$101/$D$98*D94)</f>
        <v>-</v>
      </c>
      <c r="F94" s="171"/>
      <c r="G94" s="94" t="str">
        <f>IF(ISBLANK(F94),"-",$D$101/$F$98*F94)</f>
        <v>-</v>
      </c>
      <c r="I94" s="95"/>
    </row>
    <row r="95" spans="1:12" ht="27" customHeight="1" x14ac:dyDescent="0.4">
      <c r="A95" s="74" t="s">
        <v>51</v>
      </c>
      <c r="B95" s="75">
        <v>1</v>
      </c>
      <c r="C95" s="172" t="s">
        <v>52</v>
      </c>
      <c r="D95" s="173">
        <f>AVERAGE(D91:D94)</f>
        <v>0.83266666666666678</v>
      </c>
      <c r="E95" s="98">
        <f>AVERAGE(E91:E94)</f>
        <v>0.6682856849700084</v>
      </c>
      <c r="F95" s="174">
        <f>AVERAGE(F91:F94)</f>
        <v>0.80200000000000005</v>
      </c>
      <c r="G95" s="175">
        <f>AVERAGE(G91:G94)</f>
        <v>0.67807366205532793</v>
      </c>
    </row>
    <row r="96" spans="1:12" ht="26.25" customHeight="1" x14ac:dyDescent="0.4">
      <c r="A96" s="74" t="s">
        <v>53</v>
      </c>
      <c r="B96" s="60">
        <v>1</v>
      </c>
      <c r="C96" s="176" t="s">
        <v>95</v>
      </c>
      <c r="D96" s="177">
        <v>26.61</v>
      </c>
      <c r="E96" s="90"/>
      <c r="F96" s="102">
        <v>25.26</v>
      </c>
    </row>
    <row r="97" spans="1:10" ht="26.25" customHeight="1" x14ac:dyDescent="0.4">
      <c r="A97" s="74" t="s">
        <v>55</v>
      </c>
      <c r="B97" s="60">
        <v>1</v>
      </c>
      <c r="C97" s="178" t="s">
        <v>96</v>
      </c>
      <c r="D97" s="179">
        <f>D96*$B$87</f>
        <v>26.61</v>
      </c>
      <c r="E97" s="105"/>
      <c r="F97" s="104">
        <f>F96*$B$87</f>
        <v>25.26</v>
      </c>
    </row>
    <row r="98" spans="1:10" ht="19.5" customHeight="1" x14ac:dyDescent="0.3">
      <c r="A98" s="74" t="s">
        <v>57</v>
      </c>
      <c r="B98" s="180">
        <f>(B97/B96)*(B95/B94)*(B93/B92)*(B91/B90)*B89</f>
        <v>2500</v>
      </c>
      <c r="C98" s="178" t="s">
        <v>97</v>
      </c>
      <c r="D98" s="181">
        <f>D97*$B$83/100</f>
        <v>26.476950000000002</v>
      </c>
      <c r="E98" s="108"/>
      <c r="F98" s="107">
        <f>F97*$B$83/100</f>
        <v>25.133700000000005</v>
      </c>
    </row>
    <row r="99" spans="1:10" ht="19.5" customHeight="1" x14ac:dyDescent="0.3">
      <c r="A99" s="239" t="s">
        <v>59</v>
      </c>
      <c r="B99" s="254"/>
      <c r="C99" s="178" t="s">
        <v>98</v>
      </c>
      <c r="D99" s="182">
        <f>D98/$B$98</f>
        <v>1.0590780000000001E-2</v>
      </c>
      <c r="E99" s="108"/>
      <c r="F99" s="111">
        <f>F98/$B$98</f>
        <v>1.0053480000000002E-2</v>
      </c>
      <c r="G99" s="183"/>
      <c r="H99" s="100"/>
    </row>
    <row r="100" spans="1:10" ht="19.5" customHeight="1" x14ac:dyDescent="0.3">
      <c r="A100" s="241"/>
      <c r="B100" s="255"/>
      <c r="C100" s="178" t="s">
        <v>61</v>
      </c>
      <c r="D100" s="184">
        <f>$B$56/$B$116</f>
        <v>8.5000000000000006E-3</v>
      </c>
      <c r="F100" s="116"/>
      <c r="G100" s="185"/>
      <c r="H100" s="100"/>
    </row>
    <row r="101" spans="1:10" ht="18.75" x14ac:dyDescent="0.3">
      <c r="C101" s="178" t="s">
        <v>62</v>
      </c>
      <c r="D101" s="179">
        <f>D100*$B$98</f>
        <v>21.25</v>
      </c>
      <c r="F101" s="116"/>
      <c r="G101" s="183"/>
      <c r="H101" s="100"/>
    </row>
    <row r="102" spans="1:10" ht="19.5" customHeight="1" x14ac:dyDescent="0.3">
      <c r="C102" s="186" t="s">
        <v>63</v>
      </c>
      <c r="D102" s="187">
        <f>D101/B34</f>
        <v>21.25</v>
      </c>
      <c r="F102" s="120"/>
      <c r="G102" s="183"/>
      <c r="H102" s="100"/>
      <c r="J102" s="188"/>
    </row>
    <row r="103" spans="1:10" ht="18.75" x14ac:dyDescent="0.3">
      <c r="C103" s="189" t="s">
        <v>99</v>
      </c>
      <c r="D103" s="190">
        <f>AVERAGE(E91:E94,G91:G94)</f>
        <v>0.67317967351266816</v>
      </c>
      <c r="F103" s="120"/>
      <c r="G103" s="191"/>
      <c r="H103" s="100"/>
      <c r="J103" s="192"/>
    </row>
    <row r="104" spans="1:10" ht="18.75" x14ac:dyDescent="0.3">
      <c r="C104" s="155" t="s">
        <v>65</v>
      </c>
      <c r="D104" s="193">
        <f>STDEV(E91:E94,G91:G94)/D103</f>
        <v>9.147964684097655E-3</v>
      </c>
      <c r="F104" s="120"/>
      <c r="G104" s="183"/>
      <c r="H104" s="100"/>
      <c r="J104" s="192"/>
    </row>
    <row r="105" spans="1:10" ht="19.5" customHeight="1" x14ac:dyDescent="0.3">
      <c r="C105" s="158" t="s">
        <v>66</v>
      </c>
      <c r="D105" s="194">
        <f>COUNT(E91:E94,G91:G94)</f>
        <v>6</v>
      </c>
      <c r="F105" s="120"/>
      <c r="G105" s="183"/>
      <c r="H105" s="100"/>
      <c r="J105" s="192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100</v>
      </c>
      <c r="B107" s="73">
        <v>1000</v>
      </c>
      <c r="C107" s="195" t="s">
        <v>101</v>
      </c>
      <c r="D107" s="196" t="s">
        <v>44</v>
      </c>
      <c r="E107" s="197" t="s">
        <v>102</v>
      </c>
      <c r="F107" s="198" t="s">
        <v>103</v>
      </c>
    </row>
    <row r="108" spans="1:10" ht="26.25" customHeight="1" x14ac:dyDescent="0.4">
      <c r="A108" s="74" t="s">
        <v>104</v>
      </c>
      <c r="B108" s="75">
        <v>1</v>
      </c>
      <c r="C108" s="199">
        <v>1</v>
      </c>
      <c r="D108" s="229">
        <v>0.66700000000000004</v>
      </c>
      <c r="E108" s="200">
        <f t="shared" ref="E108:E113" si="1">IF(ISBLANK(D108),"-",D108/$D$103*$D$100*$B$116)</f>
        <v>842.19714633040087</v>
      </c>
      <c r="F108" s="201">
        <f t="shared" ref="F108:F113" si="2">IF(ISBLANK(D108), "-", E108/$B$56)</f>
        <v>0.99082017215341278</v>
      </c>
    </row>
    <row r="109" spans="1:10" ht="26.25" customHeight="1" x14ac:dyDescent="0.4">
      <c r="A109" s="74" t="s">
        <v>77</v>
      </c>
      <c r="B109" s="75">
        <v>100</v>
      </c>
      <c r="C109" s="199">
        <v>2</v>
      </c>
      <c r="D109" s="229">
        <v>0.68</v>
      </c>
      <c r="E109" s="202">
        <f t="shared" si="1"/>
        <v>858.61178336532612</v>
      </c>
      <c r="F109" s="203">
        <f t="shared" si="2"/>
        <v>1.0101315098415602</v>
      </c>
    </row>
    <row r="110" spans="1:10" ht="26.25" customHeight="1" x14ac:dyDescent="0.4">
      <c r="A110" s="74" t="s">
        <v>78</v>
      </c>
      <c r="B110" s="75">
        <v>1</v>
      </c>
      <c r="C110" s="199">
        <v>3</v>
      </c>
      <c r="D110" s="229">
        <v>0.68200000000000005</v>
      </c>
      <c r="E110" s="202">
        <f t="shared" si="1"/>
        <v>861.1371121399302</v>
      </c>
      <c r="F110" s="203">
        <f t="shared" si="2"/>
        <v>1.0131024848705061</v>
      </c>
    </row>
    <row r="111" spans="1:10" ht="26.25" customHeight="1" x14ac:dyDescent="0.4">
      <c r="A111" s="74" t="s">
        <v>79</v>
      </c>
      <c r="B111" s="75">
        <v>1</v>
      </c>
      <c r="C111" s="199">
        <v>4</v>
      </c>
      <c r="D111" s="229">
        <v>0.66600000000000004</v>
      </c>
      <c r="E111" s="202">
        <f t="shared" si="1"/>
        <v>840.93448194309894</v>
      </c>
      <c r="F111" s="203">
        <f t="shared" si="2"/>
        <v>0.98933468463893992</v>
      </c>
    </row>
    <row r="112" spans="1:10" ht="26.25" customHeight="1" x14ac:dyDescent="0.4">
      <c r="A112" s="74" t="s">
        <v>80</v>
      </c>
      <c r="B112" s="75">
        <v>1</v>
      </c>
      <c r="C112" s="199">
        <v>5</v>
      </c>
      <c r="D112" s="229">
        <v>0.66700000000000004</v>
      </c>
      <c r="E112" s="202">
        <f t="shared" si="1"/>
        <v>842.19714633040087</v>
      </c>
      <c r="F112" s="203">
        <f t="shared" si="2"/>
        <v>0.99082017215341278</v>
      </c>
    </row>
    <row r="113" spans="1:10" ht="26.25" customHeight="1" x14ac:dyDescent="0.4">
      <c r="A113" s="74" t="s">
        <v>82</v>
      </c>
      <c r="B113" s="75">
        <v>1</v>
      </c>
      <c r="C113" s="204">
        <v>6</v>
      </c>
      <c r="D113" s="230">
        <v>0.67400000000000004</v>
      </c>
      <c r="E113" s="205">
        <f t="shared" si="1"/>
        <v>851.03579704151434</v>
      </c>
      <c r="F113" s="206">
        <f t="shared" si="2"/>
        <v>1.0012185847547228</v>
      </c>
    </row>
    <row r="114" spans="1:10" ht="26.25" customHeight="1" x14ac:dyDescent="0.4">
      <c r="A114" s="74" t="s">
        <v>83</v>
      </c>
      <c r="B114" s="75">
        <v>1</v>
      </c>
      <c r="C114" s="199"/>
      <c r="D114" s="152"/>
      <c r="E114" s="48"/>
      <c r="F114" s="207"/>
    </row>
    <row r="115" spans="1:10" ht="26.25" customHeight="1" x14ac:dyDescent="0.4">
      <c r="A115" s="74" t="s">
        <v>84</v>
      </c>
      <c r="B115" s="75">
        <v>1</v>
      </c>
      <c r="C115" s="199"/>
      <c r="D115" s="208"/>
      <c r="E115" s="209" t="s">
        <v>52</v>
      </c>
      <c r="F115" s="210">
        <f>AVERAGE(F108:F113)</f>
        <v>0.99923793473542577</v>
      </c>
    </row>
    <row r="116" spans="1:10" ht="27" customHeight="1" x14ac:dyDescent="0.4">
      <c r="A116" s="74" t="s">
        <v>85</v>
      </c>
      <c r="B116" s="106">
        <f>(B115/B114)*(B113/B112)*(B111/B110)*(B109/B108)*B107</f>
        <v>100000</v>
      </c>
      <c r="C116" s="211"/>
      <c r="D116" s="212"/>
      <c r="E116" s="172" t="s">
        <v>65</v>
      </c>
      <c r="F116" s="213">
        <f>STDEV(F108:F113)/F115</f>
        <v>1.0539988480591022E-2</v>
      </c>
      <c r="I116" s="48"/>
    </row>
    <row r="117" spans="1:10" ht="27" customHeight="1" x14ac:dyDescent="0.4">
      <c r="A117" s="239" t="s">
        <v>59</v>
      </c>
      <c r="B117" s="240"/>
      <c r="C117" s="214"/>
      <c r="D117" s="215"/>
      <c r="E117" s="216" t="s">
        <v>66</v>
      </c>
      <c r="F117" s="217">
        <f>COUNT(F108:F113)</f>
        <v>6</v>
      </c>
      <c r="I117" s="48"/>
      <c r="J117" s="192"/>
    </row>
    <row r="118" spans="1:10" ht="19.5" customHeight="1" x14ac:dyDescent="0.3">
      <c r="A118" s="241"/>
      <c r="B118" s="242"/>
      <c r="C118" s="48"/>
      <c r="D118" s="48"/>
      <c r="E118" s="48"/>
      <c r="F118" s="152"/>
      <c r="G118" s="48"/>
      <c r="H118" s="48"/>
      <c r="I118" s="48"/>
    </row>
    <row r="119" spans="1:10" ht="18.75" x14ac:dyDescent="0.3">
      <c r="A119" s="226"/>
      <c r="B119" s="70"/>
      <c r="C119" s="48"/>
      <c r="D119" s="48"/>
      <c r="E119" s="48"/>
      <c r="F119" s="152"/>
      <c r="G119" s="48"/>
      <c r="H119" s="48"/>
      <c r="I119" s="48"/>
    </row>
    <row r="120" spans="1:10" ht="26.25" customHeight="1" x14ac:dyDescent="0.4">
      <c r="A120" s="58" t="s">
        <v>88</v>
      </c>
      <c r="B120" s="160" t="s">
        <v>105</v>
      </c>
      <c r="C120" s="243" t="str">
        <f>B20</f>
        <v>Metformin</v>
      </c>
      <c r="D120" s="243"/>
      <c r="E120" s="161" t="s">
        <v>106</v>
      </c>
      <c r="F120" s="161"/>
      <c r="G120" s="162">
        <f>F115</f>
        <v>0.99923793473542577</v>
      </c>
      <c r="H120" s="48"/>
      <c r="I120" s="48"/>
    </row>
    <row r="121" spans="1:10" ht="19.5" customHeight="1" x14ac:dyDescent="0.3">
      <c r="A121" s="218"/>
      <c r="B121" s="218"/>
      <c r="C121" s="219"/>
      <c r="D121" s="219"/>
      <c r="E121" s="219"/>
      <c r="F121" s="219"/>
      <c r="G121" s="219"/>
      <c r="H121" s="219"/>
    </row>
    <row r="122" spans="1:10" ht="18.75" x14ac:dyDescent="0.3">
      <c r="B122" s="244" t="s">
        <v>20</v>
      </c>
      <c r="C122" s="244"/>
      <c r="E122" s="167" t="s">
        <v>21</v>
      </c>
      <c r="F122" s="220"/>
      <c r="G122" s="244" t="s">
        <v>22</v>
      </c>
      <c r="H122" s="244"/>
    </row>
    <row r="123" spans="1:10" ht="18.75" x14ac:dyDescent="0.3">
      <c r="A123" s="221" t="s">
        <v>23</v>
      </c>
      <c r="B123" s="222" t="s">
        <v>108</v>
      </c>
      <c r="C123" s="222"/>
      <c r="E123" s="276">
        <v>42075</v>
      </c>
      <c r="F123" s="48"/>
      <c r="G123" s="223"/>
      <c r="H123" s="223"/>
    </row>
    <row r="124" spans="1:10" ht="18.75" x14ac:dyDescent="0.3">
      <c r="A124" s="221" t="s">
        <v>24</v>
      </c>
      <c r="B124" s="224"/>
      <c r="C124" s="224"/>
      <c r="E124" s="224"/>
      <c r="F124" s="48"/>
      <c r="G124" s="225"/>
      <c r="H124" s="225"/>
    </row>
    <row r="125" spans="1:10" ht="18.75" x14ac:dyDescent="0.3">
      <c r="A125" s="151"/>
      <c r="B125" s="151"/>
      <c r="C125" s="152"/>
      <c r="D125" s="152"/>
      <c r="E125" s="152"/>
      <c r="F125" s="157"/>
      <c r="G125" s="152"/>
      <c r="H125" s="152"/>
      <c r="I125" s="48"/>
    </row>
    <row r="126" spans="1:10" ht="18.75" x14ac:dyDescent="0.3">
      <c r="A126" s="151"/>
      <c r="B126" s="151"/>
      <c r="C126" s="152"/>
      <c r="D126" s="152"/>
      <c r="E126" s="152"/>
      <c r="F126" s="157"/>
      <c r="G126" s="152"/>
      <c r="H126" s="152"/>
      <c r="I126" s="48"/>
    </row>
    <row r="127" spans="1:10" ht="18.75" x14ac:dyDescent="0.3">
      <c r="A127" s="151"/>
      <c r="B127" s="151"/>
      <c r="C127" s="152"/>
      <c r="D127" s="152"/>
      <c r="E127" s="152"/>
      <c r="F127" s="157"/>
      <c r="G127" s="152"/>
      <c r="H127" s="152"/>
      <c r="I127" s="48"/>
    </row>
    <row r="128" spans="1:10" ht="18.75" x14ac:dyDescent="0.3">
      <c r="A128" s="151"/>
      <c r="B128" s="151"/>
      <c r="C128" s="152"/>
      <c r="D128" s="152"/>
      <c r="E128" s="152"/>
      <c r="F128" s="157"/>
      <c r="G128" s="152"/>
      <c r="H128" s="152"/>
      <c r="I128" s="48"/>
    </row>
    <row r="129" spans="1:9" ht="18.75" x14ac:dyDescent="0.3">
      <c r="A129" s="151"/>
      <c r="B129" s="151"/>
      <c r="C129" s="152"/>
      <c r="D129" s="152"/>
      <c r="E129" s="152"/>
      <c r="F129" s="157"/>
      <c r="G129" s="152"/>
      <c r="H129" s="152"/>
      <c r="I129" s="48"/>
    </row>
    <row r="130" spans="1:9" ht="18.75" x14ac:dyDescent="0.3">
      <c r="A130" s="151"/>
      <c r="B130" s="151"/>
      <c r="C130" s="152"/>
      <c r="D130" s="152"/>
      <c r="E130" s="152"/>
      <c r="F130" s="157"/>
      <c r="G130" s="152"/>
      <c r="H130" s="152"/>
      <c r="I130" s="48"/>
    </row>
    <row r="131" spans="1:9" ht="18.75" x14ac:dyDescent="0.3">
      <c r="A131" s="151"/>
      <c r="B131" s="151"/>
      <c r="C131" s="152"/>
      <c r="D131" s="152"/>
      <c r="E131" s="152"/>
      <c r="F131" s="157"/>
      <c r="G131" s="152"/>
      <c r="H131" s="152"/>
      <c r="I131" s="48"/>
    </row>
    <row r="132" spans="1:9" ht="18.75" x14ac:dyDescent="0.3">
      <c r="A132" s="151"/>
      <c r="B132" s="151"/>
      <c r="C132" s="152"/>
      <c r="D132" s="152"/>
      <c r="E132" s="152"/>
      <c r="F132" s="157"/>
      <c r="G132" s="152"/>
      <c r="H132" s="152"/>
      <c r="I132" s="48"/>
    </row>
    <row r="133" spans="1:9" ht="18.75" x14ac:dyDescent="0.3">
      <c r="A133" s="151"/>
      <c r="B133" s="151"/>
      <c r="C133" s="152"/>
      <c r="D133" s="152"/>
      <c r="E133" s="152"/>
      <c r="F133" s="157"/>
      <c r="G133" s="152"/>
      <c r="H133" s="152"/>
      <c r="I133" s="4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Uniformity</vt:lpstr>
      <vt:lpstr>Metformin Hydrochloride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dcterms:created xsi:type="dcterms:W3CDTF">2005-07-05T10:19:27Z</dcterms:created>
  <dcterms:modified xsi:type="dcterms:W3CDTF">2015-03-12T11:55:00Z</dcterms:modified>
  <cp:category/>
</cp:coreProperties>
</file>