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0775" windowHeight="11190"/>
  </bookViews>
  <sheets>
    <sheet name="Metformin Hydrochloride " sheetId="4" r:id="rId1"/>
    <sheet name="Uniformity" sheetId="1" r:id="rId2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G120" i="4" l="1"/>
  <c r="F113" i="4"/>
  <c r="F109" i="4"/>
  <c r="E109" i="4"/>
  <c r="E110" i="4"/>
  <c r="B116" i="4"/>
  <c r="G76" i="4"/>
  <c r="H68" i="4"/>
  <c r="H64" i="4"/>
  <c r="H62" i="4"/>
  <c r="G60" i="4"/>
  <c r="B69" i="4"/>
  <c r="B57" i="4"/>
  <c r="B30" i="4"/>
  <c r="B34" i="4"/>
  <c r="D44" i="4" s="1"/>
  <c r="D45" i="4" s="1"/>
  <c r="D46" i="4" s="1"/>
  <c r="E41" i="4"/>
  <c r="G41" i="4"/>
  <c r="D42" i="4"/>
  <c r="I39" i="4" s="1"/>
  <c r="F42" i="4"/>
  <c r="B45" i="4"/>
  <c r="D47" i="4"/>
  <c r="D48" i="4" s="1"/>
  <c r="B55" i="4"/>
  <c r="C56" i="4"/>
  <c r="G63" i="4"/>
  <c r="H63" i="4"/>
  <c r="G67" i="4"/>
  <c r="H67" i="4"/>
  <c r="B68" i="4"/>
  <c r="G71" i="4"/>
  <c r="H71" i="4"/>
  <c r="C76" i="4"/>
  <c r="B79" i="4"/>
  <c r="B80" i="4"/>
  <c r="B81" i="4"/>
  <c r="B83" i="4"/>
  <c r="B87" i="4"/>
  <c r="E94" i="4"/>
  <c r="G94" i="4"/>
  <c r="D95" i="4"/>
  <c r="I92" i="4" s="1"/>
  <c r="F95" i="4"/>
  <c r="D97" i="4"/>
  <c r="D98" i="4" s="1"/>
  <c r="D99" i="4" s="1"/>
  <c r="F97" i="4"/>
  <c r="F98" i="4" s="1"/>
  <c r="F99" i="4" s="1"/>
  <c r="B98" i="4"/>
  <c r="D100" i="4"/>
  <c r="D101" i="4" s="1"/>
  <c r="C120" i="4"/>
  <c r="C46" i="1"/>
  <c r="C49" i="1" s="1"/>
  <c r="C45" i="1"/>
  <c r="G92" i="4" l="1"/>
  <c r="G91" i="4"/>
  <c r="E92" i="4"/>
  <c r="E91" i="4"/>
  <c r="E93" i="4"/>
  <c r="G93" i="4"/>
  <c r="D102" i="4"/>
  <c r="G39" i="4"/>
  <c r="E38" i="4"/>
  <c r="G38" i="4"/>
  <c r="G42" i="4" s="1"/>
  <c r="E40" i="4"/>
  <c r="E39" i="4"/>
  <c r="G40" i="4"/>
  <c r="D49" i="4"/>
  <c r="F44" i="4"/>
  <c r="F45" i="4" s="1"/>
  <c r="F46" i="4" s="1"/>
  <c r="D29" i="1"/>
  <c r="D37" i="1"/>
  <c r="D24" i="1"/>
  <c r="D28" i="1"/>
  <c r="D32" i="1"/>
  <c r="D36" i="1"/>
  <c r="D40" i="1"/>
  <c r="D49" i="1"/>
  <c r="D42" i="1"/>
  <c r="B49" i="1"/>
  <c r="D50" i="1"/>
  <c r="D25" i="1"/>
  <c r="D33" i="1"/>
  <c r="D41" i="1"/>
  <c r="C50" i="1"/>
  <c r="D26" i="1"/>
  <c r="D30" i="1"/>
  <c r="D34" i="1"/>
  <c r="D38" i="1"/>
  <c r="D27" i="1"/>
  <c r="D31" i="1"/>
  <c r="D35" i="1"/>
  <c r="D39" i="1"/>
  <c r="D43" i="1"/>
  <c r="G95" i="4" l="1"/>
  <c r="D103" i="4"/>
  <c r="E95" i="4"/>
  <c r="D105" i="4"/>
  <c r="E42" i="4"/>
  <c r="D50" i="4"/>
  <c r="D52" i="4"/>
  <c r="G61" i="4" l="1"/>
  <c r="H61" i="4" s="1"/>
  <c r="D51" i="4"/>
  <c r="G65" i="4"/>
  <c r="H65" i="4" s="1"/>
  <c r="G70" i="4"/>
  <c r="H70" i="4" s="1"/>
  <c r="H60" i="4"/>
  <c r="G62" i="4"/>
  <c r="G64" i="4"/>
  <c r="G66" i="4"/>
  <c r="H66" i="4" s="1"/>
  <c r="G69" i="4"/>
  <c r="H69" i="4" s="1"/>
  <c r="G68" i="4"/>
  <c r="F110" i="4"/>
  <c r="E108" i="4"/>
  <c r="F108" i="4" s="1"/>
  <c r="D104" i="4"/>
  <c r="E111" i="4"/>
  <c r="F111" i="4" s="1"/>
  <c r="E113" i="4"/>
  <c r="E112" i="4"/>
  <c r="F112" i="4" s="1"/>
  <c r="H74" i="4" l="1"/>
  <c r="H72" i="4"/>
  <c r="F115" i="4"/>
  <c r="F117" i="4"/>
  <c r="H73" i="4" l="1"/>
  <c r="F116" i="4"/>
</calcChain>
</file>

<file path=xl/sharedStrings.xml><?xml version="1.0" encoding="utf-8"?>
<sst xmlns="http://schemas.openxmlformats.org/spreadsheetml/2006/main" count="188" uniqueCount="109">
  <si>
    <t>Please enter the required information in the cells highlighted in green</t>
  </si>
  <si>
    <t>GLUCOFIT-500 TABLET</t>
  </si>
  <si>
    <t>Uniformity of Weight Test Report</t>
  </si>
  <si>
    <t>NDQD201503121</t>
  </si>
  <si>
    <t>Metformin</t>
  </si>
  <si>
    <t>Sample Name:</t>
  </si>
  <si>
    <t>Metformin Hydrochloride USP 500mg</t>
  </si>
  <si>
    <t>Laboratory Ref No:</t>
  </si>
  <si>
    <t>Active Ingredient:</t>
  </si>
  <si>
    <t>Label Claim:</t>
  </si>
  <si>
    <t>Date Analysis Started:</t>
  </si>
  <si>
    <t>Date Analysis Completed:</t>
  </si>
  <si>
    <t>Analysis Data</t>
  </si>
  <si>
    <t>Uniformity of weight</t>
  </si>
  <si>
    <t>Tablet weight (mg)</t>
  </si>
  <si>
    <t>% Deviation</t>
  </si>
  <si>
    <t>Total</t>
  </si>
  <si>
    <t>Average</t>
  </si>
  <si>
    <t>% Deviation from mean</t>
  </si>
  <si>
    <t>Name</t>
  </si>
  <si>
    <t>Date</t>
  </si>
  <si>
    <t>Signature</t>
  </si>
  <si>
    <t>Analysed by:</t>
  </si>
  <si>
    <t>Reviewed By:</t>
  </si>
  <si>
    <t>Analysis Report</t>
  </si>
  <si>
    <t>Reference Substance:</t>
  </si>
  <si>
    <t>Metformin Hydrochloride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</si>
  <si>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</si>
  <si>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</si>
  <si>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</si>
  <si>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</si>
  <si>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</si>
  <si>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</si>
  <si>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</si>
  <si>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</si>
  <si>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</si>
  <si>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</si>
  <si>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</si>
  <si>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</si>
  <si>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</si>
  <si>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</si>
  <si>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</si>
  <si>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</si>
  <si>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</si>
  <si>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</si>
  <si>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</si>
  <si>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</si>
  <si>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</si>
  <si>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</si>
  <si>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</si>
  <si>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</si>
  <si>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</si>
  <si>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</si>
  <si>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</si>
  <si>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</si>
  <si>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</si>
  <si>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</si>
  <si>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</si>
  <si>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</si>
  <si>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</si>
  <si>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</si>
  <si>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</si>
  <si>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</si>
  <si>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</si>
  <si>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</si>
  <si>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</si>
  <si>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</si>
  <si>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</si>
  <si>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Capsule contains</t>
  </si>
  <si>
    <t>Average 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</si>
  <si>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</si>
  <si>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</si>
  <si>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</si>
  <si>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</si>
  <si>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</si>
  <si>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</si>
  <si>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</si>
  <si>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</si>
  <si>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</si>
  <si>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</si>
  <si>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</si>
  <si>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</si>
  <si>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</si>
  <si>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</si>
  <si>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</si>
  <si>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</si>
  <si>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</si>
  <si>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</si>
  <si>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</si>
  <si>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</si>
  <si>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</si>
  <si>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</si>
  <si>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</si>
  <si>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</si>
  <si>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</si>
  <si>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</si>
  <si>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</si>
  <si>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</si>
  <si>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</si>
  <si>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</si>
  <si>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</si>
  <si>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</si>
  <si>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</si>
  <si>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</si>
  <si>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</si>
  <si>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</si>
  <si>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Clement</t>
  </si>
  <si>
    <t>NQCL-WRS-M19-7</t>
  </si>
  <si>
    <t xml:space="preserve">Metformin Hydrochloride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</si>
</sst>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"/>
    <numFmt numFmtId="165" formatCode="0.00000"/>
    <numFmt numFmtId="166" formatCode="[$-409]d/mmm/yy;@"/>
    <numFmt numFmtId="167" formatCode="0.0%"/>
    <numFmt numFmtId="168" formatCode="dd\-mmm\-yyyy"/>
    <numFmt numFmtId="169" formatCode="0.0000\ &quot;mg&quot;"/>
    <numFmt numFmtId="170" formatCode="0.000"/>
    <numFmt numFmtId="171" formatCode="0.0\ &quot;mg&quot;"/>
  </numFmts>
  <fonts count="2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2" borderId="0"/>
  </cellStyleXfs>
  <cellXfs count="262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2" fontId="4" fillId="2" borderId="0" xfId="0" applyNumberFormat="1" applyFont="1" applyFill="1"/>
    <xf numFmtId="0" fontId="5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/>
    <xf numFmtId="0" fontId="6" fillId="2" borderId="0" xfId="0" applyFont="1" applyFill="1" applyAlignment="1">
      <alignment horizontal="right"/>
    </xf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10" fontId="3" fillId="2" borderId="1" xfId="0" applyNumberFormat="1" applyFont="1" applyFill="1" applyBorder="1"/>
    <xf numFmtId="0" fontId="7" fillId="2" borderId="0" xfId="0" applyFont="1" applyFill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3" fillId="2" borderId="3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/>
    <xf numFmtId="0" fontId="3" fillId="2" borderId="4" xfId="0" applyFont="1" applyFill="1" applyBorder="1"/>
    <xf numFmtId="166" fontId="3" fillId="2" borderId="0" xfId="0" applyNumberFormat="1" applyFont="1" applyFill="1"/>
    <xf numFmtId="164" fontId="3" fillId="2" borderId="0" xfId="0" applyNumberFormat="1" applyFont="1" applyFill="1" applyAlignment="1">
      <alignment horizontal="center"/>
    </xf>
    <xf numFmtId="2" fontId="6" fillId="2" borderId="0" xfId="0" applyNumberFormat="1" applyFont="1" applyFill="1"/>
    <xf numFmtId="10" fontId="2" fillId="2" borderId="0" xfId="0" applyNumberFormat="1" applyFont="1" applyFill="1"/>
    <xf numFmtId="2" fontId="6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165" fontId="6" fillId="2" borderId="5" xfId="0" applyNumberFormat="1" applyFont="1" applyFill="1" applyBorder="1" applyAlignment="1">
      <alignment horizontal="center" wrapText="1"/>
    </xf>
    <xf numFmtId="10" fontId="3" fillId="2" borderId="6" xfId="0" applyNumberFormat="1" applyFont="1" applyFill="1" applyBorder="1" applyAlignment="1">
      <alignment horizontal="center"/>
    </xf>
    <xf numFmtId="10" fontId="3" fillId="2" borderId="7" xfId="0" applyNumberFormat="1" applyFont="1" applyFill="1" applyBorder="1" applyAlignment="1">
      <alignment horizontal="center"/>
    </xf>
    <xf numFmtId="10" fontId="3" fillId="2" borderId="8" xfId="0" applyNumberFormat="1" applyFont="1" applyFill="1" applyBorder="1" applyAlignment="1">
      <alignment horizontal="center"/>
    </xf>
    <xf numFmtId="0" fontId="5" fillId="2" borderId="0" xfId="0" applyFont="1" applyFill="1"/>
    <xf numFmtId="0" fontId="8" fillId="2" borderId="0" xfId="0" applyFont="1" applyFill="1" applyAlignment="1">
      <alignment wrapText="1"/>
    </xf>
    <xf numFmtId="0" fontId="6" fillId="2" borderId="5" xfId="0" applyFont="1" applyFill="1" applyBorder="1" applyAlignment="1">
      <alignment horizontal="center" vertical="center"/>
    </xf>
    <xf numFmtId="167" fontId="6" fillId="2" borderId="9" xfId="0" applyNumberFormat="1" applyFont="1" applyFill="1" applyBorder="1" applyAlignment="1">
      <alignment horizontal="center"/>
    </xf>
    <xf numFmtId="167" fontId="6" fillId="2" borderId="10" xfId="0" applyNumberFormat="1" applyFont="1" applyFill="1" applyBorder="1" applyAlignment="1">
      <alignment horizontal="center"/>
    </xf>
    <xf numFmtId="2" fontId="3" fillId="3" borderId="7" xfId="0" applyNumberFormat="1" applyFont="1" applyFill="1" applyBorder="1" applyProtection="1">
      <protection locked="0"/>
    </xf>
    <xf numFmtId="2" fontId="3" fillId="3" borderId="8" xfId="0" applyNumberFormat="1" applyFont="1" applyFill="1" applyBorder="1" applyProtection="1">
      <protection locked="0"/>
    </xf>
    <xf numFmtId="166" fontId="3" fillId="2" borderId="0" xfId="0" applyNumberFormat="1" applyFont="1" applyFill="1" applyAlignment="1">
      <alignment horizont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165" fontId="1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21" fillId="2" borderId="0" xfId="1" applyFill="1"/>
    <xf numFmtId="0" fontId="2" fillId="2" borderId="0" xfId="1" applyFont="1" applyFill="1" applyAlignment="1">
      <alignment horizontal="center"/>
    </xf>
    <xf numFmtId="0" fontId="9" fillId="2" borderId="0" xfId="1" applyFont="1" applyFill="1"/>
    <xf numFmtId="0" fontId="9" fillId="2" borderId="0" xfId="1" applyFont="1" applyFill="1" applyAlignment="1">
      <alignment horizontal="center"/>
    </xf>
    <xf numFmtId="2" fontId="9" fillId="2" borderId="0" xfId="1" applyNumberFormat="1" applyFont="1" applyFill="1" applyAlignment="1">
      <alignment horizontal="center"/>
    </xf>
    <xf numFmtId="0" fontId="9" fillId="2" borderId="4" xfId="1" applyFont="1" applyFill="1" applyBorder="1"/>
    <xf numFmtId="0" fontId="10" fillId="2" borderId="4" xfId="1" applyFont="1" applyFill="1" applyBorder="1"/>
    <xf numFmtId="0" fontId="10" fillId="2" borderId="0" xfId="1" applyFont="1" applyFill="1" applyAlignment="1">
      <alignment horizontal="right"/>
    </xf>
    <xf numFmtId="0" fontId="9" fillId="2" borderId="3" xfId="1" applyFont="1" applyFill="1" applyBorder="1"/>
    <xf numFmtId="15" fontId="9" fillId="2" borderId="3" xfId="1" applyNumberFormat="1" applyFont="1" applyFill="1" applyBorder="1"/>
    <xf numFmtId="0" fontId="10" fillId="2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9" fillId="2" borderId="1" xfId="1" applyFont="1" applyFill="1" applyBorder="1"/>
    <xf numFmtId="0" fontId="18" fillId="2" borderId="1" xfId="1" applyFont="1" applyFill="1" applyBorder="1" applyAlignment="1">
      <alignment horizontal="left" vertical="center" wrapText="1"/>
    </xf>
    <xf numFmtId="167" fontId="11" fillId="2" borderId="0" xfId="1" applyNumberFormat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9" fillId="2" borderId="0" xfId="1" applyFont="1" applyFill="1" applyAlignment="1">
      <alignment horizontal="right"/>
    </xf>
    <xf numFmtId="0" fontId="18" fillId="2" borderId="0" xfId="1" applyFont="1" applyFill="1" applyAlignment="1">
      <alignment horizontal="left" vertical="center" wrapText="1"/>
    </xf>
    <xf numFmtId="0" fontId="18" fillId="2" borderId="0" xfId="1" applyFont="1" applyFill="1" applyAlignment="1">
      <alignment horizontal="right" vertical="center" wrapText="1"/>
    </xf>
    <xf numFmtId="0" fontId="18" fillId="2" borderId="37" xfId="1" applyFont="1" applyFill="1" applyBorder="1" applyAlignment="1">
      <alignment horizontal="left" vertical="center" wrapText="1"/>
    </xf>
    <xf numFmtId="0" fontId="18" fillId="2" borderId="36" xfId="1" applyFont="1" applyFill="1" applyBorder="1" applyAlignment="1">
      <alignment horizontal="left" vertical="center" wrapText="1"/>
    </xf>
    <xf numFmtId="10" fontId="9" fillId="2" borderId="0" xfId="1" applyNumberFormat="1" applyFont="1" applyFill="1" applyAlignment="1">
      <alignment horizontal="center"/>
    </xf>
    <xf numFmtId="0" fontId="11" fillId="5" borderId="10" xfId="1" applyFont="1" applyFill="1" applyBorder="1" applyAlignment="1">
      <alignment horizontal="center"/>
    </xf>
    <xf numFmtId="0" fontId="9" fillId="2" borderId="53" xfId="1" applyFont="1" applyFill="1" applyBorder="1" applyAlignment="1">
      <alignment horizontal="right"/>
    </xf>
    <xf numFmtId="0" fontId="9" fillId="2" borderId="52" xfId="1" applyFont="1" applyFill="1" applyBorder="1" applyAlignment="1">
      <alignment horizontal="center"/>
    </xf>
    <xf numFmtId="0" fontId="9" fillId="2" borderId="36" xfId="1" applyFont="1" applyFill="1" applyBorder="1"/>
    <xf numFmtId="0" fontId="18" fillId="2" borderId="15" xfId="1" applyFont="1" applyFill="1" applyBorder="1" applyAlignment="1">
      <alignment horizontal="left" vertical="center" wrapText="1"/>
    </xf>
    <xf numFmtId="0" fontId="18" fillId="2" borderId="14" xfId="1" applyFont="1" applyFill="1" applyBorder="1" applyAlignment="1">
      <alignment horizontal="left" vertical="center" wrapText="1"/>
    </xf>
    <xf numFmtId="10" fontId="11" fillId="4" borderId="20" xfId="1" applyNumberFormat="1" applyFont="1" applyFill="1" applyBorder="1" applyAlignment="1">
      <alignment horizontal="center"/>
    </xf>
    <xf numFmtId="0" fontId="9" fillId="2" borderId="51" xfId="1" applyFont="1" applyFill="1" applyBorder="1"/>
    <xf numFmtId="0" fontId="9" fillId="2" borderId="16" xfId="1" applyFont="1" applyFill="1" applyBorder="1"/>
    <xf numFmtId="0" fontId="9" fillId="2" borderId="17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right"/>
    </xf>
    <xf numFmtId="10" fontId="11" fillId="5" borderId="20" xfId="1" applyNumberFormat="1" applyFont="1" applyFill="1" applyBorder="1" applyAlignment="1">
      <alignment horizontal="center"/>
    </xf>
    <xf numFmtId="170" fontId="9" fillId="2" borderId="50" xfId="1" applyNumberFormat="1" applyFont="1" applyFill="1" applyBorder="1" applyAlignment="1">
      <alignment horizontal="right"/>
    </xf>
    <xf numFmtId="170" fontId="10" fillId="2" borderId="0" xfId="1" applyNumberFormat="1" applyFont="1" applyFill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11" fillId="3" borderId="17" xfId="1" applyFont="1" applyFill="1" applyBorder="1" applyAlignment="1" applyProtection="1">
      <alignment horizontal="center"/>
      <protection locked="0"/>
    </xf>
    <xf numFmtId="2" fontId="9" fillId="2" borderId="17" xfId="1" applyNumberFormat="1" applyFont="1" applyFill="1" applyBorder="1" applyAlignment="1">
      <alignment horizontal="center"/>
    </xf>
    <xf numFmtId="10" fontId="9" fillId="2" borderId="29" xfId="1" applyNumberFormat="1" applyFont="1" applyFill="1" applyBorder="1" applyAlignment="1">
      <alignment horizontal="center"/>
    </xf>
    <xf numFmtId="2" fontId="9" fillId="2" borderId="28" xfId="1" applyNumberFormat="1" applyFont="1" applyFill="1" applyBorder="1" applyAlignment="1">
      <alignment horizontal="center"/>
    </xf>
    <xf numFmtId="0" fontId="11" fillId="3" borderId="28" xfId="1" applyNumberFormat="1" applyFont="1" applyFill="1" applyBorder="1" applyAlignment="1" applyProtection="1">
      <alignment horizontal="center"/>
      <protection locked="0"/>
    </xf>
    <xf numFmtId="0" fontId="9" fillId="2" borderId="27" xfId="1" applyFont="1" applyFill="1" applyBorder="1" applyAlignment="1">
      <alignment horizontal="center"/>
    </xf>
    <xf numFmtId="10" fontId="9" fillId="2" borderId="25" xfId="1" applyNumberFormat="1" applyFont="1" applyFill="1" applyBorder="1" applyAlignment="1">
      <alignment horizontal="center"/>
    </xf>
    <xf numFmtId="2" fontId="9" fillId="2" borderId="24" xfId="1" applyNumberFormat="1" applyFont="1" applyFill="1" applyBorder="1" applyAlignment="1">
      <alignment horizontal="center"/>
    </xf>
    <xf numFmtId="0" fontId="11" fillId="3" borderId="24" xfId="1" applyNumberFormat="1" applyFont="1" applyFill="1" applyBorder="1" applyAlignment="1" applyProtection="1">
      <alignment horizontal="center"/>
      <protection locked="0"/>
    </xf>
    <xf numFmtId="10" fontId="9" fillId="2" borderId="23" xfId="1" applyNumberFormat="1" applyFont="1" applyFill="1" applyBorder="1" applyAlignment="1">
      <alignment horizontal="center"/>
    </xf>
    <xf numFmtId="2" fontId="9" fillId="2" borderId="19" xfId="1" applyNumberFormat="1" applyFont="1" applyFill="1" applyBorder="1" applyAlignment="1">
      <alignment horizontal="center"/>
    </xf>
    <xf numFmtId="0" fontId="10" fillId="2" borderId="15" xfId="1" applyFont="1" applyFill="1" applyBorder="1" applyAlignment="1">
      <alignment horizontal="center" wrapText="1"/>
    </xf>
    <xf numFmtId="0" fontId="10" fillId="2" borderId="49" xfId="1" applyFont="1" applyFill="1" applyBorder="1" applyAlignment="1">
      <alignment horizontal="center"/>
    </xf>
    <xf numFmtId="0" fontId="10" fillId="2" borderId="48" xfId="1" applyFont="1" applyFill="1" applyBorder="1" applyAlignment="1">
      <alignment horizontal="center"/>
    </xf>
    <xf numFmtId="0" fontId="10" fillId="2" borderId="41" xfId="1" applyFont="1" applyFill="1" applyBorder="1" applyAlignment="1">
      <alignment horizontal="center"/>
    </xf>
    <xf numFmtId="0" fontId="11" fillId="3" borderId="15" xfId="1" applyFont="1" applyFill="1" applyBorder="1" applyAlignment="1" applyProtection="1">
      <alignment horizontal="center"/>
      <protection locked="0"/>
    </xf>
    <xf numFmtId="0" fontId="9" fillId="2" borderId="14" xfId="1" applyFont="1" applyFill="1" applyBorder="1" applyAlignment="1">
      <alignment horizontal="right"/>
    </xf>
    <xf numFmtId="0" fontId="13" fillId="2" borderId="0" xfId="1" applyFont="1" applyFill="1"/>
    <xf numFmtId="0" fontId="2" fillId="2" borderId="0" xfId="1" applyFont="1" applyFill="1"/>
    <xf numFmtId="170" fontId="9" fillId="2" borderId="0" xfId="1" applyNumberFormat="1" applyFont="1" applyFill="1" applyAlignment="1">
      <alignment horizontal="center"/>
    </xf>
    <xf numFmtId="0" fontId="10" fillId="5" borderId="10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right"/>
    </xf>
    <xf numFmtId="10" fontId="10" fillId="4" borderId="34" xfId="1" applyNumberFormat="1" applyFont="1" applyFill="1" applyBorder="1" applyAlignment="1">
      <alignment horizontal="center"/>
    </xf>
    <xf numFmtId="0" fontId="9" fillId="2" borderId="34" xfId="1" applyFont="1" applyFill="1" applyBorder="1" applyAlignment="1">
      <alignment horizontal="right"/>
    </xf>
    <xf numFmtId="2" fontId="2" fillId="2" borderId="0" xfId="1" applyNumberFormat="1" applyFont="1" applyFill="1" applyAlignment="1">
      <alignment horizontal="center"/>
    </xf>
    <xf numFmtId="170" fontId="10" fillId="5" borderId="9" xfId="1" applyNumberFormat="1" applyFont="1" applyFill="1" applyBorder="1" applyAlignment="1">
      <alignment horizontal="center"/>
    </xf>
    <xf numFmtId="0" fontId="9" fillId="2" borderId="9" xfId="1" applyFont="1" applyFill="1" applyBorder="1" applyAlignment="1">
      <alignment horizontal="right"/>
    </xf>
    <xf numFmtId="0" fontId="10" fillId="2" borderId="0" xfId="1" applyFont="1" applyFill="1" applyAlignment="1">
      <alignment horizontal="center" wrapText="1"/>
    </xf>
    <xf numFmtId="2" fontId="9" fillId="5" borderId="23" xfId="1" applyNumberFormat="1" applyFont="1" applyFill="1" applyBorder="1" applyAlignment="1">
      <alignment horizontal="center"/>
    </xf>
    <xf numFmtId="0" fontId="9" fillId="2" borderId="47" xfId="1" applyFont="1" applyFill="1" applyBorder="1" applyAlignment="1">
      <alignment horizontal="right"/>
    </xf>
    <xf numFmtId="1" fontId="9" fillId="2" borderId="0" xfId="1" applyNumberFormat="1" applyFont="1" applyFill="1" applyAlignment="1">
      <alignment horizontal="center"/>
    </xf>
    <xf numFmtId="2" fontId="9" fillId="4" borderId="20" xfId="1" applyNumberFormat="1" applyFont="1" applyFill="1" applyBorder="1" applyAlignment="1">
      <alignment horizontal="center"/>
    </xf>
    <xf numFmtId="0" fontId="9" fillId="2" borderId="18" xfId="1" applyFont="1" applyFill="1" applyBorder="1" applyAlignment="1">
      <alignment horizontal="right"/>
    </xf>
    <xf numFmtId="164" fontId="9" fillId="5" borderId="20" xfId="1" applyNumberFormat="1" applyFont="1" applyFill="1" applyBorder="1" applyAlignment="1">
      <alignment horizontal="center"/>
    </xf>
    <xf numFmtId="0" fontId="18" fillId="2" borderId="1" xfId="1" applyFont="1" applyFill="1" applyBorder="1" applyAlignment="1">
      <alignment horizontal="left" vertical="center" wrapText="1"/>
    </xf>
    <xf numFmtId="164" fontId="9" fillId="4" borderId="10" xfId="1" applyNumberFormat="1" applyFont="1" applyFill="1" applyBorder="1" applyAlignment="1">
      <alignment horizontal="center"/>
    </xf>
    <xf numFmtId="164" fontId="9" fillId="4" borderId="20" xfId="1" applyNumberFormat="1" applyFont="1" applyFill="1" applyBorder="1" applyAlignment="1">
      <alignment horizontal="center"/>
    </xf>
    <xf numFmtId="0" fontId="18" fillId="2" borderId="2" xfId="1" applyFont="1" applyFill="1" applyBorder="1" applyAlignment="1">
      <alignment horizontal="left" vertical="center" wrapText="1"/>
    </xf>
    <xf numFmtId="2" fontId="9" fillId="5" borderId="34" xfId="1" applyNumberFormat="1" applyFont="1" applyFill="1" applyBorder="1" applyAlignment="1">
      <alignment horizontal="center"/>
    </xf>
    <xf numFmtId="2" fontId="9" fillId="5" borderId="20" xfId="1" applyNumberFormat="1" applyFont="1" applyFill="1" applyBorder="1" applyAlignment="1">
      <alignment horizontal="center"/>
    </xf>
    <xf numFmtId="2" fontId="9" fillId="4" borderId="34" xfId="1" applyNumberFormat="1" applyFont="1" applyFill="1" applyBorder="1" applyAlignment="1">
      <alignment horizontal="center"/>
    </xf>
    <xf numFmtId="0" fontId="11" fillId="3" borderId="0" xfId="1" applyFont="1" applyFill="1" applyAlignment="1" applyProtection="1">
      <alignment horizontal="center"/>
      <protection locked="0"/>
    </xf>
    <xf numFmtId="0" fontId="11" fillId="3" borderId="9" xfId="1" applyFont="1" applyFill="1" applyBorder="1" applyAlignment="1" applyProtection="1">
      <alignment horizontal="center"/>
      <protection locked="0"/>
    </xf>
    <xf numFmtId="0" fontId="11" fillId="3" borderId="46" xfId="1" applyFont="1" applyFill="1" applyBorder="1" applyAlignment="1" applyProtection="1">
      <alignment horizontal="center"/>
      <protection locked="0"/>
    </xf>
    <xf numFmtId="0" fontId="9" fillId="2" borderId="45" xfId="1" applyFont="1" applyFill="1" applyBorder="1" applyAlignment="1">
      <alignment horizontal="right"/>
    </xf>
    <xf numFmtId="170" fontId="10" fillId="4" borderId="8" xfId="1" applyNumberFormat="1" applyFont="1" applyFill="1" applyBorder="1" applyAlignment="1">
      <alignment horizontal="center"/>
    </xf>
    <xf numFmtId="1" fontId="10" fillId="4" borderId="44" xfId="1" applyNumberFormat="1" applyFont="1" applyFill="1" applyBorder="1" applyAlignment="1">
      <alignment horizontal="center"/>
    </xf>
    <xf numFmtId="170" fontId="10" fillId="4" borderId="31" xfId="1" applyNumberFormat="1" applyFont="1" applyFill="1" applyBorder="1" applyAlignment="1">
      <alignment horizontal="center"/>
    </xf>
    <xf numFmtId="1" fontId="10" fillId="4" borderId="43" xfId="1" applyNumberFormat="1" applyFont="1" applyFill="1" applyBorder="1" applyAlignment="1">
      <alignment horizontal="center"/>
    </xf>
    <xf numFmtId="0" fontId="9" fillId="2" borderId="8" xfId="1" applyFont="1" applyFill="1" applyBorder="1"/>
    <xf numFmtId="170" fontId="9" fillId="2" borderId="29" xfId="1" applyNumberFormat="1" applyFont="1" applyFill="1" applyBorder="1" applyAlignment="1">
      <alignment horizontal="center"/>
    </xf>
    <xf numFmtId="170" fontId="11" fillId="3" borderId="27" xfId="1" applyNumberFormat="1" applyFont="1" applyFill="1" applyBorder="1" applyAlignment="1" applyProtection="1">
      <alignment horizontal="center"/>
      <protection locked="0"/>
    </xf>
    <xf numFmtId="170" fontId="9" fillId="2" borderId="28" xfId="1" applyNumberFormat="1" applyFont="1" applyFill="1" applyBorder="1" applyAlignment="1">
      <alignment horizontal="center"/>
    </xf>
    <xf numFmtId="0" fontId="11" fillId="3" borderId="27" xfId="1" applyFont="1" applyFill="1" applyBorder="1" applyAlignment="1" applyProtection="1">
      <alignment horizontal="center"/>
      <protection locked="0"/>
    </xf>
    <xf numFmtId="0" fontId="9" fillId="2" borderId="3" xfId="1" applyFont="1" applyFill="1" applyBorder="1" applyAlignment="1">
      <alignment horizontal="center"/>
    </xf>
    <xf numFmtId="10" fontId="14" fillId="2" borderId="7" xfId="1" applyNumberFormat="1" applyFont="1" applyFill="1" applyBorder="1" applyAlignment="1">
      <alignment horizontal="center" vertical="center"/>
    </xf>
    <xf numFmtId="170" fontId="9" fillId="2" borderId="25" xfId="1" applyNumberFormat="1" applyFont="1" applyFill="1" applyBorder="1" applyAlignment="1">
      <alignment horizontal="center"/>
    </xf>
    <xf numFmtId="0" fontId="11" fillId="3" borderId="16" xfId="1" applyFont="1" applyFill="1" applyBorder="1" applyAlignment="1" applyProtection="1">
      <alignment horizontal="center"/>
      <protection locked="0"/>
    </xf>
    <xf numFmtId="170" fontId="9" fillId="2" borderId="24" xfId="1" applyNumberFormat="1" applyFont="1" applyFill="1" applyBorder="1" applyAlignment="1">
      <alignment horizontal="center"/>
    </xf>
    <xf numFmtId="0" fontId="17" fillId="2" borderId="6" xfId="1" applyFont="1" applyFill="1" applyBorder="1"/>
    <xf numFmtId="170" fontId="9" fillId="2" borderId="23" xfId="1" applyNumberFormat="1" applyFont="1" applyFill="1" applyBorder="1" applyAlignment="1">
      <alignment horizontal="center"/>
    </xf>
    <xf numFmtId="0" fontId="11" fillId="3" borderId="22" xfId="1" applyFont="1" applyFill="1" applyBorder="1" applyAlignment="1" applyProtection="1">
      <alignment horizontal="center"/>
      <protection locked="0"/>
    </xf>
    <xf numFmtId="170" fontId="9" fillId="2" borderId="19" xfId="1" applyNumberFormat="1" applyFont="1" applyFill="1" applyBorder="1" applyAlignment="1">
      <alignment horizontal="center"/>
    </xf>
    <xf numFmtId="0" fontId="9" fillId="2" borderId="42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0" fontId="10" fillId="2" borderId="23" xfId="1" applyFont="1" applyFill="1" applyBorder="1" applyAlignment="1">
      <alignment horizontal="center"/>
    </xf>
    <xf numFmtId="0" fontId="10" fillId="2" borderId="18" xfId="1" applyFont="1" applyFill="1" applyBorder="1" applyAlignment="1">
      <alignment horizontal="center"/>
    </xf>
    <xf numFmtId="0" fontId="10" fillId="2" borderId="19" xfId="1" applyFont="1" applyFill="1" applyBorder="1" applyAlignment="1">
      <alignment horizontal="center"/>
    </xf>
    <xf numFmtId="0" fontId="10" fillId="2" borderId="54" xfId="1" applyFont="1" applyFill="1" applyBorder="1" applyAlignment="1">
      <alignment horizontal="center"/>
    </xf>
    <xf numFmtId="0" fontId="10" fillId="2" borderId="41" xfId="1" applyFont="1" applyFill="1" applyBorder="1" applyAlignment="1">
      <alignment horizontal="center"/>
    </xf>
    <xf numFmtId="0" fontId="10" fillId="2" borderId="33" xfId="1" applyFont="1" applyFill="1" applyBorder="1" applyAlignment="1">
      <alignment horizontal="center"/>
    </xf>
    <xf numFmtId="0" fontId="13" fillId="2" borderId="0" xfId="1" applyFont="1" applyFill="1" applyAlignment="1">
      <alignment horizontal="left"/>
    </xf>
    <xf numFmtId="10" fontId="3" fillId="2" borderId="1" xfId="1" applyNumberFormat="1" applyFont="1" applyFill="1" applyBorder="1"/>
    <xf numFmtId="0" fontId="14" fillId="2" borderId="0" xfId="1" applyFont="1" applyFill="1" applyAlignment="1">
      <alignment vertical="center" wrapText="1"/>
    </xf>
    <xf numFmtId="169" fontId="10" fillId="2" borderId="0" xfId="1" applyNumberFormat="1" applyFont="1" applyFill="1" applyAlignment="1">
      <alignment horizontal="center"/>
    </xf>
    <xf numFmtId="2" fontId="10" fillId="2" borderId="0" xfId="1" applyNumberFormat="1" applyFont="1" applyFill="1" applyAlignment="1">
      <alignment horizontal="center"/>
    </xf>
    <xf numFmtId="0" fontId="18" fillId="2" borderId="13" xfId="1" applyFont="1" applyFill="1" applyBorder="1" applyAlignment="1">
      <alignment horizontal="left" vertical="center" wrapText="1"/>
    </xf>
    <xf numFmtId="0" fontId="18" fillId="2" borderId="12" xfId="1" applyFont="1" applyFill="1" applyBorder="1" applyAlignment="1">
      <alignment horizontal="left" vertical="center" wrapText="1"/>
    </xf>
    <xf numFmtId="0" fontId="18" fillId="2" borderId="11" xfId="1" applyFont="1" applyFill="1" applyBorder="1" applyAlignment="1">
      <alignment horizontal="left" vertical="center" wrapText="1"/>
    </xf>
    <xf numFmtId="2" fontId="11" fillId="3" borderId="0" xfId="1" applyNumberFormat="1" applyFont="1" applyFill="1" applyAlignment="1" applyProtection="1">
      <alignment horizontal="center"/>
      <protection locked="0"/>
    </xf>
    <xf numFmtId="0" fontId="16" fillId="2" borderId="0" xfId="1" applyFont="1" applyFill="1"/>
    <xf numFmtId="0" fontId="15" fillId="2" borderId="0" xfId="1" applyFont="1" applyFill="1"/>
    <xf numFmtId="0" fontId="10" fillId="2" borderId="0" xfId="1" applyFont="1" applyFill="1" applyAlignment="1">
      <alignment horizontal="center"/>
    </xf>
    <xf numFmtId="0" fontId="18" fillId="2" borderId="13" xfId="1" applyFont="1" applyFill="1" applyBorder="1" applyAlignment="1">
      <alignment horizontal="justify" vertical="center" wrapText="1"/>
    </xf>
    <xf numFmtId="0" fontId="18" fillId="2" borderId="12" xfId="1" applyFont="1" applyFill="1" applyBorder="1" applyAlignment="1">
      <alignment horizontal="justify" vertical="center" wrapText="1"/>
    </xf>
    <xf numFmtId="0" fontId="18" fillId="2" borderId="11" xfId="1" applyFont="1" applyFill="1" applyBorder="1" applyAlignment="1">
      <alignment horizontal="justify" vertical="center" wrapText="1"/>
    </xf>
    <xf numFmtId="0" fontId="12" fillId="3" borderId="0" xfId="1" applyFont="1" applyFill="1" applyAlignment="1" applyProtection="1">
      <alignment horizontal="center"/>
      <protection locked="0"/>
    </xf>
    <xf numFmtId="0" fontId="11" fillId="3" borderId="0" xfId="1" applyFont="1" applyFill="1" applyAlignment="1" applyProtection="1">
      <alignment horizontal="left"/>
      <protection locked="0"/>
    </xf>
    <xf numFmtId="0" fontId="11" fillId="5" borderId="40" xfId="1" applyFont="1" applyFill="1" applyBorder="1" applyAlignment="1">
      <alignment horizontal="center"/>
    </xf>
    <xf numFmtId="167" fontId="11" fillId="4" borderId="39" xfId="1" applyNumberFormat="1" applyFont="1" applyFill="1" applyBorder="1" applyAlignment="1">
      <alignment horizontal="center"/>
    </xf>
    <xf numFmtId="10" fontId="11" fillId="5" borderId="26" xfId="1" applyNumberFormat="1" applyFont="1" applyFill="1" applyBorder="1" applyAlignment="1">
      <alignment horizontal="center"/>
    </xf>
    <xf numFmtId="0" fontId="9" fillId="2" borderId="38" xfId="1" applyFont="1" applyFill="1" applyBorder="1" applyAlignment="1">
      <alignment horizontal="right"/>
    </xf>
    <xf numFmtId="10" fontId="9" fillId="2" borderId="8" xfId="1" applyNumberFormat="1" applyFont="1" applyFill="1" applyBorder="1" applyAlignment="1">
      <alignment horizontal="center" vertical="center"/>
    </xf>
    <xf numFmtId="2" fontId="9" fillId="2" borderId="8" xfId="1" applyNumberFormat="1" applyFont="1" applyFill="1" applyBorder="1" applyAlignment="1">
      <alignment horizontal="center"/>
    </xf>
    <xf numFmtId="0" fontId="11" fillId="3" borderId="36" xfId="1" applyFont="1" applyFill="1" applyBorder="1" applyAlignment="1" applyProtection="1">
      <alignment horizontal="center"/>
      <protection locked="0"/>
    </xf>
    <xf numFmtId="0" fontId="9" fillId="2" borderId="8" xfId="1" applyFont="1" applyFill="1" applyBorder="1" applyAlignment="1">
      <alignment horizontal="center"/>
    </xf>
    <xf numFmtId="2" fontId="11" fillId="3" borderId="8" xfId="1" applyNumberFormat="1" applyFont="1" applyFill="1" applyBorder="1" applyAlignment="1" applyProtection="1">
      <alignment horizontal="center" vertical="center"/>
      <protection locked="0"/>
    </xf>
    <xf numFmtId="0" fontId="10" fillId="2" borderId="36" xfId="1" applyFont="1" applyFill="1" applyBorder="1" applyAlignment="1">
      <alignment horizontal="center" vertical="center"/>
    </xf>
    <xf numFmtId="0" fontId="18" fillId="2" borderId="37" xfId="1" applyFont="1" applyFill="1" applyBorder="1" applyAlignment="1">
      <alignment horizontal="center" vertical="center" wrapText="1"/>
    </xf>
    <xf numFmtId="0" fontId="18" fillId="2" borderId="36" xfId="1" applyFont="1" applyFill="1" applyBorder="1" applyAlignment="1">
      <alignment horizontal="center" vertical="center" wrapText="1"/>
    </xf>
    <xf numFmtId="10" fontId="9" fillId="2" borderId="7" xfId="1" applyNumberFormat="1" applyFont="1" applyFill="1" applyBorder="1" applyAlignment="1">
      <alignment horizontal="center" vertical="center"/>
    </xf>
    <xf numFmtId="2" fontId="9" fillId="2" borderId="7" xfId="1" applyNumberFormat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2" fontId="11" fillId="3" borderId="7" xfId="1" applyNumberFormat="1" applyFont="1" applyFill="1" applyBorder="1" applyAlignment="1" applyProtection="1">
      <alignment horizontal="center" vertical="center"/>
      <protection locked="0"/>
    </xf>
    <xf numFmtId="0" fontId="10" fillId="2" borderId="0" xfId="1" applyFont="1" applyFill="1" applyAlignment="1">
      <alignment horizontal="center" vertical="center"/>
    </xf>
    <xf numFmtId="0" fontId="18" fillId="2" borderId="15" xfId="1" applyFont="1" applyFill="1" applyBorder="1" applyAlignment="1">
      <alignment horizontal="center" vertical="center" wrapText="1"/>
    </xf>
    <xf numFmtId="0" fontId="18" fillId="2" borderId="14" xfId="1" applyFont="1" applyFill="1" applyBorder="1" applyAlignment="1">
      <alignment horizontal="center" vertical="center" wrapText="1"/>
    </xf>
    <xf numFmtId="2" fontId="12" fillId="2" borderId="37" xfId="1" applyNumberFormat="1" applyFont="1" applyFill="1" applyBorder="1" applyAlignment="1">
      <alignment horizontal="center"/>
    </xf>
    <xf numFmtId="0" fontId="9" fillId="2" borderId="36" xfId="1" applyFont="1" applyFill="1" applyBorder="1" applyAlignment="1">
      <alignment horizontal="right"/>
    </xf>
    <xf numFmtId="2" fontId="9" fillId="2" borderId="6" xfId="1" applyNumberFormat="1" applyFont="1" applyFill="1" applyBorder="1" applyAlignment="1">
      <alignment horizontal="center"/>
    </xf>
    <xf numFmtId="0" fontId="11" fillId="3" borderId="14" xfId="1" applyFont="1" applyFill="1" applyBorder="1" applyAlignment="1" applyProtection="1">
      <alignment horizontal="center"/>
      <protection locked="0"/>
    </xf>
    <xf numFmtId="0" fontId="9" fillId="2" borderId="6" xfId="1" applyFont="1" applyFill="1" applyBorder="1" applyAlignment="1">
      <alignment horizontal="center"/>
    </xf>
    <xf numFmtId="2" fontId="11" fillId="3" borderId="6" xfId="1" applyNumberFormat="1" applyFont="1" applyFill="1" applyBorder="1" applyAlignment="1" applyProtection="1">
      <alignment horizontal="center" vertical="center"/>
      <protection locked="0"/>
    </xf>
    <xf numFmtId="0" fontId="10" fillId="2" borderId="2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/>
    </xf>
    <xf numFmtId="10" fontId="9" fillId="2" borderId="37" xfId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0" fontId="9" fillId="2" borderId="17" xfId="1" applyNumberFormat="1" applyFont="1" applyFill="1" applyBorder="1" applyAlignment="1">
      <alignment horizontal="center" vertical="center"/>
    </xf>
    <xf numFmtId="10" fontId="9" fillId="2" borderId="15" xfId="1" applyNumberFormat="1" applyFont="1" applyFill="1" applyBorder="1" applyAlignment="1">
      <alignment horizontal="center" vertical="center"/>
    </xf>
    <xf numFmtId="2" fontId="9" fillId="2" borderId="16" xfId="1" applyNumberFormat="1" applyFont="1" applyFill="1" applyBorder="1" applyAlignment="1">
      <alignment horizontal="center"/>
    </xf>
    <xf numFmtId="0" fontId="11" fillId="3" borderId="16" xfId="1" applyNumberFormat="1" applyFont="1" applyFill="1" applyBorder="1" applyAlignment="1" applyProtection="1">
      <alignment horizontal="center"/>
      <protection locked="0"/>
    </xf>
    <xf numFmtId="10" fontId="9" fillId="2" borderId="6" xfId="1" applyNumberFormat="1" applyFont="1" applyFill="1" applyBorder="1" applyAlignment="1">
      <alignment horizontal="center" vertical="center"/>
    </xf>
    <xf numFmtId="2" fontId="9" fillId="2" borderId="14" xfId="1" applyNumberFormat="1" applyFont="1" applyFill="1" applyBorder="1" applyAlignment="1">
      <alignment horizontal="center"/>
    </xf>
    <xf numFmtId="0" fontId="10" fillId="2" borderId="15" xfId="1" applyFont="1" applyFill="1" applyBorder="1" applyAlignment="1">
      <alignment horizontal="center"/>
    </xf>
    <xf numFmtId="0" fontId="10" fillId="2" borderId="6" xfId="1" applyFont="1" applyFill="1" applyBorder="1" applyAlignment="1">
      <alignment horizontal="center"/>
    </xf>
    <xf numFmtId="2" fontId="10" fillId="2" borderId="6" xfId="1" applyNumberFormat="1" applyFont="1" applyFill="1" applyBorder="1" applyAlignment="1">
      <alignment horizontal="center"/>
    </xf>
    <xf numFmtId="164" fontId="10" fillId="2" borderId="0" xfId="1" applyNumberFormat="1" applyFont="1" applyFill="1" applyAlignment="1">
      <alignment horizontal="center"/>
    </xf>
    <xf numFmtId="0" fontId="9" fillId="2" borderId="0" xfId="1" applyFont="1" applyFill="1" applyAlignment="1">
      <alignment horizontal="left"/>
    </xf>
    <xf numFmtId="171" fontId="11" fillId="3" borderId="0" xfId="1" applyNumberFormat="1" applyFont="1" applyFill="1" applyAlignment="1" applyProtection="1">
      <alignment horizontal="center"/>
      <protection locked="0"/>
    </xf>
    <xf numFmtId="0" fontId="10" fillId="2" borderId="0" xfId="1" applyFont="1" applyFill="1" applyAlignment="1">
      <alignment horizontal="left"/>
    </xf>
    <xf numFmtId="0" fontId="9" fillId="5" borderId="8" xfId="1" applyFont="1" applyFill="1" applyBorder="1" applyAlignment="1">
      <alignment horizontal="center"/>
    </xf>
    <xf numFmtId="10" fontId="9" fillId="4" borderId="34" xfId="1" applyNumberFormat="1" applyFont="1" applyFill="1" applyBorder="1" applyAlignment="1">
      <alignment horizontal="center"/>
    </xf>
    <xf numFmtId="170" fontId="10" fillId="5" borderId="6" xfId="1" applyNumberFormat="1" applyFont="1" applyFill="1" applyBorder="1" applyAlignment="1">
      <alignment horizontal="center"/>
    </xf>
    <xf numFmtId="2" fontId="9" fillId="4" borderId="8" xfId="1" applyNumberFormat="1" applyFont="1" applyFill="1" applyBorder="1" applyAlignment="1">
      <alignment horizontal="center"/>
    </xf>
    <xf numFmtId="0" fontId="9" fillId="2" borderId="8" xfId="1" applyFont="1" applyFill="1" applyBorder="1" applyAlignment="1">
      <alignment horizontal="right"/>
    </xf>
    <xf numFmtId="0" fontId="9" fillId="2" borderId="22" xfId="1" applyFont="1" applyFill="1" applyBorder="1" applyAlignment="1">
      <alignment horizontal="right"/>
    </xf>
    <xf numFmtId="164" fontId="9" fillId="2" borderId="0" xfId="1" applyNumberFormat="1" applyFont="1" applyFill="1" applyAlignment="1">
      <alignment horizontal="center"/>
    </xf>
    <xf numFmtId="164" fontId="9" fillId="2" borderId="0" xfId="1" applyNumberFormat="1" applyFont="1" applyFill="1"/>
    <xf numFmtId="164" fontId="11" fillId="3" borderId="34" xfId="1" applyNumberFormat="1" applyFont="1" applyFill="1" applyBorder="1" applyAlignment="1" applyProtection="1">
      <alignment horizontal="center"/>
      <protection locked="0"/>
    </xf>
    <xf numFmtId="0" fontId="9" fillId="2" borderId="35" xfId="1" applyFont="1" applyFill="1" applyBorder="1" applyAlignment="1">
      <alignment horizontal="right"/>
    </xf>
    <xf numFmtId="164" fontId="9" fillId="4" borderId="34" xfId="1" applyNumberFormat="1" applyFont="1" applyFill="1" applyBorder="1" applyAlignment="1">
      <alignment horizontal="center"/>
    </xf>
    <xf numFmtId="0" fontId="9" fillId="2" borderId="4" xfId="1" applyFont="1" applyFill="1" applyBorder="1" applyAlignment="1">
      <alignment horizontal="right"/>
    </xf>
    <xf numFmtId="0" fontId="9" fillId="2" borderId="33" xfId="1" applyFont="1" applyFill="1" applyBorder="1" applyAlignment="1">
      <alignment horizontal="right"/>
    </xf>
    <xf numFmtId="170" fontId="10" fillId="4" borderId="32" xfId="1" applyNumberFormat="1" applyFont="1" applyFill="1" applyBorder="1" applyAlignment="1">
      <alignment horizontal="center"/>
    </xf>
    <xf numFmtId="1" fontId="10" fillId="4" borderId="30" xfId="1" applyNumberFormat="1" applyFont="1" applyFill="1" applyBorder="1" applyAlignment="1">
      <alignment horizontal="center"/>
    </xf>
    <xf numFmtId="0" fontId="9" fillId="2" borderId="17" xfId="1" applyFont="1" applyFill="1" applyBorder="1" applyAlignment="1">
      <alignment horizontal="right"/>
    </xf>
    <xf numFmtId="0" fontId="10" fillId="2" borderId="0" xfId="1" applyFont="1" applyFill="1" applyAlignment="1">
      <alignment vertical="center" wrapText="1"/>
    </xf>
    <xf numFmtId="0" fontId="9" fillId="2" borderId="26" xfId="1" applyFont="1" applyFill="1" applyBorder="1" applyAlignment="1">
      <alignment horizontal="center"/>
    </xf>
    <xf numFmtId="0" fontId="17" fillId="2" borderId="0" xfId="1" applyFont="1" applyFill="1"/>
    <xf numFmtId="0" fontId="9" fillId="2" borderId="21" xfId="1" applyFont="1" applyFill="1" applyBorder="1" applyAlignment="1">
      <alignment horizontal="center"/>
    </xf>
    <xf numFmtId="0" fontId="10" fillId="2" borderId="20" xfId="1" applyFont="1" applyFill="1" applyBorder="1" applyAlignment="1">
      <alignment horizontal="center"/>
    </xf>
    <xf numFmtId="0" fontId="10" fillId="2" borderId="33" xfId="1" applyFont="1" applyFill="1" applyBorder="1" applyAlignment="1">
      <alignment horizontal="center"/>
    </xf>
    <xf numFmtId="0" fontId="12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Alignment="1" applyProtection="1">
      <alignment horizontal="left" wrapText="1"/>
      <protection locked="0"/>
    </xf>
    <xf numFmtId="15" fontId="9" fillId="2" borderId="0" xfId="1" applyNumberFormat="1" applyFont="1" applyFill="1" applyAlignment="1">
      <alignment horizontal="left"/>
    </xf>
    <xf numFmtId="0" fontId="10" fillId="2" borderId="0" xfId="1" applyFont="1" applyFill="1"/>
    <xf numFmtId="0" fontId="12" fillId="2" borderId="0" xfId="1" applyFont="1" applyFill="1"/>
    <xf numFmtId="168" fontId="12" fillId="3" borderId="0" xfId="1" applyNumberFormat="1" applyFont="1" applyFill="1" applyAlignment="1" applyProtection="1">
      <alignment horizontal="center"/>
      <protection locked="0"/>
    </xf>
    <xf numFmtId="0" fontId="9" fillId="3" borderId="0" xfId="1" applyFont="1" applyFill="1" applyProtection="1">
      <protection locked="0"/>
    </xf>
    <xf numFmtId="0" fontId="12" fillId="3" borderId="0" xfId="1" applyFont="1" applyFill="1" applyAlignment="1" applyProtection="1">
      <alignment horizontal="left" wrapText="1"/>
      <protection locked="0"/>
    </xf>
    <xf numFmtId="0" fontId="12" fillId="3" borderId="0" xfId="1" applyFont="1" applyFill="1" applyAlignment="1" applyProtection="1">
      <alignment horizontal="left"/>
      <protection locked="0"/>
    </xf>
    <xf numFmtId="0" fontId="11" fillId="2" borderId="0" xfId="1" applyFont="1" applyFill="1" applyAlignment="1" applyProtection="1">
      <alignment horizontal="left"/>
      <protection locked="0"/>
    </xf>
    <xf numFmtId="0" fontId="11" fillId="2" borderId="0" xfId="1" applyFont="1" applyFill="1" applyAlignment="1" applyProtection="1">
      <alignment horizontal="right"/>
      <protection locked="0"/>
    </xf>
    <xf numFmtId="0" fontId="19" fillId="2" borderId="2" xfId="1" applyFont="1" applyFill="1" applyBorder="1" applyAlignment="1">
      <alignment horizontal="center" vertical="center"/>
    </xf>
    <xf numFmtId="0" fontId="18" fillId="2" borderId="13" xfId="1" applyFont="1" applyFill="1" applyBorder="1" applyAlignment="1">
      <alignment horizontal="center"/>
    </xf>
    <xf numFmtId="0" fontId="18" fillId="2" borderId="12" xfId="1" applyFont="1" applyFill="1" applyBorder="1" applyAlignment="1">
      <alignment horizontal="center"/>
    </xf>
    <xf numFmtId="0" fontId="18" fillId="2" borderId="11" xfId="1" applyFont="1" applyFill="1" applyBorder="1" applyAlignment="1">
      <alignment horizontal="center"/>
    </xf>
    <xf numFmtId="15" fontId="3" fillId="2" borderId="3" xfId="0" applyNumberFormat="1" applyFont="1" applyFill="1" applyBorder="1"/>
  </cellXfs>
  <cellStyles count="2">
    <cellStyle name="Normal" xfId="0" builtinId="0"/>
    <cellStyle name="Normal 2" xfId="1"/>
  </cellStyles>
  <dxfs count="2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tabSelected="1" topLeftCell="A4" zoomScale="59" zoomScaleNormal="59" workbookViewId="0">
      <selection activeCell="E27" sqref="E27"/>
    </sheetView>
  </sheetViews>
  <sheetFormatPr defaultColWidth="9.140625" defaultRowHeight="13.5" x14ac:dyDescent="0.25"/>
  <cols>
    <col min="1" max="1" width="55.42578125" style="57" customWidth="1"/>
    <col min="2" max="2" width="33.7109375" style="57" customWidth="1"/>
    <col min="3" max="3" width="42.28515625" style="57" customWidth="1"/>
    <col min="4" max="4" width="30.5703125" style="57" customWidth="1"/>
    <col min="5" max="5" width="39.85546875" style="57" customWidth="1"/>
    <col min="6" max="6" width="30.7109375" style="57" customWidth="1"/>
    <col min="7" max="7" width="39.85546875" style="57" customWidth="1"/>
    <col min="8" max="8" width="30" style="57" customWidth="1"/>
    <col min="9" max="9" width="30.28515625" style="57" hidden="1" customWidth="1"/>
    <col min="10" max="10" width="30.42578125" style="57" customWidth="1"/>
    <col min="11" max="11" width="21.28515625" style="57" customWidth="1"/>
    <col min="12" max="12" width="9.140625" style="57"/>
    <col min="13" max="16384" width="9.140625" style="56"/>
  </cols>
  <sheetData>
    <row r="15" spans="1:8" ht="19.5" customHeight="1" thickBot="1" x14ac:dyDescent="0.35">
      <c r="A15" s="58"/>
    </row>
    <row r="16" spans="1:8" ht="19.5" customHeight="1" thickBot="1" x14ac:dyDescent="0.35">
      <c r="A16" s="260" t="s">
        <v>0</v>
      </c>
      <c r="B16" s="259"/>
      <c r="C16" s="259"/>
      <c r="D16" s="259"/>
      <c r="E16" s="259"/>
      <c r="F16" s="259"/>
      <c r="G16" s="259"/>
      <c r="H16" s="258"/>
    </row>
    <row r="17" spans="1:14" ht="20.25" customHeight="1" x14ac:dyDescent="0.25">
      <c r="A17" s="257" t="s">
        <v>24</v>
      </c>
      <c r="B17" s="257"/>
      <c r="C17" s="257"/>
      <c r="D17" s="257"/>
      <c r="E17" s="257"/>
      <c r="F17" s="257"/>
      <c r="G17" s="257"/>
      <c r="H17" s="257"/>
    </row>
    <row r="18" spans="1:14" ht="26.25" customHeight="1" x14ac:dyDescent="0.4">
      <c r="A18" s="249" t="s">
        <v>5</v>
      </c>
      <c r="B18" s="247" t="s">
        <v>1</v>
      </c>
      <c r="C18" s="247"/>
      <c r="D18" s="256"/>
      <c r="E18" s="255"/>
      <c r="F18" s="250"/>
      <c r="G18" s="250"/>
      <c r="H18" s="250"/>
    </row>
    <row r="19" spans="1:14" ht="26.25" customHeight="1" x14ac:dyDescent="0.4">
      <c r="A19" s="249" t="s">
        <v>7</v>
      </c>
      <c r="B19" s="254" t="s">
        <v>3</v>
      </c>
      <c r="C19" s="250">
        <v>1</v>
      </c>
      <c r="D19" s="250"/>
      <c r="E19" s="250"/>
      <c r="F19" s="250"/>
      <c r="G19" s="250"/>
      <c r="H19" s="250"/>
    </row>
    <row r="20" spans="1:14" ht="26.25" customHeight="1" x14ac:dyDescent="0.4">
      <c r="A20" s="249" t="s">
        <v>8</v>
      </c>
      <c r="B20" s="253" t="s">
        <v>4</v>
      </c>
      <c r="C20" s="253"/>
      <c r="D20" s="250"/>
      <c r="E20" s="250"/>
      <c r="F20" s="250"/>
      <c r="G20" s="250"/>
      <c r="H20" s="250"/>
    </row>
    <row r="21" spans="1:14" ht="26.25" customHeight="1" x14ac:dyDescent="0.4">
      <c r="A21" s="249" t="s">
        <v>9</v>
      </c>
      <c r="B21" s="253" t="s">
        <v>6</v>
      </c>
      <c r="C21" s="253"/>
      <c r="D21" s="253"/>
      <c r="E21" s="253"/>
      <c r="F21" s="253"/>
      <c r="G21" s="253"/>
      <c r="H21" s="253"/>
      <c r="I21" s="252"/>
    </row>
    <row r="22" spans="1:14" ht="26.25" customHeight="1" x14ac:dyDescent="0.4">
      <c r="A22" s="249" t="s">
        <v>10</v>
      </c>
      <c r="B22" s="251">
        <v>42075.575694444444</v>
      </c>
      <c r="C22" s="250"/>
      <c r="D22" s="250"/>
      <c r="E22" s="250"/>
      <c r="F22" s="250"/>
      <c r="G22" s="250"/>
      <c r="H22" s="250"/>
    </row>
    <row r="23" spans="1:14" ht="26.25" customHeight="1" x14ac:dyDescent="0.4">
      <c r="A23" s="249" t="s">
        <v>11</v>
      </c>
      <c r="B23" s="251">
        <v>42075</v>
      </c>
      <c r="C23" s="250"/>
      <c r="D23" s="250"/>
      <c r="E23" s="250"/>
      <c r="F23" s="250"/>
      <c r="G23" s="250"/>
      <c r="H23" s="250"/>
    </row>
    <row r="24" spans="1:14" ht="18.75" x14ac:dyDescent="0.3">
      <c r="A24" s="249"/>
      <c r="B24" s="248"/>
    </row>
    <row r="25" spans="1:14" ht="18.75" x14ac:dyDescent="0.3">
      <c r="A25" s="165" t="s">
        <v>12</v>
      </c>
      <c r="B25" s="248"/>
    </row>
    <row r="26" spans="1:14" ht="26.25" customHeight="1" x14ac:dyDescent="0.4">
      <c r="A26" s="63" t="s">
        <v>25</v>
      </c>
      <c r="B26" s="247" t="s">
        <v>26</v>
      </c>
      <c r="C26" s="247"/>
    </row>
    <row r="27" spans="1:14" ht="26.25" customHeight="1" x14ac:dyDescent="0.4">
      <c r="A27" s="73" t="s">
        <v>27</v>
      </c>
      <c r="B27" s="246" t="s">
        <v>107</v>
      </c>
      <c r="C27" s="246"/>
    </row>
    <row r="28" spans="1:14" ht="27" customHeight="1" thickBot="1" x14ac:dyDescent="0.45">
      <c r="A28" s="73" t="s">
        <v>28</v>
      </c>
      <c r="B28" s="135">
        <v>99.5</v>
      </c>
    </row>
    <row r="29" spans="1:14" s="166" customFormat="1" ht="27" customHeight="1" thickBot="1" x14ac:dyDescent="0.45">
      <c r="A29" s="73" t="s">
        <v>29</v>
      </c>
      <c r="B29" s="180">
        <v>0</v>
      </c>
      <c r="C29" s="179" t="s">
        <v>30</v>
      </c>
      <c r="D29" s="178"/>
      <c r="E29" s="178"/>
      <c r="F29" s="178"/>
      <c r="G29" s="177"/>
      <c r="I29" s="167"/>
      <c r="J29" s="167"/>
      <c r="K29" s="167"/>
      <c r="L29" s="167"/>
    </row>
    <row r="30" spans="1:14" s="166" customFormat="1" ht="19.5" customHeight="1" thickBot="1" x14ac:dyDescent="0.35">
      <c r="A30" s="73" t="s">
        <v>31</v>
      </c>
      <c r="B30" s="176">
        <f>B28-B29</f>
        <v>99.5</v>
      </c>
      <c r="C30" s="175"/>
      <c r="D30" s="175"/>
      <c r="E30" s="175"/>
      <c r="F30" s="175"/>
      <c r="G30" s="174"/>
      <c r="I30" s="167"/>
      <c r="J30" s="167"/>
      <c r="K30" s="167"/>
      <c r="L30" s="167"/>
    </row>
    <row r="31" spans="1:14" s="166" customFormat="1" ht="27" customHeight="1" thickBot="1" x14ac:dyDescent="0.45">
      <c r="A31" s="73" t="s">
        <v>32</v>
      </c>
      <c r="B31" s="173">
        <v>1</v>
      </c>
      <c r="C31" s="172" t="s">
        <v>33</v>
      </c>
      <c r="D31" s="171"/>
      <c r="E31" s="171"/>
      <c r="F31" s="171"/>
      <c r="G31" s="171"/>
      <c r="H31" s="170"/>
      <c r="I31" s="167"/>
      <c r="J31" s="167"/>
      <c r="K31" s="167"/>
      <c r="L31" s="167"/>
    </row>
    <row r="32" spans="1:14" s="166" customFormat="1" ht="27" customHeight="1" thickBot="1" x14ac:dyDescent="0.45">
      <c r="A32" s="73" t="s">
        <v>34</v>
      </c>
      <c r="B32" s="173">
        <v>1</v>
      </c>
      <c r="C32" s="172" t="s">
        <v>35</v>
      </c>
      <c r="D32" s="171"/>
      <c r="E32" s="171"/>
      <c r="F32" s="171"/>
      <c r="G32" s="171"/>
      <c r="H32" s="170"/>
      <c r="I32" s="167"/>
      <c r="J32" s="167"/>
      <c r="K32" s="167"/>
      <c r="L32" s="240"/>
      <c r="M32" s="240"/>
      <c r="N32" s="242"/>
    </row>
    <row r="33" spans="1:14" s="166" customFormat="1" ht="17.25" customHeight="1" thickBot="1" x14ac:dyDescent="0.35">
      <c r="A33" s="73"/>
      <c r="B33" s="169"/>
      <c r="C33" s="74"/>
      <c r="D33" s="74"/>
      <c r="E33" s="74"/>
      <c r="F33" s="74"/>
      <c r="G33" s="74"/>
      <c r="H33" s="74"/>
      <c r="I33" s="167"/>
      <c r="J33" s="167"/>
      <c r="K33" s="167"/>
      <c r="L33" s="240"/>
      <c r="M33" s="240"/>
      <c r="N33" s="242"/>
    </row>
    <row r="34" spans="1:14" s="166" customFormat="1" ht="19.5" thickBot="1" x14ac:dyDescent="0.35">
      <c r="A34" s="73" t="s">
        <v>36</v>
      </c>
      <c r="B34" s="168">
        <f>B31/B32</f>
        <v>1</v>
      </c>
      <c r="C34" s="58" t="s">
        <v>37</v>
      </c>
      <c r="D34" s="58"/>
      <c r="E34" s="58"/>
      <c r="F34" s="58"/>
      <c r="G34" s="58"/>
      <c r="I34" s="167"/>
      <c r="J34" s="167"/>
      <c r="K34" s="167"/>
      <c r="L34" s="240"/>
      <c r="M34" s="240"/>
      <c r="N34" s="242"/>
    </row>
    <row r="35" spans="1:14" s="166" customFormat="1" ht="19.5" customHeight="1" thickBot="1" x14ac:dyDescent="0.35">
      <c r="A35" s="73"/>
      <c r="B35" s="176"/>
      <c r="G35" s="58"/>
      <c r="I35" s="167"/>
      <c r="J35" s="167"/>
      <c r="K35" s="167"/>
      <c r="L35" s="240"/>
      <c r="M35" s="240"/>
      <c r="N35" s="242"/>
    </row>
    <row r="36" spans="1:14" s="166" customFormat="1" ht="27" customHeight="1" thickBot="1" x14ac:dyDescent="0.45">
      <c r="A36" s="110" t="s">
        <v>38</v>
      </c>
      <c r="B36" s="109">
        <v>50</v>
      </c>
      <c r="C36" s="58"/>
      <c r="D36" s="163" t="s">
        <v>39</v>
      </c>
      <c r="E36" s="245"/>
      <c r="F36" s="163" t="s">
        <v>40</v>
      </c>
      <c r="G36" s="162"/>
      <c r="J36" s="167"/>
      <c r="K36" s="167"/>
      <c r="L36" s="240"/>
      <c r="M36" s="240"/>
      <c r="N36" s="242"/>
    </row>
    <row r="37" spans="1:14" s="166" customFormat="1" ht="27" customHeight="1" thickBot="1" x14ac:dyDescent="0.45">
      <c r="A37" s="89" t="s">
        <v>41</v>
      </c>
      <c r="B37" s="94">
        <v>2</v>
      </c>
      <c r="C37" s="217" t="s">
        <v>42</v>
      </c>
      <c r="D37" s="160" t="s">
        <v>43</v>
      </c>
      <c r="E37" s="161" t="s">
        <v>44</v>
      </c>
      <c r="F37" s="160" t="s">
        <v>43</v>
      </c>
      <c r="G37" s="244" t="s">
        <v>44</v>
      </c>
      <c r="I37" s="158" t="s">
        <v>45</v>
      </c>
      <c r="J37" s="167"/>
      <c r="K37" s="167"/>
      <c r="L37" s="240"/>
      <c r="M37" s="240"/>
      <c r="N37" s="242"/>
    </row>
    <row r="38" spans="1:14" s="166" customFormat="1" ht="26.25" customHeight="1" thickBot="1" x14ac:dyDescent="0.45">
      <c r="A38" s="89" t="s">
        <v>46</v>
      </c>
      <c r="B38" s="94">
        <v>100</v>
      </c>
      <c r="C38" s="243">
        <v>1</v>
      </c>
      <c r="D38" s="155">
        <v>0.82899999999999996</v>
      </c>
      <c r="E38" s="156">
        <f>IF(ISBLANK(D38),"-",$D$48/$D$45*D38)</f>
        <v>0.78275632200838829</v>
      </c>
      <c r="F38" s="155">
        <v>0.80300000000000005</v>
      </c>
      <c r="G38" s="154">
        <f>IF(ISBLANK(F38),"-",$D$48/$F$45*F38)</f>
        <v>0.7987284005140507</v>
      </c>
      <c r="I38" s="153"/>
      <c r="J38" s="167"/>
      <c r="K38" s="167"/>
      <c r="L38" s="240"/>
      <c r="M38" s="240"/>
      <c r="N38" s="242"/>
    </row>
    <row r="39" spans="1:14" s="166" customFormat="1" ht="26.25" customHeight="1" thickBot="1" x14ac:dyDescent="0.45">
      <c r="A39" s="89" t="s">
        <v>47</v>
      </c>
      <c r="B39" s="94">
        <v>1</v>
      </c>
      <c r="C39" s="88">
        <v>2</v>
      </c>
      <c r="D39" s="151">
        <v>0.83599999999999997</v>
      </c>
      <c r="E39" s="152">
        <f>IF(ISBLANK(D39),"-",$D$48/$D$45*D39)</f>
        <v>0.78936584463089587</v>
      </c>
      <c r="F39" s="151">
        <v>0.80600000000000005</v>
      </c>
      <c r="G39" s="150">
        <f>IF(ISBLANK(F39),"-",$D$48/$F$45*F39)</f>
        <v>0.8017124418609276</v>
      </c>
      <c r="I39" s="149">
        <f>ABS((F43/D43*D42)-F42)/D42</f>
        <v>1.3903343644475711E-2</v>
      </c>
      <c r="J39" s="167"/>
      <c r="K39" s="167"/>
      <c r="L39" s="240"/>
      <c r="M39" s="240"/>
      <c r="N39" s="242"/>
    </row>
    <row r="40" spans="1:14" ht="26.25" customHeight="1" x14ac:dyDescent="0.4">
      <c r="A40" s="89" t="s">
        <v>48</v>
      </c>
      <c r="B40" s="94">
        <v>1</v>
      </c>
      <c r="C40" s="88">
        <v>3</v>
      </c>
      <c r="D40" s="151">
        <v>0.83299999999999996</v>
      </c>
      <c r="E40" s="152">
        <f>IF(ISBLANK(D40),"-",$D$48/$D$45*D40)</f>
        <v>0.78653319207839267</v>
      </c>
      <c r="F40" s="151">
        <v>0.79700000000000004</v>
      </c>
      <c r="G40" s="150">
        <f>IF(ISBLANK(F40),"-",$D$48/$F$45*F40)</f>
        <v>0.79276031782029688</v>
      </c>
      <c r="I40" s="149"/>
      <c r="L40" s="240"/>
      <c r="M40" s="240"/>
      <c r="N40" s="58"/>
    </row>
    <row r="41" spans="1:14" ht="27" customHeight="1" thickBot="1" x14ac:dyDescent="0.45">
      <c r="A41" s="89" t="s">
        <v>49</v>
      </c>
      <c r="B41" s="94">
        <v>1</v>
      </c>
      <c r="C41" s="241">
        <v>4</v>
      </c>
      <c r="D41" s="147"/>
      <c r="E41" s="146" t="str">
        <f>IF(ISBLANK(D41),"-",$D$48/$D$45*D41)</f>
        <v>-</v>
      </c>
      <c r="F41" s="147"/>
      <c r="G41" s="144" t="str">
        <f>IF(ISBLANK(F41),"-",$D$48/$F$45*F41)</f>
        <v>-</v>
      </c>
      <c r="I41" s="143"/>
      <c r="L41" s="240"/>
      <c r="M41" s="240"/>
      <c r="N41" s="58"/>
    </row>
    <row r="42" spans="1:14" ht="27" customHeight="1" thickBot="1" x14ac:dyDescent="0.45">
      <c r="A42" s="89" t="s">
        <v>50</v>
      </c>
      <c r="B42" s="94">
        <v>1</v>
      </c>
      <c r="C42" s="239" t="s">
        <v>51</v>
      </c>
      <c r="D42" s="238">
        <f>AVERAGE(D38:D41)</f>
        <v>0.83266666666666678</v>
      </c>
      <c r="E42" s="141">
        <f>AVERAGE(E38:E41)</f>
        <v>0.78621845290589221</v>
      </c>
      <c r="F42" s="238">
        <f>AVERAGE(F38:F41)</f>
        <v>0.80200000000000005</v>
      </c>
      <c r="G42" s="237">
        <f>AVERAGE(G38:G41)</f>
        <v>0.79773372006509169</v>
      </c>
    </row>
    <row r="43" spans="1:14" ht="26.25" customHeight="1" x14ac:dyDescent="0.4">
      <c r="A43" s="89" t="s">
        <v>52</v>
      </c>
      <c r="B43" s="94">
        <v>1</v>
      </c>
      <c r="C43" s="236" t="s">
        <v>53</v>
      </c>
      <c r="D43" s="136">
        <v>26.61</v>
      </c>
      <c r="E43" s="58"/>
      <c r="F43" s="136">
        <v>25.26</v>
      </c>
    </row>
    <row r="44" spans="1:14" ht="26.25" customHeight="1" x14ac:dyDescent="0.4">
      <c r="A44" s="89" t="s">
        <v>54</v>
      </c>
      <c r="B44" s="94">
        <v>1</v>
      </c>
      <c r="C44" s="235" t="s">
        <v>55</v>
      </c>
      <c r="D44" s="134">
        <f>D43*$B$34</f>
        <v>26.61</v>
      </c>
      <c r="E44" s="59"/>
      <c r="F44" s="134">
        <f>F43*$B$34</f>
        <v>25.26</v>
      </c>
    </row>
    <row r="45" spans="1:14" ht="19.5" customHeight="1" thickBot="1" x14ac:dyDescent="0.35">
      <c r="A45" s="89" t="s">
        <v>56</v>
      </c>
      <c r="B45" s="88">
        <f>(B44/B43)*(B42/B41)*(B40/B39)*(B38/B37)*B36</f>
        <v>2500</v>
      </c>
      <c r="C45" s="235" t="s">
        <v>57</v>
      </c>
      <c r="D45" s="132">
        <f>D44*$B$30/100</f>
        <v>26.476950000000002</v>
      </c>
      <c r="E45" s="60"/>
      <c r="F45" s="132">
        <f>F44*$B$30/100</f>
        <v>25.133700000000005</v>
      </c>
    </row>
    <row r="46" spans="1:14" ht="19.5" customHeight="1" thickBot="1" x14ac:dyDescent="0.35">
      <c r="A46" s="84" t="s">
        <v>58</v>
      </c>
      <c r="B46" s="83"/>
      <c r="C46" s="235" t="s">
        <v>59</v>
      </c>
      <c r="D46" s="234">
        <f>D45/$B$45</f>
        <v>1.0590780000000001E-2</v>
      </c>
      <c r="E46" s="230"/>
      <c r="F46" s="129">
        <f>F45/$B$45</f>
        <v>1.0053480000000002E-2</v>
      </c>
    </row>
    <row r="47" spans="1:14" ht="27" customHeight="1" thickBot="1" x14ac:dyDescent="0.45">
      <c r="A47" s="77"/>
      <c r="B47" s="76"/>
      <c r="C47" s="233" t="s">
        <v>60</v>
      </c>
      <c r="D47" s="232">
        <f>25/50*2/100</f>
        <v>0.01</v>
      </c>
      <c r="E47" s="231"/>
      <c r="F47" s="230"/>
    </row>
    <row r="48" spans="1:14" ht="18.75" x14ac:dyDescent="0.3">
      <c r="C48" s="229" t="s">
        <v>61</v>
      </c>
      <c r="D48" s="132">
        <f>D47*$B$45</f>
        <v>25</v>
      </c>
      <c r="F48" s="124"/>
    </row>
    <row r="49" spans="1:12" ht="19.5" customHeight="1" thickBot="1" x14ac:dyDescent="0.35">
      <c r="C49" s="228" t="s">
        <v>62</v>
      </c>
      <c r="D49" s="227">
        <f>D48/B34</f>
        <v>25</v>
      </c>
      <c r="F49" s="124"/>
    </row>
    <row r="50" spans="1:12" ht="18.75" x14ac:dyDescent="0.3">
      <c r="C50" s="110" t="s">
        <v>63</v>
      </c>
      <c r="D50" s="226">
        <f>AVERAGE(E38:E41,G38:G41)</f>
        <v>0.791976086485492</v>
      </c>
      <c r="F50" s="113"/>
    </row>
    <row r="51" spans="1:12" ht="18.75" x14ac:dyDescent="0.3">
      <c r="C51" s="89" t="s">
        <v>64</v>
      </c>
      <c r="D51" s="225">
        <f>STDEV(E38:E41,G38:G41)/D50</f>
        <v>9.1479646840975995E-3</v>
      </c>
      <c r="F51" s="113"/>
    </row>
    <row r="52" spans="1:12" ht="19.5" customHeight="1" thickBot="1" x14ac:dyDescent="0.35">
      <c r="C52" s="202" t="s">
        <v>65</v>
      </c>
      <c r="D52" s="224">
        <f>COUNT(E38:E41,G38:G41)</f>
        <v>6</v>
      </c>
      <c r="F52" s="113"/>
    </row>
    <row r="54" spans="1:12" ht="18.75" x14ac:dyDescent="0.3">
      <c r="A54" s="111" t="s">
        <v>12</v>
      </c>
      <c r="B54" s="223" t="s">
        <v>66</v>
      </c>
    </row>
    <row r="55" spans="1:12" ht="18.75" x14ac:dyDescent="0.3">
      <c r="A55" s="58" t="s">
        <v>67</v>
      </c>
      <c r="B55" s="221" t="str">
        <f>B21</f>
        <v>Metformin Hydrochloride USP 500mg</v>
      </c>
    </row>
    <row r="56" spans="1:12" ht="26.25" customHeight="1" x14ac:dyDescent="0.4">
      <c r="A56" s="221" t="s">
        <v>68</v>
      </c>
      <c r="B56" s="222">
        <v>500</v>
      </c>
      <c r="C56" s="58" t="str">
        <f>B20</f>
        <v>Metformin</v>
      </c>
      <c r="H56" s="59"/>
    </row>
    <row r="57" spans="1:12" ht="18.75" x14ac:dyDescent="0.3">
      <c r="A57" s="221" t="s">
        <v>69</v>
      </c>
      <c r="B57" s="220">
        <f>Uniformity!C46</f>
        <v>591.85850000000005</v>
      </c>
      <c r="H57" s="59"/>
    </row>
    <row r="58" spans="1:12" ht="19.5" customHeight="1" thickBot="1" x14ac:dyDescent="0.35">
      <c r="H58" s="59"/>
    </row>
    <row r="59" spans="1:12" s="166" customFormat="1" ht="27" customHeight="1" thickBot="1" x14ac:dyDescent="0.45">
      <c r="A59" s="110" t="s">
        <v>70</v>
      </c>
      <c r="B59" s="109">
        <v>50</v>
      </c>
      <c r="C59" s="58"/>
      <c r="D59" s="219" t="s">
        <v>71</v>
      </c>
      <c r="E59" s="218" t="s">
        <v>42</v>
      </c>
      <c r="F59" s="218" t="s">
        <v>43</v>
      </c>
      <c r="G59" s="218" t="s">
        <v>72</v>
      </c>
      <c r="H59" s="217" t="s">
        <v>73</v>
      </c>
      <c r="L59" s="167"/>
    </row>
    <row r="60" spans="1:12" s="166" customFormat="1" ht="26.25" customHeight="1" thickBot="1" x14ac:dyDescent="0.45">
      <c r="A60" s="89" t="s">
        <v>74</v>
      </c>
      <c r="B60" s="94">
        <v>2</v>
      </c>
      <c r="C60" s="207" t="s">
        <v>75</v>
      </c>
      <c r="D60" s="206">
        <v>29.51</v>
      </c>
      <c r="E60" s="205">
        <v>1</v>
      </c>
      <c r="F60" s="204">
        <v>0.78500000000000003</v>
      </c>
      <c r="G60" s="216">
        <f>IF(ISBLANK(F60),"-",(F60/$D$50*$D$47*$B$68)*($B$57/$D$60))</f>
        <v>496.9884280442916</v>
      </c>
      <c r="H60" s="215">
        <f>IF(ISBLANK(F60),"-",G60/$B$56)</f>
        <v>0.99397685608858322</v>
      </c>
      <c r="L60" s="167"/>
    </row>
    <row r="61" spans="1:12" s="166" customFormat="1" ht="26.25" customHeight="1" thickBot="1" x14ac:dyDescent="0.45">
      <c r="A61" s="89" t="s">
        <v>76</v>
      </c>
      <c r="B61" s="94">
        <v>100</v>
      </c>
      <c r="C61" s="198"/>
      <c r="D61" s="197"/>
      <c r="E61" s="196">
        <v>2</v>
      </c>
      <c r="F61" s="151">
        <v>0.79300000000000004</v>
      </c>
      <c r="G61" s="213">
        <f>IF(ISBLANK(F61),"-",(F61/$D$50*$D$47*$B$68)*($B$57/$D$60))</f>
        <v>502.05327826639893</v>
      </c>
      <c r="H61" s="194">
        <f>IF(ISBLANK(F61),"-",G61/$B$56)</f>
        <v>1.0041065565327978</v>
      </c>
      <c r="L61" s="167"/>
    </row>
    <row r="62" spans="1:12" s="166" customFormat="1" ht="26.25" customHeight="1" thickBot="1" x14ac:dyDescent="0.45">
      <c r="A62" s="89" t="s">
        <v>77</v>
      </c>
      <c r="B62" s="94">
        <v>1</v>
      </c>
      <c r="C62" s="198"/>
      <c r="D62" s="197"/>
      <c r="E62" s="196">
        <v>3</v>
      </c>
      <c r="F62" s="214">
        <v>0.79</v>
      </c>
      <c r="G62" s="213">
        <f>IF(ISBLANK(F62),"-",(F62/$D$50*$D$47*$B$68)*($B$57/$D$60))</f>
        <v>500.1539594331087</v>
      </c>
      <c r="H62" s="194">
        <f>IF(ISBLANK(F62),"-",G62/$B$56)</f>
        <v>1.0003079188662174</v>
      </c>
      <c r="L62" s="167"/>
    </row>
    <row r="63" spans="1:12" ht="27" customHeight="1" thickBot="1" x14ac:dyDescent="0.45">
      <c r="A63" s="89" t="s">
        <v>78</v>
      </c>
      <c r="B63" s="94">
        <v>1</v>
      </c>
      <c r="C63" s="210"/>
      <c r="D63" s="190"/>
      <c r="E63" s="189">
        <v>4</v>
      </c>
      <c r="F63" s="188"/>
      <c r="G63" s="213" t="str">
        <f>IF(ISBLANK(F63),"-",(F63/$D$50*$D$47*$B$68)*($B$57/$D$60))</f>
        <v>-</v>
      </c>
      <c r="H63" s="194" t="str">
        <f>IF(ISBLANK(F63),"-",G63/$B$56)</f>
        <v>-</v>
      </c>
    </row>
    <row r="64" spans="1:12" ht="26.25" customHeight="1" x14ac:dyDescent="0.4">
      <c r="A64" s="89" t="s">
        <v>79</v>
      </c>
      <c r="B64" s="94">
        <v>1</v>
      </c>
      <c r="C64" s="207" t="s">
        <v>80</v>
      </c>
      <c r="D64" s="206">
        <v>29.88</v>
      </c>
      <c r="E64" s="205">
        <v>1</v>
      </c>
      <c r="F64" s="204">
        <v>0.81200000000000006</v>
      </c>
      <c r="G64" s="203">
        <f>IF(ISBLANK(F64),"-",(F64/$D$50*$D$47*$B$68)*($B$57/$D$64))</f>
        <v>507.71648596119849</v>
      </c>
      <c r="H64" s="212">
        <f>IF(ISBLANK(F64),"-",G64/$B$56)</f>
        <v>1.0154329719223969</v>
      </c>
    </row>
    <row r="65" spans="1:8" ht="26.25" customHeight="1" x14ac:dyDescent="0.4">
      <c r="A65" s="89" t="s">
        <v>81</v>
      </c>
      <c r="B65" s="94">
        <v>1</v>
      </c>
      <c r="C65" s="198"/>
      <c r="D65" s="197"/>
      <c r="E65" s="196">
        <v>2</v>
      </c>
      <c r="F65" s="151">
        <v>0.81499999999999995</v>
      </c>
      <c r="G65" s="195">
        <f>IF(ISBLANK(F65),"-",(F65/$D$50*$D$47*$B$68)*($B$57/$D$64))</f>
        <v>509.59228578617825</v>
      </c>
      <c r="H65" s="211">
        <f>IF(ISBLANK(F65),"-",G65/$B$56)</f>
        <v>1.0191845715723564</v>
      </c>
    </row>
    <row r="66" spans="1:8" ht="26.25" customHeight="1" x14ac:dyDescent="0.4">
      <c r="A66" s="89" t="s">
        <v>82</v>
      </c>
      <c r="B66" s="94">
        <v>1</v>
      </c>
      <c r="C66" s="198"/>
      <c r="D66" s="197"/>
      <c r="E66" s="196">
        <v>3</v>
      </c>
      <c r="F66" s="151">
        <v>0.81499999999999995</v>
      </c>
      <c r="G66" s="195">
        <f>IF(ISBLANK(F66),"-",(F66/$D$50*$D$47*$B$68)*($B$57/$D$64))</f>
        <v>509.59228578617825</v>
      </c>
      <c r="H66" s="211">
        <f>IF(ISBLANK(F66),"-",G66/$B$56)</f>
        <v>1.0191845715723564</v>
      </c>
    </row>
    <row r="67" spans="1:8" ht="27" customHeight="1" thickBot="1" x14ac:dyDescent="0.45">
      <c r="A67" s="89" t="s">
        <v>83</v>
      </c>
      <c r="B67" s="94">
        <v>1</v>
      </c>
      <c r="C67" s="210"/>
      <c r="D67" s="190"/>
      <c r="E67" s="189">
        <v>4</v>
      </c>
      <c r="F67" s="188"/>
      <c r="G67" s="187" t="str">
        <f>IF(ISBLANK(F67),"-",(F67/$D$50*$D$47*$B$68)*($B$57/$D$64))</f>
        <v>-</v>
      </c>
      <c r="H67" s="209" t="str">
        <f>IF(ISBLANK(F67),"-",G67/$B$56)</f>
        <v>-</v>
      </c>
    </row>
    <row r="68" spans="1:8" ht="26.25" customHeight="1" x14ac:dyDescent="0.4">
      <c r="A68" s="89" t="s">
        <v>84</v>
      </c>
      <c r="B68" s="208">
        <f>(B67/B66)*(B65/B64)*(B63/B62)*(B61/B60)*B59</f>
        <v>2500</v>
      </c>
      <c r="C68" s="207" t="s">
        <v>85</v>
      </c>
      <c r="D68" s="206">
        <v>37.049999999999997</v>
      </c>
      <c r="E68" s="205">
        <v>1</v>
      </c>
      <c r="F68" s="204">
        <v>0.98399999999999999</v>
      </c>
      <c r="G68" s="203">
        <f>IF(ISBLANK(F68),"-",(F68/$D$50*$D$47*$B$68)*($B$57/$D$68))</f>
        <v>496.19537912793533</v>
      </c>
      <c r="H68" s="194">
        <f>IF(ISBLANK(F68),"-",G68/$B$56)</f>
        <v>0.99239075825587064</v>
      </c>
    </row>
    <row r="69" spans="1:8" ht="27" customHeight="1" thickBot="1" x14ac:dyDescent="0.45">
      <c r="A69" s="202" t="s">
        <v>86</v>
      </c>
      <c r="B69" s="201">
        <f>(D47*B68)/B56*B57</f>
        <v>29.592925000000005</v>
      </c>
      <c r="C69" s="198"/>
      <c r="D69" s="197"/>
      <c r="E69" s="196">
        <v>2</v>
      </c>
      <c r="F69" s="151">
        <v>0.98299999999999998</v>
      </c>
      <c r="G69" s="195">
        <f>IF(ISBLANK(F69),"-",(F69/$D$50*$D$47*$B$68)*($B$57/$D$68))</f>
        <v>495.69111553126061</v>
      </c>
      <c r="H69" s="194">
        <f>IF(ISBLANK(F69),"-",G69/$B$56)</f>
        <v>0.99138223106252121</v>
      </c>
    </row>
    <row r="70" spans="1:8" ht="26.25" customHeight="1" x14ac:dyDescent="0.4">
      <c r="A70" s="200" t="s">
        <v>58</v>
      </c>
      <c r="B70" s="199"/>
      <c r="C70" s="198"/>
      <c r="D70" s="197"/>
      <c r="E70" s="196">
        <v>3</v>
      </c>
      <c r="F70" s="151">
        <v>0.98299999999999998</v>
      </c>
      <c r="G70" s="195">
        <f>IF(ISBLANK(F70),"-",(F70/$D$50*$D$47*$B$68)*($B$57/$D$68))</f>
        <v>495.69111553126061</v>
      </c>
      <c r="H70" s="194">
        <f>IF(ISBLANK(F70),"-",G70/$B$56)</f>
        <v>0.99138223106252121</v>
      </c>
    </row>
    <row r="71" spans="1:8" ht="27" customHeight="1" thickBot="1" x14ac:dyDescent="0.45">
      <c r="A71" s="193"/>
      <c r="B71" s="192"/>
      <c r="C71" s="191"/>
      <c r="D71" s="190"/>
      <c r="E71" s="189">
        <v>4</v>
      </c>
      <c r="F71" s="188"/>
      <c r="G71" s="187" t="str">
        <f>IF(ISBLANK(F71),"-",(F71/$D$50*$D$47*$B$68)*($B$57/$D$68))</f>
        <v>-</v>
      </c>
      <c r="H71" s="186" t="str">
        <f>IF(ISBLANK(F71),"-",G71/$B$56)</f>
        <v>-</v>
      </c>
    </row>
    <row r="72" spans="1:8" ht="26.25" customHeight="1" x14ac:dyDescent="0.4">
      <c r="A72" s="59"/>
      <c r="B72" s="59"/>
      <c r="C72" s="59"/>
      <c r="D72" s="59"/>
      <c r="E72" s="59"/>
      <c r="F72" s="59"/>
      <c r="G72" s="185" t="s">
        <v>51</v>
      </c>
      <c r="H72" s="184">
        <f>AVERAGE(H60:H71)</f>
        <v>1.0030387407706247</v>
      </c>
    </row>
    <row r="73" spans="1:8" ht="26.25" customHeight="1" x14ac:dyDescent="0.4">
      <c r="C73" s="59"/>
      <c r="D73" s="59"/>
      <c r="E73" s="59"/>
      <c r="F73" s="59"/>
      <c r="G73" s="117" t="s">
        <v>64</v>
      </c>
      <c r="H73" s="183">
        <f>STDEV(H60:H71)/H72</f>
        <v>1.1957599983499306E-2</v>
      </c>
    </row>
    <row r="74" spans="1:8" ht="27" customHeight="1" thickBot="1" x14ac:dyDescent="0.45">
      <c r="A74" s="59"/>
      <c r="B74" s="59"/>
      <c r="C74" s="59"/>
      <c r="D74" s="59"/>
      <c r="E74" s="60"/>
      <c r="F74" s="59"/>
      <c r="G74" s="115" t="s">
        <v>65</v>
      </c>
      <c r="H74" s="182">
        <f>COUNT(H60:H71)</f>
        <v>9</v>
      </c>
    </row>
    <row r="76" spans="1:8" ht="26.25" customHeight="1" x14ac:dyDescent="0.4">
      <c r="A76" s="63" t="s">
        <v>87</v>
      </c>
      <c r="B76" s="73" t="s">
        <v>88</v>
      </c>
      <c r="C76" s="72" t="str">
        <f>B20</f>
        <v>Metformin</v>
      </c>
      <c r="D76" s="72"/>
      <c r="E76" s="58" t="s">
        <v>89</v>
      </c>
      <c r="F76" s="58"/>
      <c r="G76" s="71">
        <f>H72</f>
        <v>1.0030387407706247</v>
      </c>
      <c r="H76" s="176"/>
    </row>
    <row r="77" spans="1:8" ht="18.75" x14ac:dyDescent="0.3">
      <c r="A77" s="165" t="s">
        <v>90</v>
      </c>
      <c r="B77" s="165" t="s">
        <v>91</v>
      </c>
    </row>
    <row r="78" spans="1:8" ht="18.75" x14ac:dyDescent="0.3">
      <c r="A78" s="165"/>
      <c r="B78" s="165"/>
    </row>
    <row r="79" spans="1:8" ht="26.25" customHeight="1" x14ac:dyDescent="0.4">
      <c r="A79" s="63" t="s">
        <v>25</v>
      </c>
      <c r="B79" s="181" t="str">
        <f>B26</f>
        <v>Metformin Hydrochloride</v>
      </c>
      <c r="C79" s="181"/>
    </row>
    <row r="80" spans="1:8" ht="26.25" customHeight="1" x14ac:dyDescent="0.4">
      <c r="A80" s="73" t="s">
        <v>27</v>
      </c>
      <c r="B80" s="181" t="str">
        <f>B27</f>
        <v>NQCL-WRS-M19-7</v>
      </c>
      <c r="C80" s="181"/>
    </row>
    <row r="81" spans="1:12" ht="27" customHeight="1" thickBot="1" x14ac:dyDescent="0.45">
      <c r="A81" s="73" t="s">
        <v>28</v>
      </c>
      <c r="B81" s="135">
        <f>B28</f>
        <v>99.5</v>
      </c>
    </row>
    <row r="82" spans="1:12" s="166" customFormat="1" ht="27" customHeight="1" thickBot="1" x14ac:dyDescent="0.45">
      <c r="A82" s="73" t="s">
        <v>29</v>
      </c>
      <c r="B82" s="180">
        <v>0</v>
      </c>
      <c r="C82" s="179" t="s">
        <v>30</v>
      </c>
      <c r="D82" s="178"/>
      <c r="E82" s="178"/>
      <c r="F82" s="178"/>
      <c r="G82" s="177"/>
      <c r="I82" s="167"/>
      <c r="J82" s="167"/>
      <c r="K82" s="167"/>
      <c r="L82" s="167"/>
    </row>
    <row r="83" spans="1:12" s="166" customFormat="1" ht="19.5" customHeight="1" thickBot="1" x14ac:dyDescent="0.35">
      <c r="A83" s="73" t="s">
        <v>31</v>
      </c>
      <c r="B83" s="176">
        <f>B81-B82</f>
        <v>99.5</v>
      </c>
      <c r="C83" s="175"/>
      <c r="D83" s="175"/>
      <c r="E83" s="175"/>
      <c r="F83" s="175"/>
      <c r="G83" s="174"/>
      <c r="I83" s="167"/>
      <c r="J83" s="167"/>
      <c r="K83" s="167"/>
      <c r="L83" s="167"/>
    </row>
    <row r="84" spans="1:12" s="166" customFormat="1" ht="27" customHeight="1" thickBot="1" x14ac:dyDescent="0.45">
      <c r="A84" s="73" t="s">
        <v>32</v>
      </c>
      <c r="B84" s="173">
        <v>1</v>
      </c>
      <c r="C84" s="172" t="s">
        <v>92</v>
      </c>
      <c r="D84" s="171"/>
      <c r="E84" s="171"/>
      <c r="F84" s="171"/>
      <c r="G84" s="171"/>
      <c r="H84" s="170"/>
      <c r="I84" s="167"/>
      <c r="J84" s="167"/>
      <c r="K84" s="167"/>
      <c r="L84" s="167"/>
    </row>
    <row r="85" spans="1:12" s="166" customFormat="1" ht="27" customHeight="1" thickBot="1" x14ac:dyDescent="0.45">
      <c r="A85" s="73" t="s">
        <v>34</v>
      </c>
      <c r="B85" s="173">
        <v>1</v>
      </c>
      <c r="C85" s="172" t="s">
        <v>93</v>
      </c>
      <c r="D85" s="171"/>
      <c r="E85" s="171"/>
      <c r="F85" s="171"/>
      <c r="G85" s="171"/>
      <c r="H85" s="170"/>
      <c r="I85" s="167"/>
      <c r="J85" s="167"/>
      <c r="K85" s="167"/>
      <c r="L85" s="167"/>
    </row>
    <row r="86" spans="1:12" s="166" customFormat="1" ht="19.5" thickBot="1" x14ac:dyDescent="0.35">
      <c r="A86" s="73"/>
      <c r="B86" s="169"/>
      <c r="C86" s="74"/>
      <c r="D86" s="74"/>
      <c r="E86" s="74"/>
      <c r="F86" s="74"/>
      <c r="G86" s="74"/>
      <c r="H86" s="74"/>
      <c r="I86" s="167"/>
      <c r="J86" s="167"/>
      <c r="K86" s="167"/>
      <c r="L86" s="167"/>
    </row>
    <row r="87" spans="1:12" s="166" customFormat="1" ht="19.5" thickBot="1" x14ac:dyDescent="0.35">
      <c r="A87" s="73" t="s">
        <v>36</v>
      </c>
      <c r="B87" s="168">
        <f>B84/B85</f>
        <v>1</v>
      </c>
      <c r="C87" s="58" t="s">
        <v>37</v>
      </c>
      <c r="D87" s="58"/>
      <c r="E87" s="58"/>
      <c r="F87" s="58"/>
      <c r="G87" s="58"/>
      <c r="I87" s="167"/>
      <c r="J87" s="167"/>
      <c r="K87" s="167"/>
      <c r="L87" s="167"/>
    </row>
    <row r="88" spans="1:12" ht="19.5" customHeight="1" thickBot="1" x14ac:dyDescent="0.35">
      <c r="A88" s="165"/>
      <c r="B88" s="165"/>
    </row>
    <row r="89" spans="1:12" ht="27" customHeight="1" thickBot="1" x14ac:dyDescent="0.45">
      <c r="A89" s="110" t="s">
        <v>38</v>
      </c>
      <c r="B89" s="109">
        <v>50</v>
      </c>
      <c r="D89" s="108" t="s">
        <v>39</v>
      </c>
      <c r="E89" s="164"/>
      <c r="F89" s="163" t="s">
        <v>40</v>
      </c>
      <c r="G89" s="162"/>
    </row>
    <row r="90" spans="1:12" ht="27" customHeight="1" thickBot="1" x14ac:dyDescent="0.45">
      <c r="A90" s="89" t="s">
        <v>41</v>
      </c>
      <c r="B90" s="94">
        <v>2</v>
      </c>
      <c r="C90" s="68" t="s">
        <v>42</v>
      </c>
      <c r="D90" s="160" t="s">
        <v>43</v>
      </c>
      <c r="E90" s="161" t="s">
        <v>44</v>
      </c>
      <c r="F90" s="160" t="s">
        <v>43</v>
      </c>
      <c r="G90" s="159" t="s">
        <v>44</v>
      </c>
      <c r="I90" s="158" t="s">
        <v>45</v>
      </c>
    </row>
    <row r="91" spans="1:12" ht="26.25" customHeight="1" x14ac:dyDescent="0.4">
      <c r="A91" s="89" t="s">
        <v>46</v>
      </c>
      <c r="B91" s="94">
        <v>100</v>
      </c>
      <c r="C91" s="157">
        <v>1</v>
      </c>
      <c r="D91" s="155">
        <v>0.82899999999999996</v>
      </c>
      <c r="E91" s="156">
        <f>IF(ISBLANK(D91),"-",$D$101/$D$98*D91)</f>
        <v>0.78275632200838829</v>
      </c>
      <c r="F91" s="155">
        <v>0.80300000000000005</v>
      </c>
      <c r="G91" s="154">
        <f>IF(ISBLANK(F91),"-",$D$101/$F$98*F91)</f>
        <v>0.7987284005140507</v>
      </c>
      <c r="I91" s="153"/>
    </row>
    <row r="92" spans="1:12" ht="26.25" customHeight="1" x14ac:dyDescent="0.4">
      <c r="A92" s="89" t="s">
        <v>47</v>
      </c>
      <c r="B92" s="94">
        <v>1</v>
      </c>
      <c r="C92" s="59">
        <v>2</v>
      </c>
      <c r="D92" s="151">
        <v>0.83599999999999997</v>
      </c>
      <c r="E92" s="152">
        <f>IF(ISBLANK(D92),"-",$D$101/$D$98*D92)</f>
        <v>0.78936584463089587</v>
      </c>
      <c r="F92" s="151">
        <v>0.80600000000000005</v>
      </c>
      <c r="G92" s="150">
        <f>IF(ISBLANK(F92),"-",$D$101/$F$98*F92)</f>
        <v>0.8017124418609276</v>
      </c>
      <c r="I92" s="149">
        <f>ABS((F96/D96*D95)-F95)/D95</f>
        <v>1.3903343644475711E-2</v>
      </c>
    </row>
    <row r="93" spans="1:12" ht="26.25" customHeight="1" x14ac:dyDescent="0.4">
      <c r="A93" s="89" t="s">
        <v>48</v>
      </c>
      <c r="B93" s="94">
        <v>1</v>
      </c>
      <c r="C93" s="59">
        <v>3</v>
      </c>
      <c r="D93" s="151">
        <v>0.83299999999999996</v>
      </c>
      <c r="E93" s="152">
        <f>IF(ISBLANK(D93),"-",$D$101/$D$98*D93)</f>
        <v>0.78653319207839267</v>
      </c>
      <c r="F93" s="151">
        <v>0.79700000000000004</v>
      </c>
      <c r="G93" s="150">
        <f>IF(ISBLANK(F93),"-",$D$101/$F$98*F93)</f>
        <v>0.79276031782029688</v>
      </c>
      <c r="I93" s="149"/>
    </row>
    <row r="94" spans="1:12" ht="27" customHeight="1" thickBot="1" x14ac:dyDescent="0.45">
      <c r="A94" s="89" t="s">
        <v>49</v>
      </c>
      <c r="B94" s="94">
        <v>1</v>
      </c>
      <c r="C94" s="148">
        <v>4</v>
      </c>
      <c r="D94" s="147"/>
      <c r="E94" s="146" t="str">
        <f>IF(ISBLANK(D94),"-",$D$101/$D$98*D94)</f>
        <v>-</v>
      </c>
      <c r="F94" s="145"/>
      <c r="G94" s="144" t="str">
        <f>IF(ISBLANK(F94),"-",$D$101/$F$98*F94)</f>
        <v>-</v>
      </c>
      <c r="I94" s="143"/>
    </row>
    <row r="95" spans="1:12" ht="27" customHeight="1" thickBot="1" x14ac:dyDescent="0.45">
      <c r="A95" s="89" t="s">
        <v>50</v>
      </c>
      <c r="B95" s="94">
        <v>1</v>
      </c>
      <c r="C95" s="73" t="s">
        <v>51</v>
      </c>
      <c r="D95" s="142">
        <f>AVERAGE(D91:D94)</f>
        <v>0.83266666666666678</v>
      </c>
      <c r="E95" s="141">
        <f>AVERAGE(E91:E94)</f>
        <v>0.78621845290589221</v>
      </c>
      <c r="F95" s="140">
        <f>AVERAGE(F91:F94)</f>
        <v>0.80200000000000005</v>
      </c>
      <c r="G95" s="139">
        <f>AVERAGE(G91:G94)</f>
        <v>0.79773372006509169</v>
      </c>
    </row>
    <row r="96" spans="1:12" ht="26.25" customHeight="1" x14ac:dyDescent="0.4">
      <c r="A96" s="89" t="s">
        <v>52</v>
      </c>
      <c r="B96" s="135">
        <v>1</v>
      </c>
      <c r="C96" s="138" t="s">
        <v>94</v>
      </c>
      <c r="D96" s="137">
        <v>26.61</v>
      </c>
      <c r="E96" s="58"/>
      <c r="F96" s="136">
        <v>25.26</v>
      </c>
    </row>
    <row r="97" spans="1:10" ht="26.25" customHeight="1" x14ac:dyDescent="0.4">
      <c r="A97" s="89" t="s">
        <v>54</v>
      </c>
      <c r="B97" s="135">
        <v>1</v>
      </c>
      <c r="C97" s="126" t="s">
        <v>95</v>
      </c>
      <c r="D97" s="125">
        <f>D96*$B$87</f>
        <v>26.61</v>
      </c>
      <c r="E97" s="59"/>
      <c r="F97" s="134">
        <f>F96*$B$87</f>
        <v>25.26</v>
      </c>
    </row>
    <row r="98" spans="1:10" ht="19.5" customHeight="1" thickBot="1" x14ac:dyDescent="0.35">
      <c r="A98" s="89" t="s">
        <v>56</v>
      </c>
      <c r="B98" s="59">
        <f>(B97/B96)*(B95/B94)*(B93/B92)*(B91/B90)*B89</f>
        <v>2500</v>
      </c>
      <c r="C98" s="126" t="s">
        <v>96</v>
      </c>
      <c r="D98" s="133">
        <f>D97*$B$83/100</f>
        <v>26.476950000000002</v>
      </c>
      <c r="E98" s="60"/>
      <c r="F98" s="132">
        <f>F97*$B$83/100</f>
        <v>25.133700000000005</v>
      </c>
    </row>
    <row r="99" spans="1:10" ht="19.5" customHeight="1" thickBot="1" x14ac:dyDescent="0.35">
      <c r="A99" s="84" t="s">
        <v>58</v>
      </c>
      <c r="B99" s="131"/>
      <c r="C99" s="126" t="s">
        <v>97</v>
      </c>
      <c r="D99" s="130">
        <f>D98/$B$98</f>
        <v>1.0590780000000001E-2</v>
      </c>
      <c r="E99" s="60"/>
      <c r="F99" s="129">
        <f>F98/$B$98</f>
        <v>1.0053480000000002E-2</v>
      </c>
      <c r="G99" s="112"/>
    </row>
    <row r="100" spans="1:10" ht="19.5" customHeight="1" thickBot="1" x14ac:dyDescent="0.35">
      <c r="A100" s="77"/>
      <c r="B100" s="128"/>
      <c r="C100" s="126" t="s">
        <v>60</v>
      </c>
      <c r="D100" s="127">
        <f>$B$56/$B$116</f>
        <v>0.01</v>
      </c>
      <c r="F100" s="124"/>
      <c r="G100" s="118"/>
    </row>
    <row r="101" spans="1:10" ht="18.75" x14ac:dyDescent="0.3">
      <c r="C101" s="126" t="s">
        <v>61</v>
      </c>
      <c r="D101" s="125">
        <f>D100*$B$98</f>
        <v>25</v>
      </c>
      <c r="F101" s="124"/>
      <c r="G101" s="112"/>
    </row>
    <row r="102" spans="1:10" ht="19.5" customHeight="1" thickBot="1" x14ac:dyDescent="0.35">
      <c r="C102" s="123" t="s">
        <v>62</v>
      </c>
      <c r="D102" s="122">
        <f>D101/B34</f>
        <v>25</v>
      </c>
      <c r="F102" s="113"/>
      <c r="G102" s="112"/>
      <c r="J102" s="121"/>
    </row>
    <row r="103" spans="1:10" ht="18.75" x14ac:dyDescent="0.3">
      <c r="C103" s="120" t="s">
        <v>98</v>
      </c>
      <c r="D103" s="119">
        <f>AVERAGE(E91:E94,G91:G94)</f>
        <v>0.791976086485492</v>
      </c>
      <c r="F103" s="113"/>
      <c r="G103" s="118"/>
      <c r="J103" s="78"/>
    </row>
    <row r="104" spans="1:10" ht="18.75" x14ac:dyDescent="0.3">
      <c r="C104" s="117" t="s">
        <v>64</v>
      </c>
      <c r="D104" s="116">
        <f>STDEV(E91:E94,G91:G94)/D103</f>
        <v>9.1479646840975995E-3</v>
      </c>
      <c r="F104" s="113"/>
      <c r="G104" s="112"/>
      <c r="J104" s="78"/>
    </row>
    <row r="105" spans="1:10" ht="19.5" customHeight="1" thickBot="1" x14ac:dyDescent="0.35">
      <c r="C105" s="115" t="s">
        <v>65</v>
      </c>
      <c r="D105" s="114">
        <f>COUNT(E91:E94,G91:G94)</f>
        <v>6</v>
      </c>
      <c r="F105" s="113"/>
      <c r="G105" s="112"/>
      <c r="J105" s="78"/>
    </row>
    <row r="106" spans="1:10" ht="19.5" customHeight="1" thickBot="1" x14ac:dyDescent="0.35">
      <c r="A106" s="111"/>
      <c r="B106" s="111"/>
      <c r="C106" s="111"/>
      <c r="D106" s="111"/>
      <c r="E106" s="111"/>
    </row>
    <row r="107" spans="1:10" ht="26.25" customHeight="1" x14ac:dyDescent="0.4">
      <c r="A107" s="110" t="s">
        <v>99</v>
      </c>
      <c r="B107" s="109">
        <v>1000</v>
      </c>
      <c r="C107" s="108" t="s">
        <v>100</v>
      </c>
      <c r="D107" s="107" t="s">
        <v>43</v>
      </c>
      <c r="E107" s="106" t="s">
        <v>101</v>
      </c>
      <c r="F107" s="105" t="s">
        <v>102</v>
      </c>
    </row>
    <row r="108" spans="1:10" ht="26.25" customHeight="1" x14ac:dyDescent="0.4">
      <c r="A108" s="89" t="s">
        <v>103</v>
      </c>
      <c r="B108" s="94">
        <v>1</v>
      </c>
      <c r="C108" s="93">
        <v>1</v>
      </c>
      <c r="D108" s="102">
        <v>0.79700000000000004</v>
      </c>
      <c r="E108" s="104">
        <f>IF(ISBLANK(D108),"-",D108/$D$103*$D$100*$B$116)</f>
        <v>503.17175833982719</v>
      </c>
      <c r="F108" s="103">
        <f>IF(ISBLANK(D108), "-", E108/$B$56)</f>
        <v>1.0063435166796544</v>
      </c>
    </row>
    <row r="109" spans="1:10" ht="26.25" customHeight="1" x14ac:dyDescent="0.4">
      <c r="A109" s="89" t="s">
        <v>76</v>
      </c>
      <c r="B109" s="94">
        <v>50</v>
      </c>
      <c r="C109" s="93">
        <v>2</v>
      </c>
      <c r="D109" s="102">
        <v>0.80100000000000005</v>
      </c>
      <c r="E109" s="101">
        <f>IF(ISBLANK(D109),"-",D109/$D$103*$D$100*$B$116)</f>
        <v>505.69708711443104</v>
      </c>
      <c r="F109" s="100">
        <f>IF(ISBLANK(D109), "-", E109/$B$56)</f>
        <v>1.0113941742288621</v>
      </c>
    </row>
    <row r="110" spans="1:10" ht="26.25" customHeight="1" x14ac:dyDescent="0.4">
      <c r="A110" s="89" t="s">
        <v>77</v>
      </c>
      <c r="B110" s="94">
        <v>1</v>
      </c>
      <c r="C110" s="93">
        <v>3</v>
      </c>
      <c r="D110" s="102">
        <v>0.78500000000000003</v>
      </c>
      <c r="E110" s="101">
        <f>IF(ISBLANK(D110),"-",D110/$D$103*$D$100*$B$116)</f>
        <v>495.59577201601547</v>
      </c>
      <c r="F110" s="100">
        <f>IF(ISBLANK(D110), "-", E110/$B$56)</f>
        <v>0.99119154403203091</v>
      </c>
    </row>
    <row r="111" spans="1:10" ht="26.25" customHeight="1" x14ac:dyDescent="0.4">
      <c r="A111" s="89" t="s">
        <v>78</v>
      </c>
      <c r="B111" s="94">
        <v>1</v>
      </c>
      <c r="C111" s="93">
        <v>4</v>
      </c>
      <c r="D111" s="102">
        <v>0.77100000000000002</v>
      </c>
      <c r="E111" s="101">
        <f>IF(ISBLANK(D111),"-",D111/$D$103*$D$100*$B$116)</f>
        <v>486.75712130490177</v>
      </c>
      <c r="F111" s="100">
        <f>IF(ISBLANK(D111), "-", E111/$B$56)</f>
        <v>0.97351424260980357</v>
      </c>
    </row>
    <row r="112" spans="1:10" ht="26.25" customHeight="1" x14ac:dyDescent="0.4">
      <c r="A112" s="89" t="s">
        <v>79</v>
      </c>
      <c r="B112" s="94">
        <v>1</v>
      </c>
      <c r="C112" s="93">
        <v>5</v>
      </c>
      <c r="D112" s="102">
        <v>0.79</v>
      </c>
      <c r="E112" s="101">
        <f>IF(ISBLANK(D112),"-",D112/$D$103*$D$100*$B$116)</f>
        <v>498.75243298427029</v>
      </c>
      <c r="F112" s="100">
        <f>IF(ISBLANK(D112), "-", E112/$B$56)</f>
        <v>0.9975048659685406</v>
      </c>
    </row>
    <row r="113" spans="1:10" ht="26.25" customHeight="1" x14ac:dyDescent="0.4">
      <c r="A113" s="89" t="s">
        <v>81</v>
      </c>
      <c r="B113" s="94">
        <v>1</v>
      </c>
      <c r="C113" s="99">
        <v>6</v>
      </c>
      <c r="D113" s="98">
        <v>0.79200000000000004</v>
      </c>
      <c r="E113" s="97">
        <f>IF(ISBLANK(D113),"-",D113/$D$103*$D$100*$B$116)</f>
        <v>500.01509737157227</v>
      </c>
      <c r="F113" s="96">
        <f>IF(ISBLANK(D113), "-", E113/$B$56)</f>
        <v>1.0000301947431445</v>
      </c>
    </row>
    <row r="114" spans="1:10" ht="26.25" customHeight="1" x14ac:dyDescent="0.4">
      <c r="A114" s="89" t="s">
        <v>82</v>
      </c>
      <c r="B114" s="94">
        <v>1</v>
      </c>
      <c r="C114" s="93"/>
      <c r="D114" s="59"/>
      <c r="E114" s="58"/>
      <c r="F114" s="95"/>
    </row>
    <row r="115" spans="1:10" ht="26.25" customHeight="1" x14ac:dyDescent="0.4">
      <c r="A115" s="89" t="s">
        <v>83</v>
      </c>
      <c r="B115" s="94">
        <v>1</v>
      </c>
      <c r="C115" s="93"/>
      <c r="D115" s="92"/>
      <c r="E115" s="91" t="s">
        <v>51</v>
      </c>
      <c r="F115" s="90">
        <f>AVERAGE(F108:F113)</f>
        <v>0.99666308971033946</v>
      </c>
    </row>
    <row r="116" spans="1:10" ht="27" customHeight="1" thickBot="1" x14ac:dyDescent="0.45">
      <c r="A116" s="89" t="s">
        <v>84</v>
      </c>
      <c r="B116" s="88">
        <f>(B115/B114)*(B113/B112)*(B111/B110)*(B109/B108)*B107</f>
        <v>50000</v>
      </c>
      <c r="C116" s="87"/>
      <c r="D116" s="86"/>
      <c r="E116" s="73" t="s">
        <v>64</v>
      </c>
      <c r="F116" s="85">
        <f>STDEV(F108:F113)/F115</f>
        <v>1.3375562766776476E-2</v>
      </c>
      <c r="I116" s="58"/>
    </row>
    <row r="117" spans="1:10" ht="27" customHeight="1" thickBot="1" x14ac:dyDescent="0.45">
      <c r="A117" s="84" t="s">
        <v>58</v>
      </c>
      <c r="B117" s="83"/>
      <c r="C117" s="82"/>
      <c r="D117" s="81"/>
      <c r="E117" s="80" t="s">
        <v>65</v>
      </c>
      <c r="F117" s="79">
        <f>COUNT(F108:F113)</f>
        <v>6</v>
      </c>
      <c r="I117" s="58"/>
      <c r="J117" s="78"/>
    </row>
    <row r="118" spans="1:10" ht="19.5" customHeight="1" thickBot="1" x14ac:dyDescent="0.35">
      <c r="A118" s="77"/>
      <c r="B118" s="76"/>
      <c r="C118" s="58"/>
      <c r="D118" s="58"/>
      <c r="E118" s="58"/>
      <c r="F118" s="59"/>
      <c r="G118" s="58"/>
      <c r="H118" s="58"/>
      <c r="I118" s="58"/>
    </row>
    <row r="119" spans="1:10" ht="18.75" x14ac:dyDescent="0.3">
      <c r="A119" s="75"/>
      <c r="B119" s="74"/>
      <c r="C119" s="58"/>
      <c r="D119" s="58"/>
      <c r="E119" s="58"/>
      <c r="F119" s="59"/>
      <c r="G119" s="58"/>
      <c r="H119" s="58"/>
      <c r="I119" s="58"/>
    </row>
    <row r="120" spans="1:10" ht="26.25" customHeight="1" x14ac:dyDescent="0.4">
      <c r="A120" s="63" t="s">
        <v>87</v>
      </c>
      <c r="B120" s="73" t="s">
        <v>104</v>
      </c>
      <c r="C120" s="72" t="str">
        <f>B20</f>
        <v>Metformin</v>
      </c>
      <c r="D120" s="72"/>
      <c r="E120" s="58" t="s">
        <v>105</v>
      </c>
      <c r="F120" s="58"/>
      <c r="G120" s="71">
        <f>F115</f>
        <v>0.99666308971033946</v>
      </c>
      <c r="H120" s="58"/>
      <c r="I120" s="58"/>
    </row>
    <row r="121" spans="1:10" ht="19.5" customHeight="1" thickBot="1" x14ac:dyDescent="0.35">
      <c r="A121" s="70"/>
      <c r="B121" s="70"/>
      <c r="C121" s="69"/>
      <c r="D121" s="69"/>
      <c r="E121" s="69"/>
      <c r="F121" s="69"/>
      <c r="G121" s="69"/>
      <c r="H121" s="69"/>
    </row>
    <row r="122" spans="1:10" ht="18.75" x14ac:dyDescent="0.3">
      <c r="B122" s="66" t="s">
        <v>19</v>
      </c>
      <c r="C122" s="66"/>
      <c r="E122" s="68" t="s">
        <v>20</v>
      </c>
      <c r="F122" s="67"/>
      <c r="G122" s="66" t="s">
        <v>21</v>
      </c>
      <c r="H122" s="66"/>
    </row>
    <row r="123" spans="1:10" ht="18.75" x14ac:dyDescent="0.3">
      <c r="A123" s="63" t="s">
        <v>22</v>
      </c>
      <c r="B123" s="64" t="s">
        <v>106</v>
      </c>
      <c r="C123" s="64"/>
      <c r="E123" s="65">
        <v>42075</v>
      </c>
      <c r="F123" s="58"/>
      <c r="G123" s="64"/>
      <c r="H123" s="64"/>
    </row>
    <row r="124" spans="1:10" ht="18.75" x14ac:dyDescent="0.3">
      <c r="A124" s="63" t="s">
        <v>23</v>
      </c>
      <c r="B124" s="62"/>
      <c r="C124" s="62"/>
      <c r="E124" s="62"/>
      <c r="F124" s="58"/>
      <c r="G124" s="61"/>
      <c r="H124" s="61"/>
    </row>
    <row r="125" spans="1:10" ht="18.75" x14ac:dyDescent="0.3">
      <c r="A125" s="59"/>
      <c r="B125" s="59"/>
      <c r="C125" s="59"/>
      <c r="D125" s="59"/>
      <c r="E125" s="59"/>
      <c r="F125" s="60"/>
      <c r="G125" s="59"/>
      <c r="H125" s="59"/>
      <c r="I125" s="58"/>
    </row>
    <row r="126" spans="1:10" ht="18.75" x14ac:dyDescent="0.3">
      <c r="A126" s="59"/>
      <c r="B126" s="59"/>
      <c r="C126" s="59"/>
      <c r="D126" s="59"/>
      <c r="E126" s="59"/>
      <c r="F126" s="60"/>
      <c r="G126" s="59"/>
      <c r="H126" s="59"/>
      <c r="I126" s="58"/>
    </row>
    <row r="127" spans="1:10" ht="18.75" x14ac:dyDescent="0.3">
      <c r="A127" s="59"/>
      <c r="B127" s="59"/>
      <c r="C127" s="59"/>
      <c r="D127" s="59"/>
      <c r="E127" s="59"/>
      <c r="F127" s="60"/>
      <c r="G127" s="59"/>
      <c r="H127" s="59"/>
      <c r="I127" s="58"/>
    </row>
    <row r="128" spans="1:10" ht="18.75" x14ac:dyDescent="0.3">
      <c r="A128" s="59"/>
      <c r="B128" s="59"/>
      <c r="C128" s="59"/>
      <c r="D128" s="59"/>
      <c r="E128" s="59"/>
      <c r="F128" s="60"/>
      <c r="G128" s="59"/>
      <c r="H128" s="59"/>
      <c r="I128" s="58"/>
    </row>
    <row r="129" spans="1:9" ht="18.75" x14ac:dyDescent="0.3">
      <c r="A129" s="59"/>
      <c r="B129" s="59"/>
      <c r="C129" s="59"/>
      <c r="D129" s="59"/>
      <c r="E129" s="59"/>
      <c r="F129" s="60"/>
      <c r="G129" s="59"/>
      <c r="H129" s="59"/>
      <c r="I129" s="58"/>
    </row>
    <row r="130" spans="1:9" ht="18.75" x14ac:dyDescent="0.3">
      <c r="A130" s="59"/>
      <c r="B130" s="59"/>
      <c r="C130" s="59"/>
      <c r="D130" s="59"/>
      <c r="E130" s="59"/>
      <c r="F130" s="60"/>
      <c r="G130" s="59"/>
      <c r="H130" s="59"/>
      <c r="I130" s="58"/>
    </row>
    <row r="131" spans="1:9" ht="18.75" x14ac:dyDescent="0.3">
      <c r="A131" s="59"/>
      <c r="B131" s="59"/>
      <c r="C131" s="59"/>
      <c r="D131" s="59"/>
      <c r="E131" s="59"/>
      <c r="F131" s="60"/>
      <c r="G131" s="59"/>
      <c r="H131" s="59"/>
      <c r="I131" s="58"/>
    </row>
    <row r="132" spans="1:9" ht="18.75" x14ac:dyDescent="0.3">
      <c r="A132" s="59"/>
      <c r="B132" s="59"/>
      <c r="C132" s="59"/>
      <c r="D132" s="59"/>
      <c r="E132" s="59"/>
      <c r="F132" s="60"/>
      <c r="G132" s="59"/>
      <c r="H132" s="59"/>
      <c r="I132" s="58"/>
    </row>
    <row r="133" spans="1:9" ht="18.75" x14ac:dyDescent="0.3">
      <c r="A133" s="59"/>
      <c r="B133" s="59"/>
      <c r="C133" s="59"/>
      <c r="D133" s="59"/>
      <c r="E133" s="59"/>
      <c r="F133" s="60"/>
      <c r="G133" s="59"/>
      <c r="H133" s="59"/>
      <c r="I133" s="58"/>
    </row>
    <row r="250" spans="1:1" x14ac:dyDescent="0.25">
      <c r="A250" s="57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I39:I40"/>
    <mergeCell ref="A46:B47"/>
    <mergeCell ref="C60:C63"/>
    <mergeCell ref="D60:D63"/>
    <mergeCell ref="C64:C67"/>
    <mergeCell ref="D64:D67"/>
    <mergeCell ref="I92:I93"/>
    <mergeCell ref="A99:B100"/>
    <mergeCell ref="C68:C71"/>
    <mergeCell ref="D68:D71"/>
    <mergeCell ref="A70:B71"/>
    <mergeCell ref="C76:D76"/>
    <mergeCell ref="B79:C79"/>
    <mergeCell ref="B80:C80"/>
    <mergeCell ref="A117:B118"/>
    <mergeCell ref="C120:D120"/>
    <mergeCell ref="B122:C122"/>
    <mergeCell ref="G122:H122"/>
    <mergeCell ref="C82:G82"/>
    <mergeCell ref="C84:H84"/>
    <mergeCell ref="C85:H85"/>
    <mergeCell ref="F89:G89"/>
  </mergeCells>
  <conditionalFormatting sqref="E51">
    <cfRule type="cellIs" dxfId="28" priority="1" operator="greaterThan">
      <formula>0.02</formula>
    </cfRule>
  </conditionalFormatting>
  <conditionalFormatting sqref="D51">
    <cfRule type="cellIs" dxfId="27" priority="2" operator="greaterThan">
      <formula>0.02</formula>
    </cfRule>
  </conditionalFormatting>
  <conditionalFormatting sqref="H73">
    <cfRule type="cellIs" dxfId="26" priority="3" operator="greaterThan">
      <formula>0.02</formula>
    </cfRule>
  </conditionalFormatting>
  <conditionalFormatting sqref="D104">
    <cfRule type="cellIs" dxfId="25" priority="4" operator="greaterThan">
      <formula>0.02</formula>
    </cfRule>
  </conditionalFormatting>
  <conditionalFormatting sqref="I39">
    <cfRule type="cellIs" dxfId="24" priority="5" operator="lessThanOrEqual">
      <formula>0.02</formula>
    </cfRule>
  </conditionalFormatting>
  <conditionalFormatting sqref="I39">
    <cfRule type="cellIs" dxfId="23" priority="6" operator="greaterThan">
      <formula>0.02</formula>
    </cfRule>
  </conditionalFormatting>
  <conditionalFormatting sqref="I92">
    <cfRule type="cellIs" dxfId="22" priority="7" operator="lessThanOrEqual">
      <formula>0.02</formula>
    </cfRule>
  </conditionalFormatting>
  <conditionalFormatting sqref="I92">
    <cfRule type="cellIs" dxfId="21" priority="8" operator="greaterThan">
      <formula>0.02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F53" sqref="F5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" t="s">
        <v>0</v>
      </c>
      <c r="B11" s="52"/>
      <c r="C11" s="52" t="s">
        <v>1</v>
      </c>
      <c r="D11" s="52"/>
      <c r="E11" s="52"/>
      <c r="F11" s="53"/>
      <c r="G11" s="41"/>
    </row>
    <row r="12" spans="1:7" ht="16.5" customHeight="1" x14ac:dyDescent="0.3">
      <c r="A12" s="50" t="s">
        <v>2</v>
      </c>
      <c r="B12" s="50"/>
      <c r="C12" s="50" t="s">
        <v>3</v>
      </c>
      <c r="D12" s="50"/>
      <c r="E12" s="50"/>
      <c r="F12" s="50"/>
      <c r="G12" s="40"/>
    </row>
    <row r="13" spans="1:7" x14ac:dyDescent="0.3">
      <c r="C13" s="1" t="s">
        <v>4</v>
      </c>
    </row>
    <row r="14" spans="1:7" ht="16.5" customHeight="1" x14ac:dyDescent="0.3">
      <c r="A14" s="55" t="s">
        <v>5</v>
      </c>
      <c r="B14" s="55"/>
      <c r="C14" s="10" t="s">
        <v>6</v>
      </c>
    </row>
    <row r="15" spans="1:7" ht="16.5" customHeight="1" x14ac:dyDescent="0.3">
      <c r="A15" s="55" t="s">
        <v>7</v>
      </c>
      <c r="B15" s="55"/>
      <c r="C15" s="22" t="s">
        <v>3</v>
      </c>
    </row>
    <row r="16" spans="1:7" ht="16.5" customHeight="1" x14ac:dyDescent="0.3">
      <c r="A16" s="55" t="s">
        <v>8</v>
      </c>
      <c r="B16" s="55"/>
      <c r="C16" s="22" t="s">
        <v>108</v>
      </c>
    </row>
    <row r="17" spans="1:5" ht="16.5" customHeight="1" x14ac:dyDescent="0.3">
      <c r="A17" s="55" t="s">
        <v>9</v>
      </c>
      <c r="B17" s="55"/>
      <c r="C17" s="10" t="s">
        <v>6</v>
      </c>
    </row>
    <row r="18" spans="1:5" ht="16.5" customHeight="1" x14ac:dyDescent="0.3">
      <c r="A18" s="55" t="s">
        <v>10</v>
      </c>
      <c r="B18" s="55"/>
      <c r="C18" s="47">
        <v>42075</v>
      </c>
    </row>
    <row r="19" spans="1:5" ht="16.5" customHeight="1" x14ac:dyDescent="0.3">
      <c r="A19" s="55" t="s">
        <v>11</v>
      </c>
      <c r="B19" s="55"/>
      <c r="C19" s="47">
        <v>42075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" t="s">
        <v>12</v>
      </c>
      <c r="B21" s="50"/>
      <c r="C21" s="9" t="s">
        <v>13</v>
      </c>
      <c r="D21" s="16"/>
    </row>
    <row r="22" spans="1:5" ht="15.75" customHeight="1" x14ac:dyDescent="0.3">
      <c r="A22" s="54"/>
      <c r="B22" s="54"/>
      <c r="C22" s="7"/>
      <c r="D22" s="54"/>
      <c r="E22" s="54"/>
    </row>
    <row r="23" spans="1:5" ht="33.75" customHeight="1" x14ac:dyDescent="0.3">
      <c r="C23" s="36" t="s">
        <v>14</v>
      </c>
      <c r="D23" s="35" t="s">
        <v>15</v>
      </c>
      <c r="E23" s="2"/>
    </row>
    <row r="24" spans="1:5" ht="15.75" customHeight="1" x14ac:dyDescent="0.3">
      <c r="C24" s="45">
        <v>595.66999999999996</v>
      </c>
      <c r="D24" s="37">
        <f t="shared" ref="D24:D43" si="0">(C24-$C$46)/$C$46</f>
        <v>6.4398838573745407E-3</v>
      </c>
      <c r="E24" s="3"/>
    </row>
    <row r="25" spans="1:5" ht="15.75" customHeight="1" x14ac:dyDescent="0.3">
      <c r="C25" s="45">
        <v>601.62</v>
      </c>
      <c r="D25" s="38">
        <f t="shared" si="0"/>
        <v>1.6492962422606002E-2</v>
      </c>
      <c r="E25" s="3"/>
    </row>
    <row r="26" spans="1:5" ht="15.75" customHeight="1" x14ac:dyDescent="0.3">
      <c r="C26" s="45">
        <v>596.54</v>
      </c>
      <c r="D26" s="38">
        <f t="shared" si="0"/>
        <v>7.9098297988453563E-3</v>
      </c>
      <c r="E26" s="3"/>
    </row>
    <row r="27" spans="1:5" ht="15.75" customHeight="1" x14ac:dyDescent="0.3">
      <c r="C27" s="45">
        <v>589.41999999999996</v>
      </c>
      <c r="D27" s="38">
        <f t="shared" si="0"/>
        <v>-4.1200726187088461E-3</v>
      </c>
      <c r="E27" s="3"/>
    </row>
    <row r="28" spans="1:5" ht="15.75" customHeight="1" x14ac:dyDescent="0.3">
      <c r="C28" s="45">
        <v>577.99</v>
      </c>
      <c r="D28" s="38">
        <f t="shared" si="0"/>
        <v>-2.3432121022170061E-2</v>
      </c>
      <c r="E28" s="3"/>
    </row>
    <row r="29" spans="1:5" ht="15.75" customHeight="1" x14ac:dyDescent="0.3">
      <c r="C29" s="45">
        <v>596.59</v>
      </c>
      <c r="D29" s="38">
        <f t="shared" si="0"/>
        <v>7.9943094506541388E-3</v>
      </c>
      <c r="E29" s="3"/>
    </row>
    <row r="30" spans="1:5" ht="15.75" customHeight="1" x14ac:dyDescent="0.3">
      <c r="C30" s="45">
        <v>584.65</v>
      </c>
      <c r="D30" s="38">
        <f t="shared" si="0"/>
        <v>-1.2179431401255656E-2</v>
      </c>
      <c r="E30" s="3"/>
    </row>
    <row r="31" spans="1:5" ht="15.75" customHeight="1" x14ac:dyDescent="0.3">
      <c r="C31" s="45">
        <v>586.71</v>
      </c>
      <c r="D31" s="38">
        <f t="shared" si="0"/>
        <v>-8.6988697467384728E-3</v>
      </c>
      <c r="E31" s="3"/>
    </row>
    <row r="32" spans="1:5" ht="15.75" customHeight="1" x14ac:dyDescent="0.3">
      <c r="C32" s="45">
        <v>594.24</v>
      </c>
      <c r="D32" s="38">
        <f t="shared" si="0"/>
        <v>4.0237658156467467E-3</v>
      </c>
      <c r="E32" s="3"/>
    </row>
    <row r="33" spans="1:7" ht="15.75" customHeight="1" x14ac:dyDescent="0.3">
      <c r="C33" s="45">
        <v>590.24</v>
      </c>
      <c r="D33" s="38">
        <f t="shared" si="0"/>
        <v>-2.7346063290466216E-3</v>
      </c>
      <c r="E33" s="3"/>
    </row>
    <row r="34" spans="1:7" ht="15.75" customHeight="1" x14ac:dyDescent="0.3">
      <c r="C34" s="45">
        <v>592.88</v>
      </c>
      <c r="D34" s="38">
        <f t="shared" si="0"/>
        <v>1.7259192864509782E-3</v>
      </c>
      <c r="E34" s="3"/>
    </row>
    <row r="35" spans="1:7" ht="15.75" customHeight="1" x14ac:dyDescent="0.3">
      <c r="C35" s="45">
        <v>589.74</v>
      </c>
      <c r="D35" s="38">
        <f t="shared" si="0"/>
        <v>-3.5794028471332925E-3</v>
      </c>
      <c r="E35" s="3"/>
    </row>
    <row r="36" spans="1:7" ht="15.75" customHeight="1" x14ac:dyDescent="0.3">
      <c r="C36" s="45">
        <v>586.08000000000004</v>
      </c>
      <c r="D36" s="38">
        <f t="shared" si="0"/>
        <v>-9.7633133595276707E-3</v>
      </c>
      <c r="E36" s="3"/>
    </row>
    <row r="37" spans="1:7" ht="15.75" customHeight="1" x14ac:dyDescent="0.3">
      <c r="C37" s="45">
        <v>586.11</v>
      </c>
      <c r="D37" s="38">
        <f t="shared" si="0"/>
        <v>-9.7126255684425161E-3</v>
      </c>
      <c r="E37" s="3"/>
    </row>
    <row r="38" spans="1:7" ht="15.75" customHeight="1" x14ac:dyDescent="0.3">
      <c r="C38" s="45">
        <v>597.79</v>
      </c>
      <c r="D38" s="38">
        <f t="shared" si="0"/>
        <v>1.0021821094062033E-2</v>
      </c>
      <c r="E38" s="3"/>
    </row>
    <row r="39" spans="1:7" ht="15.75" customHeight="1" x14ac:dyDescent="0.3">
      <c r="C39" s="45">
        <v>602.44000000000005</v>
      </c>
      <c r="D39" s="38">
        <f t="shared" si="0"/>
        <v>1.7878428712268229E-2</v>
      </c>
      <c r="E39" s="3"/>
    </row>
    <row r="40" spans="1:7" ht="15.75" customHeight="1" x14ac:dyDescent="0.3">
      <c r="C40" s="45">
        <v>595.19000000000005</v>
      </c>
      <c r="D40" s="38">
        <f t="shared" si="0"/>
        <v>5.6288792000114976E-3</v>
      </c>
      <c r="E40" s="3"/>
    </row>
    <row r="41" spans="1:7" ht="15.75" customHeight="1" x14ac:dyDescent="0.3">
      <c r="C41" s="45">
        <v>589.52</v>
      </c>
      <c r="D41" s="38">
        <f t="shared" si="0"/>
        <v>-3.9511133150914738E-3</v>
      </c>
      <c r="E41" s="3"/>
    </row>
    <row r="42" spans="1:7" ht="15.75" customHeight="1" x14ac:dyDescent="0.3">
      <c r="C42" s="45">
        <v>588.67999999999995</v>
      </c>
      <c r="D42" s="38">
        <f t="shared" si="0"/>
        <v>-5.3703714654771348E-3</v>
      </c>
      <c r="E42" s="3"/>
    </row>
    <row r="43" spans="1:7" ht="16.5" customHeight="1" x14ac:dyDescent="0.3">
      <c r="C43" s="46">
        <v>595.07000000000005</v>
      </c>
      <c r="D43" s="39">
        <f t="shared" si="0"/>
        <v>5.4261280356706892E-3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16</v>
      </c>
      <c r="C45" s="33">
        <f>SUM(C24:C44)</f>
        <v>11837.170000000002</v>
      </c>
      <c r="D45" s="28"/>
      <c r="E45" s="4"/>
    </row>
    <row r="46" spans="1:7" ht="17.25" customHeight="1" x14ac:dyDescent="0.3">
      <c r="B46" s="32" t="s">
        <v>17</v>
      </c>
      <c r="C46" s="34">
        <f>AVERAGE(C24:C44)</f>
        <v>591.85850000000005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17</v>
      </c>
      <c r="C48" s="35" t="s">
        <v>18</v>
      </c>
      <c r="D48" s="30"/>
      <c r="G48" s="8"/>
    </row>
    <row r="49" spans="1:6" ht="17.25" customHeight="1" x14ac:dyDescent="0.3">
      <c r="B49" s="48">
        <f>C46</f>
        <v>591.85850000000005</v>
      </c>
      <c r="C49" s="43">
        <f>-IF(C46&lt;=80,10%,IF(C46&lt;250,7.5%,5%))</f>
        <v>-0.05</v>
      </c>
      <c r="D49" s="31">
        <f>IF(C46&lt;=80,C46*0.9,IF(C46&lt;250,C46*0.925,C46*0.95))</f>
        <v>562.26557500000001</v>
      </c>
    </row>
    <row r="50" spans="1:6" ht="17.25" customHeight="1" x14ac:dyDescent="0.3">
      <c r="B50" s="49"/>
      <c r="C50" s="44">
        <f>IF(C46&lt;=80, 10%, IF(C46&lt;250, 7.5%, 5%))</f>
        <v>0.05</v>
      </c>
      <c r="D50" s="31">
        <f>IF(C46&lt;=80, C46*1.1, IF(C46&lt;250, C46*1.075, C46*1.05))</f>
        <v>621.45142500000009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19</v>
      </c>
      <c r="C52" s="17"/>
      <c r="D52" s="18" t="s">
        <v>20</v>
      </c>
      <c r="E52" s="19"/>
      <c r="F52" s="18" t="s">
        <v>21</v>
      </c>
    </row>
    <row r="53" spans="1:6" ht="34.5" customHeight="1" x14ac:dyDescent="0.3">
      <c r="A53" s="20" t="s">
        <v>22</v>
      </c>
      <c r="B53" s="21" t="s">
        <v>106</v>
      </c>
      <c r="C53" s="22"/>
      <c r="D53" s="261">
        <v>42075</v>
      </c>
      <c r="E53" s="11"/>
      <c r="F53" s="23"/>
    </row>
    <row r="54" spans="1:6" ht="34.5" customHeight="1" x14ac:dyDescent="0.3">
      <c r="A54" s="20" t="s">
        <v>23</v>
      </c>
      <c r="B54" s="24"/>
      <c r="C54" s="25"/>
      <c r="D54" s="24"/>
      <c r="E54" s="11"/>
      <c r="F54" s="2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Metformin Hydrochloride </vt:lpstr>
      <vt:lpstr>Uniformity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HPLC-M</cp:lastModifiedBy>
  <dcterms:created xsi:type="dcterms:W3CDTF">2005-07-05T10:19:27Z</dcterms:created>
  <dcterms:modified xsi:type="dcterms:W3CDTF">2015-03-12T12:29:21Z</dcterms:modified>
  <cp:category/>
</cp:coreProperties>
</file>