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24226"/>
  <mc:AlternateContent xmlns:mc="http://schemas.openxmlformats.org/markup-compatibility/2006">
    <mc:Choice Requires="x15">
      <x15ac:absPath xmlns:x15ac="http://schemas.microsoft.com/office/spreadsheetml/2010/11/ac" url="C:\Users\Brooke\Desktop\Yellow_BusAnalyt\After exam 1 Lectures\"/>
    </mc:Choice>
  </mc:AlternateContent>
  <xr:revisionPtr revIDLastSave="0" documentId="13_ncr:1_{541D96FE-1420-4E90-A4E7-FC8CF46ABF2C}" xr6:coauthVersionLast="47" xr6:coauthVersionMax="47" xr10:uidLastSave="{00000000-0000-0000-0000-000000000000}"/>
  <bookViews>
    <workbookView xWindow="-108" yWindow="-108" windowWidth="24792" windowHeight="13440" xr2:uid="{00000000-000D-0000-FFFF-FFFF00000000}"/>
  </bookViews>
  <sheets>
    <sheet name="Que1" sheetId="54" r:id="rId1"/>
    <sheet name="Que1_RFM" sheetId="56" r:id="rId2"/>
    <sheet name="Sensitivity Report 1" sheetId="59" r:id="rId3"/>
    <sheet name="Que2" sheetId="34" r:id="rId4"/>
    <sheet name="Que3" sheetId="46" r:id="rId5"/>
    <sheet name="Que3_STS" sheetId="61" state="veryHidden" r:id="rId6"/>
    <sheet name="HW_5_STS" sheetId="49" state="veryHidden" r:id="rId7"/>
    <sheet name="Modified Model_STS" sheetId="8" state="veryHidden" r:id="rId8"/>
    <sheet name="Model_STS" sheetId="4" state="veryHidden" r:id="rId9"/>
    <sheet name="Example 1_beans_ST_STS" sheetId="45" state="veryHidden" r:id="rId10"/>
    <sheet name="SolverTable_STS" sheetId="43" state="veryHidden" r:id="rId11"/>
    <sheet name="Sheet5_STS" sheetId="41" state="veryHidden" r:id="rId12"/>
    <sheet name="Example 3_Phones_STS" sheetId="38" state="veryHidden" r:id="rId13"/>
    <sheet name="Example 1_beans_STS" sheetId="36" state="veryHidden" r:id="rId14"/>
    <sheet name="STS_1" sheetId="64" r:id="rId15"/>
    <sheet name="STS_2" sheetId="66" r:id="rId16"/>
  </sheets>
  <definedNames>
    <definedName name="ChartData" localSheetId="14">STS_1!$K$5:$K$15</definedName>
    <definedName name="ChartData" localSheetId="15">STS_2!$K$5:$K$9</definedName>
    <definedName name="InputValues" localSheetId="14">STS_1!$A$5:$A$15</definedName>
    <definedName name="InputValues" localSheetId="15">STS_2!$A$5:$A$9</definedName>
    <definedName name="Max_Profit">'Que3'!$B$23</definedName>
    <definedName name="OpadsD">'Que3'!$C$10</definedName>
    <definedName name="OphonesH">'Que3'!$B$10</definedName>
    <definedName name="OutputAddresses" localSheetId="14">STS_1!$B$4:$D$4</definedName>
    <definedName name="OutputAddresses" localSheetId="15">STS_2!$B$4:$D$4</definedName>
    <definedName name="OutputValues" localSheetId="14">STS_1!$B$5:$D$15</definedName>
    <definedName name="OutputValues" localSheetId="15">STS_2!$B$5:$D$9</definedName>
    <definedName name="solver_adj" localSheetId="3" hidden="1">'Que2'!$B$10:$C$10</definedName>
    <definedName name="solver_adj" localSheetId="4" hidden="1">'Que3'!$B$10:$C$10</definedName>
    <definedName name="solver_cvg" localSheetId="3" hidden="1">0.0001</definedName>
    <definedName name="solver_cvg" localSheetId="4" hidden="1">0.0001</definedName>
    <definedName name="solver_drv" localSheetId="3" hidden="1">1</definedName>
    <definedName name="solver_drv" localSheetId="4" hidden="1">1</definedName>
    <definedName name="solver_eng" localSheetId="3" hidden="1">2</definedName>
    <definedName name="solver_eng" localSheetId="4" hidden="1">2</definedName>
    <definedName name="solver_est" localSheetId="3" hidden="1">1</definedName>
    <definedName name="solver_est" localSheetId="4" hidden="1">1</definedName>
    <definedName name="solver_itr" localSheetId="3" hidden="1">2147483647</definedName>
    <definedName name="solver_itr" localSheetId="4" hidden="1">2147483647</definedName>
    <definedName name="solver_lhs1" localSheetId="3" hidden="1">'Que2'!$B$14:$B$17</definedName>
    <definedName name="solver_lhs1" localSheetId="4" hidden="1">'Que3'!$B$14:$B$17</definedName>
    <definedName name="solver_lhs2" localSheetId="3" hidden="1">'Que2'!$B$14:$B$17</definedName>
    <definedName name="solver_lhs2" localSheetId="4" hidden="1">'Que3'!$B$14:$B$17</definedName>
    <definedName name="solver_lhs3" localSheetId="3" hidden="1">'Que2'!$B$16</definedName>
    <definedName name="solver_lhs3" localSheetId="4" hidden="1">'Que3'!$B$16</definedName>
    <definedName name="solver_lhs4" localSheetId="3" hidden="1">'Que2'!$B$17</definedName>
    <definedName name="solver_lhs4" localSheetId="4" hidden="1">'Que3'!$B$17</definedName>
    <definedName name="solver_lhs5" localSheetId="3" hidden="1">'Que2'!$B$17</definedName>
    <definedName name="solver_lhs6" localSheetId="3" hidden="1">'Que2'!$C$10</definedName>
    <definedName name="solver_lin" localSheetId="3" hidden="1">1</definedName>
    <definedName name="solver_lin" localSheetId="4" hidden="1">1</definedName>
    <definedName name="solver_mip" localSheetId="3" hidden="1">2147483647</definedName>
    <definedName name="solver_mip" localSheetId="4" hidden="1">2147483647</definedName>
    <definedName name="solver_mni" localSheetId="3" hidden="1">30</definedName>
    <definedName name="solver_mni" localSheetId="4" hidden="1">30</definedName>
    <definedName name="solver_mrt" localSheetId="3" hidden="1">0.075</definedName>
    <definedName name="solver_mrt" localSheetId="4" hidden="1">0.075</definedName>
    <definedName name="solver_msl" localSheetId="3" hidden="1">2</definedName>
    <definedName name="solver_msl" localSheetId="4" hidden="1">2</definedName>
    <definedName name="solver_neg" localSheetId="3" hidden="1">1</definedName>
    <definedName name="solver_neg" localSheetId="4" hidden="1">1</definedName>
    <definedName name="solver_nod" localSheetId="3" hidden="1">2147483647</definedName>
    <definedName name="solver_nod" localSheetId="4" hidden="1">2147483647</definedName>
    <definedName name="solver_num" localSheetId="3" hidden="1">1</definedName>
    <definedName name="solver_num" localSheetId="4" hidden="1">1</definedName>
    <definedName name="solver_nwt" localSheetId="3" hidden="1">1</definedName>
    <definedName name="solver_nwt" localSheetId="4" hidden="1">1</definedName>
    <definedName name="solver_opt" localSheetId="3" hidden="1">'Que2'!$D$25</definedName>
    <definedName name="solver_opt" localSheetId="4" hidden="1">'Que3'!$B$23</definedName>
    <definedName name="solver_pre" localSheetId="3" hidden="1">0.000001</definedName>
    <definedName name="solver_pre" localSheetId="4" hidden="1">0.000001</definedName>
    <definedName name="solver_rbv" localSheetId="3" hidden="1">1</definedName>
    <definedName name="solver_rbv" localSheetId="4" hidden="1">2</definedName>
    <definedName name="solver_rel1" localSheetId="3" hidden="1">1</definedName>
    <definedName name="solver_rel1" localSheetId="4" hidden="1">1</definedName>
    <definedName name="solver_rel2" localSheetId="3" hidden="1">1</definedName>
    <definedName name="solver_rel2" localSheetId="4" hidden="1">1</definedName>
    <definedName name="solver_rel3" localSheetId="3" hidden="1">1</definedName>
    <definedName name="solver_rel3" localSheetId="4" hidden="1">1</definedName>
    <definedName name="solver_rel4" localSheetId="3" hidden="1">1</definedName>
    <definedName name="solver_rel4" localSheetId="4" hidden="1">1</definedName>
    <definedName name="solver_rel5" localSheetId="3" hidden="1">1</definedName>
    <definedName name="solver_rel6" localSheetId="3" hidden="1">4</definedName>
    <definedName name="solver_rhs1" localSheetId="3" hidden="1">'Que2'!$D$14:$D$17</definedName>
    <definedName name="solver_rhs1" localSheetId="4" hidden="1">'Que3'!$D$14:$D$17</definedName>
    <definedName name="solver_rhs2" localSheetId="3" hidden="1">'Que2'!$D$14:$D$17</definedName>
    <definedName name="solver_rhs2" localSheetId="4" hidden="1">'Que3'!$D$14:$D$17</definedName>
    <definedName name="solver_rhs3" localSheetId="3" hidden="1">'Que2'!$D$16</definedName>
    <definedName name="solver_rhs3" localSheetId="4" hidden="1">'Que3'!$D$16</definedName>
    <definedName name="solver_rhs4" localSheetId="3" hidden="1">'Que2'!$D$17</definedName>
    <definedName name="solver_rhs4" localSheetId="4" hidden="1">'Que3'!$D$17</definedName>
    <definedName name="solver_rhs5" localSheetId="3" hidden="1">'Que2'!$D$17</definedName>
    <definedName name="solver_rhs6" localSheetId="3" hidden="1">integer</definedName>
    <definedName name="solver_rlx" localSheetId="3" hidden="1">2</definedName>
    <definedName name="solver_rlx" localSheetId="4" hidden="1">2</definedName>
    <definedName name="solver_rsd" localSheetId="3" hidden="1">0</definedName>
    <definedName name="solver_rsd" localSheetId="4" hidden="1">0</definedName>
    <definedName name="solver_scl" localSheetId="3" hidden="1">1</definedName>
    <definedName name="solver_scl" localSheetId="4" hidden="1">1</definedName>
    <definedName name="solver_sho" localSheetId="3" hidden="1">2</definedName>
    <definedName name="solver_sho" localSheetId="4" hidden="1">2</definedName>
    <definedName name="solver_ssz" localSheetId="3" hidden="1">100</definedName>
    <definedName name="solver_ssz" localSheetId="4" hidden="1">100</definedName>
    <definedName name="solver_tim" localSheetId="3" hidden="1">2147483647</definedName>
    <definedName name="solver_tim" localSheetId="4" hidden="1">2147483647</definedName>
    <definedName name="solver_tol" localSheetId="3" hidden="1">0.01</definedName>
    <definedName name="solver_tol" localSheetId="4" hidden="1">0.01</definedName>
    <definedName name="solver_typ" localSheetId="3" hidden="1">1</definedName>
    <definedName name="solver_typ" localSheetId="4" hidden="1">1</definedName>
    <definedName name="solver_userid" localSheetId="3" hidden="1">482951</definedName>
    <definedName name="solver_val" localSheetId="3" hidden="1">0</definedName>
    <definedName name="solver_val" localSheetId="4" hidden="1">0</definedName>
    <definedName name="solver_ver" localSheetId="3" hidden="1">2</definedName>
    <definedName name="solver_ver" localSheetId="4" hidden="1">2</definedName>
  </definedNames>
  <calcPr calcId="191029"/>
  <pivotCaches>
    <pivotCache cacheId="0"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3" i="46" l="1"/>
  <c r="M34" i="46"/>
  <c r="M32" i="46"/>
  <c r="L33" i="46"/>
  <c r="L34" i="46"/>
  <c r="L32" i="46"/>
  <c r="K33" i="46"/>
  <c r="K34" i="46"/>
  <c r="K32" i="46"/>
  <c r="K1" i="66"/>
  <c r="K9" i="66"/>
  <c r="K8" i="66"/>
  <c r="K7" i="66"/>
  <c r="K6" i="66"/>
  <c r="K5" i="66"/>
  <c r="J4" i="66"/>
  <c r="M18" i="46"/>
  <c r="M19" i="46"/>
  <c r="M17" i="46"/>
  <c r="L18" i="46"/>
  <c r="L19" i="46"/>
  <c r="L17" i="46"/>
  <c r="K18" i="46"/>
  <c r="K19" i="46"/>
  <c r="K17" i="46"/>
  <c r="K1" i="64" l="1"/>
  <c r="K15" i="64"/>
  <c r="K14" i="64"/>
  <c r="K13" i="64"/>
  <c r="K12" i="64"/>
  <c r="K11" i="64"/>
  <c r="K10" i="64"/>
  <c r="K9" i="64"/>
  <c r="K8" i="64"/>
  <c r="K7" i="64"/>
  <c r="K6" i="64"/>
  <c r="K5" i="64"/>
  <c r="J4" i="64"/>
  <c r="B22" i="46" l="1"/>
  <c r="D17" i="46"/>
  <c r="D15" i="46"/>
  <c r="D16" i="46"/>
  <c r="D14" i="46"/>
  <c r="C3" i="46"/>
  <c r="C4" i="46"/>
  <c r="C5" i="46"/>
  <c r="C6" i="46"/>
  <c r="B4" i="46"/>
  <c r="B5" i="46"/>
  <c r="B6" i="46"/>
  <c r="B3" i="46"/>
  <c r="C22" i="46"/>
  <c r="B15" i="34"/>
  <c r="B14" i="34"/>
  <c r="I3" i="56"/>
  <c r="I4" i="56"/>
  <c r="I5" i="56"/>
  <c r="I6" i="56"/>
  <c r="I7" i="56"/>
  <c r="I8" i="56"/>
  <c r="I9" i="56"/>
  <c r="I10" i="56"/>
  <c r="I11" i="56"/>
  <c r="I12" i="56"/>
  <c r="I13" i="56"/>
  <c r="I14" i="56"/>
  <c r="I15" i="56"/>
  <c r="I16" i="56"/>
  <c r="I17" i="56"/>
  <c r="I18" i="56"/>
  <c r="I19" i="56"/>
  <c r="I20" i="56"/>
  <c r="I21" i="56"/>
  <c r="I22" i="56"/>
  <c r="I23" i="56"/>
  <c r="I24" i="56"/>
  <c r="I25" i="56"/>
  <c r="I26" i="56"/>
  <c r="I27" i="56"/>
  <c r="I28" i="56"/>
  <c r="H3" i="56"/>
  <c r="H4" i="56"/>
  <c r="H5" i="56"/>
  <c r="H6" i="56"/>
  <c r="H7" i="56"/>
  <c r="H8" i="56"/>
  <c r="H9" i="56"/>
  <c r="H10" i="56"/>
  <c r="H11" i="56"/>
  <c r="H12" i="56"/>
  <c r="H13" i="56"/>
  <c r="H14" i="56"/>
  <c r="H15" i="56"/>
  <c r="H16" i="56"/>
  <c r="H17" i="56"/>
  <c r="H18" i="56"/>
  <c r="H19" i="56"/>
  <c r="H20" i="56"/>
  <c r="H21" i="56"/>
  <c r="H22" i="56"/>
  <c r="H23" i="56"/>
  <c r="H24" i="56"/>
  <c r="H25" i="56"/>
  <c r="H26" i="56"/>
  <c r="H27" i="56"/>
  <c r="H28" i="56"/>
  <c r="H2" i="56"/>
  <c r="I2" i="56"/>
  <c r="D2" i="56" a="1"/>
  <c r="D2" i="56" s="1"/>
  <c r="D3" i="56" a="1"/>
  <c r="D3" i="56" s="1"/>
  <c r="D4" i="56" a="1"/>
  <c r="D4" i="56" s="1"/>
  <c r="D5" i="56" a="1"/>
  <c r="D5" i="56" s="1"/>
  <c r="D6" i="56" a="1"/>
  <c r="D6" i="56" s="1"/>
  <c r="D7" i="56" a="1"/>
  <c r="D7" i="56" s="1"/>
  <c r="D8" i="56" a="1"/>
  <c r="D8" i="56" s="1"/>
  <c r="D9" i="56" a="1"/>
  <c r="D9" i="56" s="1"/>
  <c r="D10" i="56" a="1"/>
  <c r="D10" i="56" s="1"/>
  <c r="D11" i="56" a="1"/>
  <c r="D11" i="56" s="1"/>
  <c r="D12" i="56" a="1"/>
  <c r="D12" i="56" s="1"/>
  <c r="D13" i="56" a="1"/>
  <c r="D13" i="56" s="1"/>
  <c r="D14" i="56" a="1"/>
  <c r="D14" i="56" s="1"/>
  <c r="D15" i="56" a="1"/>
  <c r="D15" i="56" s="1"/>
  <c r="D16" i="56" a="1"/>
  <c r="D16" i="56" s="1"/>
  <c r="D17" i="56" a="1"/>
  <c r="D17" i="56" s="1"/>
  <c r="D18" i="56" a="1"/>
  <c r="D18" i="56" s="1"/>
  <c r="D19" i="56" a="1"/>
  <c r="D19" i="56" s="1"/>
  <c r="D20" i="56" a="1"/>
  <c r="D20" i="56" s="1"/>
  <c r="D21" i="56" a="1"/>
  <c r="D21" i="56" s="1"/>
  <c r="D22" i="56" a="1"/>
  <c r="D22" i="56" s="1"/>
  <c r="D23" i="56" a="1"/>
  <c r="D23" i="56" s="1"/>
  <c r="D24" i="56" a="1"/>
  <c r="D24" i="56" s="1"/>
  <c r="D25" i="56" a="1"/>
  <c r="D25" i="56" s="1"/>
  <c r="D26" i="56" a="1"/>
  <c r="D26" i="56" s="1"/>
  <c r="D27" i="56" a="1"/>
  <c r="D27" i="56" s="1"/>
  <c r="D28" i="56" a="1"/>
  <c r="D28" i="56" s="1"/>
  <c r="B22" i="34"/>
  <c r="B16" i="34"/>
  <c r="B17" i="34"/>
  <c r="C22" i="34"/>
  <c r="B14" i="46" l="1"/>
  <c r="B23" i="46"/>
  <c r="B17" i="46"/>
  <c r="B15" i="46"/>
  <c r="B16" i="46"/>
  <c r="G25" i="56"/>
  <c r="J25" i="56" s="1"/>
  <c r="G23" i="56"/>
  <c r="J23" i="56" s="1"/>
  <c r="G19" i="56"/>
  <c r="J19" i="56" s="1"/>
  <c r="G15" i="56"/>
  <c r="J15" i="56" s="1"/>
  <c r="G11" i="56"/>
  <c r="J11" i="56" s="1"/>
  <c r="G7" i="56"/>
  <c r="J7" i="56" s="1"/>
  <c r="G3" i="56"/>
  <c r="J3" i="56" s="1"/>
  <c r="G27" i="56"/>
  <c r="J27" i="56" s="1"/>
  <c r="G26" i="56"/>
  <c r="J26" i="56" s="1"/>
  <c r="G22" i="56"/>
  <c r="J22" i="56" s="1"/>
  <c r="G18" i="56"/>
  <c r="J18" i="56" s="1"/>
  <c r="G14" i="56"/>
  <c r="J14" i="56" s="1"/>
  <c r="G10" i="56"/>
  <c r="J10" i="56" s="1"/>
  <c r="G6" i="56"/>
  <c r="J6" i="56" s="1"/>
  <c r="G2" i="56"/>
  <c r="J2" i="56" s="1"/>
  <c r="G21" i="56"/>
  <c r="J21" i="56" s="1"/>
  <c r="G17" i="56"/>
  <c r="J17" i="56" s="1"/>
  <c r="G13" i="56"/>
  <c r="J13" i="56" s="1"/>
  <c r="G9" i="56"/>
  <c r="J9" i="56" s="1"/>
  <c r="G5" i="56"/>
  <c r="J5" i="56" s="1"/>
  <c r="G28" i="56"/>
  <c r="J28" i="56" s="1"/>
  <c r="G24" i="56"/>
  <c r="J24" i="56" s="1"/>
  <c r="G20" i="56"/>
  <c r="J20" i="56" s="1"/>
  <c r="G16" i="56"/>
  <c r="J16" i="56" s="1"/>
  <c r="G12" i="56"/>
  <c r="J12" i="56" s="1"/>
  <c r="G8" i="56"/>
  <c r="J8" i="56" s="1"/>
  <c r="G4" i="56"/>
  <c r="J4" i="56" s="1"/>
  <c r="B23"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Khalid Said Rashid Al-Rasbi</author>
  </authors>
  <commentList>
    <comment ref="B5" authorId="0" shapeId="0" xr:uid="{41A4BAFF-7195-E145-AFD3-CEC9EA0379AA}">
      <text>
        <r>
          <rPr>
            <sz val="10"/>
            <color rgb="FF000000"/>
            <rFont val="Tahoma"/>
            <family val="2"/>
          </rPr>
          <t>Solver found a solution. All constraints and optimality conditions are satisfied.</t>
        </r>
      </text>
    </comment>
    <comment ref="B6" authorId="0" shapeId="0" xr:uid="{9DBDEBBF-C7EA-D54C-9340-77D63BA5A1F3}">
      <text>
        <r>
          <rPr>
            <sz val="10"/>
            <color rgb="FF000000"/>
            <rFont val="Tahoma"/>
            <family val="2"/>
          </rPr>
          <t>Solver found a solution. All constraints and optimality conditions are satisfied.</t>
        </r>
      </text>
    </comment>
    <comment ref="B7" authorId="0" shapeId="0" xr:uid="{CA9829BD-585F-F542-ACF2-90567386122B}">
      <text>
        <r>
          <rPr>
            <sz val="10"/>
            <color rgb="FF000000"/>
            <rFont val="Tahoma"/>
            <family val="2"/>
          </rPr>
          <t>Solver found a solution. All constraints and optimality conditions are satisfied.</t>
        </r>
      </text>
    </comment>
    <comment ref="B8" authorId="0" shapeId="0" xr:uid="{6A4AA663-354F-4F4A-AA3E-9CE5396FE3AF}">
      <text>
        <r>
          <rPr>
            <sz val="10"/>
            <color rgb="FF000000"/>
            <rFont val="Tahoma"/>
            <family val="2"/>
          </rPr>
          <t>Solver found a solution. All constraints and optimality conditions are satisfied.</t>
        </r>
      </text>
    </comment>
    <comment ref="B9" authorId="0" shapeId="0" xr:uid="{F2AFF3A7-02C5-3F45-B327-B264DD867EE1}">
      <text>
        <r>
          <rPr>
            <sz val="10"/>
            <color rgb="FF000000"/>
            <rFont val="Tahoma"/>
            <family val="2"/>
          </rPr>
          <t>Solver found a solution. All constraints and optimality conditions are satisfied.</t>
        </r>
      </text>
    </comment>
    <comment ref="B10" authorId="0" shapeId="0" xr:uid="{9A793B70-722C-A44B-B760-30D828E35D18}">
      <text>
        <r>
          <rPr>
            <sz val="10"/>
            <color rgb="FF000000"/>
            <rFont val="Tahoma"/>
            <family val="2"/>
          </rPr>
          <t>Solver found a solution. All constraints and optimality conditions are satisfied.</t>
        </r>
      </text>
    </comment>
    <comment ref="B11" authorId="0" shapeId="0" xr:uid="{C5FC85E2-2FFC-A543-92C5-600EC55B11AF}">
      <text>
        <r>
          <rPr>
            <sz val="10"/>
            <color rgb="FF000000"/>
            <rFont val="Tahoma"/>
            <family val="2"/>
          </rPr>
          <t>Solver found a solution. All constraints and optimality conditions are satisfied.</t>
        </r>
      </text>
    </comment>
    <comment ref="B12" authorId="0" shapeId="0" xr:uid="{D4B7A503-D097-3544-A52A-FFC8B0F992AC}">
      <text>
        <r>
          <rPr>
            <sz val="10"/>
            <color rgb="FF000000"/>
            <rFont val="Tahoma"/>
            <family val="2"/>
          </rPr>
          <t>Solver found a solution. All constraints and optimality conditions are satisfied.</t>
        </r>
      </text>
    </comment>
    <comment ref="B13" authorId="0" shapeId="0" xr:uid="{5E047566-EF22-6F42-BB90-1B105384258F}">
      <text>
        <r>
          <rPr>
            <sz val="10"/>
            <color rgb="FF000000"/>
            <rFont val="Tahoma"/>
            <family val="2"/>
          </rPr>
          <t>Solver found a solution. All constraints and optimality conditions are satisfied.</t>
        </r>
      </text>
    </comment>
    <comment ref="B14" authorId="0" shapeId="0" xr:uid="{F742D5B3-E46F-1944-90D6-7C1D5250E47A}">
      <text>
        <r>
          <rPr>
            <sz val="10"/>
            <color rgb="FF000000"/>
            <rFont val="Tahoma"/>
            <family val="2"/>
          </rPr>
          <t>Solver found a solution. All constraints and optimality conditions are satisfied.</t>
        </r>
      </text>
    </comment>
    <comment ref="B15" authorId="0" shapeId="0" xr:uid="{502CE4D5-8EC9-CF44-B22C-8A29E4205E4A}">
      <text>
        <r>
          <rPr>
            <sz val="10"/>
            <color rgb="FF000000"/>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Khalid Said Rashid Al-Rasbi</author>
  </authors>
  <commentList>
    <comment ref="B5" authorId="0" shapeId="0" xr:uid="{0E0811B3-2E9B-B243-AB3F-C35FCD716098}">
      <text>
        <r>
          <rPr>
            <sz val="10"/>
            <color rgb="FF000000"/>
            <rFont val="Tahoma"/>
            <family val="2"/>
          </rPr>
          <t>Solver found a solution. All constraints and optimality conditions are satisfied.</t>
        </r>
      </text>
    </comment>
    <comment ref="B6" authorId="0" shapeId="0" xr:uid="{E67A1620-06D1-094F-850D-E7C142D9F1B8}">
      <text>
        <r>
          <rPr>
            <sz val="10"/>
            <color rgb="FF000000"/>
            <rFont val="Tahoma"/>
            <family val="2"/>
          </rPr>
          <t>Solver found a solution. All constraints and optimality conditions are satisfied.</t>
        </r>
      </text>
    </comment>
    <comment ref="B7" authorId="0" shapeId="0" xr:uid="{FB5C4D17-11F3-4E42-A1EF-4B00EBDC5941}">
      <text>
        <r>
          <rPr>
            <sz val="10"/>
            <color rgb="FF000000"/>
            <rFont val="Tahoma"/>
            <family val="2"/>
          </rPr>
          <t>Solver found a solution. All constraints and optimality conditions are satisfied.</t>
        </r>
      </text>
    </comment>
    <comment ref="B8" authorId="0" shapeId="0" xr:uid="{6FE8818D-913D-3E47-AF30-5B8EA1E3E8E9}">
      <text>
        <r>
          <rPr>
            <sz val="10"/>
            <color rgb="FF000000"/>
            <rFont val="Tahoma"/>
            <family val="2"/>
          </rPr>
          <t>Solver found a solution. All constraints and optimality conditions are satisfied.</t>
        </r>
      </text>
    </comment>
    <comment ref="B9" authorId="0" shapeId="0" xr:uid="{B163D318-BAE7-704E-98DE-39D51C13A503}">
      <text>
        <r>
          <rPr>
            <sz val="10"/>
            <color rgb="FF000000"/>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<sst xmlns="http://schemas.openxmlformats.org/spreadsheetml/2006/main" count="221" uniqueCount="132">
  <si>
    <t>Constraints</t>
  </si>
  <si>
    <t>Constraint</t>
  </si>
  <si>
    <t>$B$21</t>
  </si>
  <si>
    <t>$C$11</t>
  </si>
  <si>
    <t>$B$16:$C$16,$D$25</t>
  </si>
  <si>
    <t>Selling Price XP</t>
  </si>
  <si>
    <t>$D$21</t>
  </si>
  <si>
    <t/>
  </si>
  <si>
    <t>$D$22</t>
  </si>
  <si>
    <t>Assembling hours</t>
  </si>
  <si>
    <t>Testing hours</t>
  </si>
  <si>
    <t>$G$18</t>
  </si>
  <si>
    <t>% change in max sales</t>
  </si>
  <si>
    <t>$B$16:$C$16,$D$25,$B$12</t>
  </si>
  <si>
    <t>Requirements</t>
  </si>
  <si>
    <t>Max Profit =</t>
  </si>
  <si>
    <t>≤</t>
  </si>
  <si>
    <t>INPUTS</t>
  </si>
  <si>
    <t>CONSTRAINTS</t>
  </si>
  <si>
    <t>OBJECTIVE</t>
  </si>
  <si>
    <t>Profit Margin</t>
  </si>
  <si>
    <t>Opads (D)</t>
  </si>
  <si>
    <t>Molding</t>
  </si>
  <si>
    <t>Circuit</t>
  </si>
  <si>
    <t>Assembling</t>
  </si>
  <si>
    <t>Labor Hours</t>
  </si>
  <si>
    <t xml:space="preserve">   Molding</t>
  </si>
  <si>
    <t xml:space="preserve">   Circuit</t>
  </si>
  <si>
    <t xml:space="preserve">   Assembling</t>
  </si>
  <si>
    <t>Floor Space</t>
  </si>
  <si>
    <t>Floor</t>
  </si>
  <si>
    <t>Variables - Quantity of ophones and opads to produce</t>
  </si>
  <si>
    <t>Ophones (H)</t>
  </si>
  <si>
    <t>Example 1_beans'!$A$27:$A$37</t>
  </si>
  <si>
    <t>$D$12</t>
  </si>
  <si>
    <t>Change in land</t>
  </si>
  <si>
    <t>Change by</t>
  </si>
  <si>
    <t>Original Requirements</t>
  </si>
  <si>
    <t>$E$3</t>
  </si>
  <si>
    <t>$B$21,$B$9:$C$9</t>
  </si>
  <si>
    <t>Impact of Technology on Input Requirement</t>
  </si>
  <si>
    <t>$E$11</t>
  </si>
  <si>
    <t>Increasing the Constraints</t>
  </si>
  <si>
    <t>Input Requirement</t>
  </si>
  <si>
    <t>Relaxing the Constraints</t>
  </si>
  <si>
    <t>Original Constraints</t>
  </si>
  <si>
    <t>$B$23,$B$10,$C$10</t>
  </si>
  <si>
    <t>$E$13</t>
  </si>
  <si>
    <t>Number of Ophones</t>
  </si>
  <si>
    <t>Number of Opads</t>
  </si>
  <si>
    <t>Maximum Profit</t>
  </si>
  <si>
    <t>Percentage Change in Hours Required</t>
  </si>
  <si>
    <t>Percentage Change in Constraint Hours</t>
  </si>
  <si>
    <t>Orange Inc. manufactures cellphones, Ophone (H), and tablets, Opad (D). Suppose it wishes to determine the quantities of each product to produce to maximize profit. The manufacturing process involves Molding of cases (M), making of Circuit board (C), and Assembling and Testing (A). Factory floor space (F) and Labor (L) are limited resources. Orange Inc. has 400 m2 of floor space, 80 hours for molding, 70 hours for making circuit boards and 90 hours for assembling and testing. Profit is $325 per Ophone and $350 per Opads. For molding, one unit of Ophone requires 0.5 hours while one unit of Opad requires 0.4 hours. Ophones circuit boards require 0.2 hours per unit to make while Opad requires 0.45 hours. Assembling requires 0.44 hours per Ophone and 0.25 hours per Opad. For floor space, each unit of Ophone and Opad require 1.0m2. Since it is impossible to produce fractions of cellphones and tablets, impose integer constraint. This means the number of ophones and opads must be whole numbers. You can impose integer constraint by selecting "int" in the Add Constraint window. How many units of Ophones and Opads will maximize the profit of Orange Inc.?</t>
  </si>
  <si>
    <t>Answers will be in the Solver Table</t>
  </si>
  <si>
    <t>Customber ID</t>
  </si>
  <si>
    <t>Date</t>
  </si>
  <si>
    <t>Amount spent</t>
  </si>
  <si>
    <t>Sum of Amount spent</t>
  </si>
  <si>
    <t>Row Labels</t>
  </si>
  <si>
    <t>Max of Date</t>
  </si>
  <si>
    <t>Min of Date</t>
  </si>
  <si>
    <t>Count of Amount spent2</t>
  </si>
  <si>
    <t>Days elapsed</t>
  </si>
  <si>
    <t>Recency</t>
  </si>
  <si>
    <t>Frequency</t>
  </si>
  <si>
    <t>Monetary</t>
  </si>
  <si>
    <t>Average Score</t>
  </si>
  <si>
    <t xml:space="preserve">Q1. Use the provided sales data to produce a table similar to the one </t>
  </si>
  <si>
    <t>This requires you to first create a pivot table in K1, and copy and paste it as values in</t>
  </si>
  <si>
    <t>below the bottom of the data (scroll to the bottom to see it).</t>
  </si>
  <si>
    <t>worksheet HW1_RFM.</t>
  </si>
  <si>
    <t>Follow the in-class example closely.</t>
  </si>
  <si>
    <t>Answer the following questions after calculating the RFM scores in HW1_RFM</t>
  </si>
  <si>
    <t>Q2.i. Use Simplex LP method in Solver to answer the question below.</t>
  </si>
  <si>
    <t>Q2.ii. By how much will the profit increase if Orange Inc. secured one more hour for molding? Why?</t>
  </si>
  <si>
    <r>
      <t>Q2.iii. By how much will the profit increase if Orange Inc. secured 100 m</t>
    </r>
    <r>
      <rPr>
        <b/>
        <vertAlign val="superscript"/>
        <sz val="11"/>
        <color theme="1"/>
        <rFont val="Calibri"/>
        <family val="2"/>
        <scheme val="minor"/>
      </rPr>
      <t>2</t>
    </r>
    <r>
      <rPr>
        <b/>
        <sz val="11"/>
        <color theme="1"/>
        <rFont val="Calibri"/>
        <family val="2"/>
        <scheme val="minor"/>
      </rPr>
      <t xml:space="preserve"> more floor space? Why?</t>
    </r>
  </si>
  <si>
    <t>Q3.i Use SolverTable to answer the question below.</t>
  </si>
  <si>
    <t>Q3.ii. How many cellphones and tablets will be produced in each case?</t>
  </si>
  <si>
    <t>Q3.iii. What is the maximum profit that could be made in each case?</t>
  </si>
  <si>
    <t>Q3.iv. Complete the summary table below for Q4 and Q5 using VLOOKUP</t>
  </si>
  <si>
    <r>
      <rPr>
        <b/>
        <sz val="11"/>
        <color theme="1"/>
        <rFont val="Calibri"/>
        <family val="2"/>
        <scheme val="minor"/>
      </rPr>
      <t xml:space="preserve">Q3.v. </t>
    </r>
    <r>
      <rPr>
        <sz val="11"/>
        <color theme="1"/>
        <rFont val="Calibri"/>
        <family val="2"/>
        <scheme val="minor"/>
      </rPr>
      <t xml:space="preserve">There is abundant supply of labor after the reopening of the economy post-covid. Orange Inc. could now have two to 20 percent more labor hours than it had prior to covid. In your report to Orange Inc., include a table that shows how production and profit will vary with each possible scenario of the increase (4% increments) in labor hours constraint. </t>
    </r>
  </si>
  <si>
    <t>Q3.vi. Complete the summary table below for Q7.</t>
  </si>
  <si>
    <t xml:space="preserve">Q3.vii. How do changes in required hours and constraint affect Orange Inc.'s profit? </t>
  </si>
  <si>
    <t>Q1.i. Who are your top customers with recency score of 5?</t>
  </si>
  <si>
    <t>Q1.ii. Who are your top customers with frequency score of 5?</t>
  </si>
  <si>
    <t>Q1.iii. Who are your top customers with an average RFM score of at least 4?</t>
  </si>
  <si>
    <r>
      <t>Orange Inc. faces an uncertain future. Technological advancement could reduce its</t>
    </r>
    <r>
      <rPr>
        <b/>
        <sz val="11"/>
        <color theme="1"/>
        <rFont val="Calibri"/>
        <family val="2"/>
        <scheme val="minor"/>
      </rPr>
      <t xml:space="preserve"> hours of labor requirement</t>
    </r>
    <r>
      <rPr>
        <sz val="11"/>
        <color theme="1"/>
        <rFont val="Calibri"/>
        <family val="2"/>
        <scheme val="minor"/>
      </rPr>
      <t xml:space="preserve"> from five  to 25 percent. On the other hand, increases in COVID-19 cases could increase its labor requirement from five to 25 percent. As a consultant for Orange Inc., you have been contracted to determine the impact of the uncertainty on the production of oPhones and oPads. </t>
    </r>
  </si>
  <si>
    <t xml:space="preserve">Net Profit </t>
  </si>
  <si>
    <t>Microsoft Excel 16.54 Sensitivity Report</t>
  </si>
  <si>
    <t>Worksheet: [Homework_5_stu.xlsx]Que2</t>
  </si>
  <si>
    <t>Variable Cells</t>
  </si>
  <si>
    <t>Cell</t>
  </si>
  <si>
    <t>Name</t>
  </si>
  <si>
    <t>Final</t>
  </si>
  <si>
    <t>Value</t>
  </si>
  <si>
    <t>Reduced</t>
  </si>
  <si>
    <t>Cost</t>
  </si>
  <si>
    <t>Objective</t>
  </si>
  <si>
    <t>Coefficient</t>
  </si>
  <si>
    <t>Allowable</t>
  </si>
  <si>
    <t>Increase</t>
  </si>
  <si>
    <t>Decrease</t>
  </si>
  <si>
    <t>Shadow</t>
  </si>
  <si>
    <t>Price</t>
  </si>
  <si>
    <t>R.H. Side</t>
  </si>
  <si>
    <t>$B$10</t>
  </si>
  <si>
    <t>$C$10</t>
  </si>
  <si>
    <t>$B$14</t>
  </si>
  <si>
    <t xml:space="preserve">   Molding Ophones (H)</t>
  </si>
  <si>
    <t>$B$15</t>
  </si>
  <si>
    <t xml:space="preserve">   Circuit Ophones (H)</t>
  </si>
  <si>
    <t>$B$16</t>
  </si>
  <si>
    <t xml:space="preserve">   Assembling Ophones (H)</t>
  </si>
  <si>
    <t>$B$17</t>
  </si>
  <si>
    <t>Floor Space Ophones (H)</t>
  </si>
  <si>
    <t>Report Created: 10/28/21 11:28:58 AM</t>
  </si>
  <si>
    <t>If we secured one more hour the profit would increase by 525.862068965517.  because according to our sensitivity report for the molding that show the shadow price would increase by 525.862068965517.</t>
  </si>
  <si>
    <t xml:space="preserve">It would never increase, because the shadow price for the floor space shows zero in the sensitivity report meaing it not going to be any increasing. </t>
  </si>
  <si>
    <t>Grand Total</t>
  </si>
  <si>
    <t>15,17,22,24,25</t>
  </si>
  <si>
    <t>8,9</t>
  </si>
  <si>
    <t>8,9,14,22,25</t>
  </si>
  <si>
    <t>$B$10:$C$10,$B$23</t>
  </si>
  <si>
    <t>Oneway analysis for Solver model in Que3 worksheet</t>
  </si>
  <si>
    <t>Relaxing the Input Requirements (cell $E$3) values along side, output cell(s) along top</t>
  </si>
  <si>
    <t>OphonesH</t>
  </si>
  <si>
    <t>OpadsD</t>
  </si>
  <si>
    <t>Max_Profit</t>
  </si>
  <si>
    <t>Data for chart</t>
  </si>
  <si>
    <t>Relaxing the Constraints (cell $E$13) values along side, output cell(s) along top</t>
  </si>
  <si>
    <t>The maximum profit will be the best if the percentage change in constraint hours is increased by 18%. The more labor hours increases the amount of profit due to the amount of Ophones and Opads are able to be made and then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</si>
</sst>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
    <numFmt numFmtId="166" formatCode="0.00000000"/>
    <numFmt numFmtId="167" formatCode="_(* #,##0.0_);_(* \(#,##0.0\);_(* &quot;-&quot;??_);_(@_)"/>
  </numFmts>
  <fonts count="16" x14ac:knownFonts="1">
    <font>
      <sz val="11"/>
      <color theme="1"/>
      <name val="Calibri"/>
      <family val="2"/>
      <scheme val="minor"/>
    </font>
    <font>
      <b/>
      <sz val="11"/>
      <color theme="1"/>
      <name val="Calibri"/>
      <family val="2"/>
      <scheme val="minor"/>
    </font>
    <font>
      <sz val="11"/>
      <color theme="1"/>
      <name val="Times New Roman"/>
      <family val="1"/>
    </font>
    <font>
      <sz val="11"/>
      <color theme="1"/>
      <name val="Calibri"/>
      <family val="2"/>
      <scheme val="minor"/>
    </font>
    <font>
      <sz val="18"/>
      <color rgb="FF000000"/>
      <name val="Tw Cen MT"/>
      <family val="2"/>
    </font>
    <font>
      <sz val="11"/>
      <color rgb="FFFF0000"/>
      <name val="Calibri"/>
      <family val="2"/>
      <scheme val="minor"/>
    </font>
    <font>
      <i/>
      <sz val="11"/>
      <color theme="1"/>
      <name val="Calibri"/>
      <family val="2"/>
      <scheme val="minor"/>
    </font>
    <font>
      <b/>
      <vertAlign val="superscript"/>
      <sz val="11"/>
      <color theme="1"/>
      <name val="Calibri"/>
      <family val="2"/>
      <scheme val="minor"/>
    </font>
    <font>
      <sz val="9"/>
      <color theme="1"/>
      <name val="Segoe UI"/>
      <family val="2"/>
    </font>
    <font>
      <sz val="9"/>
      <color theme="1"/>
      <name val="Segoe UI"/>
      <family val="2"/>
    </font>
    <font>
      <b/>
      <sz val="11"/>
      <name val="Calibri"/>
      <family val="2"/>
      <scheme val="minor"/>
    </font>
    <font>
      <b/>
      <sz val="9"/>
      <color theme="1"/>
      <name val="Segoe UI"/>
      <family val="2"/>
    </font>
    <font>
      <sz val="11"/>
      <color theme="3" tint="0.39997558519241921"/>
      <name val="Calibri"/>
      <family val="2"/>
      <scheme val="minor"/>
    </font>
    <font>
      <b/>
      <sz val="11"/>
      <color indexed="18"/>
      <name val="Calibri"/>
      <family val="2"/>
      <scheme val="minor"/>
    </font>
    <font>
      <sz val="11"/>
      <color rgb="FFFFFFFF"/>
      <name val="Calibri"/>
      <family val="2"/>
      <scheme val="minor"/>
    </font>
    <font>
      <sz val="10"/>
      <color rgb="FF000000"/>
      <name val="Tahoma"/>
      <family val="2"/>
    </font>
  </fonts>
  <fills count="8">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theme="4" tint="0.39997558519241921"/>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85">
    <xf numFmtId="0" fontId="0" fillId="0" borderId="0" xfId="0"/>
    <xf numFmtId="0" fontId="1" fillId="0" borderId="0" xfId="0" applyFont="1"/>
    <xf numFmtId="49" fontId="0" fillId="0" borderId="0" xfId="0" applyNumberFormat="1"/>
    <xf numFmtId="0" fontId="1" fillId="0" borderId="0" xfId="0" applyFont="1" applyBorder="1"/>
    <xf numFmtId="0" fontId="0" fillId="0" borderId="0" xfId="0" applyBorder="1"/>
    <xf numFmtId="0" fontId="2" fillId="0" borderId="0" xfId="0" applyFont="1" applyAlignment="1">
      <alignment horizontal="center"/>
    </xf>
    <xf numFmtId="0" fontId="0" fillId="2" borderId="1" xfId="0" applyFill="1" applyBorder="1"/>
    <xf numFmtId="0" fontId="0" fillId="4" borderId="0" xfId="0" applyFill="1"/>
    <xf numFmtId="164" fontId="0" fillId="3" borderId="1" xfId="1" applyNumberFormat="1" applyFont="1" applyFill="1" applyBorder="1"/>
    <xf numFmtId="0" fontId="0" fillId="0" borderId="0" xfId="0" quotePrefix="1"/>
    <xf numFmtId="9" fontId="0" fillId="5" borderId="0" xfId="2" applyFont="1" applyFill="1"/>
    <xf numFmtId="0" fontId="4" fillId="0" borderId="0" xfId="0" applyFont="1" applyAlignment="1">
      <alignment horizontal="left" vertical="center" readingOrder="1"/>
    </xf>
    <xf numFmtId="0" fontId="0" fillId="0" borderId="0" xfId="0" applyBorder="1" applyAlignment="1">
      <alignment vertical="top" wrapText="1"/>
    </xf>
    <xf numFmtId="0" fontId="0" fillId="0" borderId="10" xfId="0" applyBorder="1" applyAlignment="1">
      <alignment vertical="top" wrapText="1"/>
    </xf>
    <xf numFmtId="165" fontId="0" fillId="0" borderId="0" xfId="0" applyNumberFormat="1"/>
    <xf numFmtId="0" fontId="6" fillId="0" borderId="0" xfId="0" applyFont="1"/>
    <xf numFmtId="0" fontId="5" fillId="0" borderId="0" xfId="0" applyFont="1" applyBorder="1" applyAlignment="1">
      <alignment vertical="top" wrapText="1"/>
    </xf>
    <xf numFmtId="0" fontId="8" fillId="0" borderId="0" xfId="0" applyFont="1" applyAlignment="1">
      <alignment horizontal="left" vertical="center"/>
    </xf>
    <xf numFmtId="0" fontId="9" fillId="0" borderId="0" xfId="0" applyFont="1" applyAlignment="1">
      <alignment horizontal="left" vertical="center"/>
    </xf>
    <xf numFmtId="14" fontId="0" fillId="0" borderId="0" xfId="0" applyNumberFormat="1"/>
    <xf numFmtId="14" fontId="9" fillId="0" borderId="0" xfId="0" applyNumberFormat="1" applyFont="1" applyAlignment="1">
      <alignment horizontal="left" vertical="center"/>
    </xf>
    <xf numFmtId="165" fontId="9" fillId="0" borderId="0" xfId="0" applyNumberFormat="1" applyFont="1" applyAlignment="1">
      <alignment horizontal="left" vertical="center"/>
    </xf>
    <xf numFmtId="0" fontId="0" fillId="0" borderId="0" xfId="0" applyNumberFormat="1"/>
    <xf numFmtId="0" fontId="0" fillId="0" borderId="0" xfId="0" applyAlignment="1">
      <alignment horizontal="left"/>
    </xf>
    <xf numFmtId="2" fontId="0" fillId="0" borderId="0" xfId="0" applyNumberFormat="1"/>
    <xf numFmtId="0" fontId="10" fillId="6" borderId="11" xfId="0" applyFont="1" applyFill="1" applyBorder="1"/>
    <xf numFmtId="0" fontId="11" fillId="0" borderId="0" xfId="0" applyFont="1" applyAlignment="1">
      <alignment horizontal="left" vertical="center"/>
    </xf>
    <xf numFmtId="9" fontId="12" fillId="0" borderId="0" xfId="0" applyNumberFormat="1" applyFont="1" applyBorder="1" applyAlignment="1">
      <alignment vertical="top" wrapText="1"/>
    </xf>
    <xf numFmtId="9" fontId="12" fillId="0" borderId="8" xfId="0" applyNumberFormat="1" applyFont="1" applyBorder="1" applyAlignment="1">
      <alignment vertical="top" wrapText="1"/>
    </xf>
    <xf numFmtId="0" fontId="0" fillId="0" borderId="14" xfId="0" applyFill="1" applyBorder="1" applyAlignment="1"/>
    <xf numFmtId="0" fontId="0" fillId="0" borderId="15" xfId="0" applyFill="1" applyBorder="1" applyAlignment="1"/>
    <xf numFmtId="0" fontId="13" fillId="0" borderId="12" xfId="0" applyFont="1" applyFill="1" applyBorder="1" applyAlignment="1">
      <alignment horizontal="center"/>
    </xf>
    <xf numFmtId="0" fontId="13" fillId="0" borderId="13" xfId="0" applyFont="1" applyFill="1" applyBorder="1" applyAlignment="1">
      <alignment horizontal="center"/>
    </xf>
    <xf numFmtId="0" fontId="0" fillId="0" borderId="0" xfId="0" pivotButton="1"/>
    <xf numFmtId="3" fontId="0" fillId="0" borderId="0" xfId="0" applyNumberFormat="1"/>
    <xf numFmtId="43" fontId="0" fillId="0" borderId="0" xfId="0" applyNumberFormat="1"/>
    <xf numFmtId="164" fontId="0" fillId="0" borderId="0" xfId="1" applyNumberFormat="1" applyFont="1" applyFill="1" applyBorder="1"/>
    <xf numFmtId="166" fontId="0" fillId="0" borderId="0" xfId="0" applyNumberFormat="1"/>
    <xf numFmtId="9" fontId="0" fillId="0" borderId="0" xfId="0" applyNumberFormat="1"/>
    <xf numFmtId="0" fontId="0" fillId="0" borderId="0" xfId="0" applyAlignment="1">
      <alignment horizontal="right" textRotation="90"/>
    </xf>
    <xf numFmtId="0" fontId="0" fillId="7" borderId="0" xfId="0" applyFill="1" applyAlignment="1">
      <alignment horizontal="right" textRotation="90"/>
    </xf>
    <xf numFmtId="0" fontId="14" fillId="0" borderId="0" xfId="0" applyFont="1"/>
    <xf numFmtId="0" fontId="0" fillId="0" borderId="5" xfId="0" applyNumberFormat="1" applyBorder="1"/>
    <xf numFmtId="0" fontId="0" fillId="0" borderId="0" xfId="0" applyNumberFormat="1" applyBorder="1"/>
    <xf numFmtId="164" fontId="0" fillId="0" borderId="6" xfId="0" applyNumberFormat="1" applyBorder="1"/>
    <xf numFmtId="0" fontId="0" fillId="0" borderId="7" xfId="0" applyNumberFormat="1" applyBorder="1"/>
    <xf numFmtId="0" fontId="0" fillId="0" borderId="8" xfId="0" applyNumberFormat="1" applyBorder="1"/>
    <xf numFmtId="164" fontId="0" fillId="0" borderId="9" xfId="0" applyNumberFormat="1" applyBorder="1"/>
    <xf numFmtId="0" fontId="0" fillId="0" borderId="2" xfId="0" applyNumberFormat="1" applyBorder="1"/>
    <xf numFmtId="0" fontId="0" fillId="0" borderId="3" xfId="0" applyNumberFormat="1" applyBorder="1"/>
    <xf numFmtId="164" fontId="0" fillId="0" borderId="4" xfId="0" applyNumberFormat="1" applyBorder="1"/>
    <xf numFmtId="43" fontId="0" fillId="0" borderId="0" xfId="1" applyFont="1"/>
    <xf numFmtId="167" fontId="0" fillId="0" borderId="0" xfId="1" applyNumberFormat="1" applyFont="1"/>
    <xf numFmtId="0" fontId="0" fillId="0" borderId="10" xfId="0" applyFill="1" applyBorder="1" applyAlignment="1">
      <alignment vertical="top" wrapText="1"/>
    </xf>
    <xf numFmtId="43" fontId="12" fillId="0" borderId="0" xfId="1" applyFont="1" applyFill="1"/>
    <xf numFmtId="43" fontId="12" fillId="0" borderId="8" xfId="1" applyFont="1" applyFill="1" applyBorder="1"/>
    <xf numFmtId="165" fontId="12" fillId="0" borderId="0" xfId="0" applyNumberFormat="1" applyFont="1" applyFill="1" applyBorder="1" applyAlignment="1">
      <alignment vertical="top" wrapText="1"/>
    </xf>
    <xf numFmtId="165" fontId="12" fillId="0" borderId="8" xfId="0" applyNumberFormat="1" applyFont="1" applyFill="1" applyBorder="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0" xfId="0" applyFont="1" applyBorder="1" applyAlignment="1">
      <alignment horizontal="center" vertical="top" wrapText="1"/>
    </xf>
    <xf numFmtId="0" fontId="12" fillId="0" borderId="6" xfId="0" applyFont="1" applyBorder="1" applyAlignment="1">
      <alignment horizontal="center" vertical="top" wrapText="1"/>
    </xf>
    <xf numFmtId="0" fontId="12" fillId="0" borderId="7" xfId="0" applyFont="1" applyBorder="1" applyAlignment="1">
      <alignment horizontal="center" vertical="top" wrapText="1"/>
    </xf>
    <xf numFmtId="0" fontId="12" fillId="0" borderId="8" xfId="0" applyFont="1" applyBorder="1" applyAlignment="1">
      <alignment horizontal="center" vertical="top" wrapText="1"/>
    </xf>
    <xf numFmtId="0" fontId="12" fillId="0" borderId="9" xfId="0" applyFont="1" applyBorder="1" applyAlignment="1">
      <alignment horizontal="center" vertical="top" wrapText="1"/>
    </xf>
    <xf numFmtId="0" fontId="12" fillId="0" borderId="5" xfId="0" applyFont="1" applyBorder="1" applyAlignment="1">
      <alignment horizontal="left" vertical="top" wrapText="1"/>
    </xf>
    <xf numFmtId="0" fontId="12" fillId="0" borderId="0" xfId="0" applyFont="1" applyBorder="1" applyAlignment="1">
      <alignment horizontal="left" vertical="top" wrapText="1"/>
    </xf>
    <xf numFmtId="0" fontId="12" fillId="0" borderId="6" xfId="0" applyFont="1" applyBorder="1" applyAlignment="1">
      <alignment horizontal="left" vertical="top" wrapText="1"/>
    </xf>
  </cellXfs>
  <cellStyles count="3">
    <cellStyle name="Comma" xfId="1" builtinId="3"/>
    <cellStyle name="Normal" xfId="0" builtinId="0"/>
    <cellStyle name="Percent" xfId="2" builtinId="5"/>
  </cellStyles>
  <dxfs count="10">
    <dxf>
      <numFmt numFmtId="165" formatCode="0.0"/>
    </dxf>
    <dxf>
      <numFmt numFmtId="0" formatCode="General"/>
    </dxf>
    <dxf>
      <numFmt numFmtId="165" formatCode="0.0"/>
    </dxf>
    <dxf>
      <numFmt numFmtId="0" formatCode="General"/>
    </dxf>
    <dxf>
      <numFmt numFmtId="166" formatCode="0.00000000"/>
    </dxf>
    <dxf>
      <numFmt numFmtId="168" formatCode="m/d/yy"/>
    </dxf>
    <dxf>
      <numFmt numFmtId="168" formatCode="m/d/yy"/>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s>
  <tableStyles count="1" defaultTableStyle="TableStyleMedium9" defaultPivotStyle="PivotStyleLight16">
    <tableStyle name="Invisible" pivot="0" table="0" count="0" xr9:uid="{A7E387E6-3519-4B1D-9090-206267AE4BD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[Homework_5_BrookeFarr_CodyKnehans_KhalidAl-Rasbi.xlsx]Que1!PivotTable1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'Que1'!$L$1</c:f>
              <c:strCache>
                <c:ptCount val="1"/>
                <c:pt idx="0">
                  <c:v>Max of Date</c:v>
                </c:pt>
              </c:strCache>
            </c:strRef>
          </c:tx>
          <c:spPr>
            <a:solidFill>
              <a:schemeClr val="accent1"/>
            </a:solidFill>
            <a:ln>
              <a:noFill/>
            </a:ln>
            <a:effectLst/>
          </c:spPr>
          <c:invertIfNegative val="0"/>
          <c:cat>
            <c:strRef>
              <c:f>'Que1'!$K$2:$K$29</c:f>
              <c:strCach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strCache>
            </c:strRef>
          </c:cat>
          <c:val>
            <c:numRef>
              <c:f>'Que1'!$L$2:$L$29</c:f>
              <c:numCache>
                <c:formatCode>General</c:formatCode>
                <c:ptCount val="27"/>
                <c:pt idx="0">
                  <c:v>40941</c:v>
                </c:pt>
                <c:pt idx="1">
                  <c:v>40966</c:v>
                </c:pt>
                <c:pt idx="2">
                  <c:v>40937</c:v>
                </c:pt>
                <c:pt idx="3">
                  <c:v>40991</c:v>
                </c:pt>
                <c:pt idx="4">
                  <c:v>41016</c:v>
                </c:pt>
                <c:pt idx="5">
                  <c:v>41041</c:v>
                </c:pt>
                <c:pt idx="6">
                  <c:v>41066</c:v>
                </c:pt>
                <c:pt idx="7">
                  <c:v>41116</c:v>
                </c:pt>
                <c:pt idx="8">
                  <c:v>41166</c:v>
                </c:pt>
                <c:pt idx="9">
                  <c:v>41191</c:v>
                </c:pt>
                <c:pt idx="10">
                  <c:v>41162</c:v>
                </c:pt>
                <c:pt idx="11">
                  <c:v>41216</c:v>
                </c:pt>
                <c:pt idx="12">
                  <c:v>41187</c:v>
                </c:pt>
                <c:pt idx="13">
                  <c:v>41241</c:v>
                </c:pt>
                <c:pt idx="14">
                  <c:v>41266</c:v>
                </c:pt>
                <c:pt idx="15">
                  <c:v>41237</c:v>
                </c:pt>
                <c:pt idx="16">
                  <c:v>41262</c:v>
                </c:pt>
                <c:pt idx="17">
                  <c:v>40761</c:v>
                </c:pt>
                <c:pt idx="18">
                  <c:v>40811</c:v>
                </c:pt>
                <c:pt idx="19">
                  <c:v>40807</c:v>
                </c:pt>
                <c:pt idx="20">
                  <c:v>41087</c:v>
                </c:pt>
                <c:pt idx="21">
                  <c:v>41264</c:v>
                </c:pt>
                <c:pt idx="22">
                  <c:v>41222</c:v>
                </c:pt>
                <c:pt idx="23">
                  <c:v>41247</c:v>
                </c:pt>
                <c:pt idx="24">
                  <c:v>41272</c:v>
                </c:pt>
                <c:pt idx="25">
                  <c:v>41212</c:v>
                </c:pt>
                <c:pt idx="26">
                  <c:v>41237</c:v>
                </c:pt>
              </c:numCache>
            </c:numRef>
          </c:val>
          <c:extLst>
            <c:ext xmlns:c16="http://schemas.microsoft.com/office/drawing/2014/chart" uri="{C3380CC4-5D6E-409C-BE32-E72D297353CC}">
              <c16:uniqueId val="{00000001-32AF-454E-9F09-007B81BA6B18}"/>
            </c:ext>
          </c:extLst>
        </c:ser>
        <c:ser>
          <c:idx val="1"/>
          <c:order val="1"/>
          <c:tx>
            <c:strRef>
              <c:f>'Que1'!$M$1</c:f>
              <c:strCache>
                <c:ptCount val="1"/>
                <c:pt idx="0">
                  <c:v>Min of Date</c:v>
                </c:pt>
              </c:strCache>
            </c:strRef>
          </c:tx>
          <c:spPr>
            <a:solidFill>
              <a:schemeClr val="accent2"/>
            </a:solidFill>
            <a:ln>
              <a:noFill/>
            </a:ln>
            <a:effectLst/>
          </c:spPr>
          <c:invertIfNegative val="0"/>
          <c:cat>
            <c:strRef>
              <c:f>'Que1'!$K$2:$K$29</c:f>
              <c:strCach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strCache>
            </c:strRef>
          </c:cat>
          <c:val>
            <c:numRef>
              <c:f>'Que1'!$M$2:$M$29</c:f>
              <c:numCache>
                <c:formatCode>General</c:formatCode>
                <c:ptCount val="27"/>
                <c:pt idx="0">
                  <c:v>40612</c:v>
                </c:pt>
                <c:pt idx="1">
                  <c:v>40764</c:v>
                </c:pt>
                <c:pt idx="2">
                  <c:v>40637</c:v>
                </c:pt>
                <c:pt idx="3">
                  <c:v>40747</c:v>
                </c:pt>
                <c:pt idx="4">
                  <c:v>40662</c:v>
                </c:pt>
                <c:pt idx="5">
                  <c:v>40687</c:v>
                </c:pt>
                <c:pt idx="6">
                  <c:v>40737</c:v>
                </c:pt>
                <c:pt idx="7">
                  <c:v>40762</c:v>
                </c:pt>
                <c:pt idx="8">
                  <c:v>40812</c:v>
                </c:pt>
                <c:pt idx="9">
                  <c:v>40837</c:v>
                </c:pt>
                <c:pt idx="10">
                  <c:v>40862</c:v>
                </c:pt>
                <c:pt idx="11">
                  <c:v>41014</c:v>
                </c:pt>
                <c:pt idx="12">
                  <c:v>40887</c:v>
                </c:pt>
                <c:pt idx="13">
                  <c:v>40912</c:v>
                </c:pt>
                <c:pt idx="14">
                  <c:v>41064</c:v>
                </c:pt>
                <c:pt idx="15">
                  <c:v>40925</c:v>
                </c:pt>
                <c:pt idx="16">
                  <c:v>39491</c:v>
                </c:pt>
                <c:pt idx="17">
                  <c:v>40559</c:v>
                </c:pt>
                <c:pt idx="18">
                  <c:v>40567</c:v>
                </c:pt>
                <c:pt idx="19">
                  <c:v>40106</c:v>
                </c:pt>
                <c:pt idx="20">
                  <c:v>40657</c:v>
                </c:pt>
                <c:pt idx="21">
                  <c:v>40681</c:v>
                </c:pt>
                <c:pt idx="22">
                  <c:v>40706</c:v>
                </c:pt>
                <c:pt idx="23">
                  <c:v>40558</c:v>
                </c:pt>
                <c:pt idx="24">
                  <c:v>40584</c:v>
                </c:pt>
                <c:pt idx="25">
                  <c:v>40567</c:v>
                </c:pt>
                <c:pt idx="26">
                  <c:v>40592</c:v>
                </c:pt>
              </c:numCache>
            </c:numRef>
          </c:val>
          <c:extLst>
            <c:ext xmlns:c16="http://schemas.microsoft.com/office/drawing/2014/chart" uri="{C3380CC4-5D6E-409C-BE32-E72D297353CC}">
              <c16:uniqueId val="{00000002-32AF-454E-9F09-007B81BA6B18}"/>
            </c:ext>
          </c:extLst>
        </c:ser>
        <c:ser>
          <c:idx val="2"/>
          <c:order val="2"/>
          <c:tx>
            <c:strRef>
              <c:f>'Que1'!$N$1</c:f>
              <c:strCache>
                <c:ptCount val="1"/>
                <c:pt idx="0">
                  <c:v>Count of Amount spent2</c:v>
                </c:pt>
              </c:strCache>
            </c:strRef>
          </c:tx>
          <c:spPr>
            <a:solidFill>
              <a:schemeClr val="accent3"/>
            </a:solidFill>
            <a:ln>
              <a:noFill/>
            </a:ln>
            <a:effectLst/>
          </c:spPr>
          <c:invertIfNegative val="0"/>
          <c:cat>
            <c:strRef>
              <c:f>'Que1'!$K$2:$K$29</c:f>
              <c:strCach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strCache>
            </c:strRef>
          </c:cat>
          <c:val>
            <c:numRef>
              <c:f>'Que1'!$N$2:$N$29</c:f>
              <c:numCache>
                <c:formatCode>General</c:formatCode>
                <c:ptCount val="27"/>
                <c:pt idx="0">
                  <c:v>4</c:v>
                </c:pt>
                <c:pt idx="1">
                  <c:v>3</c:v>
                </c:pt>
                <c:pt idx="2">
                  <c:v>3</c:v>
                </c:pt>
                <c:pt idx="3">
                  <c:v>4</c:v>
                </c:pt>
                <c:pt idx="4">
                  <c:v>5</c:v>
                </c:pt>
                <c:pt idx="5">
                  <c:v>9</c:v>
                </c:pt>
                <c:pt idx="6">
                  <c:v>7</c:v>
                </c:pt>
                <c:pt idx="7">
                  <c:v>11</c:v>
                </c:pt>
                <c:pt idx="8">
                  <c:v>11</c:v>
                </c:pt>
                <c:pt idx="9">
                  <c:v>5</c:v>
                </c:pt>
                <c:pt idx="10">
                  <c:v>3</c:v>
                </c:pt>
                <c:pt idx="11">
                  <c:v>2</c:v>
                </c:pt>
                <c:pt idx="12">
                  <c:v>3</c:v>
                </c:pt>
                <c:pt idx="13">
                  <c:v>6</c:v>
                </c:pt>
                <c:pt idx="14">
                  <c:v>3</c:v>
                </c:pt>
                <c:pt idx="15">
                  <c:v>7</c:v>
                </c:pt>
                <c:pt idx="16">
                  <c:v>6</c:v>
                </c:pt>
                <c:pt idx="17">
                  <c:v>9</c:v>
                </c:pt>
                <c:pt idx="18">
                  <c:v>7</c:v>
                </c:pt>
                <c:pt idx="19">
                  <c:v>6</c:v>
                </c:pt>
                <c:pt idx="20">
                  <c:v>4</c:v>
                </c:pt>
                <c:pt idx="21">
                  <c:v>9</c:v>
                </c:pt>
                <c:pt idx="22">
                  <c:v>2</c:v>
                </c:pt>
                <c:pt idx="23">
                  <c:v>7</c:v>
                </c:pt>
                <c:pt idx="24">
                  <c:v>9</c:v>
                </c:pt>
                <c:pt idx="25">
                  <c:v>6</c:v>
                </c:pt>
                <c:pt idx="26">
                  <c:v>6</c:v>
                </c:pt>
              </c:numCache>
            </c:numRef>
          </c:val>
          <c:extLst>
            <c:ext xmlns:c16="http://schemas.microsoft.com/office/drawing/2014/chart" uri="{C3380CC4-5D6E-409C-BE32-E72D297353CC}">
              <c16:uniqueId val="{00000003-32AF-454E-9F09-007B81BA6B18}"/>
            </c:ext>
          </c:extLst>
        </c:ser>
        <c:ser>
          <c:idx val="3"/>
          <c:order val="3"/>
          <c:tx>
            <c:strRef>
              <c:f>'Que1'!$O$1</c:f>
              <c:strCache>
                <c:ptCount val="1"/>
                <c:pt idx="0">
                  <c:v>Sum of Amount spent</c:v>
                </c:pt>
              </c:strCache>
            </c:strRef>
          </c:tx>
          <c:spPr>
            <a:solidFill>
              <a:schemeClr val="accent4"/>
            </a:solidFill>
            <a:ln>
              <a:noFill/>
            </a:ln>
            <a:effectLst/>
          </c:spPr>
          <c:invertIfNegative val="0"/>
          <c:cat>
            <c:strRef>
              <c:f>'Que1'!$K$2:$K$29</c:f>
              <c:strCach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strCache>
            </c:strRef>
          </c:cat>
          <c:val>
            <c:numRef>
              <c:f>'Que1'!$O$2:$O$29</c:f>
              <c:numCache>
                <c:formatCode>General</c:formatCode>
                <c:ptCount val="27"/>
                <c:pt idx="0">
                  <c:v>122.53333333333335</c:v>
                </c:pt>
                <c:pt idx="1">
                  <c:v>119.94</c:v>
                </c:pt>
                <c:pt idx="2">
                  <c:v>99.289999999999992</c:v>
                </c:pt>
                <c:pt idx="3">
                  <c:v>107.12500000000001</c:v>
                </c:pt>
                <c:pt idx="4">
                  <c:v>201.26999999999998</c:v>
                </c:pt>
                <c:pt idx="5">
                  <c:v>180.20499999999998</c:v>
                </c:pt>
                <c:pt idx="6">
                  <c:v>164.01583333333335</c:v>
                </c:pt>
                <c:pt idx="7">
                  <c:v>266.35000000000002</c:v>
                </c:pt>
                <c:pt idx="8">
                  <c:v>231.52</c:v>
                </c:pt>
                <c:pt idx="9">
                  <c:v>101.38499999999999</c:v>
                </c:pt>
                <c:pt idx="10">
                  <c:v>36.497</c:v>
                </c:pt>
                <c:pt idx="11">
                  <c:v>72.265000000000001</c:v>
                </c:pt>
                <c:pt idx="12">
                  <c:v>62.974999999999994</c:v>
                </c:pt>
                <c:pt idx="13">
                  <c:v>264.33</c:v>
                </c:pt>
                <c:pt idx="14">
                  <c:v>125.07</c:v>
                </c:pt>
                <c:pt idx="15">
                  <c:v>155.172</c:v>
                </c:pt>
                <c:pt idx="16">
                  <c:v>124.49000000000001</c:v>
                </c:pt>
                <c:pt idx="17">
                  <c:v>476.25</c:v>
                </c:pt>
                <c:pt idx="18">
                  <c:v>156.52500000000001</c:v>
                </c:pt>
                <c:pt idx="19">
                  <c:v>153.73699999999999</c:v>
                </c:pt>
                <c:pt idx="20">
                  <c:v>90.57</c:v>
                </c:pt>
                <c:pt idx="21">
                  <c:v>325.11500000000001</c:v>
                </c:pt>
                <c:pt idx="22">
                  <c:v>59.22</c:v>
                </c:pt>
                <c:pt idx="23">
                  <c:v>114.14499999999998</c:v>
                </c:pt>
                <c:pt idx="24">
                  <c:v>197.846</c:v>
                </c:pt>
                <c:pt idx="25">
                  <c:v>106.19</c:v>
                </c:pt>
                <c:pt idx="26">
                  <c:v>185.6</c:v>
                </c:pt>
              </c:numCache>
            </c:numRef>
          </c:val>
          <c:extLst>
            <c:ext xmlns:c16="http://schemas.microsoft.com/office/drawing/2014/chart" uri="{C3380CC4-5D6E-409C-BE32-E72D297353CC}">
              <c16:uniqueId val="{00000004-32AF-454E-9F09-007B81BA6B18}"/>
            </c:ext>
          </c:extLst>
        </c:ser>
        <c:dLbls>
          <c:showLegendKey val="0"/>
          <c:showVal val="0"/>
          <c:showCatName val="0"/>
          <c:showSerName val="0"/>
          <c:showPercent val="0"/>
          <c:showBubbleSize val="0"/>
        </c:dLbls>
        <c:gapWidth val="219"/>
        <c:overlap val="-27"/>
        <c:axId val="1547379824"/>
        <c:axId val="1547381472"/>
      </c:barChart>
      <c:catAx>
        <c:axId val="15473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381472"/>
        <c:crosses val="autoZero"/>
        <c:auto val="1"/>
        <c:lblAlgn val="ctr"/>
        <c:lblOffset val="100"/>
        <c:noMultiLvlLbl val="0"/>
      </c:catAx>
      <c:valAx>
        <c:axId val="154738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379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OphonesH to Relaxing the Input Requirements</c:v>
            </c:pt>
          </c:strCache>
        </c:strRef>
      </c:tx>
      <c:overlay val="0"/>
      <c:txPr>
        <a:bodyPr/>
        <a:lstStyle/>
        <a:p>
          <a:pPr>
            <a:defRPr sz="1200"/>
          </a:pPr>
          <a:endParaRPr lang="en-US"/>
        </a:p>
      </c:txPr>
    </c:title>
    <c:autoTitleDeleted val="0"/>
    <c:plotArea>
      <c:layout/>
      <c:lineChart>
        <c:grouping val="standard"/>
        <c:varyColors val="0"/>
        <c:ser>
          <c:idx val="0"/>
          <c:order val="0"/>
          <c:cat>
            <c:numRef>
              <c:f>STS_1!$A$5:$A$15</c:f>
              <c:numCache>
                <c:formatCode>0%</c:formatCode>
                <c:ptCount val="11"/>
                <c:pt idx="0">
                  <c:v>-0.25</c:v>
                </c:pt>
                <c:pt idx="1">
                  <c:v>-0.2</c:v>
                </c:pt>
                <c:pt idx="2">
                  <c:v>-0.15</c:v>
                </c:pt>
                <c:pt idx="3">
                  <c:v>-9.9999999999999978E-2</c:v>
                </c:pt>
                <c:pt idx="4">
                  <c:v>-4.9999999999999989E-2</c:v>
                </c:pt>
                <c:pt idx="5">
                  <c:v>0</c:v>
                </c:pt>
                <c:pt idx="6">
                  <c:v>5.0000000000000044E-2</c:v>
                </c:pt>
                <c:pt idx="7">
                  <c:v>0.10000000000000003</c:v>
                </c:pt>
                <c:pt idx="8">
                  <c:v>0.15000000000000002</c:v>
                </c:pt>
                <c:pt idx="9">
                  <c:v>0.2</c:v>
                </c:pt>
                <c:pt idx="10">
                  <c:v>0.25</c:v>
                </c:pt>
              </c:numCache>
            </c:numRef>
          </c:cat>
          <c:val>
            <c:numRef>
              <c:f>STS_1!$K$5:$K$15</c:f>
              <c:numCache>
                <c:formatCode>General</c:formatCode>
                <c:ptCount val="11"/>
                <c:pt idx="0">
                  <c:v>73.563218390804579</c:v>
                </c:pt>
                <c:pt idx="1">
                  <c:v>68.965517241379288</c:v>
                </c:pt>
                <c:pt idx="2">
                  <c:v>64.908722109533429</c:v>
                </c:pt>
                <c:pt idx="3">
                  <c:v>61.30268199233717</c:v>
                </c:pt>
                <c:pt idx="4">
                  <c:v>58.076225045372041</c:v>
                </c:pt>
                <c:pt idx="5">
                  <c:v>55.172413793103438</c:v>
                </c:pt>
                <c:pt idx="6">
                  <c:v>52.545155993431891</c:v>
                </c:pt>
                <c:pt idx="7">
                  <c:v>50.156739811912232</c:v>
                </c:pt>
                <c:pt idx="8">
                  <c:v>47.976011994003009</c:v>
                </c:pt>
                <c:pt idx="9">
                  <c:v>45.977011494252864</c:v>
                </c:pt>
                <c:pt idx="10">
                  <c:v>44.137931034482762</c:v>
                </c:pt>
              </c:numCache>
            </c:numRef>
          </c:val>
          <c:smooth val="0"/>
          <c:extLst>
            <c:ext xmlns:c16="http://schemas.microsoft.com/office/drawing/2014/chart" uri="{C3380CC4-5D6E-409C-BE32-E72D297353CC}">
              <c16:uniqueId val="{00000001-3ABB-3C47-A3DD-EE1BA3B78628}"/>
            </c:ext>
          </c:extLst>
        </c:ser>
        <c:dLbls>
          <c:showLegendKey val="0"/>
          <c:showVal val="0"/>
          <c:showCatName val="0"/>
          <c:showSerName val="0"/>
          <c:showPercent val="0"/>
          <c:showBubbleSize val="0"/>
        </c:dLbls>
        <c:marker val="1"/>
        <c:smooth val="0"/>
        <c:axId val="1656082224"/>
        <c:axId val="1557787584"/>
      </c:lineChart>
      <c:catAx>
        <c:axId val="1656082224"/>
        <c:scaling>
          <c:orientation val="minMax"/>
        </c:scaling>
        <c:delete val="0"/>
        <c:axPos val="b"/>
        <c:title>
          <c:tx>
            <c:rich>
              <a:bodyPr/>
              <a:lstStyle/>
              <a:p>
                <a:pPr>
                  <a:defRPr/>
                </a:pPr>
                <a:r>
                  <a:rPr lang="en-US"/>
                  <a:t>Relaxing the Input Requirements ($E$3)</a:t>
                </a:r>
              </a:p>
            </c:rich>
          </c:tx>
          <c:overlay val="0"/>
        </c:title>
        <c:numFmt formatCode="0%" sourceLinked="1"/>
        <c:majorTickMark val="out"/>
        <c:minorTickMark val="none"/>
        <c:tickLblPos val="nextTo"/>
        <c:crossAx val="1557787584"/>
        <c:crosses val="autoZero"/>
        <c:auto val="1"/>
        <c:lblAlgn val="ctr"/>
        <c:lblOffset val="100"/>
        <c:noMultiLvlLbl val="0"/>
      </c:catAx>
      <c:valAx>
        <c:axId val="1557787584"/>
        <c:scaling>
          <c:orientation val="minMax"/>
        </c:scaling>
        <c:delete val="0"/>
        <c:axPos val="l"/>
        <c:majorGridlines/>
        <c:numFmt formatCode="General" sourceLinked="1"/>
        <c:majorTickMark val="out"/>
        <c:minorTickMark val="none"/>
        <c:tickLblPos val="nextTo"/>
        <c:crossAx val="165608222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solidFill>
      <a:prstDash val="solid"/>
      <a:round/>
      <a:headEnd type="none" w="med" len="med"/>
      <a:tailEnd type="none" w="med" len="me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STS_2!$K$1</c:f>
          <c:strCache>
            <c:ptCount val="1"/>
            <c:pt idx="0">
              <c:v>Sensitivity of OphonesH to Relaxing the Constraints</c:v>
            </c:pt>
          </c:strCache>
        </c:strRef>
      </c:tx>
      <c:overlay val="0"/>
      <c:txPr>
        <a:bodyPr/>
        <a:lstStyle/>
        <a:p>
          <a:pPr>
            <a:defRPr sz="1200"/>
          </a:pPr>
          <a:endParaRPr lang="en-US"/>
        </a:p>
      </c:txPr>
    </c:title>
    <c:autoTitleDeleted val="0"/>
    <c:plotArea>
      <c:layout/>
      <c:lineChart>
        <c:grouping val="standard"/>
        <c:varyColors val="0"/>
        <c:ser>
          <c:idx val="0"/>
          <c:order val="0"/>
          <c:cat>
            <c:numRef>
              <c:f>STS_2!$A$5:$A$9</c:f>
              <c:numCache>
                <c:formatCode>0%</c:formatCode>
                <c:ptCount val="5"/>
                <c:pt idx="0">
                  <c:v>0.02</c:v>
                </c:pt>
                <c:pt idx="1">
                  <c:v>0.06</c:v>
                </c:pt>
                <c:pt idx="2">
                  <c:v>0.1</c:v>
                </c:pt>
                <c:pt idx="3">
                  <c:v>0.13999999999999999</c:v>
                </c:pt>
                <c:pt idx="4">
                  <c:v>0.18</c:v>
                </c:pt>
              </c:numCache>
            </c:numRef>
          </c:cat>
          <c:val>
            <c:numRef>
              <c:f>STS_2!$K$5:$K$9</c:f>
              <c:numCache>
                <c:formatCode>General</c:formatCode>
                <c:ptCount val="5"/>
                <c:pt idx="0">
                  <c:v>56.27586206896548</c:v>
                </c:pt>
                <c:pt idx="1">
                  <c:v>58.482758620689673</c:v>
                </c:pt>
                <c:pt idx="2">
                  <c:v>60.689655172413808</c:v>
                </c:pt>
                <c:pt idx="3">
                  <c:v>62.896551724137893</c:v>
                </c:pt>
                <c:pt idx="4">
                  <c:v>65.103448275862064</c:v>
                </c:pt>
              </c:numCache>
            </c:numRef>
          </c:val>
          <c:smooth val="0"/>
          <c:extLst>
            <c:ext xmlns:c16="http://schemas.microsoft.com/office/drawing/2014/chart" uri="{C3380CC4-5D6E-409C-BE32-E72D297353CC}">
              <c16:uniqueId val="{00000001-D2BC-0E46-B3D0-5013C6887730}"/>
            </c:ext>
          </c:extLst>
        </c:ser>
        <c:dLbls>
          <c:showLegendKey val="0"/>
          <c:showVal val="0"/>
          <c:showCatName val="0"/>
          <c:showSerName val="0"/>
          <c:showPercent val="0"/>
          <c:showBubbleSize val="0"/>
        </c:dLbls>
        <c:marker val="1"/>
        <c:smooth val="0"/>
        <c:axId val="1723661456"/>
        <c:axId val="1721108864"/>
      </c:lineChart>
      <c:catAx>
        <c:axId val="1723661456"/>
        <c:scaling>
          <c:orientation val="minMax"/>
        </c:scaling>
        <c:delete val="0"/>
        <c:axPos val="b"/>
        <c:title>
          <c:tx>
            <c:rich>
              <a:bodyPr/>
              <a:lstStyle/>
              <a:p>
                <a:pPr>
                  <a:defRPr/>
                </a:pPr>
                <a:r>
                  <a:rPr lang="en-US"/>
                  <a:t>Relaxing the Constraints ($E$13)</a:t>
                </a:r>
              </a:p>
            </c:rich>
          </c:tx>
          <c:overlay val="0"/>
        </c:title>
        <c:numFmt formatCode="0%" sourceLinked="1"/>
        <c:majorTickMark val="out"/>
        <c:minorTickMark val="none"/>
        <c:tickLblPos val="nextTo"/>
        <c:crossAx val="1721108864"/>
        <c:crosses val="autoZero"/>
        <c:auto val="1"/>
        <c:lblAlgn val="ctr"/>
        <c:lblOffset val="100"/>
        <c:noMultiLvlLbl val="0"/>
      </c:catAx>
      <c:valAx>
        <c:axId val="1721108864"/>
        <c:scaling>
          <c:orientation val="minMax"/>
        </c:scaling>
        <c:delete val="0"/>
        <c:axPos val="l"/>
        <c:majorGridlines/>
        <c:numFmt formatCode="General" sourceLinked="1"/>
        <c:majorTickMark val="out"/>
        <c:minorTickMark val="none"/>
        <c:tickLblPos val="nextTo"/>
        <c:crossAx val="17236614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solidFill>
      <a:prstDash val="solid"/>
      <a:round/>
      <a:headEnd type="none" w="med" len="med"/>
      <a:tailEnd type="none" w="med" len="me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15</xdr:col>
      <xdr:colOff>622300</xdr:colOff>
      <xdr:row>0</xdr:row>
      <xdr:rowOff>31750</xdr:rowOff>
    </xdr:from>
    <xdr:to>
      <xdr:col>22</xdr:col>
      <xdr:colOff>482600</xdr:colOff>
      <xdr:row>14</xdr:row>
      <xdr:rowOff>107950</xdr:rowOff>
    </xdr:to>
    <xdr:graphicFrame macro="">
      <xdr:nvGraphicFramePr>
        <xdr:cNvPr id="2" name="Chart 1">
          <a:extLst>
            <a:ext uri="{FF2B5EF4-FFF2-40B4-BE49-F238E27FC236}">
              <a16:creationId xmlns:a16="http://schemas.microsoft.com/office/drawing/2014/main" id="{142B494A-43B8-E24C-9279-60EDCF925D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381000</xdr:colOff>
      <xdr:row>16</xdr:row>
      <xdr:rowOff>0</xdr:rowOff>
    </xdr:from>
    <xdr:to>
      <xdr:col>13</xdr:col>
      <xdr:colOff>304800</xdr:colOff>
      <xdr:row>31</xdr:row>
      <xdr:rowOff>0</xdr:rowOff>
    </xdr:to>
    <xdr:graphicFrame macro="">
      <xdr:nvGraphicFramePr>
        <xdr:cNvPr id="2" name="STS_1_Chart">
          <a:extLst>
            <a:ext uri="{FF2B5EF4-FFF2-40B4-BE49-F238E27FC236}">
              <a16:creationId xmlns:a16="http://schemas.microsoft.com/office/drawing/2014/main" id="{F4F76567-1FF9-0440-8E3D-84844BED4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457200</xdr:colOff>
      <xdr:row>3</xdr:row>
      <xdr:rowOff>0</xdr:rowOff>
    </xdr:from>
    <xdr:to>
      <xdr:col>14</xdr:col>
      <xdr:colOff>419100</xdr:colOff>
      <xdr:row>4</xdr:row>
      <xdr:rowOff>38100</xdr:rowOff>
    </xdr:to>
    <xdr:sp macro="" textlink="">
      <xdr:nvSpPr>
        <xdr:cNvPr id="3" name="TextBox 2">
          <a:extLst>
            <a:ext uri="{FF2B5EF4-FFF2-40B4-BE49-F238E27FC236}">
              <a16:creationId xmlns:a16="http://schemas.microsoft.com/office/drawing/2014/main" id="{26A6DAC8-FFA5-6340-94F2-152A4B04F536}"/>
            </a:ext>
          </a:extLst>
        </xdr:cNvPr>
        <xdr:cNvSpPr txBox="1"/>
      </xdr:nvSpPr>
      <xdr:spPr>
        <a:xfrm>
          <a:off x="9474200" y="571500"/>
          <a:ext cx="2438400" cy="762000"/>
        </a:xfrm>
        <a:prstGeom prst="rect">
          <a:avLst/>
        </a:prstGeom>
        <a:solidFill>
          <a:schemeClr val="lt1"/>
        </a:solidFill>
        <a:ln w="1587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7</xdr:col>
      <xdr:colOff>317500</xdr:colOff>
      <xdr:row>10</xdr:row>
      <xdr:rowOff>0</xdr:rowOff>
    </xdr:from>
    <xdr:to>
      <xdr:col>13</xdr:col>
      <xdr:colOff>241300</xdr:colOff>
      <xdr:row>25</xdr:row>
      <xdr:rowOff>0</xdr:rowOff>
    </xdr:to>
    <xdr:graphicFrame macro="">
      <xdr:nvGraphicFramePr>
        <xdr:cNvPr id="2" name="STS_2_Chart">
          <a:extLst>
            <a:ext uri="{FF2B5EF4-FFF2-40B4-BE49-F238E27FC236}">
              <a16:creationId xmlns:a16="http://schemas.microsoft.com/office/drawing/2014/main" id="{DCDE8A11-A73F-8C40-ADBA-5D4313909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393700</xdr:colOff>
      <xdr:row>3</xdr:row>
      <xdr:rowOff>0</xdr:rowOff>
    </xdr:from>
    <xdr:to>
      <xdr:col>14</xdr:col>
      <xdr:colOff>355600</xdr:colOff>
      <xdr:row>4</xdr:row>
      <xdr:rowOff>38100</xdr:rowOff>
    </xdr:to>
    <xdr:sp macro="" textlink="">
      <xdr:nvSpPr>
        <xdr:cNvPr id="3" name="TextBox 2">
          <a:extLst>
            <a:ext uri="{FF2B5EF4-FFF2-40B4-BE49-F238E27FC236}">
              <a16:creationId xmlns:a16="http://schemas.microsoft.com/office/drawing/2014/main" id="{636F1249-825F-E94F-BEEE-070578B14D0B}"/>
            </a:ext>
          </a:extLst>
        </xdr:cNvPr>
        <xdr:cNvSpPr txBox="1"/>
      </xdr:nvSpPr>
      <xdr:spPr>
        <a:xfrm>
          <a:off x="9474200" y="571500"/>
          <a:ext cx="2438400" cy="762000"/>
        </a:xfrm>
        <a:prstGeom prst="rect">
          <a:avLst/>
        </a:prstGeom>
        <a:solidFill>
          <a:schemeClr val="lt1"/>
        </a:solidFill>
        <a:ln w="1587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lid Said Rashid Al-Rasbi" refreshedDate="44497.522620370371" createdVersion="7" refreshedVersion="7" minRefreshableVersion="3" recordCount="157" xr:uid="{E2CB9679-34A9-1C45-897C-4F1157DBA14B}">
  <cacheSource type="worksheet">
    <worksheetSource ref="A1:C158" sheet="Que1"/>
  </cacheSource>
  <cacheFields count="3">
    <cacheField name="Customber ID" numFmtId="0">
      <sharedItems containsSemiMixedTypes="0" containsString="0" containsNumber="1" containsInteger="1" minValue="1" maxValue="27" count="27">
        <n v="6"/>
        <n v="11"/>
        <n v="24"/>
        <n v="25"/>
        <n v="9"/>
        <n v="8"/>
        <n v="21"/>
        <n v="10"/>
        <n v="19"/>
        <n v="16"/>
        <n v="13"/>
        <n v="26"/>
        <n v="17"/>
        <n v="7"/>
        <n v="20"/>
        <n v="22"/>
        <n v="1"/>
        <n v="4"/>
        <n v="27"/>
        <n v="2"/>
        <n v="23"/>
        <n v="3"/>
        <n v="12"/>
        <n v="5"/>
        <n v="14"/>
        <n v="18"/>
        <n v="15"/>
      </sharedItems>
    </cacheField>
    <cacheField name="Date" numFmtId="14">
      <sharedItems containsSemiMixedTypes="0" containsNonDate="0" containsDate="1" containsString="0" minDate="2008-02-13T00:00:00" maxDate="2012-12-30T00:00:00" count="130">
        <d v="2012-04-13T00:00:00"/>
        <d v="2012-09-10T00:00:00"/>
        <d v="2012-08-16T00:00:00"/>
        <d v="2011-08-01T00:00:00"/>
        <d v="2011-11-15T00:00:00"/>
        <d v="2012-01-14T00:00:00"/>
        <d v="2012-03-31T00:00:00"/>
        <d v="2012-07-22T00:00:00"/>
        <d v="2011-03-16T00:00:00"/>
        <d v="2011-12-12T00:00:00"/>
        <d v="2011-04-26T00:00:00"/>
        <d v="2011-10-21T00:00:00"/>
        <d v="2011-04-11T00:00:00"/>
        <d v="2011-08-17T00:00:00"/>
        <d v="2011-08-31T00:00:00"/>
        <d v="2011-09-11T00:00:00"/>
        <d v="2012-04-23T00:00:00"/>
        <d v="2011-01-15T00:00:00"/>
        <d v="2012-03-04T00:00:00"/>
        <d v="2011-01-24T00:00:00"/>
        <d v="2012-06-14T00:00:00"/>
        <d v="2012-12-04T00:00:00"/>
        <d v="2012-05-20T00:00:00"/>
        <d v="2011-10-20T00:00:00"/>
        <d v="2011-11-14T00:00:00"/>
        <d v="2012-12-19T00:00:00"/>
        <d v="2011-10-06T00:00:00"/>
        <d v="2012-03-19T00:00:00"/>
        <d v="2012-02-23T00:00:00"/>
        <d v="2011-08-27T00:00:00"/>
        <d v="2012-12-29T00:00:00"/>
        <d v="2011-05-06T00:00:00"/>
        <d v="2011-11-25T00:00:00"/>
        <d v="2012-08-20T00:00:00"/>
        <d v="2012-01-29T00:00:00"/>
        <d v="2011-04-01T00:00:00"/>
        <d v="2011-02-10T00:00:00"/>
        <d v="2011-12-20T00:00:00"/>
        <d v="2011-05-31T00:00:00"/>
        <d v="2009-10-20T00:00:00"/>
        <d v="2012-07-26T00:00:00"/>
        <d v="2011-08-05T00:00:00"/>
        <d v="2011-04-24T00:00:00"/>
        <d v="2011-05-24T00:00:00"/>
        <d v="2011-06-18T00:00:00"/>
        <d v="2012-09-22T00:00:00"/>
        <d v="2012-07-01T00:00:00"/>
        <d v="2012-11-24T00:00:00"/>
        <d v="2011-12-22T00:00:00"/>
        <d v="2012-03-06T00:00:00"/>
        <d v="2011-09-01T00:00:00"/>
        <d v="2012-11-26T00:00:00"/>
        <d v="2012-01-16T00:00:00"/>
        <d v="2011-10-31T00:00:00"/>
        <d v="2011-08-02T00:00:00"/>
        <d v="2012-03-21T00:00:00"/>
        <d v="2012-10-30T00:00:00"/>
        <d v="2012-01-06T00:00:00"/>
        <d v="2012-02-25T00:00:00"/>
        <d v="2012-02-02T00:00:00"/>
        <d v="2012-01-31T00:00:00"/>
        <d v="2012-01-25T00:00:00"/>
        <d v="2012-10-05T00:00:00"/>
        <d v="2012-10-15T00:00:00"/>
        <d v="2011-11-02T00:00:00"/>
        <d v="2011-09-26T00:00:00"/>
        <d v="2012-06-06T00:00:00"/>
        <d v="2011-03-07T00:00:00"/>
        <d v="2012-06-02T00:00:00"/>
        <d v="2012-05-18T00:00:00"/>
        <d v="2012-07-24T00:00:00"/>
        <d v="2011-07-07T00:00:00"/>
        <d v="2011-02-18T00:00:00"/>
        <d v="2011-05-18T00:00:00"/>
        <d v="2011-10-08T00:00:00"/>
        <d v="2011-10-23T00:00:00"/>
        <d v="2011-09-21T00:00:00"/>
        <d v="2011-11-17T00:00:00"/>
        <d v="2012-08-28T00:00:00"/>
        <d v="2011-09-03T00:00:00"/>
        <d v="2012-06-16T00:00:00"/>
        <d v="2011-06-25T00:00:00"/>
        <d v="2012-06-29T00:00:00"/>
        <d v="2012-02-08T00:00:00"/>
        <d v="2011-06-12T00:00:00"/>
        <d v="2012-06-27T00:00:00"/>
        <d v="2012-10-09T00:00:00"/>
        <d v="2011-12-10T00:00:00"/>
        <d v="2011-06-28T00:00:00"/>
        <d v="2008-02-13T00:00:00"/>
        <d v="2011-07-23T00:00:00"/>
        <d v="2012-05-08T00:00:00"/>
        <d v="2011-06-03T00:00:00"/>
        <d v="2012-02-10T00:00:00"/>
        <d v="2011-09-25T00:00:00"/>
        <d v="2012-04-15T00:00:00"/>
        <d v="2011-09-28T00:00:00"/>
        <d v="2012-07-09T00:00:00"/>
        <d v="2012-01-17T00:00:00"/>
        <d v="2012-04-25T00:00:00"/>
        <d v="2012-03-23T00:00:00"/>
        <d v="2012-11-09T00:00:00"/>
        <d v="2011-08-09T00:00:00"/>
        <d v="2012-01-04T00:00:00"/>
        <d v="2012-09-14T00:00:00"/>
        <d v="2012-05-10T00:00:00"/>
        <d v="2011-04-04T00:00:00"/>
        <d v="2011-01-16T00:00:00"/>
        <d v="2012-08-03T00:00:00"/>
        <d v="2011-11-27T00:00:00"/>
        <d v="2011-08-06T00:00:00"/>
        <d v="2012-02-19T00:00:00"/>
        <d v="2011-07-08T00:00:00"/>
        <d v="2011-03-10T00:00:00"/>
        <d v="2012-12-23T00:00:00"/>
        <d v="2012-11-03T00:00:00"/>
        <d v="2012-06-04T00:00:00"/>
        <d v="2011-04-29T00:00:00"/>
        <d v="2012-05-12T00:00:00"/>
        <d v="2012-04-17T00:00:00"/>
        <d v="2012-11-28T00:00:00"/>
        <d v="2011-07-12T00:00:00"/>
        <d v="2012-03-29T00:00:00"/>
        <d v="2012-02-27T00:00:00"/>
        <d v="2011-06-13T00:00:00"/>
        <d v="2011-08-07T00:00:00"/>
        <d v="2012-12-21T00:00:00"/>
        <d v="2011-07-11T00:00:00"/>
        <d v="2011-03-17T00:00:00"/>
        <d v="2011-07-13T00:00:00"/>
      </sharedItems>
    </cacheField>
    <cacheField name="Amount spent" numFmtId="0">
      <sharedItems containsSemiMixedTypes="0" containsString="0" containsNumber="1" minValue="9.2349999999999994" maxValue="85.5" count="154">
        <n v="9.2349999999999994"/>
        <n v="9.6989999999999998"/>
        <n v="10.685"/>
        <n v="11.528"/>
        <n v="11.798999999999999"/>
        <n v="12.05"/>
        <n v="12.07"/>
        <n v="12.315"/>
        <n v="12.535"/>
        <n v="12.64"/>
        <n v="12.885"/>
        <n v="13.108000000000001"/>
        <n v="13.26"/>
        <n v="13.499000000000001"/>
        <n v="13.96"/>
        <n v="13.987"/>
        <n v="14.29"/>
        <n v="14.46"/>
        <n v="14.9"/>
        <n v="14.999000000000001"/>
        <n v="15.01"/>
        <n v="15.35"/>
        <n v="15.9"/>
        <n v="16.079999999999998"/>
        <n v="16.239999999999998"/>
        <n v="16.48"/>
        <n v="16.535"/>
        <n v="16.54"/>
        <n v="16.7"/>
        <n v="16.875"/>
        <n v="16.888000000000002"/>
        <n v="16.98"/>
        <n v="17.035"/>
        <n v="17.356999999999999"/>
        <n v="17.5"/>
        <n v="17.518000000000001"/>
        <n v="17.885000000000002"/>
        <n v="17.89"/>
        <n v="18.145"/>
        <n v="18.27"/>
        <n v="18.574999999999999"/>
        <n v="18.835000000000001"/>
        <n v="18.850000000000001"/>
        <n v="18.89"/>
        <n v="19.035"/>
        <n v="19.045000000000002"/>
        <n v="19.047000000000001"/>
        <n v="19.39"/>
        <n v="19.46"/>
        <n v="19.565000000000001"/>
        <n v="19.72"/>
        <n v="19.84"/>
        <n v="19.989999999999998"/>
        <n v="20.094999999999999"/>
        <n v="20.23"/>
        <n v="20.39"/>
        <n v="20.55"/>
        <n v="21.2"/>
        <n v="21.315000000000001"/>
        <n v="21.41"/>
        <n v="21.5"/>
        <n v="21.56"/>
        <n v="21.61"/>
        <n v="21.62"/>
        <n v="21.664999999999999"/>
        <n v="21.975000000000001"/>
        <n v="22.195"/>
        <n v="22.245000000000001"/>
        <n v="22.288"/>
        <n v="22.367999999999999"/>
        <n v="22.504999999999999"/>
        <n v="22.51"/>
        <n v="22.527000000000001"/>
        <n v="22.605"/>
        <n v="22.695"/>
        <n v="22.798999999999999"/>
        <n v="23.4"/>
        <n v="23.754999999999999"/>
        <n v="23.99"/>
        <n v="24.15"/>
        <n v="24.34"/>
        <n v="24.4"/>
        <n v="24.495000000000001"/>
        <n v="24.997"/>
        <n v="25.3"/>
        <n v="25.31"/>
        <n v="25.344999999999999"/>
        <n v="25.45"/>
        <n v="25.545000000000002"/>
        <n v="25.635000000000002"/>
        <n v="26"/>
        <n v="26.1"/>
        <n v="26.248999999999999"/>
        <n v="26.31"/>
        <n v="26.399000000000001"/>
        <n v="26.6"/>
        <n v="26.895"/>
        <n v="26.934999999999999"/>
        <n v="26.99"/>
        <n v="27.5"/>
        <n v="27.56"/>
        <n v="27.885000000000002"/>
        <n v="28.34"/>
        <n v="28.4"/>
        <n v="28.8"/>
        <n v="29.184999999999999"/>
        <n v="29.298999999999999"/>
        <n v="29.465"/>
        <n v="31.01"/>
        <n v="31.504999999999999"/>
        <n v="31.597999999999999"/>
        <n v="31.75"/>
        <n v="31.806999999999999"/>
        <n v="31.93"/>
        <n v="31.965"/>
        <n v="33.119999999999997"/>
        <n v="33.4"/>
        <n v="33.950000000000003"/>
        <n v="34.604999999999997"/>
        <n v="35.299999999999997"/>
        <n v="36"/>
        <n v="36.134999999999998"/>
        <n v="36.228999999999999"/>
        <n v="37.805"/>
        <n v="38.9"/>
        <n v="39.08"/>
        <n v="39.664999999999999"/>
        <n v="39.895000000000003"/>
        <n v="41"/>
        <n v="41.43"/>
        <n v="41.6"/>
        <n v="42"/>
        <n v="42.66"/>
        <n v="42.8"/>
        <n v="43"/>
        <n v="43.33"/>
        <n v="44.475000000000001"/>
        <n v="45.5"/>
        <n v="45.704999999999998"/>
        <n v="46.225000000000001"/>
        <n v="46.305"/>
        <n v="49.9"/>
        <n v="51.728000000000002"/>
        <n v="54.005000000000003"/>
        <n v="60.104999999999997"/>
        <n v="62"/>
        <n v="69.7"/>
        <n v="69.724999999999994"/>
        <n v="71.02"/>
        <n v="74.97"/>
        <n v="82.6"/>
        <n v="85.5"/>
        <n v="30.633333333333336"/>
        <n v="23.43083333333333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
  <r>
    <x v="0"/>
    <x v="0"/>
    <x v="0"/>
  </r>
  <r>
    <x v="1"/>
    <x v="1"/>
    <x v="1"/>
  </r>
  <r>
    <x v="2"/>
    <x v="2"/>
    <x v="2"/>
  </r>
  <r>
    <x v="3"/>
    <x v="3"/>
    <x v="3"/>
  </r>
  <r>
    <x v="1"/>
    <x v="4"/>
    <x v="4"/>
  </r>
  <r>
    <x v="4"/>
    <x v="5"/>
    <x v="5"/>
  </r>
  <r>
    <x v="4"/>
    <x v="6"/>
    <x v="6"/>
  </r>
  <r>
    <x v="4"/>
    <x v="7"/>
    <x v="7"/>
  </r>
  <r>
    <x v="2"/>
    <x v="8"/>
    <x v="8"/>
  </r>
  <r>
    <x v="5"/>
    <x v="9"/>
    <x v="9"/>
  </r>
  <r>
    <x v="6"/>
    <x v="10"/>
    <x v="9"/>
  </r>
  <r>
    <x v="7"/>
    <x v="11"/>
    <x v="10"/>
  </r>
  <r>
    <x v="3"/>
    <x v="12"/>
    <x v="11"/>
  </r>
  <r>
    <x v="0"/>
    <x v="13"/>
    <x v="12"/>
  </r>
  <r>
    <x v="8"/>
    <x v="14"/>
    <x v="13"/>
  </r>
  <r>
    <x v="0"/>
    <x v="15"/>
    <x v="14"/>
  </r>
  <r>
    <x v="9"/>
    <x v="16"/>
    <x v="15"/>
  </r>
  <r>
    <x v="2"/>
    <x v="17"/>
    <x v="16"/>
  </r>
  <r>
    <x v="10"/>
    <x v="18"/>
    <x v="17"/>
  </r>
  <r>
    <x v="11"/>
    <x v="19"/>
    <x v="18"/>
  </r>
  <r>
    <x v="1"/>
    <x v="20"/>
    <x v="19"/>
  </r>
  <r>
    <x v="2"/>
    <x v="21"/>
    <x v="20"/>
  </r>
  <r>
    <x v="7"/>
    <x v="22"/>
    <x v="21"/>
  </r>
  <r>
    <x v="11"/>
    <x v="23"/>
    <x v="22"/>
  </r>
  <r>
    <x v="6"/>
    <x v="24"/>
    <x v="23"/>
  </r>
  <r>
    <x v="12"/>
    <x v="25"/>
    <x v="24"/>
  </r>
  <r>
    <x v="13"/>
    <x v="26"/>
    <x v="25"/>
  </r>
  <r>
    <x v="0"/>
    <x v="27"/>
    <x v="26"/>
  </r>
  <r>
    <x v="12"/>
    <x v="28"/>
    <x v="27"/>
  </r>
  <r>
    <x v="11"/>
    <x v="29"/>
    <x v="28"/>
  </r>
  <r>
    <x v="3"/>
    <x v="30"/>
    <x v="29"/>
  </r>
  <r>
    <x v="3"/>
    <x v="31"/>
    <x v="30"/>
  </r>
  <r>
    <x v="5"/>
    <x v="32"/>
    <x v="31"/>
  </r>
  <r>
    <x v="4"/>
    <x v="33"/>
    <x v="32"/>
  </r>
  <r>
    <x v="9"/>
    <x v="34"/>
    <x v="33"/>
  </r>
  <r>
    <x v="11"/>
    <x v="35"/>
    <x v="34"/>
  </r>
  <r>
    <x v="3"/>
    <x v="36"/>
    <x v="35"/>
  </r>
  <r>
    <x v="4"/>
    <x v="37"/>
    <x v="36"/>
  </r>
  <r>
    <x v="8"/>
    <x v="29"/>
    <x v="37"/>
  </r>
  <r>
    <x v="14"/>
    <x v="38"/>
    <x v="38"/>
  </r>
  <r>
    <x v="14"/>
    <x v="39"/>
    <x v="39"/>
  </r>
  <r>
    <x v="5"/>
    <x v="40"/>
    <x v="40"/>
  </r>
  <r>
    <x v="2"/>
    <x v="41"/>
    <x v="41"/>
  </r>
  <r>
    <x v="6"/>
    <x v="42"/>
    <x v="42"/>
  </r>
  <r>
    <x v="0"/>
    <x v="43"/>
    <x v="43"/>
  </r>
  <r>
    <x v="0"/>
    <x v="44"/>
    <x v="43"/>
  </r>
  <r>
    <x v="12"/>
    <x v="45"/>
    <x v="44"/>
  </r>
  <r>
    <x v="5"/>
    <x v="46"/>
    <x v="45"/>
  </r>
  <r>
    <x v="9"/>
    <x v="47"/>
    <x v="46"/>
  </r>
  <r>
    <x v="0"/>
    <x v="48"/>
    <x v="47"/>
  </r>
  <r>
    <x v="5"/>
    <x v="49"/>
    <x v="48"/>
  </r>
  <r>
    <x v="5"/>
    <x v="50"/>
    <x v="49"/>
  </r>
  <r>
    <x v="15"/>
    <x v="51"/>
    <x v="50"/>
  </r>
  <r>
    <x v="13"/>
    <x v="52"/>
    <x v="51"/>
  </r>
  <r>
    <x v="11"/>
    <x v="38"/>
    <x v="52"/>
  </r>
  <r>
    <x v="2"/>
    <x v="1"/>
    <x v="53"/>
  </r>
  <r>
    <x v="5"/>
    <x v="53"/>
    <x v="54"/>
  </r>
  <r>
    <x v="8"/>
    <x v="54"/>
    <x v="55"/>
  </r>
  <r>
    <x v="7"/>
    <x v="55"/>
    <x v="56"/>
  </r>
  <r>
    <x v="11"/>
    <x v="56"/>
    <x v="57"/>
  </r>
  <r>
    <x v="5"/>
    <x v="57"/>
    <x v="58"/>
  </r>
  <r>
    <x v="4"/>
    <x v="58"/>
    <x v="59"/>
  </r>
  <r>
    <x v="16"/>
    <x v="59"/>
    <x v="60"/>
  </r>
  <r>
    <x v="4"/>
    <x v="60"/>
    <x v="61"/>
  </r>
  <r>
    <x v="15"/>
    <x v="61"/>
    <x v="62"/>
  </r>
  <r>
    <x v="10"/>
    <x v="62"/>
    <x v="63"/>
  </r>
  <r>
    <x v="15"/>
    <x v="63"/>
    <x v="64"/>
  </r>
  <r>
    <x v="17"/>
    <x v="64"/>
    <x v="65"/>
  </r>
  <r>
    <x v="4"/>
    <x v="65"/>
    <x v="66"/>
  </r>
  <r>
    <x v="13"/>
    <x v="66"/>
    <x v="67"/>
  </r>
  <r>
    <x v="3"/>
    <x v="67"/>
    <x v="68"/>
  </r>
  <r>
    <x v="3"/>
    <x v="62"/>
    <x v="69"/>
  </r>
  <r>
    <x v="5"/>
    <x v="68"/>
    <x v="70"/>
  </r>
  <r>
    <x v="12"/>
    <x v="39"/>
    <x v="71"/>
  </r>
  <r>
    <x v="9"/>
    <x v="69"/>
    <x v="72"/>
  </r>
  <r>
    <x v="12"/>
    <x v="70"/>
    <x v="73"/>
  </r>
  <r>
    <x v="2"/>
    <x v="71"/>
    <x v="74"/>
  </r>
  <r>
    <x v="8"/>
    <x v="19"/>
    <x v="75"/>
  </r>
  <r>
    <x v="18"/>
    <x v="72"/>
    <x v="76"/>
  </r>
  <r>
    <x v="15"/>
    <x v="73"/>
    <x v="77"/>
  </r>
  <r>
    <x v="19"/>
    <x v="74"/>
    <x v="78"/>
  </r>
  <r>
    <x v="14"/>
    <x v="35"/>
    <x v="79"/>
  </r>
  <r>
    <x v="0"/>
    <x v="75"/>
    <x v="80"/>
  </r>
  <r>
    <x v="18"/>
    <x v="76"/>
    <x v="81"/>
  </r>
  <r>
    <x v="13"/>
    <x v="77"/>
    <x v="82"/>
  </r>
  <r>
    <x v="9"/>
    <x v="78"/>
    <x v="83"/>
  </r>
  <r>
    <x v="17"/>
    <x v="79"/>
    <x v="84"/>
  </r>
  <r>
    <x v="15"/>
    <x v="80"/>
    <x v="85"/>
  </r>
  <r>
    <x v="14"/>
    <x v="81"/>
    <x v="86"/>
  </r>
  <r>
    <x v="9"/>
    <x v="82"/>
    <x v="87"/>
  </r>
  <r>
    <x v="3"/>
    <x v="14"/>
    <x v="88"/>
  </r>
  <r>
    <x v="15"/>
    <x v="7"/>
    <x v="89"/>
  </r>
  <r>
    <x v="7"/>
    <x v="83"/>
    <x v="90"/>
  </r>
  <r>
    <x v="20"/>
    <x v="84"/>
    <x v="91"/>
  </r>
  <r>
    <x v="8"/>
    <x v="31"/>
    <x v="92"/>
  </r>
  <r>
    <x v="5"/>
    <x v="85"/>
    <x v="93"/>
  </r>
  <r>
    <x v="8"/>
    <x v="67"/>
    <x v="94"/>
  </r>
  <r>
    <x v="7"/>
    <x v="86"/>
    <x v="95"/>
  </r>
  <r>
    <x v="10"/>
    <x v="87"/>
    <x v="96"/>
  </r>
  <r>
    <x v="4"/>
    <x v="2"/>
    <x v="97"/>
  </r>
  <r>
    <x v="21"/>
    <x v="88"/>
    <x v="98"/>
  </r>
  <r>
    <x v="18"/>
    <x v="47"/>
    <x v="99"/>
  </r>
  <r>
    <x v="12"/>
    <x v="89"/>
    <x v="100"/>
  </r>
  <r>
    <x v="17"/>
    <x v="90"/>
    <x v="101"/>
  </r>
  <r>
    <x v="13"/>
    <x v="91"/>
    <x v="102"/>
  </r>
  <r>
    <x v="16"/>
    <x v="92"/>
    <x v="103"/>
  </r>
  <r>
    <x v="18"/>
    <x v="81"/>
    <x v="104"/>
  </r>
  <r>
    <x v="13"/>
    <x v="93"/>
    <x v="105"/>
  </r>
  <r>
    <x v="8"/>
    <x v="94"/>
    <x v="106"/>
  </r>
  <r>
    <x v="22"/>
    <x v="95"/>
    <x v="107"/>
  </r>
  <r>
    <x v="23"/>
    <x v="96"/>
    <x v="108"/>
  </r>
  <r>
    <x v="24"/>
    <x v="97"/>
    <x v="109"/>
  </r>
  <r>
    <x v="14"/>
    <x v="76"/>
    <x v="110"/>
  </r>
  <r>
    <x v="25"/>
    <x v="42"/>
    <x v="111"/>
  </r>
  <r>
    <x v="9"/>
    <x v="98"/>
    <x v="112"/>
  </r>
  <r>
    <x v="4"/>
    <x v="99"/>
    <x v="113"/>
  </r>
  <r>
    <x v="17"/>
    <x v="100"/>
    <x v="114"/>
  </r>
  <r>
    <x v="20"/>
    <x v="101"/>
    <x v="115"/>
  </r>
  <r>
    <x v="21"/>
    <x v="34"/>
    <x v="116"/>
  </r>
  <r>
    <x v="19"/>
    <x v="102"/>
    <x v="117"/>
  </r>
  <r>
    <x v="24"/>
    <x v="103"/>
    <x v="118"/>
  </r>
  <r>
    <x v="25"/>
    <x v="36"/>
    <x v="119"/>
  </r>
  <r>
    <x v="18"/>
    <x v="24"/>
    <x v="120"/>
  </r>
  <r>
    <x v="4"/>
    <x v="104"/>
    <x v="121"/>
  </r>
  <r>
    <x v="14"/>
    <x v="72"/>
    <x v="122"/>
  </r>
  <r>
    <x v="24"/>
    <x v="105"/>
    <x v="123"/>
  </r>
  <r>
    <x v="21"/>
    <x v="106"/>
    <x v="124"/>
  </r>
  <r>
    <x v="25"/>
    <x v="107"/>
    <x v="124"/>
  </r>
  <r>
    <x v="26"/>
    <x v="108"/>
    <x v="125"/>
  </r>
  <r>
    <x v="23"/>
    <x v="109"/>
    <x v="126"/>
  </r>
  <r>
    <x v="23"/>
    <x v="28"/>
    <x v="127"/>
  </r>
  <r>
    <x v="25"/>
    <x v="110"/>
    <x v="128"/>
  </r>
  <r>
    <x v="15"/>
    <x v="111"/>
    <x v="129"/>
  </r>
  <r>
    <x v="25"/>
    <x v="112"/>
    <x v="130"/>
  </r>
  <r>
    <x v="16"/>
    <x v="113"/>
    <x v="131"/>
  </r>
  <r>
    <x v="26"/>
    <x v="114"/>
    <x v="132"/>
  </r>
  <r>
    <x v="22"/>
    <x v="115"/>
    <x v="133"/>
  </r>
  <r>
    <x v="6"/>
    <x v="85"/>
    <x v="134"/>
  </r>
  <r>
    <x v="26"/>
    <x v="116"/>
    <x v="135"/>
  </r>
  <r>
    <x v="23"/>
    <x v="117"/>
    <x v="136"/>
  </r>
  <r>
    <x v="18"/>
    <x v="10"/>
    <x v="137"/>
  </r>
  <r>
    <x v="0"/>
    <x v="118"/>
    <x v="138"/>
  </r>
  <r>
    <x v="23"/>
    <x v="119"/>
    <x v="139"/>
  </r>
  <r>
    <x v="24"/>
    <x v="120"/>
    <x v="140"/>
  </r>
  <r>
    <x v="25"/>
    <x v="121"/>
    <x v="141"/>
  </r>
  <r>
    <x v="3"/>
    <x v="94"/>
    <x v="142"/>
  </r>
  <r>
    <x v="24"/>
    <x v="122"/>
    <x v="143"/>
  </r>
  <r>
    <x v="24"/>
    <x v="56"/>
    <x v="144"/>
  </r>
  <r>
    <x v="19"/>
    <x v="123"/>
    <x v="145"/>
  </r>
  <r>
    <x v="25"/>
    <x v="124"/>
    <x v="146"/>
  </r>
  <r>
    <x v="5"/>
    <x v="125"/>
    <x v="147"/>
  </r>
  <r>
    <x v="15"/>
    <x v="126"/>
    <x v="148"/>
  </r>
  <r>
    <x v="15"/>
    <x v="127"/>
    <x v="149"/>
  </r>
  <r>
    <x v="25"/>
    <x v="128"/>
    <x v="150"/>
  </r>
  <r>
    <x v="25"/>
    <x v="12"/>
    <x v="151"/>
  </r>
  <r>
    <x v="16"/>
    <x v="103"/>
    <x v="152"/>
  </r>
  <r>
    <x v="13"/>
    <x v="129"/>
    <x v="1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3B66E5-CB45-2648-BCAA-6A3E1F31E58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K1:O29" firstHeaderRow="0" firstDataRow="1" firstDataCol="1"/>
  <pivotFields count="3">
    <pivotField axis="axisRow" showAll="0">
      <items count="28">
        <item x="16"/>
        <item x="19"/>
        <item x="21"/>
        <item x="17"/>
        <item x="23"/>
        <item x="0"/>
        <item x="13"/>
        <item x="5"/>
        <item x="4"/>
        <item x="7"/>
        <item x="1"/>
        <item x="22"/>
        <item x="10"/>
        <item x="24"/>
        <item x="26"/>
        <item x="9"/>
        <item x="12"/>
        <item x="25"/>
        <item x="8"/>
        <item x="14"/>
        <item x="6"/>
        <item x="15"/>
        <item x="20"/>
        <item x="2"/>
        <item x="3"/>
        <item x="11"/>
        <item x="18"/>
        <item t="default"/>
      </items>
    </pivotField>
    <pivotField dataField="1" numFmtId="14" showAll="0">
      <items count="131">
        <item x="89"/>
        <item x="39"/>
        <item x="17"/>
        <item x="107"/>
        <item x="19"/>
        <item x="36"/>
        <item x="72"/>
        <item x="67"/>
        <item x="113"/>
        <item x="8"/>
        <item x="128"/>
        <item x="35"/>
        <item x="106"/>
        <item x="12"/>
        <item x="42"/>
        <item x="10"/>
        <item x="117"/>
        <item x="31"/>
        <item x="73"/>
        <item x="43"/>
        <item x="38"/>
        <item x="92"/>
        <item x="84"/>
        <item x="124"/>
        <item x="44"/>
        <item x="81"/>
        <item x="88"/>
        <item x="71"/>
        <item x="112"/>
        <item x="127"/>
        <item x="121"/>
        <item x="129"/>
        <item x="90"/>
        <item x="3"/>
        <item x="54"/>
        <item x="41"/>
        <item x="110"/>
        <item x="125"/>
        <item x="102"/>
        <item x="13"/>
        <item x="29"/>
        <item x="14"/>
        <item x="50"/>
        <item x="79"/>
        <item x="15"/>
        <item x="76"/>
        <item x="94"/>
        <item x="65"/>
        <item x="96"/>
        <item x="26"/>
        <item x="74"/>
        <item x="23"/>
        <item x="11"/>
        <item x="75"/>
        <item x="53"/>
        <item x="64"/>
        <item x="24"/>
        <item x="4"/>
        <item x="77"/>
        <item x="32"/>
        <item x="109"/>
        <item x="87"/>
        <item x="9"/>
        <item x="37"/>
        <item x="48"/>
        <item x="103"/>
        <item x="57"/>
        <item x="5"/>
        <item x="52"/>
        <item x="98"/>
        <item x="61"/>
        <item x="34"/>
        <item x="60"/>
        <item x="59"/>
        <item x="83"/>
        <item x="93"/>
        <item x="111"/>
        <item x="28"/>
        <item x="58"/>
        <item x="123"/>
        <item x="18"/>
        <item x="49"/>
        <item x="27"/>
        <item x="55"/>
        <item x="100"/>
        <item x="122"/>
        <item x="6"/>
        <item x="0"/>
        <item x="95"/>
        <item x="119"/>
        <item x="16"/>
        <item x="99"/>
        <item x="91"/>
        <item x="105"/>
        <item x="118"/>
        <item x="69"/>
        <item x="22"/>
        <item x="68"/>
        <item x="116"/>
        <item x="66"/>
        <item x="20"/>
        <item x="80"/>
        <item x="85"/>
        <item x="82"/>
        <item x="46"/>
        <item x="97"/>
        <item x="7"/>
        <item x="70"/>
        <item x="40"/>
        <item x="108"/>
        <item x="2"/>
        <item x="33"/>
        <item x="78"/>
        <item x="1"/>
        <item x="104"/>
        <item x="45"/>
        <item x="62"/>
        <item x="86"/>
        <item x="63"/>
        <item x="56"/>
        <item x="115"/>
        <item x="101"/>
        <item x="47"/>
        <item x="51"/>
        <item x="120"/>
        <item x="21"/>
        <item x="25"/>
        <item x="126"/>
        <item x="114"/>
        <item x="30"/>
        <item t="default"/>
      </items>
    </pivotField>
    <pivotField dataField="1" showAll="0">
      <items count="1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153"/>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52"/>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t="default"/>
      </items>
    </pivotField>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4">
    <i>
      <x/>
    </i>
    <i i="1">
      <x v="1"/>
    </i>
    <i i="2">
      <x v="2"/>
    </i>
    <i i="3">
      <x v="3"/>
    </i>
  </colItems>
  <dataFields count="4">
    <dataField name="Max of Date" fld="1" subtotal="max" baseField="0" baseItem="0"/>
    <dataField name="Min of Date" fld="1" subtotal="min" baseField="0" baseItem="0"/>
    <dataField name="Count of Amount spent2" fld="2" subtotal="count" baseField="0" baseItem="0"/>
    <dataField name="Sum of Amount spent"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3"/>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CFB751-A649-4042-8D4C-C8B4BD703A6D}" name="Table5" displayName="Table5" ref="A168:J195" totalsRowShown="0">
  <autoFilter ref="A168:J195" xr:uid="{8ECFB751-A649-4042-8D4C-C8B4BD703A6D}"/>
  <tableColumns count="10">
    <tableColumn id="1" xr3:uid="{BDF7CBB6-6E40-408F-86EA-FA390C609C5B}" name="Row Labels"/>
    <tableColumn id="2" xr3:uid="{950C59A4-8A43-4380-8BA6-0F2ABEA2BB13}" name="Max of Date"/>
    <tableColumn id="3" xr3:uid="{09270D10-7CCE-4C43-BB0A-ED756457E90F}" name="Min of Date"/>
    <tableColumn id="4" xr3:uid="{1BCFB94E-D7F0-4BF1-88CC-47D3353C9DD8}" name="Days elapsed"/>
    <tableColumn id="5" xr3:uid="{66061370-3E9D-44B0-9294-3F2C7177FD38}" name="Count of Amount spent2"/>
    <tableColumn id="6" xr3:uid="{4045A64B-2650-46DE-9F78-D381EB24A6D6}" name="Sum of Amount spent"/>
    <tableColumn id="7" xr3:uid="{48AA6E4A-C979-4990-932B-F3F7A08B5FBA}" name="Recency"/>
    <tableColumn id="8" xr3:uid="{4D8BE609-DA79-4469-AFE4-62B73AD1A726}" name="Frequency"/>
    <tableColumn id="9" xr3:uid="{B45D7B76-9BA6-47ED-AA76-318820C168E9}" name="Monetary"/>
    <tableColumn id="10" xr3:uid="{DA1709D7-8B00-4A83-9BF4-3815C14A8FB1}" name="Average Scor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3C907-A473-4C32-9D88-0EB2E0D0DB99}" name="Table1" displayName="Table1" ref="A1:J28" totalsRowShown="0" headerRowDxfId="9" headerRowBorderDxfId="8">
  <autoFilter ref="A1:J28" xr:uid="{D2C3C907-A473-4C32-9D88-0EB2E0D0DB99}"/>
  <tableColumns count="10">
    <tableColumn id="1" xr3:uid="{EC74617D-E1FE-4508-8D9A-D95C0E9E13C0}" name="Row Labels" dataDxfId="7"/>
    <tableColumn id="2" xr3:uid="{8D92529F-3351-4C03-B6FD-12B4820C4DCF}" name="Max of Date" dataDxfId="6"/>
    <tableColumn id="3" xr3:uid="{4A7E7BB6-3754-4FE5-AC7C-B3434033DA0C}" name="Min of Date" dataDxfId="5"/>
    <tableColumn id="4" xr3:uid="{FE781829-2667-4FBD-9456-D44D3BA44513}" name="Days elapsed" dataDxfId="4">
      <calculatedColumnFormula array="1">MINVERSE(DATEDIF(Table1[[#This Row],[Max of Date]],NOW(),"D"))</calculatedColumnFormula>
    </tableColumn>
    <tableColumn id="5" xr3:uid="{8E438572-6362-4F40-B2CB-6221737017F5}" name="Count of Amount spent2" dataDxfId="3"/>
    <tableColumn id="6" xr3:uid="{0167AB2F-94C2-4B25-8AA1-6BB8395366AB}" name="Sum of Amount spent" dataDxfId="2"/>
    <tableColumn id="7" xr3:uid="{D7FA8589-4B2D-4DF9-9AED-B58F7AC39465}" name="Recency" dataDxfId="1">
      <calculatedColumnFormula>INT(_xlfn.PERCENTRANK.EXC(Table1[Days elapsed],Table1[[#This Row],[Days elapsed]],1)*5)+1</calculatedColumnFormula>
    </tableColumn>
    <tableColumn id="8" xr3:uid="{42C018A3-A23A-4088-9719-700FE0ECFEB5}" name="Frequency">
      <calculatedColumnFormula>INT(_xlfn.PERCENTRANK.EXC(Table1[Count of Amount spent2],Table1[[#This Row],[Count of Amount spent2]],1)*5)+1</calculatedColumnFormula>
    </tableColumn>
    <tableColumn id="9" xr3:uid="{8A86B051-A8FD-406A-B487-44E9FEEA8672}" name="Monetary">
      <calculatedColumnFormula>INT(_xlfn.PERCENTRANK.EXC(Table1[Sum of Amount spent],Table1[[#This Row],[Sum of Amount spent]],1)*5)+1</calculatedColumnFormula>
    </tableColumn>
    <tableColumn id="10" xr3:uid="{0DE7AE29-C86A-4880-AD0F-E1AAE27AD430}" name="Average Score" dataDxfId="0">
      <calculatedColumnFormula>AVERAGE(Table1[[#This Row],[Recency]:[Monetary]])</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8246-9451-44CA-937B-54C36CA23B21}">
  <dimension ref="A1:O195"/>
  <sheetViews>
    <sheetView tabSelected="1" workbookViewId="0"/>
  </sheetViews>
  <sheetFormatPr defaultColWidth="8.77734375" defaultRowHeight="14.4" x14ac:dyDescent="0.3"/>
  <cols>
    <col min="1" max="1" width="14.44140625" customWidth="1"/>
    <col min="2" max="2" width="13.77734375" customWidth="1"/>
    <col min="3" max="3" width="13.6640625" customWidth="1"/>
    <col min="4" max="4" width="14.6640625" customWidth="1"/>
    <col min="5" max="5" width="24.6640625" customWidth="1"/>
    <col min="6" max="6" width="22.33203125" customWidth="1"/>
    <col min="7" max="7" width="10.44140625" customWidth="1"/>
    <col min="8" max="8" width="12.44140625" customWidth="1"/>
    <col min="9" max="9" width="11.77734375" customWidth="1"/>
    <col min="10" max="10" width="15.6640625" customWidth="1"/>
    <col min="11" max="11" width="12.109375" bestFit="1" customWidth="1"/>
    <col min="12" max="12" width="10.33203125" bestFit="1" customWidth="1"/>
    <col min="13" max="13" width="10.109375" bestFit="1" customWidth="1"/>
    <col min="14" max="14" width="20.109375" bestFit="1" customWidth="1"/>
    <col min="15" max="15" width="17.77734375" bestFit="1" customWidth="1"/>
  </cols>
  <sheetData>
    <row r="1" spans="1:15" x14ac:dyDescent="0.3">
      <c r="A1" s="17" t="s">
        <v>55</v>
      </c>
      <c r="B1" s="17" t="s">
        <v>56</v>
      </c>
      <c r="C1" s="17" t="s">
        <v>57</v>
      </c>
      <c r="E1" s="26" t="s">
        <v>68</v>
      </c>
      <c r="K1" s="33" t="s">
        <v>59</v>
      </c>
      <c r="L1" t="s">
        <v>60</v>
      </c>
      <c r="M1" t="s">
        <v>61</v>
      </c>
      <c r="N1" t="s">
        <v>62</v>
      </c>
      <c r="O1" t="s">
        <v>58</v>
      </c>
    </row>
    <row r="2" spans="1:15" x14ac:dyDescent="0.3">
      <c r="A2" s="18">
        <v>6</v>
      </c>
      <c r="B2" s="20">
        <v>41012</v>
      </c>
      <c r="C2" s="18">
        <v>9.2349999999999994</v>
      </c>
      <c r="E2" s="1" t="s">
        <v>70</v>
      </c>
      <c r="K2" s="23">
        <v>1</v>
      </c>
      <c r="L2" s="22">
        <v>40941</v>
      </c>
      <c r="M2" s="22">
        <v>40612</v>
      </c>
      <c r="N2" s="22">
        <v>4</v>
      </c>
      <c r="O2" s="22">
        <v>122.53333333333335</v>
      </c>
    </row>
    <row r="3" spans="1:15" x14ac:dyDescent="0.3">
      <c r="A3" s="18">
        <v>11</v>
      </c>
      <c r="B3" s="20">
        <v>41162</v>
      </c>
      <c r="C3" s="18">
        <v>9.6989999999999998</v>
      </c>
      <c r="E3" s="1" t="s">
        <v>69</v>
      </c>
      <c r="K3" s="23">
        <v>2</v>
      </c>
      <c r="L3" s="22">
        <v>40966</v>
      </c>
      <c r="M3" s="22">
        <v>40764</v>
      </c>
      <c r="N3" s="22">
        <v>3</v>
      </c>
      <c r="O3" s="22">
        <v>119.94</v>
      </c>
    </row>
    <row r="4" spans="1:15" x14ac:dyDescent="0.3">
      <c r="A4" s="18">
        <v>24</v>
      </c>
      <c r="B4" s="20">
        <v>41137</v>
      </c>
      <c r="C4" s="18">
        <v>10.685</v>
      </c>
      <c r="E4" s="1" t="s">
        <v>71</v>
      </c>
      <c r="K4" s="23">
        <v>3</v>
      </c>
      <c r="L4" s="22">
        <v>40937</v>
      </c>
      <c r="M4" s="22">
        <v>40637</v>
      </c>
      <c r="N4" s="22">
        <v>3</v>
      </c>
      <c r="O4" s="22">
        <v>99.289999999999992</v>
      </c>
    </row>
    <row r="5" spans="1:15" x14ac:dyDescent="0.3">
      <c r="A5" s="18">
        <v>25</v>
      </c>
      <c r="B5" s="20">
        <v>40756</v>
      </c>
      <c r="C5" s="18">
        <v>11.528</v>
      </c>
      <c r="E5" s="1" t="s">
        <v>72</v>
      </c>
      <c r="K5" s="23">
        <v>4</v>
      </c>
      <c r="L5" s="22">
        <v>40991</v>
      </c>
      <c r="M5" s="22">
        <v>40747</v>
      </c>
      <c r="N5" s="22">
        <v>4</v>
      </c>
      <c r="O5" s="22">
        <v>107.12500000000001</v>
      </c>
    </row>
    <row r="6" spans="1:15" x14ac:dyDescent="0.3">
      <c r="A6" s="18">
        <v>11</v>
      </c>
      <c r="B6" s="20">
        <v>40862</v>
      </c>
      <c r="C6" s="18">
        <v>11.798999999999999</v>
      </c>
      <c r="K6" s="23">
        <v>5</v>
      </c>
      <c r="L6" s="22">
        <v>41016</v>
      </c>
      <c r="M6" s="22">
        <v>40662</v>
      </c>
      <c r="N6" s="22">
        <v>5</v>
      </c>
      <c r="O6" s="22">
        <v>201.26999999999998</v>
      </c>
    </row>
    <row r="7" spans="1:15" x14ac:dyDescent="0.3">
      <c r="A7" s="18">
        <v>9</v>
      </c>
      <c r="B7" s="20">
        <v>40922</v>
      </c>
      <c r="C7" s="18">
        <v>12.05</v>
      </c>
      <c r="K7" s="23">
        <v>6</v>
      </c>
      <c r="L7" s="22">
        <v>41041</v>
      </c>
      <c r="M7" s="22">
        <v>40687</v>
      </c>
      <c r="N7" s="22">
        <v>9</v>
      </c>
      <c r="O7" s="22">
        <v>180.20499999999998</v>
      </c>
    </row>
    <row r="8" spans="1:15" x14ac:dyDescent="0.3">
      <c r="A8" s="18">
        <v>9</v>
      </c>
      <c r="B8" s="20">
        <v>40999</v>
      </c>
      <c r="C8" s="18">
        <v>12.07</v>
      </c>
      <c r="E8" s="1" t="s">
        <v>73</v>
      </c>
      <c r="K8" s="23">
        <v>7</v>
      </c>
      <c r="L8" s="22">
        <v>41066</v>
      </c>
      <c r="M8" s="22">
        <v>40737</v>
      </c>
      <c r="N8" s="22">
        <v>7</v>
      </c>
      <c r="O8" s="22">
        <v>164.01583333333335</v>
      </c>
    </row>
    <row r="9" spans="1:15" x14ac:dyDescent="0.3">
      <c r="A9" s="18">
        <v>9</v>
      </c>
      <c r="B9" s="20">
        <v>41112</v>
      </c>
      <c r="C9" s="18">
        <v>12.315</v>
      </c>
      <c r="E9" s="1" t="s">
        <v>84</v>
      </c>
      <c r="K9" s="23">
        <v>8</v>
      </c>
      <c r="L9" s="22">
        <v>41116</v>
      </c>
      <c r="M9" s="22">
        <v>40762</v>
      </c>
      <c r="N9" s="22">
        <v>11</v>
      </c>
      <c r="O9" s="22">
        <v>266.35000000000002</v>
      </c>
    </row>
    <row r="10" spans="1:15" x14ac:dyDescent="0.3">
      <c r="A10" s="18">
        <v>24</v>
      </c>
      <c r="B10" s="20">
        <v>40618</v>
      </c>
      <c r="C10" s="18">
        <v>12.535</v>
      </c>
      <c r="E10" s="58" t="s">
        <v>120</v>
      </c>
      <c r="F10" s="59"/>
      <c r="K10" s="23">
        <v>9</v>
      </c>
      <c r="L10" s="22">
        <v>41166</v>
      </c>
      <c r="M10" s="22">
        <v>40812</v>
      </c>
      <c r="N10" s="22">
        <v>11</v>
      </c>
      <c r="O10" s="22">
        <v>231.52</v>
      </c>
    </row>
    <row r="11" spans="1:15" x14ac:dyDescent="0.3">
      <c r="A11" s="18">
        <v>8</v>
      </c>
      <c r="B11" s="20">
        <v>40889</v>
      </c>
      <c r="C11" s="18">
        <v>12.64</v>
      </c>
      <c r="E11" s="60"/>
      <c r="F11" s="61"/>
      <c r="K11" s="23">
        <v>10</v>
      </c>
      <c r="L11" s="22">
        <v>41191</v>
      </c>
      <c r="M11" s="22">
        <v>40837</v>
      </c>
      <c r="N11" s="22">
        <v>5</v>
      </c>
      <c r="O11" s="22">
        <v>101.38499999999999</v>
      </c>
    </row>
    <row r="12" spans="1:15" x14ac:dyDescent="0.3">
      <c r="A12" s="18">
        <v>21</v>
      </c>
      <c r="B12" s="20">
        <v>40659</v>
      </c>
      <c r="C12" s="18">
        <v>12.64</v>
      </c>
      <c r="K12" s="23">
        <v>11</v>
      </c>
      <c r="L12" s="22">
        <v>41162</v>
      </c>
      <c r="M12" s="22">
        <v>40862</v>
      </c>
      <c r="N12" s="22">
        <v>3</v>
      </c>
      <c r="O12" s="22">
        <v>36.497</v>
      </c>
    </row>
    <row r="13" spans="1:15" x14ac:dyDescent="0.3">
      <c r="A13" s="18">
        <v>10</v>
      </c>
      <c r="B13" s="20">
        <v>40837</v>
      </c>
      <c r="C13" s="18">
        <v>12.885</v>
      </c>
      <c r="E13" s="1" t="s">
        <v>85</v>
      </c>
      <c r="K13" s="23">
        <v>12</v>
      </c>
      <c r="L13" s="22">
        <v>41216</v>
      </c>
      <c r="M13" s="22">
        <v>41014</v>
      </c>
      <c r="N13" s="22">
        <v>2</v>
      </c>
      <c r="O13" s="22">
        <v>72.265000000000001</v>
      </c>
    </row>
    <row r="14" spans="1:15" x14ac:dyDescent="0.3">
      <c r="A14" s="18">
        <v>25</v>
      </c>
      <c r="B14" s="20">
        <v>40644</v>
      </c>
      <c r="C14" s="18">
        <v>13.108000000000001</v>
      </c>
      <c r="E14" s="58" t="s">
        <v>121</v>
      </c>
      <c r="F14" s="59"/>
      <c r="K14" s="23">
        <v>13</v>
      </c>
      <c r="L14" s="22">
        <v>41187</v>
      </c>
      <c r="M14" s="22">
        <v>40887</v>
      </c>
      <c r="N14" s="22">
        <v>3</v>
      </c>
      <c r="O14" s="22">
        <v>62.974999999999994</v>
      </c>
    </row>
    <row r="15" spans="1:15" x14ac:dyDescent="0.3">
      <c r="A15" s="18">
        <v>6</v>
      </c>
      <c r="B15" s="20">
        <v>40772</v>
      </c>
      <c r="C15" s="18">
        <v>13.26</v>
      </c>
      <c r="E15" s="60"/>
      <c r="F15" s="61"/>
      <c r="K15" s="23">
        <v>14</v>
      </c>
      <c r="L15" s="22">
        <v>41241</v>
      </c>
      <c r="M15" s="22">
        <v>40912</v>
      </c>
      <c r="N15" s="22">
        <v>6</v>
      </c>
      <c r="O15" s="22">
        <v>264.33</v>
      </c>
    </row>
    <row r="16" spans="1:15" x14ac:dyDescent="0.3">
      <c r="A16" s="18">
        <v>19</v>
      </c>
      <c r="B16" s="20">
        <v>40786</v>
      </c>
      <c r="C16" s="18">
        <v>13.499000000000001</v>
      </c>
      <c r="K16" s="23">
        <v>15</v>
      </c>
      <c r="L16" s="22">
        <v>41266</v>
      </c>
      <c r="M16" s="22">
        <v>41064</v>
      </c>
      <c r="N16" s="22">
        <v>3</v>
      </c>
      <c r="O16" s="22">
        <v>125.07</v>
      </c>
    </row>
    <row r="17" spans="1:15" x14ac:dyDescent="0.3">
      <c r="A17" s="18">
        <v>6</v>
      </c>
      <c r="B17" s="20">
        <v>40797</v>
      </c>
      <c r="C17" s="18">
        <v>13.96</v>
      </c>
      <c r="E17" s="1" t="s">
        <v>86</v>
      </c>
      <c r="K17" s="23">
        <v>16</v>
      </c>
      <c r="L17" s="22">
        <v>41237</v>
      </c>
      <c r="M17" s="22">
        <v>40925</v>
      </c>
      <c r="N17" s="22">
        <v>7</v>
      </c>
      <c r="O17" s="22">
        <v>155.172</v>
      </c>
    </row>
    <row r="18" spans="1:15" x14ac:dyDescent="0.3">
      <c r="A18" s="18">
        <v>16</v>
      </c>
      <c r="B18" s="20">
        <v>41022</v>
      </c>
      <c r="C18" s="18">
        <v>13.987</v>
      </c>
      <c r="E18" s="58" t="s">
        <v>122</v>
      </c>
      <c r="F18" s="59"/>
      <c r="K18" s="23">
        <v>17</v>
      </c>
      <c r="L18" s="22">
        <v>41262</v>
      </c>
      <c r="M18" s="22">
        <v>39491</v>
      </c>
      <c r="N18" s="22">
        <v>6</v>
      </c>
      <c r="O18" s="22">
        <v>124.49000000000001</v>
      </c>
    </row>
    <row r="19" spans="1:15" x14ac:dyDescent="0.3">
      <c r="A19" s="18">
        <v>24</v>
      </c>
      <c r="B19" s="20">
        <v>40558</v>
      </c>
      <c r="C19" s="18">
        <v>14.29</v>
      </c>
      <c r="E19" s="60"/>
      <c r="F19" s="61"/>
      <c r="K19" s="23">
        <v>18</v>
      </c>
      <c r="L19" s="22">
        <v>40761</v>
      </c>
      <c r="M19" s="22">
        <v>40559</v>
      </c>
      <c r="N19" s="22">
        <v>9</v>
      </c>
      <c r="O19" s="22">
        <v>476.25</v>
      </c>
    </row>
    <row r="20" spans="1:15" x14ac:dyDescent="0.3">
      <c r="A20" s="18">
        <v>13</v>
      </c>
      <c r="B20" s="20">
        <v>40972</v>
      </c>
      <c r="C20" s="18">
        <v>14.46</v>
      </c>
      <c r="K20" s="23">
        <v>19</v>
      </c>
      <c r="L20" s="22">
        <v>40811</v>
      </c>
      <c r="M20" s="22">
        <v>40567</v>
      </c>
      <c r="N20" s="22">
        <v>7</v>
      </c>
      <c r="O20" s="22">
        <v>156.52500000000001</v>
      </c>
    </row>
    <row r="21" spans="1:15" x14ac:dyDescent="0.3">
      <c r="A21" s="18">
        <v>26</v>
      </c>
      <c r="B21" s="20">
        <v>40567</v>
      </c>
      <c r="C21" s="18">
        <v>14.9</v>
      </c>
      <c r="K21" s="23">
        <v>20</v>
      </c>
      <c r="L21" s="22">
        <v>40807</v>
      </c>
      <c r="M21" s="22">
        <v>40106</v>
      </c>
      <c r="N21" s="22">
        <v>6</v>
      </c>
      <c r="O21" s="22">
        <v>153.73699999999999</v>
      </c>
    </row>
    <row r="22" spans="1:15" x14ac:dyDescent="0.3">
      <c r="A22" s="18">
        <v>11</v>
      </c>
      <c r="B22" s="20">
        <v>41074</v>
      </c>
      <c r="C22" s="18">
        <v>14.999000000000001</v>
      </c>
      <c r="K22" s="23">
        <v>21</v>
      </c>
      <c r="L22" s="22">
        <v>41087</v>
      </c>
      <c r="M22" s="22">
        <v>40657</v>
      </c>
      <c r="N22" s="22">
        <v>4</v>
      </c>
      <c r="O22" s="22">
        <v>90.57</v>
      </c>
    </row>
    <row r="23" spans="1:15" x14ac:dyDescent="0.3">
      <c r="A23" s="18">
        <v>24</v>
      </c>
      <c r="B23" s="20">
        <v>41247</v>
      </c>
      <c r="C23" s="18">
        <v>15.01</v>
      </c>
      <c r="K23" s="23">
        <v>22</v>
      </c>
      <c r="L23" s="22">
        <v>41264</v>
      </c>
      <c r="M23" s="22">
        <v>40681</v>
      </c>
      <c r="N23" s="22">
        <v>9</v>
      </c>
      <c r="O23" s="22">
        <v>325.11500000000001</v>
      </c>
    </row>
    <row r="24" spans="1:15" x14ac:dyDescent="0.3">
      <c r="A24" s="18">
        <v>10</v>
      </c>
      <c r="B24" s="20">
        <v>41049</v>
      </c>
      <c r="C24" s="18">
        <v>15.35</v>
      </c>
      <c r="K24" s="23">
        <v>23</v>
      </c>
      <c r="L24" s="22">
        <v>41222</v>
      </c>
      <c r="M24" s="22">
        <v>40706</v>
      </c>
      <c r="N24" s="22">
        <v>2</v>
      </c>
      <c r="O24" s="22">
        <v>59.22</v>
      </c>
    </row>
    <row r="25" spans="1:15" x14ac:dyDescent="0.3">
      <c r="A25" s="18">
        <v>26</v>
      </c>
      <c r="B25" s="20">
        <v>40836</v>
      </c>
      <c r="C25" s="18">
        <v>15.9</v>
      </c>
      <c r="K25" s="23">
        <v>24</v>
      </c>
      <c r="L25" s="22">
        <v>41247</v>
      </c>
      <c r="M25" s="22">
        <v>40558</v>
      </c>
      <c r="N25" s="22">
        <v>7</v>
      </c>
      <c r="O25" s="22">
        <v>114.14499999999998</v>
      </c>
    </row>
    <row r="26" spans="1:15" x14ac:dyDescent="0.3">
      <c r="A26" s="18">
        <v>21</v>
      </c>
      <c r="B26" s="20">
        <v>40861</v>
      </c>
      <c r="C26" s="18">
        <v>16.079999999999998</v>
      </c>
      <c r="K26" s="23">
        <v>25</v>
      </c>
      <c r="L26" s="22">
        <v>41272</v>
      </c>
      <c r="M26" s="22">
        <v>40584</v>
      </c>
      <c r="N26" s="22">
        <v>9</v>
      </c>
      <c r="O26" s="22">
        <v>197.846</v>
      </c>
    </row>
    <row r="27" spans="1:15" x14ac:dyDescent="0.3">
      <c r="A27" s="18">
        <v>17</v>
      </c>
      <c r="B27" s="20">
        <v>41262</v>
      </c>
      <c r="C27" s="18">
        <v>16.239999999999998</v>
      </c>
      <c r="K27" s="23">
        <v>26</v>
      </c>
      <c r="L27" s="22">
        <v>41212</v>
      </c>
      <c r="M27" s="22">
        <v>40567</v>
      </c>
      <c r="N27" s="22">
        <v>6</v>
      </c>
      <c r="O27" s="22">
        <v>106.19</v>
      </c>
    </row>
    <row r="28" spans="1:15" x14ac:dyDescent="0.3">
      <c r="A28" s="18">
        <v>7</v>
      </c>
      <c r="B28" s="20">
        <v>40822</v>
      </c>
      <c r="C28" s="18">
        <v>16.48</v>
      </c>
      <c r="K28" s="23">
        <v>27</v>
      </c>
      <c r="L28" s="22">
        <v>41237</v>
      </c>
      <c r="M28" s="22">
        <v>40592</v>
      </c>
      <c r="N28" s="22">
        <v>6</v>
      </c>
      <c r="O28" s="22">
        <v>185.6</v>
      </c>
    </row>
    <row r="29" spans="1:15" x14ac:dyDescent="0.3">
      <c r="A29" s="18">
        <v>6</v>
      </c>
      <c r="B29" s="20">
        <v>40987</v>
      </c>
      <c r="C29" s="18">
        <v>16.535</v>
      </c>
      <c r="K29" s="23" t="s">
        <v>119</v>
      </c>
      <c r="L29" s="22">
        <v>41272</v>
      </c>
      <c r="M29" s="22">
        <v>39491</v>
      </c>
      <c r="N29" s="22">
        <v>157</v>
      </c>
      <c r="O29" s="22">
        <v>4299.6311666666634</v>
      </c>
    </row>
    <row r="30" spans="1:15" x14ac:dyDescent="0.3">
      <c r="A30" s="18">
        <v>17</v>
      </c>
      <c r="B30" s="20">
        <v>40962</v>
      </c>
      <c r="C30" s="18">
        <v>16.54</v>
      </c>
    </row>
    <row r="31" spans="1:15" x14ac:dyDescent="0.3">
      <c r="A31" s="18">
        <v>26</v>
      </c>
      <c r="B31" s="20">
        <v>40782</v>
      </c>
      <c r="C31" s="18">
        <v>16.7</v>
      </c>
    </row>
    <row r="32" spans="1:15" x14ac:dyDescent="0.3">
      <c r="A32" s="18">
        <v>25</v>
      </c>
      <c r="B32" s="20">
        <v>41272</v>
      </c>
      <c r="C32" s="18">
        <v>16.875</v>
      </c>
    </row>
    <row r="33" spans="1:3" x14ac:dyDescent="0.3">
      <c r="A33" s="18">
        <v>25</v>
      </c>
      <c r="B33" s="20">
        <v>40669</v>
      </c>
      <c r="C33" s="18">
        <v>16.888000000000002</v>
      </c>
    </row>
    <row r="34" spans="1:3" x14ac:dyDescent="0.3">
      <c r="A34" s="18">
        <v>8</v>
      </c>
      <c r="B34" s="20">
        <v>40872</v>
      </c>
      <c r="C34" s="18">
        <v>16.98</v>
      </c>
    </row>
    <row r="35" spans="1:3" x14ac:dyDescent="0.3">
      <c r="A35" s="18">
        <v>9</v>
      </c>
      <c r="B35" s="20">
        <v>41141</v>
      </c>
      <c r="C35" s="18">
        <v>17.035</v>
      </c>
    </row>
    <row r="36" spans="1:3" x14ac:dyDescent="0.3">
      <c r="A36" s="18">
        <v>16</v>
      </c>
      <c r="B36" s="20">
        <v>40937</v>
      </c>
      <c r="C36" s="18">
        <v>17.356999999999999</v>
      </c>
    </row>
    <row r="37" spans="1:3" x14ac:dyDescent="0.3">
      <c r="A37" s="18">
        <v>26</v>
      </c>
      <c r="B37" s="20">
        <v>40634</v>
      </c>
      <c r="C37" s="18">
        <v>17.5</v>
      </c>
    </row>
    <row r="38" spans="1:3" x14ac:dyDescent="0.3">
      <c r="A38" s="18">
        <v>25</v>
      </c>
      <c r="B38" s="20">
        <v>40584</v>
      </c>
      <c r="C38" s="18">
        <v>17.518000000000001</v>
      </c>
    </row>
    <row r="39" spans="1:3" x14ac:dyDescent="0.3">
      <c r="A39" s="18">
        <v>9</v>
      </c>
      <c r="B39" s="20">
        <v>40897</v>
      </c>
      <c r="C39" s="18">
        <v>17.885000000000002</v>
      </c>
    </row>
    <row r="40" spans="1:3" x14ac:dyDescent="0.3">
      <c r="A40" s="18">
        <v>19</v>
      </c>
      <c r="B40" s="20">
        <v>40782</v>
      </c>
      <c r="C40" s="18">
        <v>17.89</v>
      </c>
    </row>
    <row r="41" spans="1:3" x14ac:dyDescent="0.3">
      <c r="A41" s="18">
        <v>20</v>
      </c>
      <c r="B41" s="20">
        <v>40694</v>
      </c>
      <c r="C41" s="18">
        <v>18.145</v>
      </c>
    </row>
    <row r="42" spans="1:3" x14ac:dyDescent="0.3">
      <c r="A42" s="18">
        <v>20</v>
      </c>
      <c r="B42" s="20">
        <v>40106</v>
      </c>
      <c r="C42" s="18">
        <v>18.27</v>
      </c>
    </row>
    <row r="43" spans="1:3" x14ac:dyDescent="0.3">
      <c r="A43" s="18">
        <v>8</v>
      </c>
      <c r="B43" s="20">
        <v>41116</v>
      </c>
      <c r="C43" s="18">
        <v>18.574999999999999</v>
      </c>
    </row>
    <row r="44" spans="1:3" x14ac:dyDescent="0.3">
      <c r="A44" s="18">
        <v>24</v>
      </c>
      <c r="B44" s="20">
        <v>40760</v>
      </c>
      <c r="C44" s="18">
        <v>18.835000000000001</v>
      </c>
    </row>
    <row r="45" spans="1:3" x14ac:dyDescent="0.3">
      <c r="A45" s="18">
        <v>21</v>
      </c>
      <c r="B45" s="20">
        <v>40657</v>
      </c>
      <c r="C45" s="18">
        <v>18.850000000000001</v>
      </c>
    </row>
    <row r="46" spans="1:3" x14ac:dyDescent="0.3">
      <c r="A46" s="18">
        <v>6</v>
      </c>
      <c r="B46" s="20">
        <v>40687</v>
      </c>
      <c r="C46" s="18">
        <v>18.89</v>
      </c>
    </row>
    <row r="47" spans="1:3" x14ac:dyDescent="0.3">
      <c r="A47" s="18">
        <v>6</v>
      </c>
      <c r="B47" s="20">
        <v>40712</v>
      </c>
      <c r="C47" s="18">
        <v>18.89</v>
      </c>
    </row>
    <row r="48" spans="1:3" x14ac:dyDescent="0.3">
      <c r="A48" s="18">
        <v>17</v>
      </c>
      <c r="B48" s="20">
        <v>41174</v>
      </c>
      <c r="C48" s="18">
        <v>19.035</v>
      </c>
    </row>
    <row r="49" spans="1:3" x14ac:dyDescent="0.3">
      <c r="A49" s="18">
        <v>8</v>
      </c>
      <c r="B49" s="20">
        <v>41091</v>
      </c>
      <c r="C49" s="18">
        <v>19.045000000000002</v>
      </c>
    </row>
    <row r="50" spans="1:3" x14ac:dyDescent="0.3">
      <c r="A50" s="18">
        <v>16</v>
      </c>
      <c r="B50" s="20">
        <v>41237</v>
      </c>
      <c r="C50" s="18">
        <v>19.047000000000001</v>
      </c>
    </row>
    <row r="51" spans="1:3" x14ac:dyDescent="0.3">
      <c r="A51" s="18">
        <v>6</v>
      </c>
      <c r="B51" s="20">
        <v>40899</v>
      </c>
      <c r="C51" s="18">
        <v>19.39</v>
      </c>
    </row>
    <row r="52" spans="1:3" x14ac:dyDescent="0.3">
      <c r="A52" s="18">
        <v>8</v>
      </c>
      <c r="B52" s="20">
        <v>40974</v>
      </c>
      <c r="C52" s="18">
        <v>19.46</v>
      </c>
    </row>
    <row r="53" spans="1:3" x14ac:dyDescent="0.3">
      <c r="A53" s="18">
        <v>8</v>
      </c>
      <c r="B53" s="20">
        <v>40787</v>
      </c>
      <c r="C53" s="18">
        <v>19.565000000000001</v>
      </c>
    </row>
    <row r="54" spans="1:3" x14ac:dyDescent="0.3">
      <c r="A54" s="18">
        <v>22</v>
      </c>
      <c r="B54" s="20">
        <v>41239</v>
      </c>
      <c r="C54" s="18">
        <v>19.72</v>
      </c>
    </row>
    <row r="55" spans="1:3" x14ac:dyDescent="0.3">
      <c r="A55" s="18">
        <v>7</v>
      </c>
      <c r="B55" s="20">
        <v>40924</v>
      </c>
      <c r="C55" s="18">
        <v>19.84</v>
      </c>
    </row>
    <row r="56" spans="1:3" x14ac:dyDescent="0.3">
      <c r="A56" s="18">
        <v>26</v>
      </c>
      <c r="B56" s="20">
        <v>40694</v>
      </c>
      <c r="C56" s="18">
        <v>19.989999999999998</v>
      </c>
    </row>
    <row r="57" spans="1:3" x14ac:dyDescent="0.3">
      <c r="A57" s="18">
        <v>24</v>
      </c>
      <c r="B57" s="20">
        <v>41162</v>
      </c>
      <c r="C57" s="18">
        <v>20.094999999999999</v>
      </c>
    </row>
    <row r="58" spans="1:3" x14ac:dyDescent="0.3">
      <c r="A58" s="18">
        <v>8</v>
      </c>
      <c r="B58" s="20">
        <v>40847</v>
      </c>
      <c r="C58" s="18">
        <v>20.23</v>
      </c>
    </row>
    <row r="59" spans="1:3" x14ac:dyDescent="0.3">
      <c r="A59" s="18">
        <v>19</v>
      </c>
      <c r="B59" s="20">
        <v>40757</v>
      </c>
      <c r="C59" s="18">
        <v>20.39</v>
      </c>
    </row>
    <row r="60" spans="1:3" x14ac:dyDescent="0.3">
      <c r="A60" s="18">
        <v>10</v>
      </c>
      <c r="B60" s="20">
        <v>40989</v>
      </c>
      <c r="C60" s="18">
        <v>20.55</v>
      </c>
    </row>
    <row r="61" spans="1:3" x14ac:dyDescent="0.3">
      <c r="A61" s="18">
        <v>26</v>
      </c>
      <c r="B61" s="20">
        <v>41212</v>
      </c>
      <c r="C61" s="18">
        <v>21.2</v>
      </c>
    </row>
    <row r="62" spans="1:3" x14ac:dyDescent="0.3">
      <c r="A62" s="18">
        <v>8</v>
      </c>
      <c r="B62" s="20">
        <v>40914</v>
      </c>
      <c r="C62" s="18">
        <v>21.315000000000001</v>
      </c>
    </row>
    <row r="63" spans="1:3" x14ac:dyDescent="0.3">
      <c r="A63" s="18">
        <v>9</v>
      </c>
      <c r="B63" s="20">
        <v>40964</v>
      </c>
      <c r="C63" s="18">
        <v>21.41</v>
      </c>
    </row>
    <row r="64" spans="1:3" x14ac:dyDescent="0.3">
      <c r="A64" s="18">
        <v>1</v>
      </c>
      <c r="B64" s="20">
        <v>40941</v>
      </c>
      <c r="C64" s="18">
        <v>21.5</v>
      </c>
    </row>
    <row r="65" spans="1:3" x14ac:dyDescent="0.3">
      <c r="A65" s="18">
        <v>9</v>
      </c>
      <c r="B65" s="20">
        <v>40939</v>
      </c>
      <c r="C65" s="18">
        <v>21.56</v>
      </c>
    </row>
    <row r="66" spans="1:3" x14ac:dyDescent="0.3">
      <c r="A66" s="18">
        <v>22</v>
      </c>
      <c r="B66" s="20">
        <v>40933</v>
      </c>
      <c r="C66" s="18">
        <v>21.61</v>
      </c>
    </row>
    <row r="67" spans="1:3" x14ac:dyDescent="0.3">
      <c r="A67" s="18">
        <v>13</v>
      </c>
      <c r="B67" s="20">
        <v>41187</v>
      </c>
      <c r="C67" s="18">
        <v>21.62</v>
      </c>
    </row>
    <row r="68" spans="1:3" x14ac:dyDescent="0.3">
      <c r="A68" s="18">
        <v>22</v>
      </c>
      <c r="B68" s="20">
        <v>41197</v>
      </c>
      <c r="C68" s="18">
        <v>21.664999999999999</v>
      </c>
    </row>
    <row r="69" spans="1:3" x14ac:dyDescent="0.3">
      <c r="A69" s="18">
        <v>4</v>
      </c>
      <c r="B69" s="20">
        <v>40849</v>
      </c>
      <c r="C69" s="18">
        <v>21.975000000000001</v>
      </c>
    </row>
    <row r="70" spans="1:3" x14ac:dyDescent="0.3">
      <c r="A70" s="18">
        <v>9</v>
      </c>
      <c r="B70" s="20">
        <v>40812</v>
      </c>
      <c r="C70" s="18">
        <v>22.195</v>
      </c>
    </row>
    <row r="71" spans="1:3" x14ac:dyDescent="0.3">
      <c r="A71" s="18">
        <v>7</v>
      </c>
      <c r="B71" s="20">
        <v>41066</v>
      </c>
      <c r="C71" s="18">
        <v>22.245000000000001</v>
      </c>
    </row>
    <row r="72" spans="1:3" x14ac:dyDescent="0.3">
      <c r="A72" s="18">
        <v>25</v>
      </c>
      <c r="B72" s="20">
        <v>40609</v>
      </c>
      <c r="C72" s="18">
        <v>22.288</v>
      </c>
    </row>
    <row r="73" spans="1:3" x14ac:dyDescent="0.3">
      <c r="A73" s="18">
        <v>25</v>
      </c>
      <c r="B73" s="20">
        <v>41187</v>
      </c>
      <c r="C73" s="18">
        <v>22.367999999999999</v>
      </c>
    </row>
    <row r="74" spans="1:3" x14ac:dyDescent="0.3">
      <c r="A74" s="18">
        <v>8</v>
      </c>
      <c r="B74" s="20">
        <v>41062</v>
      </c>
      <c r="C74" s="18">
        <v>22.504999999999999</v>
      </c>
    </row>
    <row r="75" spans="1:3" x14ac:dyDescent="0.3">
      <c r="A75" s="18">
        <v>17</v>
      </c>
      <c r="B75" s="20">
        <v>40106</v>
      </c>
      <c r="C75" s="18">
        <v>22.51</v>
      </c>
    </row>
    <row r="76" spans="1:3" x14ac:dyDescent="0.3">
      <c r="A76" s="18">
        <v>16</v>
      </c>
      <c r="B76" s="20">
        <v>41047</v>
      </c>
      <c r="C76" s="18">
        <v>22.527000000000001</v>
      </c>
    </row>
    <row r="77" spans="1:3" x14ac:dyDescent="0.3">
      <c r="A77" s="18">
        <v>17</v>
      </c>
      <c r="B77" s="20">
        <v>41114</v>
      </c>
      <c r="C77" s="18">
        <v>22.605</v>
      </c>
    </row>
    <row r="78" spans="1:3" x14ac:dyDescent="0.3">
      <c r="A78" s="18">
        <v>24</v>
      </c>
      <c r="B78" s="20">
        <v>40731</v>
      </c>
      <c r="C78" s="18">
        <v>22.695</v>
      </c>
    </row>
    <row r="79" spans="1:3" x14ac:dyDescent="0.3">
      <c r="A79" s="18">
        <v>19</v>
      </c>
      <c r="B79" s="20">
        <v>40567</v>
      </c>
      <c r="C79" s="18">
        <v>22.798999999999999</v>
      </c>
    </row>
    <row r="80" spans="1:3" x14ac:dyDescent="0.3">
      <c r="A80" s="18">
        <v>27</v>
      </c>
      <c r="B80" s="20">
        <v>40592</v>
      </c>
      <c r="C80" s="18">
        <v>23.4</v>
      </c>
    </row>
    <row r="81" spans="1:3" x14ac:dyDescent="0.3">
      <c r="A81" s="18">
        <v>22</v>
      </c>
      <c r="B81" s="20">
        <v>40681</v>
      </c>
      <c r="C81" s="18">
        <v>23.754999999999999</v>
      </c>
    </row>
    <row r="82" spans="1:3" x14ac:dyDescent="0.3">
      <c r="A82" s="18">
        <v>2</v>
      </c>
      <c r="B82" s="20">
        <v>40824</v>
      </c>
      <c r="C82" s="18">
        <v>23.99</v>
      </c>
    </row>
    <row r="83" spans="1:3" x14ac:dyDescent="0.3">
      <c r="A83" s="18">
        <v>20</v>
      </c>
      <c r="B83" s="20">
        <v>40634</v>
      </c>
      <c r="C83" s="18">
        <v>24.15</v>
      </c>
    </row>
    <row r="84" spans="1:3" x14ac:dyDescent="0.3">
      <c r="A84" s="18">
        <v>6</v>
      </c>
      <c r="B84" s="20">
        <v>40839</v>
      </c>
      <c r="C84" s="18">
        <v>24.34</v>
      </c>
    </row>
    <row r="85" spans="1:3" x14ac:dyDescent="0.3">
      <c r="A85" s="18">
        <v>27</v>
      </c>
      <c r="B85" s="20">
        <v>40807</v>
      </c>
      <c r="C85" s="18">
        <v>24.4</v>
      </c>
    </row>
    <row r="86" spans="1:3" x14ac:dyDescent="0.3">
      <c r="A86" s="18">
        <v>7</v>
      </c>
      <c r="B86" s="20">
        <v>40864</v>
      </c>
      <c r="C86" s="18">
        <v>24.495000000000001</v>
      </c>
    </row>
    <row r="87" spans="1:3" x14ac:dyDescent="0.3">
      <c r="A87" s="18">
        <v>16</v>
      </c>
      <c r="B87" s="20">
        <v>41149</v>
      </c>
      <c r="C87" s="18">
        <v>24.997</v>
      </c>
    </row>
    <row r="88" spans="1:3" x14ac:dyDescent="0.3">
      <c r="A88" s="18">
        <v>4</v>
      </c>
      <c r="B88" s="20">
        <v>40789</v>
      </c>
      <c r="C88" s="18">
        <v>25.3</v>
      </c>
    </row>
    <row r="89" spans="1:3" x14ac:dyDescent="0.3">
      <c r="A89" s="18">
        <v>22</v>
      </c>
      <c r="B89" s="20">
        <v>41076</v>
      </c>
      <c r="C89" s="18">
        <v>25.31</v>
      </c>
    </row>
    <row r="90" spans="1:3" x14ac:dyDescent="0.3">
      <c r="A90" s="18">
        <v>20</v>
      </c>
      <c r="B90" s="20">
        <v>40719</v>
      </c>
      <c r="C90" s="18">
        <v>25.344999999999999</v>
      </c>
    </row>
    <row r="91" spans="1:3" x14ac:dyDescent="0.3">
      <c r="A91" s="18">
        <v>16</v>
      </c>
      <c r="B91" s="20">
        <v>41089</v>
      </c>
      <c r="C91" s="18">
        <v>25.45</v>
      </c>
    </row>
    <row r="92" spans="1:3" x14ac:dyDescent="0.3">
      <c r="A92" s="18">
        <v>25</v>
      </c>
      <c r="B92" s="20">
        <v>40786</v>
      </c>
      <c r="C92" s="18">
        <v>25.545000000000002</v>
      </c>
    </row>
    <row r="93" spans="1:3" x14ac:dyDescent="0.3">
      <c r="A93" s="18">
        <v>22</v>
      </c>
      <c r="B93" s="20">
        <v>41112</v>
      </c>
      <c r="C93" s="18">
        <v>25.635000000000002</v>
      </c>
    </row>
    <row r="94" spans="1:3" x14ac:dyDescent="0.3">
      <c r="A94" s="18">
        <v>10</v>
      </c>
      <c r="B94" s="20">
        <v>40947</v>
      </c>
      <c r="C94" s="18">
        <v>26</v>
      </c>
    </row>
    <row r="95" spans="1:3" x14ac:dyDescent="0.3">
      <c r="A95" s="18">
        <v>23</v>
      </c>
      <c r="B95" s="20">
        <v>40706</v>
      </c>
      <c r="C95" s="18">
        <v>26.1</v>
      </c>
    </row>
    <row r="96" spans="1:3" x14ac:dyDescent="0.3">
      <c r="A96" s="18">
        <v>19</v>
      </c>
      <c r="B96" s="20">
        <v>40669</v>
      </c>
      <c r="C96" s="18">
        <v>26.248999999999999</v>
      </c>
    </row>
    <row r="97" spans="1:3" x14ac:dyDescent="0.3">
      <c r="A97" s="18">
        <v>8</v>
      </c>
      <c r="B97" s="20">
        <v>41087</v>
      </c>
      <c r="C97" s="18">
        <v>26.31</v>
      </c>
    </row>
    <row r="98" spans="1:3" x14ac:dyDescent="0.3">
      <c r="A98" s="18">
        <v>19</v>
      </c>
      <c r="B98" s="20">
        <v>40609</v>
      </c>
      <c r="C98" s="18">
        <v>26.399000000000001</v>
      </c>
    </row>
    <row r="99" spans="1:3" x14ac:dyDescent="0.3">
      <c r="A99" s="18">
        <v>10</v>
      </c>
      <c r="B99" s="20">
        <v>41191</v>
      </c>
      <c r="C99" s="18">
        <v>26.6</v>
      </c>
    </row>
    <row r="100" spans="1:3" x14ac:dyDescent="0.3">
      <c r="A100" s="18">
        <v>13</v>
      </c>
      <c r="B100" s="20">
        <v>40887</v>
      </c>
      <c r="C100" s="18">
        <v>26.895</v>
      </c>
    </row>
    <row r="101" spans="1:3" x14ac:dyDescent="0.3">
      <c r="A101" s="18">
        <v>9</v>
      </c>
      <c r="B101" s="20">
        <v>41137</v>
      </c>
      <c r="C101" s="18">
        <v>26.934999999999999</v>
      </c>
    </row>
    <row r="102" spans="1:3" x14ac:dyDescent="0.3">
      <c r="A102" s="18">
        <v>3</v>
      </c>
      <c r="B102" s="20">
        <v>40722</v>
      </c>
      <c r="C102" s="18">
        <v>26.99</v>
      </c>
    </row>
    <row r="103" spans="1:3" x14ac:dyDescent="0.3">
      <c r="A103" s="18">
        <v>27</v>
      </c>
      <c r="B103" s="20">
        <v>41237</v>
      </c>
      <c r="C103" s="18">
        <v>27.5</v>
      </c>
    </row>
    <row r="104" spans="1:3" x14ac:dyDescent="0.3">
      <c r="A104" s="18">
        <v>17</v>
      </c>
      <c r="B104" s="20">
        <v>39491</v>
      </c>
      <c r="C104" s="18">
        <v>27.56</v>
      </c>
    </row>
    <row r="105" spans="1:3" x14ac:dyDescent="0.3">
      <c r="A105" s="18">
        <v>4</v>
      </c>
      <c r="B105" s="20">
        <v>40747</v>
      </c>
      <c r="C105" s="18">
        <v>27.885000000000002</v>
      </c>
    </row>
    <row r="106" spans="1:3" x14ac:dyDescent="0.3">
      <c r="A106" s="18">
        <v>7</v>
      </c>
      <c r="B106" s="20">
        <v>41037</v>
      </c>
      <c r="C106" s="18">
        <v>28.34</v>
      </c>
    </row>
    <row r="107" spans="1:3" x14ac:dyDescent="0.3">
      <c r="A107" s="18">
        <v>1</v>
      </c>
      <c r="B107" s="20">
        <v>40697</v>
      </c>
      <c r="C107" s="18">
        <v>28.4</v>
      </c>
    </row>
    <row r="108" spans="1:3" x14ac:dyDescent="0.3">
      <c r="A108" s="18">
        <v>27</v>
      </c>
      <c r="B108" s="20">
        <v>40719</v>
      </c>
      <c r="C108" s="18">
        <v>28.8</v>
      </c>
    </row>
    <row r="109" spans="1:3" x14ac:dyDescent="0.3">
      <c r="A109" s="18">
        <v>7</v>
      </c>
      <c r="B109" s="20">
        <v>40949</v>
      </c>
      <c r="C109" s="18">
        <v>29.184999999999999</v>
      </c>
    </row>
    <row r="110" spans="1:3" x14ac:dyDescent="0.3">
      <c r="A110" s="18">
        <v>19</v>
      </c>
      <c r="B110" s="20">
        <v>40811</v>
      </c>
      <c r="C110" s="18">
        <v>29.298999999999999</v>
      </c>
    </row>
    <row r="111" spans="1:3" x14ac:dyDescent="0.3">
      <c r="A111" s="18">
        <v>12</v>
      </c>
      <c r="B111" s="20">
        <v>41014</v>
      </c>
      <c r="C111" s="18">
        <v>29.465</v>
      </c>
    </row>
    <row r="112" spans="1:3" x14ac:dyDescent="0.3">
      <c r="A112" s="18">
        <v>5</v>
      </c>
      <c r="B112" s="20">
        <v>40814</v>
      </c>
      <c r="C112" s="18">
        <v>31.01</v>
      </c>
    </row>
    <row r="113" spans="1:3" x14ac:dyDescent="0.3">
      <c r="A113" s="18">
        <v>14</v>
      </c>
      <c r="B113" s="20">
        <v>41099</v>
      </c>
      <c r="C113" s="18">
        <v>31.504999999999999</v>
      </c>
    </row>
    <row r="114" spans="1:3" x14ac:dyDescent="0.3">
      <c r="A114" s="18">
        <v>20</v>
      </c>
      <c r="B114" s="20">
        <v>40807</v>
      </c>
      <c r="C114" s="18">
        <v>31.597999999999999</v>
      </c>
    </row>
    <row r="115" spans="1:3" x14ac:dyDescent="0.3">
      <c r="A115" s="18">
        <v>18</v>
      </c>
      <c r="B115" s="20">
        <v>40657</v>
      </c>
      <c r="C115" s="18">
        <v>31.75</v>
      </c>
    </row>
    <row r="116" spans="1:3" x14ac:dyDescent="0.3">
      <c r="A116" s="18">
        <v>16</v>
      </c>
      <c r="B116" s="20">
        <v>40925</v>
      </c>
      <c r="C116" s="18">
        <v>31.806999999999999</v>
      </c>
    </row>
    <row r="117" spans="1:3" x14ac:dyDescent="0.3">
      <c r="A117" s="18">
        <v>9</v>
      </c>
      <c r="B117" s="20">
        <v>41024</v>
      </c>
      <c r="C117" s="18">
        <v>31.93</v>
      </c>
    </row>
    <row r="118" spans="1:3" x14ac:dyDescent="0.3">
      <c r="A118" s="18">
        <v>4</v>
      </c>
      <c r="B118" s="20">
        <v>40991</v>
      </c>
      <c r="C118" s="18">
        <v>31.965</v>
      </c>
    </row>
    <row r="119" spans="1:3" x14ac:dyDescent="0.3">
      <c r="A119" s="18">
        <v>23</v>
      </c>
      <c r="B119" s="20">
        <v>41222</v>
      </c>
      <c r="C119" s="18">
        <v>33.119999999999997</v>
      </c>
    </row>
    <row r="120" spans="1:3" x14ac:dyDescent="0.3">
      <c r="A120" s="18">
        <v>3</v>
      </c>
      <c r="B120" s="20">
        <v>40937</v>
      </c>
      <c r="C120" s="18">
        <v>33.4</v>
      </c>
    </row>
    <row r="121" spans="1:3" x14ac:dyDescent="0.3">
      <c r="A121" s="18">
        <v>2</v>
      </c>
      <c r="B121" s="20">
        <v>40764</v>
      </c>
      <c r="C121" s="18">
        <v>33.950000000000003</v>
      </c>
    </row>
    <row r="122" spans="1:3" x14ac:dyDescent="0.3">
      <c r="A122" s="18">
        <v>14</v>
      </c>
      <c r="B122" s="20">
        <v>40912</v>
      </c>
      <c r="C122" s="18">
        <v>34.604999999999997</v>
      </c>
    </row>
    <row r="123" spans="1:3" x14ac:dyDescent="0.3">
      <c r="A123" s="18">
        <v>18</v>
      </c>
      <c r="B123" s="20">
        <v>40584</v>
      </c>
      <c r="C123" s="18">
        <v>35.299999999999997</v>
      </c>
    </row>
    <row r="124" spans="1:3" x14ac:dyDescent="0.3">
      <c r="A124" s="18">
        <v>27</v>
      </c>
      <c r="B124" s="20">
        <v>40861</v>
      </c>
      <c r="C124" s="18">
        <v>36</v>
      </c>
    </row>
    <row r="125" spans="1:3" x14ac:dyDescent="0.3">
      <c r="A125" s="18">
        <v>9</v>
      </c>
      <c r="B125" s="20">
        <v>41166</v>
      </c>
      <c r="C125" s="18">
        <v>36.134999999999998</v>
      </c>
    </row>
    <row r="126" spans="1:3" x14ac:dyDescent="0.3">
      <c r="A126" s="18">
        <v>20</v>
      </c>
      <c r="B126" s="20">
        <v>40592</v>
      </c>
      <c r="C126" s="18">
        <v>36.228999999999999</v>
      </c>
    </row>
    <row r="127" spans="1:3" x14ac:dyDescent="0.3">
      <c r="A127" s="18">
        <v>14</v>
      </c>
      <c r="B127" s="20">
        <v>41039</v>
      </c>
      <c r="C127" s="18">
        <v>37.805</v>
      </c>
    </row>
    <row r="128" spans="1:3" x14ac:dyDescent="0.3">
      <c r="A128" s="18">
        <v>3</v>
      </c>
      <c r="B128" s="20">
        <v>40637</v>
      </c>
      <c r="C128" s="18">
        <v>38.9</v>
      </c>
    </row>
    <row r="129" spans="1:3" x14ac:dyDescent="0.3">
      <c r="A129" s="18">
        <v>18</v>
      </c>
      <c r="B129" s="20">
        <v>40559</v>
      </c>
      <c r="C129" s="18">
        <v>38.9</v>
      </c>
    </row>
    <row r="130" spans="1:3" x14ac:dyDescent="0.3">
      <c r="A130" s="18">
        <v>15</v>
      </c>
      <c r="B130" s="20">
        <v>41124</v>
      </c>
      <c r="C130" s="18">
        <v>39.08</v>
      </c>
    </row>
    <row r="131" spans="1:3" x14ac:dyDescent="0.3">
      <c r="A131" s="18">
        <v>5</v>
      </c>
      <c r="B131" s="20">
        <v>40874</v>
      </c>
      <c r="C131" s="18">
        <v>39.664999999999999</v>
      </c>
    </row>
    <row r="132" spans="1:3" x14ac:dyDescent="0.3">
      <c r="A132" s="18">
        <v>5</v>
      </c>
      <c r="B132" s="20">
        <v>40962</v>
      </c>
      <c r="C132" s="18">
        <v>39.895000000000003</v>
      </c>
    </row>
    <row r="133" spans="1:3" x14ac:dyDescent="0.3">
      <c r="A133" s="18">
        <v>18</v>
      </c>
      <c r="B133" s="20">
        <v>40761</v>
      </c>
      <c r="C133" s="18">
        <v>41</v>
      </c>
    </row>
    <row r="134" spans="1:3" x14ac:dyDescent="0.3">
      <c r="A134" s="18">
        <v>22</v>
      </c>
      <c r="B134" s="20">
        <v>40958</v>
      </c>
      <c r="C134" s="18">
        <v>41.43</v>
      </c>
    </row>
    <row r="135" spans="1:3" x14ac:dyDescent="0.3">
      <c r="A135" s="18">
        <v>18</v>
      </c>
      <c r="B135" s="20">
        <v>40732</v>
      </c>
      <c r="C135" s="18">
        <v>41.6</v>
      </c>
    </row>
    <row r="136" spans="1:3" x14ac:dyDescent="0.3">
      <c r="A136" s="18">
        <v>1</v>
      </c>
      <c r="B136" s="20">
        <v>40612</v>
      </c>
      <c r="C136" s="18">
        <v>42</v>
      </c>
    </row>
    <row r="137" spans="1:3" x14ac:dyDescent="0.3">
      <c r="A137" s="18">
        <v>15</v>
      </c>
      <c r="B137" s="20">
        <v>41266</v>
      </c>
      <c r="C137" s="18">
        <v>42.66</v>
      </c>
    </row>
    <row r="138" spans="1:3" x14ac:dyDescent="0.3">
      <c r="A138" s="18">
        <v>12</v>
      </c>
      <c r="B138" s="20">
        <v>41216</v>
      </c>
      <c r="C138" s="18">
        <v>42.8</v>
      </c>
    </row>
    <row r="139" spans="1:3" x14ac:dyDescent="0.3">
      <c r="A139" s="18">
        <v>21</v>
      </c>
      <c r="B139" s="20">
        <v>41087</v>
      </c>
      <c r="C139" s="18">
        <v>43</v>
      </c>
    </row>
    <row r="140" spans="1:3" x14ac:dyDescent="0.3">
      <c r="A140" s="18">
        <v>15</v>
      </c>
      <c r="B140" s="20">
        <v>41064</v>
      </c>
      <c r="C140" s="18">
        <v>43.33</v>
      </c>
    </row>
    <row r="141" spans="1:3" x14ac:dyDescent="0.3">
      <c r="A141" s="18">
        <v>5</v>
      </c>
      <c r="B141" s="20">
        <v>40662</v>
      </c>
      <c r="C141" s="18">
        <v>44.475000000000001</v>
      </c>
    </row>
    <row r="142" spans="1:3" x14ac:dyDescent="0.3">
      <c r="A142" s="18">
        <v>27</v>
      </c>
      <c r="B142" s="20">
        <v>40659</v>
      </c>
      <c r="C142" s="18">
        <v>45.5</v>
      </c>
    </row>
    <row r="143" spans="1:3" x14ac:dyDescent="0.3">
      <c r="A143" s="18">
        <v>6</v>
      </c>
      <c r="B143" s="20">
        <v>41041</v>
      </c>
      <c r="C143" s="18">
        <v>45.704999999999998</v>
      </c>
    </row>
    <row r="144" spans="1:3" x14ac:dyDescent="0.3">
      <c r="A144" s="18">
        <v>5</v>
      </c>
      <c r="B144" s="20">
        <v>41016</v>
      </c>
      <c r="C144" s="18">
        <v>46.225000000000001</v>
      </c>
    </row>
    <row r="145" spans="1:3" x14ac:dyDescent="0.3">
      <c r="A145" s="18">
        <v>14</v>
      </c>
      <c r="B145" s="20">
        <v>41241</v>
      </c>
      <c r="C145" s="18">
        <v>46.305</v>
      </c>
    </row>
    <row r="146" spans="1:3" x14ac:dyDescent="0.3">
      <c r="A146" s="18">
        <v>18</v>
      </c>
      <c r="B146" s="20">
        <v>40736</v>
      </c>
      <c r="C146" s="18">
        <v>49.9</v>
      </c>
    </row>
    <row r="147" spans="1:3" x14ac:dyDescent="0.3">
      <c r="A147" s="18">
        <v>25</v>
      </c>
      <c r="B147" s="20">
        <v>40811</v>
      </c>
      <c r="C147" s="18">
        <v>51.728000000000002</v>
      </c>
    </row>
    <row r="148" spans="1:3" x14ac:dyDescent="0.3">
      <c r="A148" s="18">
        <v>14</v>
      </c>
      <c r="B148" s="20">
        <v>40997</v>
      </c>
      <c r="C148" s="18">
        <v>54.005000000000003</v>
      </c>
    </row>
    <row r="149" spans="1:3" x14ac:dyDescent="0.3">
      <c r="A149" s="18">
        <v>14</v>
      </c>
      <c r="B149" s="20">
        <v>41212</v>
      </c>
      <c r="C149" s="18">
        <v>60.104999999999997</v>
      </c>
    </row>
    <row r="150" spans="1:3" x14ac:dyDescent="0.3">
      <c r="A150" s="18">
        <v>2</v>
      </c>
      <c r="B150" s="20">
        <v>40966</v>
      </c>
      <c r="C150" s="18">
        <v>62</v>
      </c>
    </row>
    <row r="151" spans="1:3" x14ac:dyDescent="0.3">
      <c r="A151" s="18">
        <v>18</v>
      </c>
      <c r="B151" s="20">
        <v>40707</v>
      </c>
      <c r="C151" s="18">
        <v>69.7</v>
      </c>
    </row>
    <row r="152" spans="1:3" x14ac:dyDescent="0.3">
      <c r="A152" s="18">
        <v>8</v>
      </c>
      <c r="B152" s="20">
        <v>40762</v>
      </c>
      <c r="C152" s="18">
        <v>69.724999999999994</v>
      </c>
    </row>
    <row r="153" spans="1:3" x14ac:dyDescent="0.3">
      <c r="A153" s="18">
        <v>22</v>
      </c>
      <c r="B153" s="20">
        <v>41264</v>
      </c>
      <c r="C153" s="18">
        <v>71.02</v>
      </c>
    </row>
    <row r="154" spans="1:3" x14ac:dyDescent="0.3">
      <c r="A154" s="18">
        <v>22</v>
      </c>
      <c r="B154" s="20">
        <v>40735</v>
      </c>
      <c r="C154" s="18">
        <v>74.97</v>
      </c>
    </row>
    <row r="155" spans="1:3" x14ac:dyDescent="0.3">
      <c r="A155" s="18">
        <v>18</v>
      </c>
      <c r="B155" s="20">
        <v>40619</v>
      </c>
      <c r="C155" s="18">
        <v>82.6</v>
      </c>
    </row>
    <row r="156" spans="1:3" x14ac:dyDescent="0.3">
      <c r="A156" s="18">
        <v>18</v>
      </c>
      <c r="B156" s="20">
        <v>40644</v>
      </c>
      <c r="C156" s="18">
        <v>85.5</v>
      </c>
    </row>
    <row r="157" spans="1:3" x14ac:dyDescent="0.3">
      <c r="A157" s="18">
        <v>1</v>
      </c>
      <c r="B157" s="20">
        <v>40912</v>
      </c>
      <c r="C157" s="21">
        <v>30.633333333333336</v>
      </c>
    </row>
    <row r="158" spans="1:3" x14ac:dyDescent="0.3">
      <c r="A158" s="18">
        <v>7</v>
      </c>
      <c r="B158" s="20">
        <v>40737</v>
      </c>
      <c r="C158" s="21">
        <v>23.430833333333336</v>
      </c>
    </row>
    <row r="168" spans="1:10" x14ac:dyDescent="0.3">
      <c r="A168" t="s">
        <v>59</v>
      </c>
      <c r="B168" t="s">
        <v>60</v>
      </c>
      <c r="C168" t="s">
        <v>61</v>
      </c>
      <c r="D168" t="s">
        <v>63</v>
      </c>
      <c r="E168" t="s">
        <v>62</v>
      </c>
      <c r="F168" t="s">
        <v>58</v>
      </c>
      <c r="G168" t="s">
        <v>64</v>
      </c>
      <c r="H168" t="s">
        <v>65</v>
      </c>
      <c r="I168" t="s">
        <v>66</v>
      </c>
      <c r="J168" t="s">
        <v>67</v>
      </c>
    </row>
    <row r="169" spans="1:10" x14ac:dyDescent="0.3">
      <c r="A169">
        <v>1</v>
      </c>
      <c r="B169">
        <v>40941</v>
      </c>
      <c r="C169">
        <v>40612</v>
      </c>
      <c r="D169">
        <v>2.8169014084507E-4</v>
      </c>
      <c r="E169">
        <v>4</v>
      </c>
      <c r="F169">
        <v>122.53333333333335</v>
      </c>
      <c r="G169">
        <v>1</v>
      </c>
      <c r="H169">
        <v>2</v>
      </c>
      <c r="I169">
        <v>3</v>
      </c>
      <c r="J169">
        <v>2</v>
      </c>
    </row>
    <row r="170" spans="1:10" x14ac:dyDescent="0.3">
      <c r="A170">
        <v>2</v>
      </c>
      <c r="B170">
        <v>40966</v>
      </c>
      <c r="C170">
        <v>40764</v>
      </c>
      <c r="D170">
        <v>2.8368794326241134E-4</v>
      </c>
      <c r="E170">
        <v>3</v>
      </c>
      <c r="F170">
        <v>119.94</v>
      </c>
      <c r="G170">
        <v>2</v>
      </c>
      <c r="H170">
        <v>1</v>
      </c>
      <c r="I170">
        <v>2</v>
      </c>
      <c r="J170" s="24">
        <v>1.6666666666666667</v>
      </c>
    </row>
    <row r="171" spans="1:10" x14ac:dyDescent="0.3">
      <c r="A171">
        <v>3</v>
      </c>
      <c r="B171">
        <v>40937</v>
      </c>
      <c r="C171">
        <v>40637</v>
      </c>
      <c r="D171">
        <v>2.8137310073157008E-4</v>
      </c>
      <c r="E171">
        <v>3</v>
      </c>
      <c r="F171">
        <v>99.289999999999992</v>
      </c>
      <c r="G171">
        <v>1</v>
      </c>
      <c r="H171">
        <v>1</v>
      </c>
      <c r="I171">
        <v>2</v>
      </c>
      <c r="J171" s="24">
        <v>1.3333333333333333</v>
      </c>
    </row>
    <row r="172" spans="1:10" x14ac:dyDescent="0.3">
      <c r="A172">
        <v>4</v>
      </c>
      <c r="B172">
        <v>40991</v>
      </c>
      <c r="C172">
        <v>40747</v>
      </c>
      <c r="D172">
        <v>2.8571428571428574E-4</v>
      </c>
      <c r="E172">
        <v>4</v>
      </c>
      <c r="F172">
        <v>107.12500000000001</v>
      </c>
      <c r="G172">
        <v>2</v>
      </c>
      <c r="H172">
        <v>2</v>
      </c>
      <c r="I172">
        <v>2</v>
      </c>
      <c r="J172" s="24">
        <v>2</v>
      </c>
    </row>
    <row r="173" spans="1:10" x14ac:dyDescent="0.3">
      <c r="A173">
        <v>5</v>
      </c>
      <c r="B173">
        <v>41016</v>
      </c>
      <c r="C173">
        <v>40662</v>
      </c>
      <c r="D173">
        <v>2.8776978417266187E-4</v>
      </c>
      <c r="E173">
        <v>5</v>
      </c>
      <c r="F173">
        <v>201.26999999999998</v>
      </c>
      <c r="G173">
        <v>2</v>
      </c>
      <c r="H173">
        <v>2</v>
      </c>
      <c r="I173">
        <v>4</v>
      </c>
      <c r="J173" s="24">
        <v>2.6666666666666665</v>
      </c>
    </row>
    <row r="174" spans="1:10" x14ac:dyDescent="0.3">
      <c r="A174">
        <v>6</v>
      </c>
      <c r="B174">
        <v>41041</v>
      </c>
      <c r="C174">
        <v>40687</v>
      </c>
      <c r="D174">
        <v>2.8985507246376811E-4</v>
      </c>
      <c r="E174">
        <v>9</v>
      </c>
      <c r="F174">
        <v>180.20499999999998</v>
      </c>
      <c r="G174">
        <v>2</v>
      </c>
      <c r="H174">
        <v>4</v>
      </c>
      <c r="I174">
        <v>4</v>
      </c>
      <c r="J174" s="24">
        <v>3.3333333333333335</v>
      </c>
    </row>
    <row r="175" spans="1:10" x14ac:dyDescent="0.3">
      <c r="A175">
        <v>7</v>
      </c>
      <c r="B175">
        <v>41066</v>
      </c>
      <c r="C175">
        <v>40737</v>
      </c>
      <c r="D175">
        <v>2.9197080291970805E-4</v>
      </c>
      <c r="E175">
        <v>7</v>
      </c>
      <c r="F175">
        <v>164.01583333333335</v>
      </c>
      <c r="G175">
        <v>2</v>
      </c>
      <c r="H175">
        <v>4</v>
      </c>
      <c r="I175">
        <v>4</v>
      </c>
      <c r="J175" s="24">
        <v>3.3333333333333335</v>
      </c>
    </row>
    <row r="176" spans="1:10" x14ac:dyDescent="0.3">
      <c r="A176">
        <v>8</v>
      </c>
      <c r="B176">
        <v>41116</v>
      </c>
      <c r="C176">
        <v>40762</v>
      </c>
      <c r="D176">
        <v>2.9629629629629629E-4</v>
      </c>
      <c r="E176">
        <v>11</v>
      </c>
      <c r="F176">
        <v>266.35000000000002</v>
      </c>
      <c r="G176">
        <v>3</v>
      </c>
      <c r="H176">
        <v>5</v>
      </c>
      <c r="I176">
        <v>5</v>
      </c>
      <c r="J176" s="24">
        <v>4.333333333333333</v>
      </c>
    </row>
    <row r="177" spans="1:10" x14ac:dyDescent="0.3">
      <c r="A177">
        <v>9</v>
      </c>
      <c r="B177">
        <v>41166</v>
      </c>
      <c r="C177">
        <v>40812</v>
      </c>
      <c r="D177">
        <v>3.0075187969924811E-4</v>
      </c>
      <c r="E177">
        <v>11</v>
      </c>
      <c r="F177">
        <v>231.52</v>
      </c>
      <c r="G177">
        <v>3</v>
      </c>
      <c r="H177">
        <v>5</v>
      </c>
      <c r="I177">
        <v>5</v>
      </c>
      <c r="J177" s="24">
        <v>4.333333333333333</v>
      </c>
    </row>
    <row r="178" spans="1:10" x14ac:dyDescent="0.3">
      <c r="A178">
        <v>10</v>
      </c>
      <c r="B178">
        <v>41191</v>
      </c>
      <c r="C178">
        <v>40837</v>
      </c>
      <c r="D178">
        <v>3.0303030303030303E-4</v>
      </c>
      <c r="E178">
        <v>5</v>
      </c>
      <c r="F178">
        <v>101.38499999999999</v>
      </c>
      <c r="G178">
        <v>3</v>
      </c>
      <c r="H178">
        <v>2</v>
      </c>
      <c r="I178">
        <v>2</v>
      </c>
      <c r="J178" s="24">
        <v>2.3333333333333335</v>
      </c>
    </row>
    <row r="179" spans="1:10" x14ac:dyDescent="0.3">
      <c r="A179">
        <v>11</v>
      </c>
      <c r="B179">
        <v>41162</v>
      </c>
      <c r="C179">
        <v>40862</v>
      </c>
      <c r="D179">
        <v>3.0039050765995795E-4</v>
      </c>
      <c r="E179">
        <v>3</v>
      </c>
      <c r="F179">
        <v>36.497</v>
      </c>
      <c r="G179">
        <v>3</v>
      </c>
      <c r="H179">
        <v>1</v>
      </c>
      <c r="I179">
        <v>1</v>
      </c>
      <c r="J179" s="24">
        <v>1.6666666666666667</v>
      </c>
    </row>
    <row r="180" spans="1:10" x14ac:dyDescent="0.3">
      <c r="A180">
        <v>12</v>
      </c>
      <c r="B180">
        <v>41216</v>
      </c>
      <c r="C180">
        <v>41014</v>
      </c>
      <c r="D180">
        <v>3.0534351145038169E-4</v>
      </c>
      <c r="E180">
        <v>2</v>
      </c>
      <c r="F180">
        <v>72.265000000000001</v>
      </c>
      <c r="G180">
        <v>4</v>
      </c>
      <c r="H180">
        <v>1</v>
      </c>
      <c r="I180">
        <v>1</v>
      </c>
      <c r="J180" s="24">
        <v>2</v>
      </c>
    </row>
    <row r="181" spans="1:10" x14ac:dyDescent="0.3">
      <c r="A181">
        <v>13</v>
      </c>
      <c r="B181">
        <v>41187</v>
      </c>
      <c r="C181">
        <v>40887</v>
      </c>
      <c r="D181">
        <v>3.0266343825665861E-4</v>
      </c>
      <c r="E181">
        <v>3</v>
      </c>
      <c r="F181">
        <v>62.974999999999994</v>
      </c>
      <c r="G181">
        <v>3</v>
      </c>
      <c r="H181">
        <v>1</v>
      </c>
      <c r="I181">
        <v>1</v>
      </c>
      <c r="J181" s="24">
        <v>1.6666666666666667</v>
      </c>
    </row>
    <row r="182" spans="1:10" x14ac:dyDescent="0.3">
      <c r="A182">
        <v>14</v>
      </c>
      <c r="B182">
        <v>41241</v>
      </c>
      <c r="C182">
        <v>40912</v>
      </c>
      <c r="D182">
        <v>3.076923076923077E-4</v>
      </c>
      <c r="E182">
        <v>6</v>
      </c>
      <c r="F182">
        <v>264.33</v>
      </c>
      <c r="G182">
        <v>4</v>
      </c>
      <c r="H182">
        <v>3</v>
      </c>
      <c r="I182">
        <v>5</v>
      </c>
      <c r="J182" s="24">
        <v>4</v>
      </c>
    </row>
    <row r="183" spans="1:10" x14ac:dyDescent="0.3">
      <c r="A183">
        <v>15</v>
      </c>
      <c r="B183">
        <v>41266</v>
      </c>
      <c r="C183">
        <v>41064</v>
      </c>
      <c r="D183">
        <v>3.1007751937984498E-4</v>
      </c>
      <c r="E183">
        <v>3</v>
      </c>
      <c r="F183">
        <v>125.07</v>
      </c>
      <c r="G183">
        <v>5</v>
      </c>
      <c r="H183">
        <v>1</v>
      </c>
      <c r="I183">
        <v>3</v>
      </c>
      <c r="J183" s="24">
        <v>3</v>
      </c>
    </row>
    <row r="184" spans="1:10" x14ac:dyDescent="0.3">
      <c r="A184">
        <v>16</v>
      </c>
      <c r="B184">
        <v>41237</v>
      </c>
      <c r="C184">
        <v>40925</v>
      </c>
      <c r="D184">
        <v>3.0731407498463427E-4</v>
      </c>
      <c r="E184">
        <v>7</v>
      </c>
      <c r="F184">
        <v>155.172</v>
      </c>
      <c r="G184">
        <v>4</v>
      </c>
      <c r="H184">
        <v>4</v>
      </c>
      <c r="I184">
        <v>3</v>
      </c>
      <c r="J184" s="24">
        <v>3.6666666666666665</v>
      </c>
    </row>
    <row r="185" spans="1:10" x14ac:dyDescent="0.3">
      <c r="A185">
        <v>17</v>
      </c>
      <c r="B185">
        <v>41262</v>
      </c>
      <c r="C185">
        <v>39491</v>
      </c>
      <c r="D185">
        <v>3.0969340353050479E-4</v>
      </c>
      <c r="E185">
        <v>6</v>
      </c>
      <c r="F185">
        <v>124.49000000000001</v>
      </c>
      <c r="G185">
        <v>5</v>
      </c>
      <c r="H185">
        <v>3</v>
      </c>
      <c r="I185">
        <v>3</v>
      </c>
      <c r="J185" s="24">
        <v>3.6666666666666665</v>
      </c>
    </row>
    <row r="186" spans="1:10" x14ac:dyDescent="0.3">
      <c r="A186">
        <v>18</v>
      </c>
      <c r="B186">
        <v>40761</v>
      </c>
      <c r="C186">
        <v>40559</v>
      </c>
      <c r="D186">
        <v>2.6809651474530834E-4</v>
      </c>
      <c r="E186">
        <v>9</v>
      </c>
      <c r="F186">
        <v>476.25</v>
      </c>
      <c r="G186">
        <v>1</v>
      </c>
      <c r="H186">
        <v>4</v>
      </c>
      <c r="I186">
        <v>5</v>
      </c>
      <c r="J186" s="24">
        <v>3.3333333333333335</v>
      </c>
    </row>
    <row r="187" spans="1:10" x14ac:dyDescent="0.3">
      <c r="A187">
        <v>19</v>
      </c>
      <c r="B187">
        <v>40811</v>
      </c>
      <c r="C187">
        <v>40567</v>
      </c>
      <c r="D187">
        <v>2.7173913043478261E-4</v>
      </c>
      <c r="E187">
        <v>7</v>
      </c>
      <c r="F187">
        <v>156.52500000000001</v>
      </c>
      <c r="G187">
        <v>1</v>
      </c>
      <c r="H187">
        <v>4</v>
      </c>
      <c r="I187">
        <v>4</v>
      </c>
      <c r="J187" s="24">
        <v>3</v>
      </c>
    </row>
    <row r="188" spans="1:10" x14ac:dyDescent="0.3">
      <c r="A188">
        <v>20</v>
      </c>
      <c r="B188">
        <v>40807</v>
      </c>
      <c r="C188">
        <v>40106</v>
      </c>
      <c r="D188">
        <v>2.714440825190011E-4</v>
      </c>
      <c r="E188">
        <v>6</v>
      </c>
      <c r="F188">
        <v>153.73699999999999</v>
      </c>
      <c r="G188">
        <v>1</v>
      </c>
      <c r="H188">
        <v>3</v>
      </c>
      <c r="I188">
        <v>3</v>
      </c>
      <c r="J188" s="24">
        <v>2.3333333333333335</v>
      </c>
    </row>
    <row r="189" spans="1:10" x14ac:dyDescent="0.3">
      <c r="A189">
        <v>21</v>
      </c>
      <c r="B189">
        <v>41087</v>
      </c>
      <c r="C189">
        <v>40657</v>
      </c>
      <c r="D189">
        <v>2.9377203290246768E-4</v>
      </c>
      <c r="E189">
        <v>4</v>
      </c>
      <c r="F189">
        <v>90.57</v>
      </c>
      <c r="G189">
        <v>2</v>
      </c>
      <c r="H189">
        <v>2</v>
      </c>
      <c r="I189">
        <v>1</v>
      </c>
      <c r="J189" s="24">
        <v>1.6666666666666667</v>
      </c>
    </row>
    <row r="190" spans="1:10" x14ac:dyDescent="0.3">
      <c r="A190">
        <v>22</v>
      </c>
      <c r="B190">
        <v>41264</v>
      </c>
      <c r="C190">
        <v>40681</v>
      </c>
      <c r="D190">
        <v>3.0988534242330339E-4</v>
      </c>
      <c r="E190">
        <v>9</v>
      </c>
      <c r="F190">
        <v>325.11500000000001</v>
      </c>
      <c r="G190">
        <v>5</v>
      </c>
      <c r="H190">
        <v>4</v>
      </c>
      <c r="I190">
        <v>5</v>
      </c>
      <c r="J190" s="24">
        <v>4.666666666666667</v>
      </c>
    </row>
    <row r="191" spans="1:10" x14ac:dyDescent="0.3">
      <c r="A191">
        <v>23</v>
      </c>
      <c r="B191">
        <v>41222</v>
      </c>
      <c r="C191">
        <v>40706</v>
      </c>
      <c r="D191">
        <v>3.0590394616090549E-4</v>
      </c>
      <c r="E191">
        <v>2</v>
      </c>
      <c r="F191">
        <v>59.22</v>
      </c>
      <c r="G191">
        <v>4</v>
      </c>
      <c r="H191">
        <v>1</v>
      </c>
      <c r="I191">
        <v>1</v>
      </c>
      <c r="J191" s="24">
        <v>2</v>
      </c>
    </row>
    <row r="192" spans="1:10" x14ac:dyDescent="0.3">
      <c r="A192">
        <v>24</v>
      </c>
      <c r="B192">
        <v>41247</v>
      </c>
      <c r="C192">
        <v>40558</v>
      </c>
      <c r="D192">
        <v>3.0826140567200987E-4</v>
      </c>
      <c r="E192">
        <v>7</v>
      </c>
      <c r="F192">
        <v>114.14499999999998</v>
      </c>
      <c r="G192">
        <v>5</v>
      </c>
      <c r="H192">
        <v>4</v>
      </c>
      <c r="I192">
        <v>2</v>
      </c>
      <c r="J192" s="24">
        <v>3.6666666666666665</v>
      </c>
    </row>
    <row r="193" spans="1:10" x14ac:dyDescent="0.3">
      <c r="A193">
        <v>25</v>
      </c>
      <c r="B193">
        <v>41272</v>
      </c>
      <c r="C193">
        <v>40584</v>
      </c>
      <c r="D193">
        <v>3.1065548306927616E-4</v>
      </c>
      <c r="E193">
        <v>9</v>
      </c>
      <c r="F193">
        <v>197.846</v>
      </c>
      <c r="G193">
        <v>5</v>
      </c>
      <c r="H193">
        <v>4</v>
      </c>
      <c r="I193">
        <v>4</v>
      </c>
      <c r="J193" s="24">
        <v>4.333333333333333</v>
      </c>
    </row>
    <row r="194" spans="1:10" x14ac:dyDescent="0.3">
      <c r="A194">
        <v>26</v>
      </c>
      <c r="B194">
        <v>41212</v>
      </c>
      <c r="C194">
        <v>40567</v>
      </c>
      <c r="D194">
        <v>3.0497102775236352E-4</v>
      </c>
      <c r="E194">
        <v>6</v>
      </c>
      <c r="F194">
        <v>106.19</v>
      </c>
      <c r="G194">
        <v>4</v>
      </c>
      <c r="H194">
        <v>3</v>
      </c>
      <c r="I194">
        <v>2</v>
      </c>
      <c r="J194" s="24">
        <v>3</v>
      </c>
    </row>
    <row r="195" spans="1:10" x14ac:dyDescent="0.3">
      <c r="A195">
        <v>27</v>
      </c>
      <c r="B195">
        <v>41237</v>
      </c>
      <c r="C195">
        <v>40592</v>
      </c>
      <c r="D195">
        <v>3.0731407498463427E-4</v>
      </c>
      <c r="E195">
        <v>6</v>
      </c>
      <c r="F195">
        <v>185.6</v>
      </c>
      <c r="G195">
        <v>4</v>
      </c>
      <c r="H195">
        <v>3</v>
      </c>
      <c r="I195">
        <v>4</v>
      </c>
      <c r="J195" s="24">
        <v>3.6666666666666665</v>
      </c>
    </row>
  </sheetData>
  <sortState xmlns:xlrd2="http://schemas.microsoft.com/office/spreadsheetml/2017/richdata2" ref="B2:D158">
    <sortCondition ref="C2:C158"/>
  </sortState>
  <mergeCells count="3">
    <mergeCell ref="E10:F11"/>
    <mergeCell ref="E14:F15"/>
    <mergeCell ref="E18:F19"/>
  </mergeCell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29CA-1ED2-4315-AFF3-D9068F1D1318}">
  <dimension ref="A1:J28"/>
  <sheetViews>
    <sheetView workbookViewId="0">
      <selection activeCell="G2" sqref="G2"/>
    </sheetView>
  </sheetViews>
  <sheetFormatPr defaultColWidth="8.77734375" defaultRowHeight="14.4" x14ac:dyDescent="0.3"/>
  <cols>
    <col min="1" max="1" width="13" customWidth="1"/>
    <col min="2" max="2" width="13.77734375" customWidth="1"/>
    <col min="3" max="3" width="13.44140625" customWidth="1"/>
    <col min="4" max="4" width="14.6640625" customWidth="1"/>
    <col min="5" max="5" width="24.6640625" customWidth="1"/>
    <col min="6" max="6" width="22.33203125" customWidth="1"/>
    <col min="7" max="8" width="11.44140625" customWidth="1"/>
    <col min="9" max="9" width="12.6640625" customWidth="1"/>
    <col min="10" max="10" width="14.44140625" customWidth="1"/>
  </cols>
  <sheetData>
    <row r="1" spans="1:10" x14ac:dyDescent="0.3">
      <c r="A1" s="25" t="s">
        <v>59</v>
      </c>
      <c r="B1" s="25" t="s">
        <v>60</v>
      </c>
      <c r="C1" s="25" t="s">
        <v>61</v>
      </c>
      <c r="D1" s="25" t="s">
        <v>63</v>
      </c>
      <c r="E1" s="25" t="s">
        <v>62</v>
      </c>
      <c r="F1" s="25" t="s">
        <v>58</v>
      </c>
      <c r="G1" s="25" t="s">
        <v>64</v>
      </c>
      <c r="H1" s="25" t="s">
        <v>65</v>
      </c>
      <c r="I1" s="25" t="s">
        <v>66</v>
      </c>
      <c r="J1" s="25" t="s">
        <v>67</v>
      </c>
    </row>
    <row r="2" spans="1:10" x14ac:dyDescent="0.3">
      <c r="A2">
        <v>1</v>
      </c>
      <c r="B2" s="19">
        <v>40941</v>
      </c>
      <c r="C2" s="19">
        <v>40612</v>
      </c>
      <c r="D2" s="37" cm="1">
        <f t="array" aca="1" ref="D2" ca="1">MINVERSE(DATEDIF(Table1[[#This Row],[Max of Date]],NOW(),"D"))</f>
        <v>2.8113578858588698E-4</v>
      </c>
      <c r="E2">
        <v>4</v>
      </c>
      <c r="F2">
        <v>122.53333333333335</v>
      </c>
      <c r="G2">
        <f ca="1">INT(_xlfn.PERCENTRANK.EXC(Table1[Days elapsed],Table1[[#This Row],[Days elapsed]],1)*5)+1</f>
        <v>1</v>
      </c>
      <c r="H2">
        <f>INT(_xlfn.PERCENTRANK.EXC(Table1[Count of Amount spent2],Table1[[#This Row],[Count of Amount spent2]],1)*5)+1</f>
        <v>2</v>
      </c>
      <c r="I2">
        <f>INT(_xlfn.PERCENTRANK.EXC(Table1[Sum of Amount spent],Table1[[#This Row],[Sum of Amount spent]],1)*5)+1</f>
        <v>3</v>
      </c>
      <c r="J2" s="14">
        <f ca="1">AVERAGE(Table1[[#This Row],[Recency]:[Monetary]])</f>
        <v>2</v>
      </c>
    </row>
    <row r="3" spans="1:10" x14ac:dyDescent="0.3">
      <c r="A3">
        <v>2</v>
      </c>
      <c r="B3" s="19">
        <v>40966</v>
      </c>
      <c r="C3" s="19">
        <v>40764</v>
      </c>
      <c r="D3" s="37" cm="1">
        <f t="array" aca="1" ref="D3" ca="1">MINVERSE(DATEDIF(Table1[[#This Row],[Max of Date]],NOW(),"D"))</f>
        <v>2.8312570781426955E-4</v>
      </c>
      <c r="E3">
        <v>3</v>
      </c>
      <c r="F3">
        <v>119.94</v>
      </c>
      <c r="G3">
        <f ca="1">INT(_xlfn.PERCENTRANK.EXC(Table1[Days elapsed],Table1[[#This Row],[Days elapsed]],1)*5)+1</f>
        <v>2</v>
      </c>
      <c r="H3">
        <f>INT(_xlfn.PERCENTRANK.EXC(Table1[Count of Amount spent2],Table1[[#This Row],[Count of Amount spent2]],1)*5)+1</f>
        <v>1</v>
      </c>
      <c r="I3">
        <f>INT(_xlfn.PERCENTRANK.EXC(Table1[Sum of Amount spent],Table1[[#This Row],[Sum of Amount spent]],1)*5)+1</f>
        <v>2</v>
      </c>
      <c r="J3" s="14">
        <f ca="1">AVERAGE(Table1[[#This Row],[Recency]:[Monetary]])</f>
        <v>1.6666666666666667</v>
      </c>
    </row>
    <row r="4" spans="1:10" x14ac:dyDescent="0.3">
      <c r="A4">
        <v>3</v>
      </c>
      <c r="B4" s="19">
        <v>40937</v>
      </c>
      <c r="C4" s="19">
        <v>40637</v>
      </c>
      <c r="D4" s="37" cm="1">
        <f t="array" aca="1" ref="D4" ca="1">MINVERSE(DATEDIF(Table1[[#This Row],[Max of Date]],NOW(),"D"))</f>
        <v>2.8081999438360012E-4</v>
      </c>
      <c r="E4">
        <v>3</v>
      </c>
      <c r="F4">
        <v>99.289999999999992</v>
      </c>
      <c r="G4">
        <f ca="1">INT(_xlfn.PERCENTRANK.EXC(Table1[Days elapsed],Table1[[#This Row],[Days elapsed]],1)*5)+1</f>
        <v>1</v>
      </c>
      <c r="H4">
        <f>INT(_xlfn.PERCENTRANK.EXC(Table1[Count of Amount spent2],Table1[[#This Row],[Count of Amount spent2]],1)*5)+1</f>
        <v>1</v>
      </c>
      <c r="I4">
        <f>INT(_xlfn.PERCENTRANK.EXC(Table1[Sum of Amount spent],Table1[[#This Row],[Sum of Amount spent]],1)*5)+1</f>
        <v>2</v>
      </c>
      <c r="J4" s="14">
        <f ca="1">AVERAGE(Table1[[#This Row],[Recency]:[Monetary]])</f>
        <v>1.3333333333333333</v>
      </c>
    </row>
    <row r="5" spans="1:10" x14ac:dyDescent="0.3">
      <c r="A5">
        <v>4</v>
      </c>
      <c r="B5" s="19">
        <v>40991</v>
      </c>
      <c r="C5" s="19">
        <v>40747</v>
      </c>
      <c r="D5" s="37" cm="1">
        <f t="array" aca="1" ref="D5" ca="1">MINVERSE(DATEDIF(Table1[[#This Row],[Max of Date]],NOW(),"D"))</f>
        <v>2.8514399771884804E-4</v>
      </c>
      <c r="E5">
        <v>4</v>
      </c>
      <c r="F5">
        <v>107.12500000000001</v>
      </c>
      <c r="G5">
        <f ca="1">INT(_xlfn.PERCENTRANK.EXC(Table1[Days elapsed],Table1[[#This Row],[Days elapsed]],1)*5)+1</f>
        <v>2</v>
      </c>
      <c r="H5">
        <f>INT(_xlfn.PERCENTRANK.EXC(Table1[Count of Amount spent2],Table1[[#This Row],[Count of Amount spent2]],1)*5)+1</f>
        <v>2</v>
      </c>
      <c r="I5">
        <f>INT(_xlfn.PERCENTRANK.EXC(Table1[Sum of Amount spent],Table1[[#This Row],[Sum of Amount spent]],1)*5)+1</f>
        <v>2</v>
      </c>
      <c r="J5" s="14">
        <f ca="1">AVERAGE(Table1[[#This Row],[Recency]:[Monetary]])</f>
        <v>2</v>
      </c>
    </row>
    <row r="6" spans="1:10" x14ac:dyDescent="0.3">
      <c r="A6">
        <v>5</v>
      </c>
      <c r="B6" s="19">
        <v>41016</v>
      </c>
      <c r="C6" s="19">
        <v>40662</v>
      </c>
      <c r="D6" s="37" cm="1">
        <f t="array" aca="1" ref="D6" ca="1">MINVERSE(DATEDIF(Table1[[#This Row],[Max of Date]],NOW(),"D"))</f>
        <v>2.8719126938541069E-4</v>
      </c>
      <c r="E6">
        <v>5</v>
      </c>
      <c r="F6">
        <v>201.26999999999998</v>
      </c>
      <c r="G6">
        <f ca="1">INT(_xlfn.PERCENTRANK.EXC(Table1[Days elapsed],Table1[[#This Row],[Days elapsed]],1)*5)+1</f>
        <v>2</v>
      </c>
      <c r="H6">
        <f>INT(_xlfn.PERCENTRANK.EXC(Table1[Count of Amount spent2],Table1[[#This Row],[Count of Amount spent2]],1)*5)+1</f>
        <v>2</v>
      </c>
      <c r="I6">
        <f>INT(_xlfn.PERCENTRANK.EXC(Table1[Sum of Amount spent],Table1[[#This Row],[Sum of Amount spent]],1)*5)+1</f>
        <v>4</v>
      </c>
      <c r="J6" s="14">
        <f ca="1">AVERAGE(Table1[[#This Row],[Recency]:[Monetary]])</f>
        <v>2.6666666666666665</v>
      </c>
    </row>
    <row r="7" spans="1:10" x14ac:dyDescent="0.3">
      <c r="A7">
        <v>6</v>
      </c>
      <c r="B7" s="19">
        <v>41041</v>
      </c>
      <c r="C7" s="19">
        <v>40687</v>
      </c>
      <c r="D7" s="37" cm="1">
        <f t="array" aca="1" ref="D7" ca="1">MINVERSE(DATEDIF(Table1[[#This Row],[Max of Date]],NOW(),"D"))</f>
        <v>2.892681515765114E-4</v>
      </c>
      <c r="E7">
        <v>9</v>
      </c>
      <c r="F7">
        <v>180.20499999999998</v>
      </c>
      <c r="G7">
        <f ca="1">INT(_xlfn.PERCENTRANK.EXC(Table1[Days elapsed],Table1[[#This Row],[Days elapsed]],1)*5)+1</f>
        <v>2</v>
      </c>
      <c r="H7">
        <f>INT(_xlfn.PERCENTRANK.EXC(Table1[Count of Amount spent2],Table1[[#This Row],[Count of Amount spent2]],1)*5)+1</f>
        <v>4</v>
      </c>
      <c r="I7">
        <f>INT(_xlfn.PERCENTRANK.EXC(Table1[Sum of Amount spent],Table1[[#This Row],[Sum of Amount spent]],1)*5)+1</f>
        <v>4</v>
      </c>
      <c r="J7" s="14">
        <f ca="1">AVERAGE(Table1[[#This Row],[Recency]:[Monetary]])</f>
        <v>3.3333333333333335</v>
      </c>
    </row>
    <row r="8" spans="1:10" x14ac:dyDescent="0.3">
      <c r="A8">
        <v>7</v>
      </c>
      <c r="B8" s="19">
        <v>41066</v>
      </c>
      <c r="C8" s="19">
        <v>40737</v>
      </c>
      <c r="D8" s="37" cm="1">
        <f t="array" aca="1" ref="D8" ca="1">MINVERSE(DATEDIF(Table1[[#This Row],[Max of Date]],NOW(),"D"))</f>
        <v>2.9137529137529138E-4</v>
      </c>
      <c r="E8">
        <v>7</v>
      </c>
      <c r="F8">
        <v>164.01583333333335</v>
      </c>
      <c r="G8">
        <f ca="1">INT(_xlfn.PERCENTRANK.EXC(Table1[Days elapsed],Table1[[#This Row],[Days elapsed]],1)*5)+1</f>
        <v>2</v>
      </c>
      <c r="H8">
        <f>INT(_xlfn.PERCENTRANK.EXC(Table1[Count of Amount spent2],Table1[[#This Row],[Count of Amount spent2]],1)*5)+1</f>
        <v>4</v>
      </c>
      <c r="I8">
        <f>INT(_xlfn.PERCENTRANK.EXC(Table1[Sum of Amount spent],Table1[[#This Row],[Sum of Amount spent]],1)*5)+1</f>
        <v>4</v>
      </c>
      <c r="J8" s="14">
        <f ca="1">AVERAGE(Table1[[#This Row],[Recency]:[Monetary]])</f>
        <v>3.3333333333333335</v>
      </c>
    </row>
    <row r="9" spans="1:10" x14ac:dyDescent="0.3">
      <c r="A9">
        <v>8</v>
      </c>
      <c r="B9" s="19">
        <v>41116</v>
      </c>
      <c r="C9" s="19">
        <v>40762</v>
      </c>
      <c r="D9" s="37" cm="1">
        <f t="array" aca="1" ref="D9" ca="1">MINVERSE(DATEDIF(Table1[[#This Row],[Max of Date]],NOW(),"D"))</f>
        <v>2.9568302779420464E-4</v>
      </c>
      <c r="E9">
        <v>11</v>
      </c>
      <c r="F9">
        <v>266.35000000000002</v>
      </c>
      <c r="G9">
        <f ca="1">INT(_xlfn.PERCENTRANK.EXC(Table1[Days elapsed],Table1[[#This Row],[Days elapsed]],1)*5)+1</f>
        <v>3</v>
      </c>
      <c r="H9">
        <f>INT(_xlfn.PERCENTRANK.EXC(Table1[Count of Amount spent2],Table1[[#This Row],[Count of Amount spent2]],1)*5)+1</f>
        <v>5</v>
      </c>
      <c r="I9">
        <f>INT(_xlfn.PERCENTRANK.EXC(Table1[Sum of Amount spent],Table1[[#This Row],[Sum of Amount spent]],1)*5)+1</f>
        <v>5</v>
      </c>
      <c r="J9" s="14">
        <f ca="1">AVERAGE(Table1[[#This Row],[Recency]:[Monetary]])</f>
        <v>4.333333333333333</v>
      </c>
    </row>
    <row r="10" spans="1:10" x14ac:dyDescent="0.3">
      <c r="A10">
        <v>9</v>
      </c>
      <c r="B10" s="19">
        <v>41166</v>
      </c>
      <c r="C10" s="19">
        <v>40812</v>
      </c>
      <c r="D10" s="37" cm="1">
        <f t="array" aca="1" ref="D10" ca="1">MINVERSE(DATEDIF(Table1[[#This Row],[Max of Date]],NOW(),"D"))</f>
        <v>3.0012004801920766E-4</v>
      </c>
      <c r="E10">
        <v>11</v>
      </c>
      <c r="F10">
        <v>231.52</v>
      </c>
      <c r="G10">
        <f ca="1">INT(_xlfn.PERCENTRANK.EXC(Table1[Days elapsed],Table1[[#This Row],[Days elapsed]],1)*5)+1</f>
        <v>3</v>
      </c>
      <c r="H10">
        <f>INT(_xlfn.PERCENTRANK.EXC(Table1[Count of Amount spent2],Table1[[#This Row],[Count of Amount spent2]],1)*5)+1</f>
        <v>5</v>
      </c>
      <c r="I10">
        <f>INT(_xlfn.PERCENTRANK.EXC(Table1[Sum of Amount spent],Table1[[#This Row],[Sum of Amount spent]],1)*5)+1</f>
        <v>5</v>
      </c>
      <c r="J10" s="14">
        <f ca="1">AVERAGE(Table1[[#This Row],[Recency]:[Monetary]])</f>
        <v>4.333333333333333</v>
      </c>
    </row>
    <row r="11" spans="1:10" x14ac:dyDescent="0.3">
      <c r="A11">
        <v>10</v>
      </c>
      <c r="B11" s="19">
        <v>41191</v>
      </c>
      <c r="C11" s="19">
        <v>40837</v>
      </c>
      <c r="D11" s="37" cm="1">
        <f t="array" aca="1" ref="D11" ca="1">MINVERSE(DATEDIF(Table1[[#This Row],[Max of Date]],NOW(),"D"))</f>
        <v>3.0238887208950711E-4</v>
      </c>
      <c r="E11">
        <v>5</v>
      </c>
      <c r="F11">
        <v>101.38499999999999</v>
      </c>
      <c r="G11">
        <f ca="1">INT(_xlfn.PERCENTRANK.EXC(Table1[Days elapsed],Table1[[#This Row],[Days elapsed]],1)*5)+1</f>
        <v>3</v>
      </c>
      <c r="H11">
        <f>INT(_xlfn.PERCENTRANK.EXC(Table1[Count of Amount spent2],Table1[[#This Row],[Count of Amount spent2]],1)*5)+1</f>
        <v>2</v>
      </c>
      <c r="I11">
        <f>INT(_xlfn.PERCENTRANK.EXC(Table1[Sum of Amount spent],Table1[[#This Row],[Sum of Amount spent]],1)*5)+1</f>
        <v>2</v>
      </c>
      <c r="J11" s="14">
        <f ca="1">AVERAGE(Table1[[#This Row],[Recency]:[Monetary]])</f>
        <v>2.3333333333333335</v>
      </c>
    </row>
    <row r="12" spans="1:10" x14ac:dyDescent="0.3">
      <c r="A12">
        <v>11</v>
      </c>
      <c r="B12" s="19">
        <v>41162</v>
      </c>
      <c r="C12" s="19">
        <v>40862</v>
      </c>
      <c r="D12" s="37" cm="1">
        <f t="array" aca="1" ref="D12" ca="1">MINVERSE(DATEDIF(Table1[[#This Row],[Max of Date]],NOW(),"D"))</f>
        <v>2.9976019184652276E-4</v>
      </c>
      <c r="E12">
        <v>3</v>
      </c>
      <c r="F12">
        <v>36.497</v>
      </c>
      <c r="G12">
        <f ca="1">INT(_xlfn.PERCENTRANK.EXC(Table1[Days elapsed],Table1[[#This Row],[Days elapsed]],1)*5)+1</f>
        <v>3</v>
      </c>
      <c r="H12">
        <f>INT(_xlfn.PERCENTRANK.EXC(Table1[Count of Amount spent2],Table1[[#This Row],[Count of Amount spent2]],1)*5)+1</f>
        <v>1</v>
      </c>
      <c r="I12">
        <f>INT(_xlfn.PERCENTRANK.EXC(Table1[Sum of Amount spent],Table1[[#This Row],[Sum of Amount spent]],1)*5)+1</f>
        <v>1</v>
      </c>
      <c r="J12" s="14">
        <f ca="1">AVERAGE(Table1[[#This Row],[Recency]:[Monetary]])</f>
        <v>1.6666666666666667</v>
      </c>
    </row>
    <row r="13" spans="1:10" x14ac:dyDescent="0.3">
      <c r="A13">
        <v>12</v>
      </c>
      <c r="B13" s="19">
        <v>41216</v>
      </c>
      <c r="C13" s="19">
        <v>41014</v>
      </c>
      <c r="D13" s="37" cm="1">
        <f t="array" aca="1" ref="D13" ca="1">MINVERSE(DATEDIF(Table1[[#This Row],[Max of Date]],NOW(),"D"))</f>
        <v>3.0469226081657528E-4</v>
      </c>
      <c r="E13">
        <v>2</v>
      </c>
      <c r="F13">
        <v>72.265000000000001</v>
      </c>
      <c r="G13">
        <f ca="1">INT(_xlfn.PERCENTRANK.EXC(Table1[Days elapsed],Table1[[#This Row],[Days elapsed]],1)*5)+1</f>
        <v>4</v>
      </c>
      <c r="H13">
        <f>INT(_xlfn.PERCENTRANK.EXC(Table1[Count of Amount spent2],Table1[[#This Row],[Count of Amount spent2]],1)*5)+1</f>
        <v>1</v>
      </c>
      <c r="I13">
        <f>INT(_xlfn.PERCENTRANK.EXC(Table1[Sum of Amount spent],Table1[[#This Row],[Sum of Amount spent]],1)*5)+1</f>
        <v>1</v>
      </c>
      <c r="J13" s="14">
        <f ca="1">AVERAGE(Table1[[#This Row],[Recency]:[Monetary]])</f>
        <v>2</v>
      </c>
    </row>
    <row r="14" spans="1:10" x14ac:dyDescent="0.3">
      <c r="A14">
        <v>13</v>
      </c>
      <c r="B14" s="19">
        <v>41187</v>
      </c>
      <c r="C14" s="19">
        <v>40887</v>
      </c>
      <c r="D14" s="37" cm="1">
        <f t="array" aca="1" ref="D14" ca="1">MINVERSE(DATEDIF(Table1[[#This Row],[Max of Date]],NOW(),"D"))</f>
        <v>3.0202355783751132E-4</v>
      </c>
      <c r="E14">
        <v>3</v>
      </c>
      <c r="F14">
        <v>62.974999999999994</v>
      </c>
      <c r="G14">
        <f ca="1">INT(_xlfn.PERCENTRANK.EXC(Table1[Days elapsed],Table1[[#This Row],[Days elapsed]],1)*5)+1</f>
        <v>3</v>
      </c>
      <c r="H14">
        <f>INT(_xlfn.PERCENTRANK.EXC(Table1[Count of Amount spent2],Table1[[#This Row],[Count of Amount spent2]],1)*5)+1</f>
        <v>1</v>
      </c>
      <c r="I14">
        <f>INT(_xlfn.PERCENTRANK.EXC(Table1[Sum of Amount spent],Table1[[#This Row],[Sum of Amount spent]],1)*5)+1</f>
        <v>1</v>
      </c>
      <c r="J14" s="14">
        <f ca="1">AVERAGE(Table1[[#This Row],[Recency]:[Monetary]])</f>
        <v>1.6666666666666667</v>
      </c>
    </row>
    <row r="15" spans="1:10" x14ac:dyDescent="0.3">
      <c r="A15">
        <v>14</v>
      </c>
      <c r="B15" s="19">
        <v>41241</v>
      </c>
      <c r="C15" s="19">
        <v>40912</v>
      </c>
      <c r="D15" s="37" cm="1">
        <f t="array" aca="1" ref="D15" ca="1">MINVERSE(DATEDIF(Table1[[#This Row],[Max of Date]],NOW(),"D"))</f>
        <v>3.0703101013202335E-4</v>
      </c>
      <c r="E15">
        <v>6</v>
      </c>
      <c r="F15">
        <v>264.33</v>
      </c>
      <c r="G15">
        <f ca="1">INT(_xlfn.PERCENTRANK.EXC(Table1[Days elapsed],Table1[[#This Row],[Days elapsed]],1)*5)+1</f>
        <v>4</v>
      </c>
      <c r="H15">
        <f>INT(_xlfn.PERCENTRANK.EXC(Table1[Count of Amount spent2],Table1[[#This Row],[Count of Amount spent2]],1)*5)+1</f>
        <v>3</v>
      </c>
      <c r="I15">
        <f>INT(_xlfn.PERCENTRANK.EXC(Table1[Sum of Amount spent],Table1[[#This Row],[Sum of Amount spent]],1)*5)+1</f>
        <v>5</v>
      </c>
      <c r="J15" s="14">
        <f ca="1">AVERAGE(Table1[[#This Row],[Recency]:[Monetary]])</f>
        <v>4</v>
      </c>
    </row>
    <row r="16" spans="1:10" x14ac:dyDescent="0.3">
      <c r="A16">
        <v>15</v>
      </c>
      <c r="B16" s="19">
        <v>41266</v>
      </c>
      <c r="C16" s="19">
        <v>41064</v>
      </c>
      <c r="D16" s="37" cm="1">
        <f t="array" aca="1" ref="D16" ca="1">MINVERSE(DATEDIF(Table1[[#This Row],[Max of Date]],NOW(),"D"))</f>
        <v>3.0940594059405941E-4</v>
      </c>
      <c r="E16">
        <v>3</v>
      </c>
      <c r="F16">
        <v>125.07</v>
      </c>
      <c r="G16">
        <f ca="1">INT(_xlfn.PERCENTRANK.EXC(Table1[Days elapsed],Table1[[#This Row],[Days elapsed]],1)*5)+1</f>
        <v>5</v>
      </c>
      <c r="H16">
        <f>INT(_xlfn.PERCENTRANK.EXC(Table1[Count of Amount spent2],Table1[[#This Row],[Count of Amount spent2]],1)*5)+1</f>
        <v>1</v>
      </c>
      <c r="I16">
        <f>INT(_xlfn.PERCENTRANK.EXC(Table1[Sum of Amount spent],Table1[[#This Row],[Sum of Amount spent]],1)*5)+1</f>
        <v>3</v>
      </c>
      <c r="J16" s="14">
        <f ca="1">AVERAGE(Table1[[#This Row],[Recency]:[Monetary]])</f>
        <v>3</v>
      </c>
    </row>
    <row r="17" spans="1:10" x14ac:dyDescent="0.3">
      <c r="A17">
        <v>16</v>
      </c>
      <c r="B17" s="19">
        <v>41237</v>
      </c>
      <c r="C17" s="19">
        <v>40925</v>
      </c>
      <c r="D17" s="37" cm="1">
        <f t="array" aca="1" ref="D17" ca="1">MINVERSE(DATEDIF(Table1[[#This Row],[Max of Date]],NOW(),"D"))</f>
        <v>3.0665440049064706E-4</v>
      </c>
      <c r="E17">
        <v>7</v>
      </c>
      <c r="F17">
        <v>155.172</v>
      </c>
      <c r="G17">
        <f ca="1">INT(_xlfn.PERCENTRANK.EXC(Table1[Days elapsed],Table1[[#This Row],[Days elapsed]],1)*5)+1</f>
        <v>4</v>
      </c>
      <c r="H17">
        <f>INT(_xlfn.PERCENTRANK.EXC(Table1[Count of Amount spent2],Table1[[#This Row],[Count of Amount spent2]],1)*5)+1</f>
        <v>4</v>
      </c>
      <c r="I17">
        <f>INT(_xlfn.PERCENTRANK.EXC(Table1[Sum of Amount spent],Table1[[#This Row],[Sum of Amount spent]],1)*5)+1</f>
        <v>3</v>
      </c>
      <c r="J17" s="14">
        <f ca="1">AVERAGE(Table1[[#This Row],[Recency]:[Monetary]])</f>
        <v>3.6666666666666665</v>
      </c>
    </row>
    <row r="18" spans="1:10" x14ac:dyDescent="0.3">
      <c r="A18">
        <v>17</v>
      </c>
      <c r="B18" s="19">
        <v>41262</v>
      </c>
      <c r="C18" s="19">
        <v>39491</v>
      </c>
      <c r="D18" s="37" cm="1">
        <f t="array" aca="1" ref="D18" ca="1">MINVERSE(DATEDIF(Table1[[#This Row],[Max of Date]],NOW(),"D"))</f>
        <v>3.0902348578491963E-4</v>
      </c>
      <c r="E18">
        <v>6</v>
      </c>
      <c r="F18">
        <v>124.49000000000001</v>
      </c>
      <c r="G18">
        <f ca="1">INT(_xlfn.PERCENTRANK.EXC(Table1[Days elapsed],Table1[[#This Row],[Days elapsed]],1)*5)+1</f>
        <v>5</v>
      </c>
      <c r="H18">
        <f>INT(_xlfn.PERCENTRANK.EXC(Table1[Count of Amount spent2],Table1[[#This Row],[Count of Amount spent2]],1)*5)+1</f>
        <v>3</v>
      </c>
      <c r="I18">
        <f>INT(_xlfn.PERCENTRANK.EXC(Table1[Sum of Amount spent],Table1[[#This Row],[Sum of Amount spent]],1)*5)+1</f>
        <v>3</v>
      </c>
      <c r="J18" s="14">
        <f ca="1">AVERAGE(Table1[[#This Row],[Recency]:[Monetary]])</f>
        <v>3.6666666666666665</v>
      </c>
    </row>
    <row r="19" spans="1:10" x14ac:dyDescent="0.3">
      <c r="A19">
        <v>18</v>
      </c>
      <c r="B19" s="19">
        <v>40761</v>
      </c>
      <c r="C19" s="19">
        <v>40559</v>
      </c>
      <c r="D19" s="37" cm="1">
        <f t="array" aca="1" ref="D19" ca="1">MINVERSE(DATEDIF(Table1[[#This Row],[Max of Date]],NOW(),"D"))</f>
        <v>2.6759432700026759E-4</v>
      </c>
      <c r="E19">
        <v>9</v>
      </c>
      <c r="F19">
        <v>476.25</v>
      </c>
      <c r="G19">
        <f ca="1">INT(_xlfn.PERCENTRANK.EXC(Table1[Days elapsed],Table1[[#This Row],[Days elapsed]],1)*5)+1</f>
        <v>1</v>
      </c>
      <c r="H19">
        <f>INT(_xlfn.PERCENTRANK.EXC(Table1[Count of Amount spent2],Table1[[#This Row],[Count of Amount spent2]],1)*5)+1</f>
        <v>4</v>
      </c>
      <c r="I19">
        <f>INT(_xlfn.PERCENTRANK.EXC(Table1[Sum of Amount spent],Table1[[#This Row],[Sum of Amount spent]],1)*5)+1</f>
        <v>5</v>
      </c>
      <c r="J19" s="14">
        <f ca="1">AVERAGE(Table1[[#This Row],[Recency]:[Monetary]])</f>
        <v>3.3333333333333335</v>
      </c>
    </row>
    <row r="20" spans="1:10" x14ac:dyDescent="0.3">
      <c r="A20">
        <v>19</v>
      </c>
      <c r="B20" s="19">
        <v>40811</v>
      </c>
      <c r="C20" s="19">
        <v>40567</v>
      </c>
      <c r="D20" s="37" cm="1">
        <f t="array" aca="1" ref="D20" ca="1">MINVERSE(DATEDIF(Table1[[#This Row],[Max of Date]],NOW(),"D"))</f>
        <v>2.7122321670735016E-4</v>
      </c>
      <c r="E20">
        <v>7</v>
      </c>
      <c r="F20">
        <v>156.52500000000001</v>
      </c>
      <c r="G20">
        <f ca="1">INT(_xlfn.PERCENTRANK.EXC(Table1[Days elapsed],Table1[[#This Row],[Days elapsed]],1)*5)+1</f>
        <v>1</v>
      </c>
      <c r="H20">
        <f>INT(_xlfn.PERCENTRANK.EXC(Table1[Count of Amount spent2],Table1[[#This Row],[Count of Amount spent2]],1)*5)+1</f>
        <v>4</v>
      </c>
      <c r="I20">
        <f>INT(_xlfn.PERCENTRANK.EXC(Table1[Sum of Amount spent],Table1[[#This Row],[Sum of Amount spent]],1)*5)+1</f>
        <v>4</v>
      </c>
      <c r="J20" s="14">
        <f ca="1">AVERAGE(Table1[[#This Row],[Recency]:[Monetary]])</f>
        <v>3</v>
      </c>
    </row>
    <row r="21" spans="1:10" x14ac:dyDescent="0.3">
      <c r="A21">
        <v>20</v>
      </c>
      <c r="B21" s="19">
        <v>40807</v>
      </c>
      <c r="C21" s="19">
        <v>40106</v>
      </c>
      <c r="D21" s="37" cm="1">
        <f t="array" aca="1" ref="D21" ca="1">MINVERSE(DATEDIF(Table1[[#This Row],[Max of Date]],NOW(),"D"))</f>
        <v>2.70929287455974E-4</v>
      </c>
      <c r="E21">
        <v>6</v>
      </c>
      <c r="F21">
        <v>153.73699999999999</v>
      </c>
      <c r="G21">
        <f ca="1">INT(_xlfn.PERCENTRANK.EXC(Table1[Days elapsed],Table1[[#This Row],[Days elapsed]],1)*5)+1</f>
        <v>1</v>
      </c>
      <c r="H21">
        <f>INT(_xlfn.PERCENTRANK.EXC(Table1[Count of Amount spent2],Table1[[#This Row],[Count of Amount spent2]],1)*5)+1</f>
        <v>3</v>
      </c>
      <c r="I21">
        <f>INT(_xlfn.PERCENTRANK.EXC(Table1[Sum of Amount spent],Table1[[#This Row],[Sum of Amount spent]],1)*5)+1</f>
        <v>3</v>
      </c>
      <c r="J21" s="14">
        <f ca="1">AVERAGE(Table1[[#This Row],[Recency]:[Monetary]])</f>
        <v>2.3333333333333335</v>
      </c>
    </row>
    <row r="22" spans="1:10" x14ac:dyDescent="0.3">
      <c r="A22">
        <v>21</v>
      </c>
      <c r="B22" s="19">
        <v>41087</v>
      </c>
      <c r="C22" s="19">
        <v>40657</v>
      </c>
      <c r="D22" s="37" cm="1">
        <f t="array" aca="1" ref="D22" ca="1">MINVERSE(DATEDIF(Table1[[#This Row],[Max of Date]],NOW(),"D"))</f>
        <v>2.931691586045148E-4</v>
      </c>
      <c r="E22">
        <v>4</v>
      </c>
      <c r="F22">
        <v>90.57</v>
      </c>
      <c r="G22">
        <f ca="1">INT(_xlfn.PERCENTRANK.EXC(Table1[Days elapsed],Table1[[#This Row],[Days elapsed]],1)*5)+1</f>
        <v>2</v>
      </c>
      <c r="H22">
        <f>INT(_xlfn.PERCENTRANK.EXC(Table1[Count of Amount spent2],Table1[[#This Row],[Count of Amount spent2]],1)*5)+1</f>
        <v>2</v>
      </c>
      <c r="I22">
        <f>INT(_xlfn.PERCENTRANK.EXC(Table1[Sum of Amount spent],Table1[[#This Row],[Sum of Amount spent]],1)*5)+1</f>
        <v>1</v>
      </c>
      <c r="J22" s="14">
        <f ca="1">AVERAGE(Table1[[#This Row],[Recency]:[Monetary]])</f>
        <v>1.6666666666666667</v>
      </c>
    </row>
    <row r="23" spans="1:10" x14ac:dyDescent="0.3">
      <c r="A23">
        <v>22</v>
      </c>
      <c r="B23" s="19">
        <v>41264</v>
      </c>
      <c r="C23" s="19">
        <v>40681</v>
      </c>
      <c r="D23" s="37" cm="1">
        <f t="array" aca="1" ref="D23" ca="1">MINVERSE(DATEDIF(Table1[[#This Row],[Max of Date]],NOW(),"D"))</f>
        <v>3.0921459492888067E-4</v>
      </c>
      <c r="E23">
        <v>9</v>
      </c>
      <c r="F23">
        <v>325.11500000000001</v>
      </c>
      <c r="G23">
        <f ca="1">INT(_xlfn.PERCENTRANK.EXC(Table1[Days elapsed],Table1[[#This Row],[Days elapsed]],1)*5)+1</f>
        <v>5</v>
      </c>
      <c r="H23">
        <f>INT(_xlfn.PERCENTRANK.EXC(Table1[Count of Amount spent2],Table1[[#This Row],[Count of Amount spent2]],1)*5)+1</f>
        <v>4</v>
      </c>
      <c r="I23">
        <f>INT(_xlfn.PERCENTRANK.EXC(Table1[Sum of Amount spent],Table1[[#This Row],[Sum of Amount spent]],1)*5)+1</f>
        <v>5</v>
      </c>
      <c r="J23" s="14">
        <f ca="1">AVERAGE(Table1[[#This Row],[Recency]:[Monetary]])</f>
        <v>4.666666666666667</v>
      </c>
    </row>
    <row r="24" spans="1:10" x14ac:dyDescent="0.3">
      <c r="A24">
        <v>23</v>
      </c>
      <c r="B24" s="19">
        <v>41222</v>
      </c>
      <c r="C24" s="19">
        <v>40706</v>
      </c>
      <c r="D24" s="37" cm="1">
        <f t="array" aca="1" ref="D24" ca="1">MINVERSE(DATEDIF(Table1[[#This Row],[Max of Date]],NOW(),"D"))</f>
        <v>3.0525030525030525E-4</v>
      </c>
      <c r="E24">
        <v>2</v>
      </c>
      <c r="F24">
        <v>59.22</v>
      </c>
      <c r="G24">
        <f ca="1">INT(_xlfn.PERCENTRANK.EXC(Table1[Days elapsed],Table1[[#This Row],[Days elapsed]],1)*5)+1</f>
        <v>4</v>
      </c>
      <c r="H24">
        <f>INT(_xlfn.PERCENTRANK.EXC(Table1[Count of Amount spent2],Table1[[#This Row],[Count of Amount spent2]],1)*5)+1</f>
        <v>1</v>
      </c>
      <c r="I24">
        <f>INT(_xlfn.PERCENTRANK.EXC(Table1[Sum of Amount spent],Table1[[#This Row],[Sum of Amount spent]],1)*5)+1</f>
        <v>1</v>
      </c>
      <c r="J24" s="14">
        <f ca="1">AVERAGE(Table1[[#This Row],[Recency]:[Monetary]])</f>
        <v>2</v>
      </c>
    </row>
    <row r="25" spans="1:10" x14ac:dyDescent="0.3">
      <c r="A25">
        <v>24</v>
      </c>
      <c r="B25" s="19">
        <v>41247</v>
      </c>
      <c r="C25" s="19">
        <v>40558</v>
      </c>
      <c r="D25" s="37" cm="1">
        <f t="array" aca="1" ref="D25" ca="1">MINVERSE(DATEDIF(Table1[[#This Row],[Max of Date]],NOW(),"D"))</f>
        <v>3.0759766225776686E-4</v>
      </c>
      <c r="E25">
        <v>7</v>
      </c>
      <c r="F25">
        <v>114.14499999999998</v>
      </c>
      <c r="G25">
        <f ca="1">INT(_xlfn.PERCENTRANK.EXC(Table1[Days elapsed],Table1[[#This Row],[Days elapsed]],1)*5)+1</f>
        <v>5</v>
      </c>
      <c r="H25">
        <f>INT(_xlfn.PERCENTRANK.EXC(Table1[Count of Amount spent2],Table1[[#This Row],[Count of Amount spent2]],1)*5)+1</f>
        <v>4</v>
      </c>
      <c r="I25">
        <f>INT(_xlfn.PERCENTRANK.EXC(Table1[Sum of Amount spent],Table1[[#This Row],[Sum of Amount spent]],1)*5)+1</f>
        <v>2</v>
      </c>
      <c r="J25" s="14">
        <f ca="1">AVERAGE(Table1[[#This Row],[Recency]:[Monetary]])</f>
        <v>3.6666666666666665</v>
      </c>
    </row>
    <row r="26" spans="1:10" x14ac:dyDescent="0.3">
      <c r="A26">
        <v>25</v>
      </c>
      <c r="B26" s="19">
        <v>41272</v>
      </c>
      <c r="C26" s="19">
        <v>40584</v>
      </c>
      <c r="D26" s="37" cm="1">
        <f t="array" aca="1" ref="D26" ca="1">MINVERSE(DATEDIF(Table1[[#This Row],[Max of Date]],NOW(),"D"))</f>
        <v>3.0998140111593303E-4</v>
      </c>
      <c r="E26">
        <v>9</v>
      </c>
      <c r="F26">
        <v>197.846</v>
      </c>
      <c r="G26">
        <f ca="1">INT(_xlfn.PERCENTRANK.EXC(Table1[Days elapsed],Table1[[#This Row],[Days elapsed]],1)*5)+1</f>
        <v>5</v>
      </c>
      <c r="H26">
        <f>INT(_xlfn.PERCENTRANK.EXC(Table1[Count of Amount spent2],Table1[[#This Row],[Count of Amount spent2]],1)*5)+1</f>
        <v>4</v>
      </c>
      <c r="I26">
        <f>INT(_xlfn.PERCENTRANK.EXC(Table1[Sum of Amount spent],Table1[[#This Row],[Sum of Amount spent]],1)*5)+1</f>
        <v>4</v>
      </c>
      <c r="J26" s="14">
        <f ca="1">AVERAGE(Table1[[#This Row],[Recency]:[Monetary]])</f>
        <v>4.333333333333333</v>
      </c>
    </row>
    <row r="27" spans="1:10" x14ac:dyDescent="0.3">
      <c r="A27">
        <v>26</v>
      </c>
      <c r="B27" s="19">
        <v>41212</v>
      </c>
      <c r="C27" s="19">
        <v>40567</v>
      </c>
      <c r="D27" s="37" cm="1">
        <f t="array" aca="1" ref="D27" ca="1">MINVERSE(DATEDIF(Table1[[#This Row],[Max of Date]],NOW(),"D"))</f>
        <v>3.0432136335970786E-4</v>
      </c>
      <c r="E27">
        <v>6</v>
      </c>
      <c r="F27">
        <v>106.19</v>
      </c>
      <c r="G27">
        <f ca="1">INT(_xlfn.PERCENTRANK.EXC(Table1[Days elapsed],Table1[[#This Row],[Days elapsed]],1)*5)+1</f>
        <v>4</v>
      </c>
      <c r="H27">
        <f>INT(_xlfn.PERCENTRANK.EXC(Table1[Count of Amount spent2],Table1[[#This Row],[Count of Amount spent2]],1)*5)+1</f>
        <v>3</v>
      </c>
      <c r="I27">
        <f>INT(_xlfn.PERCENTRANK.EXC(Table1[Sum of Amount spent],Table1[[#This Row],[Sum of Amount spent]],1)*5)+1</f>
        <v>2</v>
      </c>
      <c r="J27" s="14">
        <f ca="1">AVERAGE(Table1[[#This Row],[Recency]:[Monetary]])</f>
        <v>3</v>
      </c>
    </row>
    <row r="28" spans="1:10" x14ac:dyDescent="0.3">
      <c r="A28">
        <v>27</v>
      </c>
      <c r="B28" s="19">
        <v>41237</v>
      </c>
      <c r="C28" s="19">
        <v>40592</v>
      </c>
      <c r="D28" s="37" cm="1">
        <f t="array" aca="1" ref="D28" ca="1">MINVERSE(DATEDIF(Table1[[#This Row],[Max of Date]],NOW(),"D"))</f>
        <v>3.0665440049064706E-4</v>
      </c>
      <c r="E28">
        <v>6</v>
      </c>
      <c r="F28">
        <v>185.6</v>
      </c>
      <c r="G28">
        <f ca="1">INT(_xlfn.PERCENTRANK.EXC(Table1[Days elapsed],Table1[[#This Row],[Days elapsed]],1)*5)+1</f>
        <v>4</v>
      </c>
      <c r="H28">
        <f>INT(_xlfn.PERCENTRANK.EXC(Table1[Count of Amount spent2],Table1[[#This Row],[Count of Amount spent2]],1)*5)+1</f>
        <v>3</v>
      </c>
      <c r="I28">
        <f>INT(_xlfn.PERCENTRANK.EXC(Table1[Sum of Amount spent],Table1[[#This Row],[Sum of Amount spent]],1)*5)+1</f>
        <v>4</v>
      </c>
      <c r="J28" s="14">
        <f ca="1">AVERAGE(Table1[[#This Row],[Recency]:[Monetary]])</f>
        <v>3.6666666666666665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2F832-7831-E64D-85FB-F17AE5C2CDC8}">
  <dimension ref="A1:H18"/>
  <sheetViews>
    <sheetView showGridLines="0" workbookViewId="0">
      <selection activeCell="E14" sqref="E14"/>
    </sheetView>
  </sheetViews>
  <sheetFormatPr defaultColWidth="11.5546875" defaultRowHeight="14.4" x14ac:dyDescent="0.3"/>
  <cols>
    <col min="1" max="1" width="2.33203125" customWidth="1"/>
    <col min="2" max="2" width="6.109375" bestFit="1" customWidth="1"/>
    <col min="3" max="3" width="20.33203125" bestFit="1" customWidth="1"/>
    <col min="4" max="5" width="12.109375" bestFit="1" customWidth="1"/>
    <col min="6" max="6" width="9.6640625" bestFit="1" customWidth="1"/>
    <col min="7" max="7" width="11.109375" bestFit="1" customWidth="1"/>
    <col min="8" max="8" width="12.109375" bestFit="1" customWidth="1"/>
  </cols>
  <sheetData>
    <row r="1" spans="1:8" x14ac:dyDescent="0.3">
      <c r="A1" s="1" t="s">
        <v>89</v>
      </c>
    </row>
    <row r="2" spans="1:8" x14ac:dyDescent="0.3">
      <c r="A2" s="1" t="s">
        <v>90</v>
      </c>
    </row>
    <row r="3" spans="1:8" x14ac:dyDescent="0.3">
      <c r="A3" s="1" t="s">
        <v>116</v>
      </c>
    </row>
    <row r="6" spans="1:8" ht="15" thickBot="1" x14ac:dyDescent="0.35">
      <c r="A6" t="s">
        <v>91</v>
      </c>
    </row>
    <row r="7" spans="1:8" x14ac:dyDescent="0.3">
      <c r="B7" s="31"/>
      <c r="C7" s="31"/>
      <c r="D7" s="31" t="s">
        <v>94</v>
      </c>
      <c r="E7" s="31" t="s">
        <v>96</v>
      </c>
      <c r="F7" s="31" t="s">
        <v>98</v>
      </c>
      <c r="G7" s="31" t="s">
        <v>100</v>
      </c>
      <c r="H7" s="31" t="s">
        <v>100</v>
      </c>
    </row>
    <row r="8" spans="1:8" ht="15" thickBot="1" x14ac:dyDescent="0.35">
      <c r="B8" s="32" t="s">
        <v>92</v>
      </c>
      <c r="C8" s="32" t="s">
        <v>93</v>
      </c>
      <c r="D8" s="32" t="s">
        <v>95</v>
      </c>
      <c r="E8" s="32" t="s">
        <v>97</v>
      </c>
      <c r="F8" s="32" t="s">
        <v>99</v>
      </c>
      <c r="G8" s="32" t="s">
        <v>101</v>
      </c>
      <c r="H8" s="32" t="s">
        <v>102</v>
      </c>
    </row>
    <row r="9" spans="1:8" x14ac:dyDescent="0.3">
      <c r="B9" s="29" t="s">
        <v>106</v>
      </c>
      <c r="C9" s="29" t="s">
        <v>32</v>
      </c>
      <c r="D9" s="29">
        <v>55.172413793103438</v>
      </c>
      <c r="E9" s="29">
        <v>0</v>
      </c>
      <c r="F9" s="29">
        <v>325</v>
      </c>
      <c r="G9" s="29">
        <v>112.49999999999996</v>
      </c>
      <c r="H9" s="29">
        <v>169.4444444444444</v>
      </c>
    </row>
    <row r="10" spans="1:8" ht="15" thickBot="1" x14ac:dyDescent="0.35">
      <c r="B10" s="30" t="s">
        <v>107</v>
      </c>
      <c r="C10" s="30" t="s">
        <v>21</v>
      </c>
      <c r="D10" s="30">
        <v>131.0344827586207</v>
      </c>
      <c r="E10" s="30">
        <v>0</v>
      </c>
      <c r="F10" s="30">
        <v>350</v>
      </c>
      <c r="G10" s="30">
        <v>381.24999999999989</v>
      </c>
      <c r="H10" s="30">
        <v>89.999999999999972</v>
      </c>
    </row>
    <row r="12" spans="1:8" ht="15" thickBot="1" x14ac:dyDescent="0.35">
      <c r="A12" t="s">
        <v>0</v>
      </c>
    </row>
    <row r="13" spans="1:8" x14ac:dyDescent="0.3">
      <c r="B13" s="31"/>
      <c r="C13" s="31"/>
      <c r="D13" s="31" t="s">
        <v>94</v>
      </c>
      <c r="E13" s="31" t="s">
        <v>103</v>
      </c>
      <c r="F13" s="31" t="s">
        <v>1</v>
      </c>
      <c r="G13" s="31" t="s">
        <v>100</v>
      </c>
      <c r="H13" s="31" t="s">
        <v>100</v>
      </c>
    </row>
    <row r="14" spans="1:8" ht="15" thickBot="1" x14ac:dyDescent="0.35">
      <c r="B14" s="32" t="s">
        <v>92</v>
      </c>
      <c r="C14" s="32" t="s">
        <v>93</v>
      </c>
      <c r="D14" s="32" t="s">
        <v>95</v>
      </c>
      <c r="E14" s="32" t="s">
        <v>104</v>
      </c>
      <c r="F14" s="32" t="s">
        <v>105</v>
      </c>
      <c r="G14" s="32" t="s">
        <v>101</v>
      </c>
      <c r="H14" s="32" t="s">
        <v>102</v>
      </c>
    </row>
    <row r="15" spans="1:8" x14ac:dyDescent="0.3">
      <c r="B15" s="29" t="s">
        <v>108</v>
      </c>
      <c r="C15" s="29" t="s">
        <v>109</v>
      </c>
      <c r="D15" s="29">
        <v>80</v>
      </c>
      <c r="E15" s="29">
        <v>525.86206896551698</v>
      </c>
      <c r="F15" s="29">
        <v>80</v>
      </c>
      <c r="G15" s="29">
        <v>32.297297297297298</v>
      </c>
      <c r="H15" s="29">
        <v>17.777777777777771</v>
      </c>
    </row>
    <row r="16" spans="1:8" x14ac:dyDescent="0.3">
      <c r="B16" s="29" t="s">
        <v>110</v>
      </c>
      <c r="C16" s="29" t="s">
        <v>111</v>
      </c>
      <c r="D16" s="29">
        <v>70</v>
      </c>
      <c r="E16" s="29">
        <v>310.34482758620686</v>
      </c>
      <c r="F16" s="29">
        <v>70</v>
      </c>
      <c r="G16" s="29">
        <v>19.999999999999993</v>
      </c>
      <c r="H16" s="29">
        <v>37.999999999999993</v>
      </c>
    </row>
    <row r="17" spans="2:8" x14ac:dyDescent="0.3">
      <c r="B17" s="29" t="s">
        <v>112</v>
      </c>
      <c r="C17" s="29" t="s">
        <v>113</v>
      </c>
      <c r="D17" s="29">
        <v>57.034482758620683</v>
      </c>
      <c r="E17" s="29">
        <v>0</v>
      </c>
      <c r="F17" s="29">
        <v>90</v>
      </c>
      <c r="G17" s="29">
        <v>1E+30</v>
      </c>
      <c r="H17" s="29">
        <v>32.965517241379317</v>
      </c>
    </row>
    <row r="18" spans="2:8" ht="15" thickBot="1" x14ac:dyDescent="0.35">
      <c r="B18" s="30" t="s">
        <v>114</v>
      </c>
      <c r="C18" s="30" t="s">
        <v>115</v>
      </c>
      <c r="D18" s="30">
        <v>186.20689655172413</v>
      </c>
      <c r="E18" s="30">
        <v>0</v>
      </c>
      <c r="F18" s="30">
        <v>400</v>
      </c>
      <c r="G18" s="30">
        <v>1E+30</v>
      </c>
      <c r="H18" s="30">
        <v>213.79310344827584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1"/>
  <sheetViews>
    <sheetView topLeftCell="A4" workbookViewId="0">
      <selection activeCell="E26" sqref="E26"/>
    </sheetView>
  </sheetViews>
  <sheetFormatPr defaultColWidth="9.109375" defaultRowHeight="14.4" x14ac:dyDescent="0.3"/>
  <cols>
    <col min="1" max="1" width="14.33203125" customWidth="1"/>
    <col min="2" max="2" width="12" customWidth="1"/>
    <col min="4" max="4" width="10.109375" customWidth="1"/>
    <col min="6" max="6" width="10.77734375" customWidth="1"/>
  </cols>
  <sheetData>
    <row r="1" spans="1:16" ht="22.5" customHeight="1" x14ac:dyDescent="0.3">
      <c r="A1" s="1" t="s">
        <v>17</v>
      </c>
      <c r="B1" s="4" t="s">
        <v>14</v>
      </c>
      <c r="C1" s="4"/>
      <c r="H1" s="1" t="s">
        <v>74</v>
      </c>
    </row>
    <row r="2" spans="1:16" x14ac:dyDescent="0.3">
      <c r="B2" t="s">
        <v>32</v>
      </c>
      <c r="C2" t="s">
        <v>21</v>
      </c>
      <c r="H2" s="58" t="s">
        <v>53</v>
      </c>
      <c r="I2" s="62"/>
      <c r="J2" s="62"/>
      <c r="K2" s="62"/>
      <c r="L2" s="62"/>
      <c r="M2" s="62"/>
      <c r="N2" s="62"/>
      <c r="O2" s="62"/>
      <c r="P2" s="59"/>
    </row>
    <row r="3" spans="1:16" x14ac:dyDescent="0.3">
      <c r="A3" t="s">
        <v>22</v>
      </c>
      <c r="B3" s="7">
        <v>0.5</v>
      </c>
      <c r="C3" s="7">
        <v>0.4</v>
      </c>
      <c r="H3" s="63"/>
      <c r="I3" s="64"/>
      <c r="J3" s="64"/>
      <c r="K3" s="64"/>
      <c r="L3" s="64"/>
      <c r="M3" s="64"/>
      <c r="N3" s="64"/>
      <c r="O3" s="64"/>
      <c r="P3" s="65"/>
    </row>
    <row r="4" spans="1:16" x14ac:dyDescent="0.3">
      <c r="A4" t="s">
        <v>23</v>
      </c>
      <c r="B4" s="7">
        <v>0.2</v>
      </c>
      <c r="C4" s="7">
        <v>0.45</v>
      </c>
      <c r="H4" s="63"/>
      <c r="I4" s="64"/>
      <c r="J4" s="64"/>
      <c r="K4" s="64"/>
      <c r="L4" s="64"/>
      <c r="M4" s="64"/>
      <c r="N4" s="64"/>
      <c r="O4" s="64"/>
      <c r="P4" s="65"/>
    </row>
    <row r="5" spans="1:16" x14ac:dyDescent="0.3">
      <c r="A5" t="s">
        <v>24</v>
      </c>
      <c r="B5" s="7">
        <v>0.44</v>
      </c>
      <c r="C5" s="7">
        <v>0.25</v>
      </c>
      <c r="H5" s="63"/>
      <c r="I5" s="64"/>
      <c r="J5" s="64"/>
      <c r="K5" s="64"/>
      <c r="L5" s="64"/>
      <c r="M5" s="64"/>
      <c r="N5" s="64"/>
      <c r="O5" s="64"/>
      <c r="P5" s="65"/>
    </row>
    <row r="6" spans="1:16" x14ac:dyDescent="0.3">
      <c r="A6" t="s">
        <v>30</v>
      </c>
      <c r="B6" s="7">
        <v>1</v>
      </c>
      <c r="C6" s="7">
        <v>1</v>
      </c>
      <c r="H6" s="63"/>
      <c r="I6" s="64"/>
      <c r="J6" s="64"/>
      <c r="K6" s="64"/>
      <c r="L6" s="64"/>
      <c r="M6" s="64"/>
      <c r="N6" s="64"/>
      <c r="O6" s="64"/>
      <c r="P6" s="65"/>
    </row>
    <row r="7" spans="1:16" x14ac:dyDescent="0.3">
      <c r="H7" s="63"/>
      <c r="I7" s="64"/>
      <c r="J7" s="64"/>
      <c r="K7" s="64"/>
      <c r="L7" s="64"/>
      <c r="M7" s="64"/>
      <c r="N7" s="64"/>
      <c r="O7" s="64"/>
      <c r="P7" s="65"/>
    </row>
    <row r="8" spans="1:16" ht="25.5" customHeight="1" x14ac:dyDescent="0.3">
      <c r="A8" s="3" t="s">
        <v>31</v>
      </c>
      <c r="B8" s="4"/>
      <c r="C8" s="4"/>
      <c r="H8" s="63"/>
      <c r="I8" s="64"/>
      <c r="J8" s="64"/>
      <c r="K8" s="64"/>
      <c r="L8" s="64"/>
      <c r="M8" s="64"/>
      <c r="N8" s="64"/>
      <c r="O8" s="64"/>
      <c r="P8" s="65"/>
    </row>
    <row r="9" spans="1:16" x14ac:dyDescent="0.3">
      <c r="B9" t="s">
        <v>32</v>
      </c>
      <c r="C9" t="s">
        <v>21</v>
      </c>
      <c r="H9" s="63"/>
      <c r="I9" s="64"/>
      <c r="J9" s="64"/>
      <c r="K9" s="64"/>
      <c r="L9" s="64"/>
      <c r="M9" s="64"/>
      <c r="N9" s="64"/>
      <c r="O9" s="64"/>
      <c r="P9" s="65"/>
    </row>
    <row r="10" spans="1:16" x14ac:dyDescent="0.3">
      <c r="B10" s="6">
        <v>55.172413793103438</v>
      </c>
      <c r="C10" s="6">
        <v>131.0344827586207</v>
      </c>
      <c r="D10" s="4"/>
      <c r="H10" s="63"/>
      <c r="I10" s="64"/>
      <c r="J10" s="64"/>
      <c r="K10" s="64"/>
      <c r="L10" s="64"/>
      <c r="M10" s="64"/>
      <c r="N10" s="64"/>
      <c r="O10" s="64"/>
      <c r="P10" s="65"/>
    </row>
    <row r="11" spans="1:16" x14ac:dyDescent="0.3">
      <c r="A11" s="4"/>
      <c r="B11" s="4"/>
      <c r="C11" s="4"/>
      <c r="D11" s="4"/>
      <c r="H11" s="63"/>
      <c r="I11" s="64"/>
      <c r="J11" s="64"/>
      <c r="K11" s="64"/>
      <c r="L11" s="64"/>
      <c r="M11" s="64"/>
      <c r="N11" s="64"/>
      <c r="O11" s="64"/>
      <c r="P11" s="65"/>
    </row>
    <row r="12" spans="1:16" ht="24" customHeight="1" x14ac:dyDescent="0.3">
      <c r="A12" s="3" t="s">
        <v>18</v>
      </c>
      <c r="B12" s="4"/>
      <c r="C12" s="4"/>
      <c r="D12" s="4" t="s">
        <v>1</v>
      </c>
      <c r="H12" s="63"/>
      <c r="I12" s="64"/>
      <c r="J12" s="64"/>
      <c r="K12" s="64"/>
      <c r="L12" s="64"/>
      <c r="M12" s="64"/>
      <c r="N12" s="64"/>
      <c r="O12" s="64"/>
      <c r="P12" s="65"/>
    </row>
    <row r="13" spans="1:16" x14ac:dyDescent="0.3">
      <c r="A13" t="s">
        <v>25</v>
      </c>
      <c r="H13" s="63"/>
      <c r="I13" s="64"/>
      <c r="J13" s="64"/>
      <c r="K13" s="64"/>
      <c r="L13" s="64"/>
      <c r="M13" s="64"/>
      <c r="N13" s="64"/>
      <c r="O13" s="64"/>
      <c r="P13" s="65"/>
    </row>
    <row r="14" spans="1:16" x14ac:dyDescent="0.3">
      <c r="A14" t="s">
        <v>26</v>
      </c>
      <c r="B14" s="4">
        <f>SUMPRODUCT(B3:C3,$B$10:$C$10)</f>
        <v>80</v>
      </c>
      <c r="C14" s="5" t="s">
        <v>16</v>
      </c>
      <c r="D14" s="7">
        <v>80</v>
      </c>
      <c r="H14" s="63"/>
      <c r="I14" s="64"/>
      <c r="J14" s="64"/>
      <c r="K14" s="64"/>
      <c r="L14" s="64"/>
      <c r="M14" s="64"/>
      <c r="N14" s="64"/>
      <c r="O14" s="64"/>
      <c r="P14" s="65"/>
    </row>
    <row r="15" spans="1:16" x14ac:dyDescent="0.3">
      <c r="A15" t="s">
        <v>27</v>
      </c>
      <c r="B15" s="4">
        <f>SUMPRODUCT(B4:C4,$B$10:$C$10)</f>
        <v>70</v>
      </c>
      <c r="C15" s="5" t="s">
        <v>16</v>
      </c>
      <c r="D15" s="7">
        <v>70</v>
      </c>
      <c r="H15" s="63"/>
      <c r="I15" s="64"/>
      <c r="J15" s="64"/>
      <c r="K15" s="64"/>
      <c r="L15" s="64"/>
      <c r="M15" s="64"/>
      <c r="N15" s="64"/>
      <c r="O15" s="64"/>
      <c r="P15" s="65"/>
    </row>
    <row r="16" spans="1:16" x14ac:dyDescent="0.3">
      <c r="A16" t="s">
        <v>28</v>
      </c>
      <c r="B16" s="4">
        <f t="shared" ref="B16:B17" si="0">SUMPRODUCT(B5:C5,$B$10:$C$10)</f>
        <v>57.034482758620683</v>
      </c>
      <c r="C16" s="5" t="s">
        <v>16</v>
      </c>
      <c r="D16" s="7">
        <v>90</v>
      </c>
      <c r="H16" s="63"/>
      <c r="I16" s="64"/>
      <c r="J16" s="64"/>
      <c r="K16" s="64"/>
      <c r="L16" s="64"/>
      <c r="M16" s="64"/>
      <c r="N16" s="64"/>
      <c r="O16" s="64"/>
      <c r="P16" s="65"/>
    </row>
    <row r="17" spans="1:18" x14ac:dyDescent="0.3">
      <c r="A17" t="s">
        <v>29</v>
      </c>
      <c r="B17" s="4">
        <f t="shared" si="0"/>
        <v>186.20689655172413</v>
      </c>
      <c r="C17" s="5" t="s">
        <v>16</v>
      </c>
      <c r="D17" s="7">
        <v>400</v>
      </c>
      <c r="H17" s="63"/>
      <c r="I17" s="64"/>
      <c r="J17" s="64"/>
      <c r="K17" s="64"/>
      <c r="L17" s="64"/>
      <c r="M17" s="64"/>
      <c r="N17" s="64"/>
      <c r="O17" s="64"/>
      <c r="P17" s="65"/>
    </row>
    <row r="18" spans="1:18" x14ac:dyDescent="0.3">
      <c r="H18" s="63"/>
      <c r="I18" s="64"/>
      <c r="J18" s="64"/>
      <c r="K18" s="64"/>
      <c r="L18" s="64"/>
      <c r="M18" s="64"/>
      <c r="N18" s="64"/>
      <c r="O18" s="64"/>
      <c r="P18" s="65"/>
    </row>
    <row r="19" spans="1:18" ht="22.5" customHeight="1" x14ac:dyDescent="0.3">
      <c r="A19" s="3" t="s">
        <v>19</v>
      </c>
      <c r="H19" s="60"/>
      <c r="I19" s="66"/>
      <c r="J19" s="66"/>
      <c r="K19" s="66"/>
      <c r="L19" s="66"/>
      <c r="M19" s="66"/>
      <c r="N19" s="66"/>
      <c r="O19" s="66"/>
      <c r="P19" s="61"/>
    </row>
    <row r="20" spans="1:18" x14ac:dyDescent="0.3">
      <c r="B20" t="s">
        <v>32</v>
      </c>
      <c r="C20" t="s">
        <v>21</v>
      </c>
    </row>
    <row r="21" spans="1:18" ht="22.8" x14ac:dyDescent="0.3">
      <c r="A21" t="s">
        <v>20</v>
      </c>
      <c r="B21" s="7">
        <v>325</v>
      </c>
      <c r="C21" s="7">
        <v>350</v>
      </c>
      <c r="H21" s="1" t="s">
        <v>75</v>
      </c>
      <c r="I21" s="11"/>
    </row>
    <row r="22" spans="1:18" ht="15.6" customHeight="1" x14ac:dyDescent="0.3">
      <c r="A22" t="s">
        <v>88</v>
      </c>
      <c r="B22">
        <f>B21*B10</f>
        <v>17931.034482758616</v>
      </c>
      <c r="C22">
        <f>C21*C10</f>
        <v>45862.068965517246</v>
      </c>
      <c r="H22" s="73" t="s">
        <v>117</v>
      </c>
      <c r="I22" s="74"/>
      <c r="J22" s="74"/>
      <c r="K22" s="74"/>
      <c r="L22" s="74"/>
      <c r="M22" s="74"/>
      <c r="N22" s="74"/>
      <c r="O22" s="74"/>
      <c r="P22" s="75"/>
    </row>
    <row r="23" spans="1:18" x14ac:dyDescent="0.3">
      <c r="A23" s="4" t="s">
        <v>15</v>
      </c>
      <c r="B23" s="8">
        <f>B22+C22</f>
        <v>63793.103448275862</v>
      </c>
      <c r="H23" s="76"/>
      <c r="I23" s="77"/>
      <c r="J23" s="77"/>
      <c r="K23" s="77"/>
      <c r="L23" s="77"/>
      <c r="M23" s="77"/>
      <c r="N23" s="77"/>
      <c r="O23" s="77"/>
      <c r="P23" s="78"/>
    </row>
    <row r="24" spans="1:18" x14ac:dyDescent="0.3">
      <c r="H24" s="79"/>
      <c r="I24" s="80"/>
      <c r="J24" s="80"/>
      <c r="K24" s="80"/>
      <c r="L24" s="80"/>
      <c r="M24" s="80"/>
      <c r="N24" s="80"/>
      <c r="O24" s="80"/>
      <c r="P24" s="81"/>
    </row>
    <row r="25" spans="1:18" ht="16.2" x14ac:dyDescent="0.3">
      <c r="D25" s="36"/>
      <c r="H25" s="1" t="s">
        <v>76</v>
      </c>
    </row>
    <row r="26" spans="1:18" x14ac:dyDescent="0.3">
      <c r="B26" s="34"/>
      <c r="D26" s="34"/>
      <c r="H26" s="67" t="s">
        <v>118</v>
      </c>
      <c r="I26" s="68"/>
      <c r="J26" s="68"/>
      <c r="K26" s="68"/>
      <c r="L26" s="68"/>
      <c r="M26" s="68"/>
      <c r="N26" s="68"/>
      <c r="O26" s="68"/>
      <c r="P26" s="69"/>
    </row>
    <row r="27" spans="1:18" x14ac:dyDescent="0.3">
      <c r="D27" s="35"/>
      <c r="H27" s="70"/>
      <c r="I27" s="71"/>
      <c r="J27" s="71"/>
      <c r="K27" s="71"/>
      <c r="L27" s="71"/>
      <c r="M27" s="71"/>
      <c r="N27" s="71"/>
      <c r="O27" s="71"/>
      <c r="P27" s="72"/>
    </row>
    <row r="29" spans="1:18" x14ac:dyDescent="0.3">
      <c r="H29" s="3"/>
      <c r="I29" s="4"/>
      <c r="J29" s="4"/>
      <c r="K29" s="4"/>
      <c r="L29" s="4"/>
      <c r="M29" s="4"/>
      <c r="N29" s="4"/>
      <c r="O29" s="4"/>
      <c r="P29" s="4"/>
      <c r="Q29" s="4"/>
      <c r="R29" s="4"/>
    </row>
    <row r="30" spans="1:18" x14ac:dyDescent="0.3">
      <c r="H30" s="16"/>
      <c r="I30" s="16"/>
      <c r="J30" s="16"/>
      <c r="K30" s="16"/>
      <c r="L30" s="16"/>
      <c r="M30" s="16"/>
      <c r="N30" s="16"/>
      <c r="O30" s="16"/>
      <c r="P30" s="16"/>
      <c r="Q30" s="4"/>
      <c r="R30" s="4"/>
    </row>
    <row r="31" spans="1:18" x14ac:dyDescent="0.3">
      <c r="H31" s="16"/>
      <c r="I31" s="16"/>
      <c r="J31" s="16"/>
      <c r="K31" s="16"/>
      <c r="L31" s="16"/>
      <c r="M31" s="16"/>
      <c r="N31" s="16"/>
      <c r="O31" s="16"/>
      <c r="P31" s="16"/>
      <c r="Q31" s="4"/>
      <c r="R31" s="4"/>
    </row>
  </sheetData>
  <mergeCells count="3">
    <mergeCell ref="H2:P19"/>
    <mergeCell ref="H26:P27"/>
    <mergeCell ref="H22:P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B6650-B321-49DD-9B23-36801CF36161}">
  <dimension ref="A1:R43"/>
  <sheetViews>
    <sheetView topLeftCell="A19" workbookViewId="0">
      <selection activeCell="K31" sqref="K31:M34"/>
    </sheetView>
  </sheetViews>
  <sheetFormatPr defaultColWidth="9.109375" defaultRowHeight="14.4" x14ac:dyDescent="0.3"/>
  <cols>
    <col min="1" max="1" width="14.33203125" customWidth="1"/>
    <col min="2" max="2" width="12" customWidth="1"/>
    <col min="4" max="4" width="9.6640625" customWidth="1"/>
    <col min="6" max="6" width="10.77734375" customWidth="1"/>
    <col min="7" max="7" width="18.109375" bestFit="1" customWidth="1"/>
    <col min="10" max="10" width="24.77734375" customWidth="1"/>
    <col min="11" max="11" width="10.44140625" customWidth="1"/>
    <col min="12" max="12" width="11.44140625" bestFit="1" customWidth="1"/>
    <col min="13" max="13" width="11" customWidth="1"/>
  </cols>
  <sheetData>
    <row r="1" spans="1:18" x14ac:dyDescent="0.3">
      <c r="A1" s="1" t="s">
        <v>17</v>
      </c>
      <c r="B1" s="4" t="s">
        <v>14</v>
      </c>
      <c r="C1" s="4"/>
      <c r="G1" t="s">
        <v>37</v>
      </c>
      <c r="J1" s="1" t="s">
        <v>77</v>
      </c>
    </row>
    <row r="2" spans="1:18" ht="15" customHeight="1" x14ac:dyDescent="0.3">
      <c r="B2" t="s">
        <v>32</v>
      </c>
      <c r="C2" t="s">
        <v>21</v>
      </c>
      <c r="G2" t="s">
        <v>32</v>
      </c>
      <c r="H2" t="s">
        <v>21</v>
      </c>
      <c r="J2" s="58" t="s">
        <v>87</v>
      </c>
      <c r="K2" s="62"/>
      <c r="L2" s="62"/>
      <c r="M2" s="62"/>
      <c r="N2" s="62"/>
      <c r="O2" s="62"/>
      <c r="P2" s="62"/>
      <c r="Q2" s="59"/>
      <c r="R2" s="12"/>
    </row>
    <row r="3" spans="1:18" x14ac:dyDescent="0.3">
      <c r="A3" t="s">
        <v>22</v>
      </c>
      <c r="B3" s="7">
        <f>(1+$E$3)*G3</f>
        <v>0.5</v>
      </c>
      <c r="C3" s="7">
        <f>(1+$E$3)*H3</f>
        <v>0.4</v>
      </c>
      <c r="E3" s="10">
        <v>0</v>
      </c>
      <c r="G3" s="7">
        <v>0.5</v>
      </c>
      <c r="H3" s="7">
        <v>0.4</v>
      </c>
      <c r="J3" s="63"/>
      <c r="K3" s="64"/>
      <c r="L3" s="64"/>
      <c r="M3" s="64"/>
      <c r="N3" s="64"/>
      <c r="O3" s="64"/>
      <c r="P3" s="64"/>
      <c r="Q3" s="65"/>
      <c r="R3" s="12"/>
    </row>
    <row r="4" spans="1:18" x14ac:dyDescent="0.3">
      <c r="A4" t="s">
        <v>23</v>
      </c>
      <c r="B4" s="7">
        <f t="shared" ref="B4:C6" si="0">(1+$E$3)*G4</f>
        <v>0.2</v>
      </c>
      <c r="C4" s="7">
        <f t="shared" si="0"/>
        <v>0.45</v>
      </c>
      <c r="G4" s="7">
        <v>0.2</v>
      </c>
      <c r="H4" s="7">
        <v>0.45</v>
      </c>
      <c r="J4" s="63"/>
      <c r="K4" s="64"/>
      <c r="L4" s="64"/>
      <c r="M4" s="64"/>
      <c r="N4" s="64"/>
      <c r="O4" s="64"/>
      <c r="P4" s="64"/>
      <c r="Q4" s="65"/>
      <c r="R4" s="12"/>
    </row>
    <row r="5" spans="1:18" x14ac:dyDescent="0.3">
      <c r="A5" t="s">
        <v>24</v>
      </c>
      <c r="B5" s="7">
        <f t="shared" si="0"/>
        <v>0.44</v>
      </c>
      <c r="C5" s="7">
        <f t="shared" si="0"/>
        <v>0.25</v>
      </c>
      <c r="G5" s="7">
        <v>0.44</v>
      </c>
      <c r="H5" s="7">
        <v>0.25</v>
      </c>
      <c r="J5" s="63"/>
      <c r="K5" s="64"/>
      <c r="L5" s="64"/>
      <c r="M5" s="64"/>
      <c r="N5" s="64"/>
      <c r="O5" s="64"/>
      <c r="P5" s="64"/>
      <c r="Q5" s="65"/>
      <c r="R5" s="12"/>
    </row>
    <row r="6" spans="1:18" x14ac:dyDescent="0.3">
      <c r="A6" t="s">
        <v>30</v>
      </c>
      <c r="B6" s="7">
        <f t="shared" si="0"/>
        <v>1</v>
      </c>
      <c r="C6" s="7">
        <f t="shared" si="0"/>
        <v>1</v>
      </c>
      <c r="G6" s="7">
        <v>1</v>
      </c>
      <c r="H6" s="7">
        <v>1</v>
      </c>
      <c r="J6" s="63"/>
      <c r="K6" s="64"/>
      <c r="L6" s="64"/>
      <c r="M6" s="64"/>
      <c r="N6" s="64"/>
      <c r="O6" s="64"/>
      <c r="P6" s="64"/>
      <c r="Q6" s="65"/>
      <c r="R6" s="12"/>
    </row>
    <row r="7" spans="1:18" x14ac:dyDescent="0.3">
      <c r="J7" s="60"/>
      <c r="K7" s="66"/>
      <c r="L7" s="66"/>
      <c r="M7" s="66"/>
      <c r="N7" s="66"/>
      <c r="O7" s="66"/>
      <c r="P7" s="66"/>
      <c r="Q7" s="61"/>
      <c r="R7" s="12"/>
    </row>
    <row r="8" spans="1:18" x14ac:dyDescent="0.3">
      <c r="A8" s="3" t="s">
        <v>31</v>
      </c>
      <c r="B8" s="4"/>
      <c r="C8" s="4"/>
      <c r="J8" s="12"/>
      <c r="K8" s="12"/>
      <c r="L8" s="12"/>
      <c r="M8" s="12"/>
      <c r="N8" s="12"/>
      <c r="O8" s="12"/>
      <c r="P8" s="12"/>
      <c r="Q8" s="12"/>
      <c r="R8" s="12"/>
    </row>
    <row r="9" spans="1:18" x14ac:dyDescent="0.3">
      <c r="B9" t="s">
        <v>32</v>
      </c>
      <c r="C9" t="s">
        <v>21</v>
      </c>
      <c r="J9" s="12"/>
      <c r="K9" s="12"/>
      <c r="L9" s="12"/>
      <c r="M9" s="12"/>
      <c r="N9" s="12"/>
      <c r="O9" s="12"/>
      <c r="P9" s="12"/>
      <c r="Q9" s="12"/>
      <c r="R9" s="12"/>
    </row>
    <row r="10" spans="1:18" x14ac:dyDescent="0.3">
      <c r="B10" s="6">
        <v>55.172413793103402</v>
      </c>
      <c r="C10" s="6">
        <v>131.0344827586207</v>
      </c>
      <c r="D10" s="4"/>
      <c r="J10" s="1" t="s">
        <v>78</v>
      </c>
      <c r="Q10" s="12"/>
      <c r="R10" s="12"/>
    </row>
    <row r="11" spans="1:18" x14ac:dyDescent="0.3">
      <c r="A11" s="4"/>
      <c r="B11" s="4"/>
      <c r="C11" s="4"/>
      <c r="D11" s="4"/>
      <c r="J11" s="15" t="s">
        <v>54</v>
      </c>
      <c r="Q11" s="12"/>
      <c r="R11" s="12"/>
    </row>
    <row r="12" spans="1:18" x14ac:dyDescent="0.3">
      <c r="A12" s="3" t="s">
        <v>18</v>
      </c>
      <c r="B12" s="4"/>
      <c r="C12" s="4"/>
      <c r="D12" s="4" t="s">
        <v>1</v>
      </c>
      <c r="E12" t="s">
        <v>36</v>
      </c>
      <c r="J12" s="1" t="s">
        <v>79</v>
      </c>
      <c r="Q12" s="12"/>
      <c r="R12" s="12"/>
    </row>
    <row r="13" spans="1:18" x14ac:dyDescent="0.3">
      <c r="A13" t="s">
        <v>25</v>
      </c>
      <c r="E13" s="10">
        <v>0</v>
      </c>
      <c r="G13" t="s">
        <v>45</v>
      </c>
      <c r="J13" s="15" t="s">
        <v>54</v>
      </c>
      <c r="Q13" s="12"/>
      <c r="R13" s="12"/>
    </row>
    <row r="14" spans="1:18" ht="15" customHeight="1" x14ac:dyDescent="0.3">
      <c r="A14" t="s">
        <v>26</v>
      </c>
      <c r="B14" s="4">
        <f>SUMPRODUCT(B3:C3,$B$10:$C$10)</f>
        <v>79.999999999999986</v>
      </c>
      <c r="C14" s="5" t="s">
        <v>16</v>
      </c>
      <c r="D14" s="7">
        <f>(1+$E$13)*G14</f>
        <v>80</v>
      </c>
      <c r="G14" s="7">
        <v>80</v>
      </c>
      <c r="J14" s="3" t="s">
        <v>80</v>
      </c>
      <c r="K14" s="12"/>
      <c r="L14" s="12"/>
      <c r="M14" s="12"/>
      <c r="N14" s="12"/>
      <c r="O14" s="12"/>
      <c r="P14" s="12"/>
      <c r="Q14" s="12"/>
      <c r="R14" s="12"/>
    </row>
    <row r="15" spans="1:18" x14ac:dyDescent="0.3">
      <c r="A15" t="s">
        <v>27</v>
      </c>
      <c r="B15" s="4">
        <f>SUMPRODUCT(B4:C4,$B$10:$C$10)</f>
        <v>70</v>
      </c>
      <c r="C15" s="5" t="s">
        <v>16</v>
      </c>
      <c r="D15" s="7">
        <f t="shared" ref="D15:D16" si="1">(1+$E$13)*G15</f>
        <v>70</v>
      </c>
      <c r="G15" s="7">
        <v>70</v>
      </c>
      <c r="J15" s="12"/>
      <c r="K15" s="12"/>
      <c r="L15" s="12"/>
      <c r="M15" s="12"/>
      <c r="N15" s="12"/>
      <c r="O15" s="12"/>
      <c r="P15" s="12"/>
      <c r="Q15" s="12"/>
      <c r="R15" s="12"/>
    </row>
    <row r="16" spans="1:18" ht="33" customHeight="1" x14ac:dyDescent="0.3">
      <c r="A16" t="s">
        <v>28</v>
      </c>
      <c r="B16" s="4">
        <f>SUMPRODUCT(B5:C5,$B$10:$C$10)</f>
        <v>57.034482758620669</v>
      </c>
      <c r="C16" s="5" t="s">
        <v>16</v>
      </c>
      <c r="D16" s="7">
        <f t="shared" si="1"/>
        <v>90</v>
      </c>
      <c r="G16" s="7">
        <v>90</v>
      </c>
      <c r="J16" s="13" t="s">
        <v>51</v>
      </c>
      <c r="K16" s="53" t="s">
        <v>50</v>
      </c>
      <c r="L16" s="53" t="s">
        <v>48</v>
      </c>
      <c r="M16" s="53" t="s">
        <v>49</v>
      </c>
      <c r="O16" s="12"/>
      <c r="P16" s="12"/>
      <c r="Q16" s="12"/>
      <c r="R16" s="12"/>
    </row>
    <row r="17" spans="1:18" x14ac:dyDescent="0.3">
      <c r="A17" t="s">
        <v>29</v>
      </c>
      <c r="B17" s="4">
        <f>SUMPRODUCT(B6:C6,$B$10:$C$10)</f>
        <v>186.2068965517241</v>
      </c>
      <c r="C17" s="5" t="s">
        <v>16</v>
      </c>
      <c r="D17" s="7">
        <f>(1+$E$13)*G17</f>
        <v>400</v>
      </c>
      <c r="G17" s="7">
        <v>400</v>
      </c>
      <c r="J17" s="27">
        <v>-0.25</v>
      </c>
      <c r="K17" s="54">
        <f>VLOOKUP(J17,STS_1!$A$4:$D$15,4,FALSE)</f>
        <v>85057.471264367807</v>
      </c>
      <c r="L17" s="54">
        <f>VLOOKUP(J17,STS_1!$A$4:$D$15,2,FALSE)</f>
        <v>73.563218390804579</v>
      </c>
      <c r="M17" s="54">
        <f>VLOOKUP(J17,STS_1!$A$4:$D$15,3,FALSE)</f>
        <v>174.7126436781609</v>
      </c>
      <c r="N17" s="12"/>
      <c r="O17" s="12"/>
      <c r="P17" s="12"/>
      <c r="Q17" s="12"/>
      <c r="R17" s="12"/>
    </row>
    <row r="18" spans="1:18" x14ac:dyDescent="0.3">
      <c r="J18" s="27">
        <v>0</v>
      </c>
      <c r="K18" s="54">
        <f>VLOOKUP(J18,STS_1!$A$4:$D$15,4,FALSE)</f>
        <v>63793.103448275862</v>
      </c>
      <c r="L18" s="54">
        <f>VLOOKUP(J18,STS_1!$A$4:$D$15,2,FALSE)</f>
        <v>55.172413793103438</v>
      </c>
      <c r="M18" s="54">
        <f>VLOOKUP(J18,STS_1!$A$4:$D$15,3,FALSE)</f>
        <v>131.0344827586207</v>
      </c>
      <c r="N18" s="12"/>
      <c r="O18" s="12"/>
      <c r="P18" s="12"/>
      <c r="Q18" s="12"/>
      <c r="R18" s="12"/>
    </row>
    <row r="19" spans="1:18" x14ac:dyDescent="0.3">
      <c r="A19" s="3" t="s">
        <v>19</v>
      </c>
      <c r="J19" s="28">
        <v>0.25</v>
      </c>
      <c r="K19" s="55">
        <f>VLOOKUP(J19,STS_1!$A$4:$D$15,4,FALSE)</f>
        <v>51034.482758620696</v>
      </c>
      <c r="L19" s="55">
        <f>VLOOKUP(J19,STS_1!$A$4:$D$15,2,FALSE)</f>
        <v>44.137931034482762</v>
      </c>
      <c r="M19" s="55">
        <f>VLOOKUP(J19,STS_1!$A$4:$D$15,3,FALSE)</f>
        <v>104.82758620689656</v>
      </c>
      <c r="N19" s="12"/>
      <c r="O19" s="12"/>
      <c r="P19" s="12"/>
      <c r="Q19" s="12"/>
      <c r="R19" s="12"/>
    </row>
    <row r="20" spans="1:18" x14ac:dyDescent="0.3">
      <c r="B20" t="s">
        <v>32</v>
      </c>
      <c r="C20" t="s">
        <v>21</v>
      </c>
      <c r="K20" s="52"/>
    </row>
    <row r="21" spans="1:18" x14ac:dyDescent="0.3">
      <c r="A21" t="s">
        <v>20</v>
      </c>
      <c r="B21" s="7">
        <v>325</v>
      </c>
      <c r="C21" s="7">
        <v>350</v>
      </c>
    </row>
    <row r="22" spans="1:18" x14ac:dyDescent="0.3">
      <c r="A22" t="s">
        <v>88</v>
      </c>
      <c r="B22">
        <f>B21*B10</f>
        <v>17931.034482758605</v>
      </c>
      <c r="C22">
        <f>C21*C10</f>
        <v>45862.068965517246</v>
      </c>
      <c r="J22" s="58" t="s">
        <v>81</v>
      </c>
      <c r="K22" s="62"/>
      <c r="L22" s="62"/>
      <c r="M22" s="62"/>
      <c r="N22" s="62"/>
      <c r="O22" s="62"/>
      <c r="P22" s="62"/>
      <c r="Q22" s="59"/>
    </row>
    <row r="23" spans="1:18" x14ac:dyDescent="0.3">
      <c r="A23" s="4" t="s">
        <v>15</v>
      </c>
      <c r="B23" s="8">
        <f>B22+C22</f>
        <v>63793.103448275855</v>
      </c>
      <c r="J23" s="63"/>
      <c r="K23" s="64"/>
      <c r="L23" s="64"/>
      <c r="M23" s="64"/>
      <c r="N23" s="64"/>
      <c r="O23" s="64"/>
      <c r="P23" s="64"/>
      <c r="Q23" s="65"/>
    </row>
    <row r="24" spans="1:18" x14ac:dyDescent="0.3">
      <c r="J24" s="63"/>
      <c r="K24" s="64"/>
      <c r="L24" s="64"/>
      <c r="M24" s="64"/>
      <c r="N24" s="64"/>
      <c r="O24" s="64"/>
      <c r="P24" s="64"/>
      <c r="Q24" s="65"/>
    </row>
    <row r="25" spans="1:18" x14ac:dyDescent="0.3">
      <c r="J25" s="63"/>
      <c r="K25" s="64"/>
      <c r="L25" s="64"/>
      <c r="M25" s="64"/>
      <c r="N25" s="64"/>
      <c r="O25" s="64"/>
      <c r="P25" s="64"/>
      <c r="Q25" s="65"/>
    </row>
    <row r="26" spans="1:18" x14ac:dyDescent="0.3">
      <c r="J26" s="63"/>
      <c r="K26" s="64"/>
      <c r="L26" s="64"/>
      <c r="M26" s="64"/>
      <c r="N26" s="64"/>
      <c r="O26" s="64"/>
      <c r="P26" s="64"/>
      <c r="Q26" s="65"/>
    </row>
    <row r="27" spans="1:18" ht="18" customHeight="1" x14ac:dyDescent="0.3">
      <c r="J27" s="60"/>
      <c r="K27" s="66"/>
      <c r="L27" s="66"/>
      <c r="M27" s="66"/>
      <c r="N27" s="66"/>
      <c r="O27" s="66"/>
      <c r="P27" s="66"/>
      <c r="Q27" s="61"/>
    </row>
    <row r="28" spans="1:18" x14ac:dyDescent="0.3">
      <c r="J28" s="12"/>
      <c r="K28" s="12"/>
      <c r="L28" s="12"/>
      <c r="M28" s="12"/>
      <c r="N28" s="12"/>
      <c r="O28" s="12"/>
      <c r="P28" s="12"/>
    </row>
    <row r="29" spans="1:18" x14ac:dyDescent="0.3">
      <c r="J29" s="3" t="s">
        <v>82</v>
      </c>
      <c r="K29" s="12"/>
      <c r="L29" s="12"/>
      <c r="M29" s="12"/>
      <c r="N29" s="12"/>
      <c r="O29" s="12"/>
      <c r="P29" s="12"/>
    </row>
    <row r="30" spans="1:18" x14ac:dyDescent="0.3">
      <c r="J30" s="12"/>
      <c r="K30" s="12"/>
      <c r="L30" s="12"/>
      <c r="M30" s="12"/>
      <c r="N30" s="12"/>
      <c r="O30" s="12"/>
      <c r="P30" s="12"/>
    </row>
    <row r="31" spans="1:18" ht="36.75" customHeight="1" x14ac:dyDescent="0.3">
      <c r="J31" s="13" t="s">
        <v>52</v>
      </c>
      <c r="K31" s="53" t="s">
        <v>48</v>
      </c>
      <c r="L31" s="53" t="s">
        <v>49</v>
      </c>
      <c r="M31" s="53" t="s">
        <v>50</v>
      </c>
      <c r="N31" s="12"/>
      <c r="O31" s="12"/>
      <c r="P31" s="12"/>
    </row>
    <row r="32" spans="1:18" x14ac:dyDescent="0.3">
      <c r="J32" s="27">
        <v>0.02</v>
      </c>
      <c r="K32" s="54">
        <f>VLOOKUP(J32,STS_2!A4:D9,2,FALSE)</f>
        <v>56.27586206896548</v>
      </c>
      <c r="L32" s="54">
        <f>VLOOKUP(J32,STS_2!A4:D9,3,FALSE)</f>
        <v>133.65517241379314</v>
      </c>
      <c r="M32" s="56">
        <f>VLOOKUP(J32,STS_2!A4:D9,4,FALSE)</f>
        <v>65068.965517241384</v>
      </c>
      <c r="N32" s="12"/>
      <c r="O32" s="12"/>
      <c r="P32" s="12"/>
    </row>
    <row r="33" spans="10:17" x14ac:dyDescent="0.3">
      <c r="J33" s="27">
        <v>0.1</v>
      </c>
      <c r="K33" s="54">
        <f>VLOOKUP(J33,STS_2!A5:D10,2,FALSE)</f>
        <v>60.689655172413808</v>
      </c>
      <c r="L33" s="54">
        <f>VLOOKUP(J33,STS_2!A5:D10,3,FALSE)</f>
        <v>144.13793103448276</v>
      </c>
      <c r="M33" s="56">
        <f>VLOOKUP(J33,STS_2!A5:D10,4,FALSE)</f>
        <v>70172.413793103449</v>
      </c>
    </row>
    <row r="34" spans="10:17" x14ac:dyDescent="0.3">
      <c r="J34" s="28">
        <v>0.18</v>
      </c>
      <c r="K34" s="55">
        <f>VLOOKUP(J34,STS_2!A6:D11,2,FALSE)</f>
        <v>65.103448275862064</v>
      </c>
      <c r="L34" s="55">
        <f>VLOOKUP(J34,STS_2!A6:D11,3,FALSE)</f>
        <v>154.62068965517241</v>
      </c>
      <c r="M34" s="57">
        <f>VLOOKUP(J34,STS_2!A6:D11,4,FALSE)</f>
        <v>75275.862068965522</v>
      </c>
    </row>
    <row r="35" spans="10:17" x14ac:dyDescent="0.3">
      <c r="M35" s="51"/>
    </row>
    <row r="37" spans="10:17" x14ac:dyDescent="0.3">
      <c r="J37" s="1" t="s">
        <v>83</v>
      </c>
    </row>
    <row r="38" spans="10:17" x14ac:dyDescent="0.3">
      <c r="J38" s="67" t="s">
        <v>131</v>
      </c>
      <c r="K38" s="68"/>
      <c r="L38" s="68"/>
      <c r="M38" s="68"/>
      <c r="N38" s="68"/>
      <c r="O38" s="68"/>
      <c r="P38" s="68"/>
      <c r="Q38" s="69"/>
    </row>
    <row r="39" spans="10:17" x14ac:dyDescent="0.3">
      <c r="J39" s="82"/>
      <c r="K39" s="83"/>
      <c r="L39" s="83"/>
      <c r="M39" s="83"/>
      <c r="N39" s="83"/>
      <c r="O39" s="83"/>
      <c r="P39" s="83"/>
      <c r="Q39" s="84"/>
    </row>
    <row r="40" spans="10:17" x14ac:dyDescent="0.3">
      <c r="J40" s="82"/>
      <c r="K40" s="83"/>
      <c r="L40" s="83"/>
      <c r="M40" s="83"/>
      <c r="N40" s="83"/>
      <c r="O40" s="83"/>
      <c r="P40" s="83"/>
      <c r="Q40" s="84"/>
    </row>
    <row r="41" spans="10:17" x14ac:dyDescent="0.3">
      <c r="J41" s="82"/>
      <c r="K41" s="83"/>
      <c r="L41" s="83"/>
      <c r="M41" s="83"/>
      <c r="N41" s="83"/>
      <c r="O41" s="83"/>
      <c r="P41" s="83"/>
      <c r="Q41" s="84"/>
    </row>
    <row r="42" spans="10:17" x14ac:dyDescent="0.3">
      <c r="J42" s="82"/>
      <c r="K42" s="83"/>
      <c r="L42" s="83"/>
      <c r="M42" s="83"/>
      <c r="N42" s="83"/>
      <c r="O42" s="83"/>
      <c r="P42" s="83"/>
      <c r="Q42" s="84"/>
    </row>
    <row r="43" spans="10:17" x14ac:dyDescent="0.3">
      <c r="J43" s="70"/>
      <c r="K43" s="71"/>
      <c r="L43" s="71"/>
      <c r="M43" s="71"/>
      <c r="N43" s="71"/>
      <c r="O43" s="71"/>
      <c r="P43" s="71"/>
      <c r="Q43" s="72"/>
    </row>
  </sheetData>
  <mergeCells count="3">
    <mergeCell ref="J2:Q7"/>
    <mergeCell ref="J22:Q27"/>
    <mergeCell ref="J38:Q43"/>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5A80-B35B-F240-8068-A0A5BF34E9AE}">
  <dimension ref="A1:B15"/>
  <sheetViews>
    <sheetView workbookViewId="0"/>
  </sheetViews>
  <sheetFormatPr defaultColWidth="11.5546875" defaultRowHeight="14.4" x14ac:dyDescent="0.3"/>
  <sheetData>
    <row r="1" spans="1:2" x14ac:dyDescent="0.3">
      <c r="A1">
        <v>1</v>
      </c>
    </row>
    <row r="2" spans="1:2" x14ac:dyDescent="0.3">
      <c r="A2" t="s">
        <v>47</v>
      </c>
    </row>
    <row r="3" spans="1:2" x14ac:dyDescent="0.3">
      <c r="A3">
        <v>1</v>
      </c>
    </row>
    <row r="4" spans="1:2" x14ac:dyDescent="0.3">
      <c r="A4">
        <v>0.02</v>
      </c>
    </row>
    <row r="5" spans="1:2" x14ac:dyDescent="0.3">
      <c r="A5">
        <v>0.2</v>
      </c>
    </row>
    <row r="6" spans="1:2" x14ac:dyDescent="0.3">
      <c r="A6">
        <v>0.04</v>
      </c>
    </row>
    <row r="8" spans="1:2" x14ac:dyDescent="0.3">
      <c r="A8" s="2"/>
      <c r="B8" s="2"/>
    </row>
    <row r="9" spans="1:2" x14ac:dyDescent="0.3">
      <c r="A9" t="s">
        <v>123</v>
      </c>
    </row>
    <row r="10" spans="1:2" x14ac:dyDescent="0.3">
      <c r="A10" t="s">
        <v>44</v>
      </c>
    </row>
    <row r="15" spans="1:2" x14ac:dyDescent="0.3">
      <c r="B1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E6DA3-7DDF-4502-8E17-623272616A3C}">
  <dimension ref="A1:B15"/>
  <sheetViews>
    <sheetView workbookViewId="0"/>
  </sheetViews>
  <sheetFormatPr defaultColWidth="8.77734375" defaultRowHeight="14.4" x14ac:dyDescent="0.3"/>
  <sheetData>
    <row r="1" spans="1:2" x14ac:dyDescent="0.3">
      <c r="A1">
        <v>1</v>
      </c>
    </row>
    <row r="2" spans="1:2" x14ac:dyDescent="0.3">
      <c r="A2" t="s">
        <v>47</v>
      </c>
    </row>
    <row r="3" spans="1:2" x14ac:dyDescent="0.3">
      <c r="A3">
        <v>1</v>
      </c>
    </row>
    <row r="4" spans="1:2" x14ac:dyDescent="0.3">
      <c r="A4">
        <v>0</v>
      </c>
    </row>
    <row r="5" spans="1:2" x14ac:dyDescent="0.3">
      <c r="A5">
        <v>0.2</v>
      </c>
    </row>
    <row r="6" spans="1:2" x14ac:dyDescent="0.3">
      <c r="A6">
        <v>0.04</v>
      </c>
    </row>
    <row r="8" spans="1:2" x14ac:dyDescent="0.3">
      <c r="A8" s="2"/>
      <c r="B8" s="2"/>
    </row>
    <row r="9" spans="1:2" x14ac:dyDescent="0.3">
      <c r="A9" t="s">
        <v>46</v>
      </c>
    </row>
    <row r="10" spans="1:2" x14ac:dyDescent="0.3">
      <c r="A10" t="s">
        <v>0</v>
      </c>
    </row>
    <row r="15" spans="1:2" x14ac:dyDescent="0.3">
      <c r="B1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B15"/>
  <sheetViews>
    <sheetView workbookViewId="0"/>
  </sheetViews>
  <sheetFormatPr defaultColWidth="8.77734375" defaultRowHeight="14.4" x14ac:dyDescent="0.3"/>
  <sheetData>
    <row r="1" spans="1:2" x14ac:dyDescent="0.3">
      <c r="A1">
        <v>1</v>
      </c>
    </row>
    <row r="2" spans="1:2" x14ac:dyDescent="0.3">
      <c r="A2" t="s">
        <v>11</v>
      </c>
    </row>
    <row r="3" spans="1:2" x14ac:dyDescent="0.3">
      <c r="A3">
        <v>1</v>
      </c>
    </row>
    <row r="4" spans="1:2" x14ac:dyDescent="0.3">
      <c r="A4">
        <v>-0.3</v>
      </c>
    </row>
    <row r="5" spans="1:2" x14ac:dyDescent="0.3">
      <c r="A5">
        <v>0.3</v>
      </c>
    </row>
    <row r="6" spans="1:2" x14ac:dyDescent="0.3">
      <c r="A6">
        <v>0.1</v>
      </c>
    </row>
    <row r="8" spans="1:2" x14ac:dyDescent="0.3">
      <c r="A8" s="2"/>
      <c r="B8" s="2"/>
    </row>
    <row r="9" spans="1:2" x14ac:dyDescent="0.3">
      <c r="A9" t="s">
        <v>13</v>
      </c>
    </row>
    <row r="10" spans="1:2" x14ac:dyDescent="0.3">
      <c r="A10" t="s">
        <v>12</v>
      </c>
    </row>
    <row r="15" spans="1:2" x14ac:dyDescent="0.3">
      <c r="B1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B18"/>
  <sheetViews>
    <sheetView workbookViewId="0"/>
  </sheetViews>
  <sheetFormatPr defaultColWidth="8.77734375" defaultRowHeight="14.4" x14ac:dyDescent="0.3"/>
  <sheetData>
    <row r="1" spans="1:2" x14ac:dyDescent="0.3">
      <c r="A1">
        <v>1</v>
      </c>
      <c r="B1">
        <v>1</v>
      </c>
    </row>
    <row r="2" spans="1:2" x14ac:dyDescent="0.3">
      <c r="A2" t="s">
        <v>3</v>
      </c>
      <c r="B2" t="s">
        <v>6</v>
      </c>
    </row>
    <row r="3" spans="1:2" x14ac:dyDescent="0.3">
      <c r="A3">
        <v>1</v>
      </c>
      <c r="B3">
        <v>1</v>
      </c>
    </row>
    <row r="4" spans="1:2" x14ac:dyDescent="0.3">
      <c r="A4">
        <v>350</v>
      </c>
      <c r="B4">
        <v>8000</v>
      </c>
    </row>
    <row r="5" spans="1:2" x14ac:dyDescent="0.3">
      <c r="A5">
        <v>550</v>
      </c>
      <c r="B5">
        <v>12000</v>
      </c>
    </row>
    <row r="6" spans="1:2" x14ac:dyDescent="0.3">
      <c r="A6">
        <v>25</v>
      </c>
      <c r="B6">
        <v>500</v>
      </c>
    </row>
    <row r="8" spans="1:2" x14ac:dyDescent="0.3">
      <c r="A8" s="2"/>
      <c r="B8" s="2" t="s">
        <v>7</v>
      </c>
    </row>
    <row r="9" spans="1:2" x14ac:dyDescent="0.3">
      <c r="A9" t="s">
        <v>4</v>
      </c>
      <c r="B9" t="s">
        <v>8</v>
      </c>
    </row>
    <row r="10" spans="1:2" x14ac:dyDescent="0.3">
      <c r="A10" t="s">
        <v>5</v>
      </c>
      <c r="B10">
        <v>1</v>
      </c>
    </row>
    <row r="11" spans="1:2" x14ac:dyDescent="0.3">
      <c r="B11">
        <v>2000</v>
      </c>
    </row>
    <row r="12" spans="1:2" x14ac:dyDescent="0.3">
      <c r="B12">
        <v>5000</v>
      </c>
    </row>
    <row r="13" spans="1:2" x14ac:dyDescent="0.3">
      <c r="B13">
        <v>500</v>
      </c>
    </row>
    <row r="15" spans="1:2" x14ac:dyDescent="0.3">
      <c r="B15" s="2" t="s">
        <v>7</v>
      </c>
    </row>
    <row r="16" spans="1:2" x14ac:dyDescent="0.3">
      <c r="B16" t="s">
        <v>4</v>
      </c>
    </row>
    <row r="17" spans="2:2" x14ac:dyDescent="0.3">
      <c r="B17" t="s">
        <v>9</v>
      </c>
    </row>
    <row r="18" spans="2:2" x14ac:dyDescent="0.3">
      <c r="B18" t="s">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heetViews>
  <sheetFormatPr defaultColWidth="8.77734375" defaultRowHeight="14.4" x14ac:dyDescent="0.3"/>
  <sheetData>
    <row r="1" spans="1:2" x14ac:dyDescent="0.3">
      <c r="A1">
        <v>1</v>
      </c>
      <c r="B1">
        <v>1</v>
      </c>
    </row>
    <row r="2" spans="1:2" x14ac:dyDescent="0.3">
      <c r="A2" t="s">
        <v>41</v>
      </c>
      <c r="B2" t="s">
        <v>38</v>
      </c>
    </row>
    <row r="3" spans="1:2" x14ac:dyDescent="0.3">
      <c r="A3">
        <v>1</v>
      </c>
      <c r="B3">
        <v>1</v>
      </c>
    </row>
    <row r="4" spans="1:2" x14ac:dyDescent="0.3">
      <c r="A4">
        <v>0</v>
      </c>
      <c r="B4">
        <v>-0.2</v>
      </c>
    </row>
    <row r="5" spans="1:2" x14ac:dyDescent="0.3">
      <c r="A5">
        <v>0.5</v>
      </c>
      <c r="B5">
        <v>0.2</v>
      </c>
    </row>
    <row r="6" spans="1:2" x14ac:dyDescent="0.3">
      <c r="A6">
        <v>0.05</v>
      </c>
      <c r="B6">
        <v>0.05</v>
      </c>
    </row>
    <row r="8" spans="1:2" x14ac:dyDescent="0.3">
      <c r="A8" s="2"/>
      <c r="B8" s="2" t="s">
        <v>7</v>
      </c>
    </row>
    <row r="9" spans="1:2" x14ac:dyDescent="0.3">
      <c r="A9" t="s">
        <v>39</v>
      </c>
      <c r="B9" t="s">
        <v>41</v>
      </c>
    </row>
    <row r="10" spans="1:2" x14ac:dyDescent="0.3">
      <c r="A10" t="s">
        <v>44</v>
      </c>
      <c r="B10">
        <v>1</v>
      </c>
    </row>
    <row r="11" spans="1:2" x14ac:dyDescent="0.3">
      <c r="B11">
        <v>0</v>
      </c>
    </row>
    <row r="12" spans="1:2" x14ac:dyDescent="0.3">
      <c r="B12">
        <v>0.5</v>
      </c>
    </row>
    <row r="13" spans="1:2" x14ac:dyDescent="0.3">
      <c r="B13">
        <v>0.05</v>
      </c>
    </row>
    <row r="15" spans="1:2" x14ac:dyDescent="0.3">
      <c r="B15" s="2" t="s">
        <v>7</v>
      </c>
    </row>
    <row r="16" spans="1:2" x14ac:dyDescent="0.3">
      <c r="B16" t="s">
        <v>2</v>
      </c>
    </row>
    <row r="17" spans="2:2" x14ac:dyDescent="0.3">
      <c r="B17" t="s">
        <v>43</v>
      </c>
    </row>
    <row r="18" spans="2:2" x14ac:dyDescent="0.3">
      <c r="B18" t="s">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
  <sheetViews>
    <sheetView workbookViewId="0"/>
  </sheetViews>
  <sheetFormatPr defaultColWidth="8.77734375" defaultRowHeight="14.4" x14ac:dyDescent="0.3"/>
  <sheetData>
    <row r="1" spans="1:2" x14ac:dyDescent="0.3">
      <c r="A1">
        <v>1</v>
      </c>
    </row>
    <row r="2" spans="1:2" x14ac:dyDescent="0.3">
      <c r="A2" t="s">
        <v>41</v>
      </c>
    </row>
    <row r="3" spans="1:2" x14ac:dyDescent="0.3">
      <c r="A3">
        <v>1</v>
      </c>
    </row>
    <row r="4" spans="1:2" x14ac:dyDescent="0.3">
      <c r="A4">
        <v>0.1</v>
      </c>
    </row>
    <row r="5" spans="1:2" x14ac:dyDescent="0.3">
      <c r="A5">
        <v>0.5</v>
      </c>
    </row>
    <row r="6" spans="1:2" x14ac:dyDescent="0.3">
      <c r="A6">
        <v>0.02</v>
      </c>
    </row>
    <row r="8" spans="1:2" x14ac:dyDescent="0.3">
      <c r="A8" s="2"/>
      <c r="B8" s="2"/>
    </row>
    <row r="9" spans="1:2" x14ac:dyDescent="0.3">
      <c r="A9" t="s">
        <v>39</v>
      </c>
    </row>
    <row r="10" spans="1:2" x14ac:dyDescent="0.3">
      <c r="A10" t="s">
        <v>42</v>
      </c>
    </row>
    <row r="15" spans="1:2" x14ac:dyDescent="0.3">
      <c r="B1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
  <sheetViews>
    <sheetView workbookViewId="0"/>
  </sheetViews>
  <sheetFormatPr defaultColWidth="8.77734375" defaultRowHeight="14.4" x14ac:dyDescent="0.3"/>
  <sheetData>
    <row r="1" spans="1:2" x14ac:dyDescent="0.3">
      <c r="A1">
        <v>1</v>
      </c>
    </row>
    <row r="2" spans="1:2" x14ac:dyDescent="0.3">
      <c r="A2" t="s">
        <v>38</v>
      </c>
    </row>
    <row r="3" spans="1:2" x14ac:dyDescent="0.3">
      <c r="A3">
        <v>1</v>
      </c>
    </row>
    <row r="4" spans="1:2" x14ac:dyDescent="0.3">
      <c r="A4">
        <v>-0.2</v>
      </c>
    </row>
    <row r="5" spans="1:2" x14ac:dyDescent="0.3">
      <c r="A5">
        <v>0.05</v>
      </c>
    </row>
    <row r="6" spans="1:2" x14ac:dyDescent="0.3">
      <c r="A6">
        <v>0.2</v>
      </c>
    </row>
    <row r="8" spans="1:2" x14ac:dyDescent="0.3">
      <c r="A8" s="2"/>
      <c r="B8" s="2"/>
    </row>
    <row r="9" spans="1:2" x14ac:dyDescent="0.3">
      <c r="A9" t="s">
        <v>39</v>
      </c>
    </row>
    <row r="10" spans="1:2" x14ac:dyDescent="0.3">
      <c r="A10" t="s">
        <v>40</v>
      </c>
    </row>
    <row r="15" spans="1:2" x14ac:dyDescent="0.3">
      <c r="B1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8:B15"/>
  <sheetViews>
    <sheetView workbookViewId="0"/>
  </sheetViews>
  <sheetFormatPr defaultColWidth="8.77734375" defaultRowHeight="14.4" x14ac:dyDescent="0.3"/>
  <sheetData>
    <row r="8" spans="1:2" x14ac:dyDescent="0.3">
      <c r="A8" s="2"/>
      <c r="B8" s="2"/>
    </row>
    <row r="15" spans="1:2" x14ac:dyDescent="0.3">
      <c r="B1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
  <sheetViews>
    <sheetView workbookViewId="0"/>
  </sheetViews>
  <sheetFormatPr defaultColWidth="8.77734375" defaultRowHeight="14.4" x14ac:dyDescent="0.3"/>
  <sheetData>
    <row r="1" spans="1:2" x14ac:dyDescent="0.3">
      <c r="A1">
        <v>1</v>
      </c>
    </row>
    <row r="2" spans="1:2" x14ac:dyDescent="0.3">
      <c r="A2" t="s">
        <v>34</v>
      </c>
    </row>
    <row r="3" spans="1:2" x14ac:dyDescent="0.3">
      <c r="A3">
        <v>1</v>
      </c>
    </row>
    <row r="4" spans="1:2" x14ac:dyDescent="0.3">
      <c r="A4">
        <v>100</v>
      </c>
    </row>
    <row r="5" spans="1:2" x14ac:dyDescent="0.3">
      <c r="A5">
        <v>500</v>
      </c>
    </row>
    <row r="6" spans="1:2" x14ac:dyDescent="0.3">
      <c r="A6">
        <v>10</v>
      </c>
    </row>
    <row r="7" spans="1:2" x14ac:dyDescent="0.3">
      <c r="A7" s="9" t="s">
        <v>33</v>
      </c>
    </row>
    <row r="8" spans="1:2" x14ac:dyDescent="0.3">
      <c r="A8" s="2"/>
      <c r="B8" s="2"/>
    </row>
    <row r="9" spans="1:2" x14ac:dyDescent="0.3">
      <c r="A9" t="s">
        <v>2</v>
      </c>
    </row>
    <row r="10" spans="1:2" x14ac:dyDescent="0.3">
      <c r="A10" t="s">
        <v>35</v>
      </c>
    </row>
    <row r="15" spans="1:2" x14ac:dyDescent="0.3">
      <c r="B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B1D5-C5F2-DF4F-865D-63C291DB64AB}">
  <dimension ref="A1:K15"/>
  <sheetViews>
    <sheetView topLeftCell="A4" workbookViewId="0">
      <selection activeCell="B11" sqref="B11"/>
    </sheetView>
  </sheetViews>
  <sheetFormatPr defaultColWidth="11.5546875" defaultRowHeight="14.4" x14ac:dyDescent="0.3"/>
  <cols>
    <col min="1" max="1" width="10" customWidth="1"/>
  </cols>
  <sheetData>
    <row r="1" spans="1:11" x14ac:dyDescent="0.3">
      <c r="A1" s="1" t="s">
        <v>124</v>
      </c>
      <c r="K1" s="41" t="str">
        <f>CONCATENATE("Sensitivity of ",$K$4," to ","Relaxing the Input Requirements")</f>
        <v>Sensitivity of OphonesH to Relaxing the Input Requirements</v>
      </c>
    </row>
    <row r="3" spans="1:11" x14ac:dyDescent="0.3">
      <c r="A3" t="s">
        <v>125</v>
      </c>
      <c r="K3" t="s">
        <v>129</v>
      </c>
    </row>
    <row r="4" spans="1:11" ht="54.6" x14ac:dyDescent="0.3">
      <c r="B4" s="39" t="s">
        <v>126</v>
      </c>
      <c r="C4" s="39" t="s">
        <v>127</v>
      </c>
      <c r="D4" s="39" t="s">
        <v>128</v>
      </c>
      <c r="J4" s="41">
        <f>MATCH($K$4,OutputAddresses,0)</f>
        <v>1</v>
      </c>
      <c r="K4" s="40" t="s">
        <v>126</v>
      </c>
    </row>
    <row r="5" spans="1:11" x14ac:dyDescent="0.3">
      <c r="A5" s="38">
        <v>-0.25</v>
      </c>
      <c r="B5" s="48">
        <v>73.563218390804579</v>
      </c>
      <c r="C5" s="49">
        <v>174.7126436781609</v>
      </c>
      <c r="D5" s="50">
        <v>85057.471264367807</v>
      </c>
      <c r="K5">
        <f>INDEX(OutputValues,1,$J$4)</f>
        <v>73.563218390804579</v>
      </c>
    </row>
    <row r="6" spans="1:11" x14ac:dyDescent="0.3">
      <c r="A6" s="38">
        <v>-0.2</v>
      </c>
      <c r="B6" s="42">
        <v>68.965517241379288</v>
      </c>
      <c r="C6" s="43">
        <v>163.79310344827584</v>
      </c>
      <c r="D6" s="44">
        <v>79741.379310344812</v>
      </c>
      <c r="K6">
        <f>INDEX(OutputValues,2,$J$4)</f>
        <v>68.965517241379288</v>
      </c>
    </row>
    <row r="7" spans="1:11" x14ac:dyDescent="0.3">
      <c r="A7" s="38">
        <v>-0.15</v>
      </c>
      <c r="B7" s="42">
        <v>64.908722109533429</v>
      </c>
      <c r="C7" s="43">
        <v>154.15821501014204</v>
      </c>
      <c r="D7" s="44">
        <v>75050.709939148088</v>
      </c>
      <c r="K7">
        <f>INDEX(OutputValues,3,$J$4)</f>
        <v>64.908722109533429</v>
      </c>
    </row>
    <row r="8" spans="1:11" x14ac:dyDescent="0.3">
      <c r="A8" s="38">
        <v>-9.9999999999999978E-2</v>
      </c>
      <c r="B8" s="42">
        <v>61.30268199233717</v>
      </c>
      <c r="C8" s="43">
        <v>145.59386973180074</v>
      </c>
      <c r="D8" s="44">
        <v>70881.226053639839</v>
      </c>
      <c r="K8">
        <f>INDEX(OutputValues,4,$J$4)</f>
        <v>61.30268199233717</v>
      </c>
    </row>
    <row r="9" spans="1:11" x14ac:dyDescent="0.3">
      <c r="A9" s="38">
        <v>-4.9999999999999989E-2</v>
      </c>
      <c r="B9" s="42">
        <v>58.076225045372041</v>
      </c>
      <c r="C9" s="43">
        <v>137.93103448275863</v>
      </c>
      <c r="D9" s="44">
        <v>67150.635208711436</v>
      </c>
      <c r="K9">
        <f>INDEX(OutputValues,5,$J$4)</f>
        <v>58.076225045372041</v>
      </c>
    </row>
    <row r="10" spans="1:11" x14ac:dyDescent="0.3">
      <c r="A10" s="38">
        <v>0</v>
      </c>
      <c r="B10" s="42">
        <v>55.172413793103438</v>
      </c>
      <c r="C10" s="43">
        <v>131.0344827586207</v>
      </c>
      <c r="D10" s="44">
        <v>63793.103448275862</v>
      </c>
      <c r="K10">
        <f>INDEX(OutputValues,6,$J$4)</f>
        <v>55.172413793103438</v>
      </c>
    </row>
    <row r="11" spans="1:11" x14ac:dyDescent="0.3">
      <c r="A11" s="38">
        <v>5.0000000000000044E-2</v>
      </c>
      <c r="B11" s="42">
        <v>52.545155993431891</v>
      </c>
      <c r="C11" s="43">
        <v>124.79474548440059</v>
      </c>
      <c r="D11" s="44">
        <v>60755.33661740557</v>
      </c>
      <c r="K11">
        <f>INDEX(OutputValues,7,$J$4)</f>
        <v>52.545155993431891</v>
      </c>
    </row>
    <row r="12" spans="1:11" x14ac:dyDescent="0.3">
      <c r="A12" s="38">
        <v>0.10000000000000003</v>
      </c>
      <c r="B12" s="42">
        <v>50.156739811912232</v>
      </c>
      <c r="C12" s="43">
        <v>119.12225705329152</v>
      </c>
      <c r="D12" s="44">
        <v>57993.730407523508</v>
      </c>
      <c r="K12">
        <f>INDEX(OutputValues,8,$J$4)</f>
        <v>50.156739811912232</v>
      </c>
    </row>
    <row r="13" spans="1:11" x14ac:dyDescent="0.3">
      <c r="A13" s="38">
        <v>0.15000000000000002</v>
      </c>
      <c r="B13" s="42">
        <v>47.976011994003009</v>
      </c>
      <c r="C13" s="43">
        <v>113.94302848575713</v>
      </c>
      <c r="D13" s="44">
        <v>55472.263868065973</v>
      </c>
      <c r="K13">
        <f>INDEX(OutputValues,9,$J$4)</f>
        <v>47.976011994003009</v>
      </c>
    </row>
    <row r="14" spans="1:11" x14ac:dyDescent="0.3">
      <c r="A14" s="38">
        <v>0.2</v>
      </c>
      <c r="B14" s="42">
        <v>45.977011494252864</v>
      </c>
      <c r="C14" s="43">
        <v>109.19540229885057</v>
      </c>
      <c r="D14" s="44">
        <v>53160.919540229879</v>
      </c>
      <c r="K14">
        <f>INDEX(OutputValues,10,$J$4)</f>
        <v>45.977011494252864</v>
      </c>
    </row>
    <row r="15" spans="1:11" x14ac:dyDescent="0.3">
      <c r="A15" s="38">
        <v>0.25</v>
      </c>
      <c r="B15" s="45">
        <v>44.137931034482762</v>
      </c>
      <c r="C15" s="46">
        <v>104.82758620689656</v>
      </c>
      <c r="D15" s="47">
        <v>51034.482758620696</v>
      </c>
      <c r="K15">
        <f>INDEX(OutputValues,11,$J$4)</f>
        <v>44.137931034482762</v>
      </c>
    </row>
  </sheetData>
  <dataValidations count="1">
    <dataValidation type="list" allowBlank="1" showInputMessage="1" showErrorMessage="1" sqref="K4" xr:uid="{05B44F92-009B-FB45-8851-FA838C9E2377}">
      <formula1>OutputAddresses</formula1>
    </dataValidation>
  </dataValidation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36C45-52E3-CE47-A539-34C4DA11158E}">
  <dimension ref="A1:K9"/>
  <sheetViews>
    <sheetView workbookViewId="0"/>
  </sheetViews>
  <sheetFormatPr defaultColWidth="11.5546875" defaultRowHeight="14.4" x14ac:dyDescent="0.3"/>
  <sheetData>
    <row r="1" spans="1:11" x14ac:dyDescent="0.3">
      <c r="A1" s="1" t="s">
        <v>124</v>
      </c>
      <c r="K1" s="41" t="str">
        <f>CONCATENATE("Sensitivity of ",$K$4," to ","Relaxing the Constraints")</f>
        <v>Sensitivity of OphonesH to Relaxing the Constraints</v>
      </c>
    </row>
    <row r="3" spans="1:11" x14ac:dyDescent="0.3">
      <c r="A3" t="s">
        <v>130</v>
      </c>
      <c r="K3" t="s">
        <v>129</v>
      </c>
    </row>
    <row r="4" spans="1:11" ht="54.6" x14ac:dyDescent="0.3">
      <c r="B4" s="39" t="s">
        <v>126</v>
      </c>
      <c r="C4" s="39" t="s">
        <v>127</v>
      </c>
      <c r="D4" s="39" t="s">
        <v>128</v>
      </c>
      <c r="J4" s="41">
        <f>MATCH($K$4,OutputAddresses,0)</f>
        <v>1</v>
      </c>
      <c r="K4" s="40" t="s">
        <v>126</v>
      </c>
    </row>
    <row r="5" spans="1:11" x14ac:dyDescent="0.3">
      <c r="A5" s="38">
        <v>0.02</v>
      </c>
      <c r="B5" s="48">
        <v>56.27586206896548</v>
      </c>
      <c r="C5" s="49">
        <v>133.65517241379314</v>
      </c>
      <c r="D5" s="50">
        <v>65068.965517241384</v>
      </c>
      <c r="K5">
        <f>INDEX(OutputValues,1,$J$4)</f>
        <v>56.27586206896548</v>
      </c>
    </row>
    <row r="6" spans="1:11" x14ac:dyDescent="0.3">
      <c r="A6" s="38">
        <v>0.06</v>
      </c>
      <c r="B6" s="42">
        <v>58.482758620689673</v>
      </c>
      <c r="C6" s="43">
        <v>138.89655172413794</v>
      </c>
      <c r="D6" s="44">
        <v>67620.68965517242</v>
      </c>
      <c r="K6">
        <f>INDEX(OutputValues,2,$J$4)</f>
        <v>58.482758620689673</v>
      </c>
    </row>
    <row r="7" spans="1:11" x14ac:dyDescent="0.3">
      <c r="A7" s="38">
        <v>0.1</v>
      </c>
      <c r="B7" s="42">
        <v>60.689655172413808</v>
      </c>
      <c r="C7" s="43">
        <v>144.13793103448276</v>
      </c>
      <c r="D7" s="44">
        <v>70172.413793103449</v>
      </c>
      <c r="K7">
        <f>INDEX(OutputValues,3,$J$4)</f>
        <v>60.689655172413808</v>
      </c>
    </row>
    <row r="8" spans="1:11" x14ac:dyDescent="0.3">
      <c r="A8" s="38">
        <v>0.13999999999999999</v>
      </c>
      <c r="B8" s="42">
        <v>62.896551724137893</v>
      </c>
      <c r="C8" s="43">
        <v>149.37931034482762</v>
      </c>
      <c r="D8" s="44">
        <v>72724.137931034478</v>
      </c>
      <c r="K8">
        <f>INDEX(OutputValues,4,$J$4)</f>
        <v>62.896551724137893</v>
      </c>
    </row>
    <row r="9" spans="1:11" x14ac:dyDescent="0.3">
      <c r="A9" s="38">
        <v>0.18</v>
      </c>
      <c r="B9" s="45">
        <v>65.103448275862064</v>
      </c>
      <c r="C9" s="46">
        <v>154.62068965517241</v>
      </c>
      <c r="D9" s="47">
        <v>75275.862068965522</v>
      </c>
      <c r="K9">
        <f>INDEX(OutputValues,5,$J$4)</f>
        <v>65.103448275862064</v>
      </c>
    </row>
  </sheetData>
  <dataValidations count="1">
    <dataValidation type="list" allowBlank="1" showInputMessage="1" showErrorMessage="1" sqref="K4" xr:uid="{0A2B1DA3-745C-D948-846E-42EAF5EA06DE}">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Que1</vt:lpstr>
      <vt:lpstr>Que1_RFM</vt:lpstr>
      <vt:lpstr>Sensitivity Report 1</vt:lpstr>
      <vt:lpstr>Que2</vt:lpstr>
      <vt:lpstr>Que3</vt:lpstr>
      <vt:lpstr>STS_1</vt:lpstr>
      <vt:lpstr>STS_2</vt:lpstr>
      <vt:lpstr>STS_1!ChartData</vt:lpstr>
      <vt:lpstr>STS_2!ChartData</vt:lpstr>
      <vt:lpstr>STS_1!InputValues</vt:lpstr>
      <vt:lpstr>STS_2!InputValues</vt:lpstr>
      <vt:lpstr>Max_Profit</vt:lpstr>
      <vt:lpstr>OpadsD</vt:lpstr>
      <vt:lpstr>OphonesH</vt:lpstr>
      <vt:lpstr>STS_1!OutputAddresses</vt:lpstr>
      <vt:lpstr>STS_2!OutputAddresses</vt:lpstr>
      <vt:lpstr>STS_1!OutputValues</vt:lpstr>
      <vt:lpstr>STS_2!OutputValues</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Brooke</cp:lastModifiedBy>
  <cp:lastPrinted>2009-12-27T17:10:49Z</cp:lastPrinted>
  <dcterms:created xsi:type="dcterms:W3CDTF">2009-09-28T15:17:58Z</dcterms:created>
  <dcterms:modified xsi:type="dcterms:W3CDTF">2021-10-30T04:17:44Z</dcterms:modified>
</cp:coreProperties>
</file>