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9030" activeTab="3"/>
  </bookViews>
  <sheets>
    <sheet name="Расчёты" sheetId="1" r:id="rId1"/>
    <sheet name="I этап" sheetId="2" r:id="rId2"/>
    <sheet name="II этап" sheetId="3" r:id="rId3"/>
    <sheet name="III этап" sheetId="4" r:id="rId4"/>
  </sheets>
  <calcPr calcId="144525"/>
</workbook>
</file>

<file path=xl/calcChain.xml><?xml version="1.0" encoding="utf-8"?>
<calcChain xmlns="http://schemas.openxmlformats.org/spreadsheetml/2006/main">
  <c r="I30" i="4" l="1"/>
  <c r="E30" i="4"/>
  <c r="G30" i="4" s="1"/>
  <c r="I29" i="4"/>
  <c r="E29" i="4"/>
  <c r="G29" i="4" s="1"/>
  <c r="I28" i="4"/>
  <c r="E28" i="4"/>
  <c r="G28" i="4" s="1"/>
  <c r="I27" i="4"/>
  <c r="E27" i="4"/>
  <c r="G27" i="4" s="1"/>
  <c r="I26" i="4"/>
  <c r="E26" i="4"/>
  <c r="G26" i="4" s="1"/>
  <c r="I25" i="4"/>
  <c r="E25" i="4"/>
  <c r="G25" i="4" s="1"/>
  <c r="I24" i="4"/>
  <c r="E24" i="4"/>
  <c r="G24" i="4" s="1"/>
  <c r="I23" i="4"/>
  <c r="E23" i="4"/>
  <c r="G23" i="4" s="1"/>
  <c r="I22" i="4"/>
  <c r="E22" i="4"/>
  <c r="G22" i="4" s="1"/>
  <c r="I21" i="4"/>
  <c r="E21" i="4"/>
  <c r="G21" i="4" s="1"/>
  <c r="I20" i="4"/>
  <c r="E20" i="4"/>
  <c r="G20" i="4" s="1"/>
  <c r="I19" i="4"/>
  <c r="E19" i="4"/>
  <c r="G19" i="4" s="1"/>
  <c r="I18" i="4"/>
  <c r="E18" i="4"/>
  <c r="G18" i="4" s="1"/>
  <c r="E14" i="4"/>
  <c r="G14" i="4" s="1"/>
  <c r="E13" i="4"/>
  <c r="G13" i="4" s="1"/>
  <c r="E12" i="4"/>
  <c r="G12" i="4" s="1"/>
  <c r="D12" i="4"/>
  <c r="G11" i="4"/>
  <c r="E11" i="4"/>
  <c r="E10" i="4"/>
  <c r="G10" i="4" s="1"/>
  <c r="G9" i="4"/>
  <c r="E9" i="4"/>
  <c r="G8" i="4"/>
  <c r="E8" i="4"/>
  <c r="E7" i="4"/>
  <c r="G7" i="4" s="1"/>
  <c r="G6" i="4"/>
  <c r="E6" i="4"/>
  <c r="C5" i="4"/>
  <c r="E4" i="4"/>
  <c r="G4" i="4" s="1"/>
  <c r="C4" i="4"/>
  <c r="E3" i="4"/>
  <c r="G3" i="4" s="1"/>
  <c r="E2" i="4"/>
  <c r="G2" i="4" s="1"/>
  <c r="E1" i="4"/>
  <c r="E14" i="2"/>
  <c r="E5" i="3"/>
  <c r="H19" i="3"/>
  <c r="H20" i="3"/>
  <c r="H21" i="3"/>
  <c r="H22" i="3"/>
  <c r="H23" i="3"/>
  <c r="H24" i="3"/>
  <c r="H25" i="3"/>
  <c r="H26" i="3"/>
  <c r="H27" i="3"/>
  <c r="H28" i="3"/>
  <c r="H29" i="3"/>
  <c r="H30" i="3"/>
  <c r="G15" i="3"/>
  <c r="E14" i="3"/>
  <c r="E13" i="3"/>
  <c r="G13" i="3" s="1"/>
  <c r="I19" i="3"/>
  <c r="I20" i="3"/>
  <c r="I21" i="3"/>
  <c r="I22" i="3"/>
  <c r="I23" i="3"/>
  <c r="I24" i="3"/>
  <c r="I25" i="3"/>
  <c r="I26" i="3"/>
  <c r="I27" i="3"/>
  <c r="I28" i="3"/>
  <c r="I29" i="3"/>
  <c r="I30" i="3"/>
  <c r="I18" i="3"/>
  <c r="E30" i="3"/>
  <c r="G30" i="3" s="1"/>
  <c r="E29" i="3"/>
  <c r="G29" i="3" s="1"/>
  <c r="E28" i="3"/>
  <c r="G28" i="3" s="1"/>
  <c r="E27" i="3"/>
  <c r="G27" i="3" s="1"/>
  <c r="E26" i="3"/>
  <c r="G26" i="3" s="1"/>
  <c r="E25" i="3"/>
  <c r="G25" i="3" s="1"/>
  <c r="E24" i="3"/>
  <c r="G24" i="3" s="1"/>
  <c r="E23" i="3"/>
  <c r="G23" i="3" s="1"/>
  <c r="E22" i="3"/>
  <c r="G22" i="3" s="1"/>
  <c r="E21" i="3"/>
  <c r="G21" i="3" s="1"/>
  <c r="E20" i="3"/>
  <c r="G20" i="3" s="1"/>
  <c r="E19" i="3"/>
  <c r="G19" i="3" s="1"/>
  <c r="E18" i="3"/>
  <c r="G18" i="3" s="1"/>
  <c r="G14" i="3"/>
  <c r="E12" i="3"/>
  <c r="G12" i="3" s="1"/>
  <c r="D12" i="3"/>
  <c r="E11" i="3"/>
  <c r="G11" i="3" s="1"/>
  <c r="G10" i="3"/>
  <c r="E10" i="3"/>
  <c r="G9" i="3"/>
  <c r="E9" i="3"/>
  <c r="E8" i="3"/>
  <c r="G8" i="3" s="1"/>
  <c r="G7" i="3"/>
  <c r="E7" i="3"/>
  <c r="G6" i="3"/>
  <c r="E6" i="3"/>
  <c r="C5" i="3"/>
  <c r="G5" i="3" s="1"/>
  <c r="G16" i="3" s="1"/>
  <c r="E4" i="3"/>
  <c r="G4" i="3" s="1"/>
  <c r="C4" i="3"/>
  <c r="E3" i="3"/>
  <c r="G3" i="3" s="1"/>
  <c r="E2" i="3"/>
  <c r="G2" i="3" s="1"/>
  <c r="E1" i="3"/>
  <c r="G1" i="3" s="1"/>
  <c r="H40" i="2"/>
  <c r="H41" i="2"/>
  <c r="H42" i="2"/>
  <c r="H43" i="2"/>
  <c r="H44" i="2"/>
  <c r="H45" i="2"/>
  <c r="H46" i="2"/>
  <c r="H47" i="2"/>
  <c r="H48" i="2"/>
  <c r="H49" i="2"/>
  <c r="H50" i="2"/>
  <c r="H51" i="2"/>
  <c r="H39" i="2"/>
  <c r="I40" i="2"/>
  <c r="I41" i="2"/>
  <c r="I42" i="2"/>
  <c r="I43" i="2"/>
  <c r="I44" i="2"/>
  <c r="I45" i="2"/>
  <c r="I46" i="2"/>
  <c r="I47" i="2"/>
  <c r="I48" i="2"/>
  <c r="I49" i="2"/>
  <c r="I50" i="2"/>
  <c r="I51" i="2"/>
  <c r="I39" i="2"/>
  <c r="E40" i="2"/>
  <c r="G40" i="2" s="1"/>
  <c r="E41" i="2"/>
  <c r="G41" i="2" s="1"/>
  <c r="E42" i="2"/>
  <c r="G42" i="2"/>
  <c r="E43" i="2"/>
  <c r="G43" i="2" s="1"/>
  <c r="E44" i="2"/>
  <c r="G44" i="2" s="1"/>
  <c r="E45" i="2"/>
  <c r="G45" i="2" s="1"/>
  <c r="E46" i="2"/>
  <c r="G46" i="2"/>
  <c r="E47" i="2"/>
  <c r="G47" i="2" s="1"/>
  <c r="E48" i="2"/>
  <c r="G48" i="2" s="1"/>
  <c r="E49" i="2"/>
  <c r="G49" i="2" s="1"/>
  <c r="E50" i="2"/>
  <c r="G50" i="2" s="1"/>
  <c r="E51" i="2"/>
  <c r="G51" i="2" s="1"/>
  <c r="G29" i="2"/>
  <c r="E39" i="2"/>
  <c r="E34" i="2"/>
  <c r="G34" i="2" s="1"/>
  <c r="E33" i="2"/>
  <c r="G33" i="2" s="1"/>
  <c r="E9" i="2"/>
  <c r="G27" i="2"/>
  <c r="E27" i="2"/>
  <c r="D21" i="2"/>
  <c r="G8" i="2"/>
  <c r="E8" i="2"/>
  <c r="E5" i="4" l="1"/>
  <c r="G5" i="4" s="1"/>
  <c r="G16" i="4" s="1"/>
  <c r="G1" i="4"/>
  <c r="G15" i="4"/>
  <c r="H19" i="4" s="1"/>
  <c r="H24" i="4"/>
  <c r="H18" i="3"/>
  <c r="C13" i="2"/>
  <c r="E13" i="2" s="1"/>
  <c r="G13" i="2" s="1"/>
  <c r="G30" i="2"/>
  <c r="G31" i="2"/>
  <c r="G35" i="2"/>
  <c r="G36" i="2"/>
  <c r="G37" i="2"/>
  <c r="G38" i="2"/>
  <c r="G39" i="2"/>
  <c r="E21" i="2"/>
  <c r="G21" i="2" s="1"/>
  <c r="E3" i="2"/>
  <c r="G3" i="2" s="1"/>
  <c r="E4" i="2"/>
  <c r="G4" i="2" s="1"/>
  <c r="E5" i="2"/>
  <c r="G5" i="2" s="1"/>
  <c r="E6" i="2"/>
  <c r="G6" i="2" s="1"/>
  <c r="E7" i="2"/>
  <c r="G7" i="2" s="1"/>
  <c r="G9" i="2"/>
  <c r="E10" i="2"/>
  <c r="G10" i="2" s="1"/>
  <c r="E11" i="2"/>
  <c r="G11" i="2" s="1"/>
  <c r="E12" i="2"/>
  <c r="G12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2" i="2"/>
  <c r="G22" i="2" s="1"/>
  <c r="E23" i="2"/>
  <c r="G23" i="2" s="1"/>
  <c r="E24" i="2"/>
  <c r="G24" i="2" s="1"/>
  <c r="E25" i="2"/>
  <c r="G25" i="2" s="1"/>
  <c r="E26" i="2"/>
  <c r="G26" i="2" s="1"/>
  <c r="E2" i="2"/>
  <c r="G2" i="2" s="1"/>
  <c r="H29" i="4" l="1"/>
  <c r="H20" i="4"/>
  <c r="H21" i="4"/>
  <c r="H28" i="4"/>
  <c r="H22" i="4"/>
  <c r="H18" i="4"/>
  <c r="H25" i="4"/>
  <c r="H30" i="4"/>
  <c r="H26" i="4"/>
  <c r="H27" i="4"/>
  <c r="H23" i="4"/>
  <c r="C37" i="2"/>
  <c r="C14" i="2"/>
  <c r="G14" i="2" s="1"/>
  <c r="C36" i="2" s="1"/>
  <c r="B5" i="1"/>
  <c r="B11" i="1" l="1"/>
  <c r="B24" i="1" l="1"/>
  <c r="D24" i="1" s="1"/>
  <c r="F28" i="1"/>
  <c r="B12" i="1"/>
  <c r="B10" i="1"/>
  <c r="B22" i="1"/>
  <c r="B23" i="1" s="1"/>
  <c r="D23" i="1" s="1"/>
  <c r="F27" i="1" l="1"/>
  <c r="B27" i="1"/>
  <c r="C27" i="1"/>
  <c r="B28" i="1"/>
  <c r="E28" i="1"/>
  <c r="D28" i="1"/>
  <c r="E27" i="1"/>
  <c r="D27" i="1"/>
  <c r="C28" i="1"/>
</calcChain>
</file>

<file path=xl/sharedStrings.xml><?xml version="1.0" encoding="utf-8"?>
<sst xmlns="http://schemas.openxmlformats.org/spreadsheetml/2006/main" count="165" uniqueCount="100">
  <si>
    <t>Наименование</t>
  </si>
  <si>
    <t>Вендинговый аппарат</t>
  </si>
  <si>
    <t>Аренда площади</t>
  </si>
  <si>
    <t>месяц</t>
  </si>
  <si>
    <t>http://in-vend.ru/torgovye-apparaty/222-apteka-vending?ysclid=lwqhaw0ig2143314380</t>
  </si>
  <si>
    <t>Заправщик</t>
  </si>
  <si>
    <t>Наценка</t>
  </si>
  <si>
    <t>Что нужно посчитать?</t>
  </si>
  <si>
    <t>Размеры упаковки</t>
  </si>
  <si>
    <t>116х22х68</t>
  </si>
  <si>
    <t>Жевачка - розница на озоне</t>
  </si>
  <si>
    <t xml:space="preserve">Дополнительно </t>
  </si>
  <si>
    <t>Проверить нет ли субсидий для бизнеса способствующего борьбе с курением.</t>
  </si>
  <si>
    <t>Количество в месяц для самоокупаемости одного аппарата</t>
  </si>
  <si>
    <t>Для самоокупаемости четырёх аппаратов</t>
  </si>
  <si>
    <t>На аппарат</t>
  </si>
  <si>
    <t>Возможность выбора из 6 позиций, оплата картой, соответствие законодательству, загрузка на 180 позиций - по 30 в каждом столбе.</t>
  </si>
  <si>
    <t>Закупка на один аппарат</t>
  </si>
  <si>
    <t>Закупка на четыре аппарата</t>
  </si>
  <si>
    <t>Позвонить в никоретте узнать оптовиков</t>
  </si>
  <si>
    <t>Позвонить по поводу вендинга, узнать возможность создания кастомного аппарата</t>
  </si>
  <si>
    <t>Количество курящих посетителей и вероятность покупки в зависимости от цены</t>
  </si>
  <si>
    <t xml:space="preserve">Слоган </t>
  </si>
  <si>
    <t>Свежесть и спокойствие.</t>
  </si>
  <si>
    <t>Продаж в месяц</t>
  </si>
  <si>
    <t>Бюджет на маркетинг</t>
  </si>
  <si>
    <t>Прибыль при одном автомате</t>
  </si>
  <si>
    <t>Прибыль на четырёх автоматах</t>
  </si>
  <si>
    <t>Стоимость</t>
  </si>
  <si>
    <t xml:space="preserve">Требования к вендинговому аппарату </t>
  </si>
  <si>
    <t xml:space="preserve">Габариты упаковки 116х22х68 Габариты внутрянки - 420мм в ширину, 125мм в глубину, 700 в высоту. </t>
  </si>
  <si>
    <t>Телефон: (495) 726–55–55 https://www.nicorette.ru/produkti/zhevatelnaya-rezinka-nicorette</t>
  </si>
  <si>
    <t>Бегущая строка с информацией</t>
  </si>
  <si>
    <t>Лицензия на фармацевтическую деятельность</t>
  </si>
  <si>
    <t>Фармацевт удалёнка.</t>
  </si>
  <si>
    <t>Найти фармацевта</t>
  </si>
  <si>
    <t xml:space="preserve">Получить лицензию </t>
  </si>
  <si>
    <t>https://www.gosuslugi.ru/help/faq/subcategory/business/pharm_license</t>
  </si>
  <si>
    <t>hh.ru</t>
  </si>
  <si>
    <t>Сервер для сбора статистики и SIP.</t>
  </si>
  <si>
    <t>Отправлено письмо в отдел дистрибьюции.</t>
  </si>
  <si>
    <t>Отправлено письмо пяти компаниям, занимающимся вендинговыми аппаратами.</t>
  </si>
  <si>
    <t>Нужен руководитель - фармацевт.</t>
  </si>
  <si>
    <t>Комментирование всего процесса - прозрачность.</t>
  </si>
  <si>
    <t>Пылесосисть/чистить внутрянку.</t>
  </si>
  <si>
    <t xml:space="preserve">Расчёт замены приводов толкателя. По выходу из строя одного из них. </t>
  </si>
  <si>
    <t>Открытие ООО</t>
  </si>
  <si>
    <t>Уставной капитал</t>
  </si>
  <si>
    <t>Составление устава</t>
  </si>
  <si>
    <t>Найм  генерального директора с фармацевтическим образованием</t>
  </si>
  <si>
    <t>Консультация юриста</t>
  </si>
  <si>
    <t>Вендинговый автомат</t>
  </si>
  <si>
    <t>Заказ продукции</t>
  </si>
  <si>
    <t>Подготовка рекламок</t>
  </si>
  <si>
    <t>Заказ проектирования</t>
  </si>
  <si>
    <t>Доставка в СПб</t>
  </si>
  <si>
    <t>Установка</t>
  </si>
  <si>
    <t>Итого</t>
  </si>
  <si>
    <t>Стоимость аренды площади</t>
  </si>
  <si>
    <t>2мг фрукт</t>
  </si>
  <si>
    <t>2мг мята</t>
  </si>
  <si>
    <t>2мг морозная мята</t>
  </si>
  <si>
    <t>4мг мята</t>
  </si>
  <si>
    <t>4мг фрукт</t>
  </si>
  <si>
    <t>4мг морозная мята</t>
  </si>
  <si>
    <t>Цена</t>
  </si>
  <si>
    <t>Количество</t>
  </si>
  <si>
    <t>Маркетинг</t>
  </si>
  <si>
    <t>Расчёт спроса</t>
  </si>
  <si>
    <t>Фармацевт</t>
  </si>
  <si>
    <t>Генеральный директор</t>
  </si>
  <si>
    <t>Первичная загрузка</t>
  </si>
  <si>
    <t>Загрузчик  - обслуживание аппарата</t>
  </si>
  <si>
    <t>Коэффициент</t>
  </si>
  <si>
    <t>Бухгалтер</t>
  </si>
  <si>
    <t>Конечная цифра</t>
  </si>
  <si>
    <t>Сервер</t>
  </si>
  <si>
    <t xml:space="preserve">Затраты </t>
  </si>
  <si>
    <t xml:space="preserve">Первичные </t>
  </si>
  <si>
    <t xml:space="preserve">Постоянные </t>
  </si>
  <si>
    <t>Регистрация</t>
  </si>
  <si>
    <t>Срок выполнения</t>
  </si>
  <si>
    <t>3 месяца</t>
  </si>
  <si>
    <t>1 неделя</t>
  </si>
  <si>
    <t>Наименование мероприятия</t>
  </si>
  <si>
    <t>Подробности</t>
  </si>
  <si>
    <t>Получение лицензии фармацевтической</t>
  </si>
  <si>
    <t>Получение разрешения на дистанционную торговлю лекарствами</t>
  </si>
  <si>
    <t>Постоянные затраты</t>
  </si>
  <si>
    <t xml:space="preserve">Итого </t>
  </si>
  <si>
    <t>Расчёт доходов</t>
  </si>
  <si>
    <t>Негативный сценарий</t>
  </si>
  <si>
    <t xml:space="preserve"> Очень оптимистичный сценарий</t>
  </si>
  <si>
    <t>Оптимистичный сценарий</t>
  </si>
  <si>
    <t>НДС с упаковки</t>
  </si>
  <si>
    <t>Общий доход минус налоги</t>
  </si>
  <si>
    <t>1 день</t>
  </si>
  <si>
    <t>Дополнительные расходы</t>
  </si>
  <si>
    <t>Затраты</t>
  </si>
  <si>
    <t>Первичные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</si>
</sst>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₽&quot;"/>
  </numFmts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1" fontId="0" fillId="0" borderId="0" xfId="0" applyNumberFormat="1" applyBorder="1"/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0" fontId="0" fillId="0" borderId="10" xfId="0" applyBorder="1"/>
    <xf numFmtId="0" fontId="0" fillId="0" borderId="14" xfId="0" applyBorder="1"/>
    <xf numFmtId="1" fontId="0" fillId="0" borderId="15" xfId="0" applyNumberFormat="1" applyBorder="1"/>
    <xf numFmtId="1" fontId="0" fillId="0" borderId="16" xfId="0" applyNumberFormat="1" applyBorder="1"/>
    <xf numFmtId="0" fontId="0" fillId="0" borderId="1" xfId="0" applyBorder="1"/>
    <xf numFmtId="0" fontId="0" fillId="0" borderId="7" xfId="0" applyBorder="1"/>
    <xf numFmtId="0" fontId="0" fillId="0" borderId="17" xfId="0" applyBorder="1"/>
    <xf numFmtId="0" fontId="0" fillId="0" borderId="18" xfId="0" applyBorder="1"/>
    <xf numFmtId="0" fontId="0" fillId="0" borderId="13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horizontal="left" vertical="top" wrapText="1"/>
    </xf>
    <xf numFmtId="0" fontId="1" fillId="0" borderId="6" xfId="1" applyBorder="1"/>
    <xf numFmtId="0" fontId="0" fillId="0" borderId="6" xfId="0" applyBorder="1"/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/>
    <xf numFmtId="0" fontId="0" fillId="0" borderId="22" xfId="0" applyFill="1" applyBorder="1"/>
    <xf numFmtId="0" fontId="1" fillId="0" borderId="0" xfId="1" applyBorder="1"/>
    <xf numFmtId="0" fontId="0" fillId="0" borderId="24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25" xfId="0" applyBorder="1"/>
    <xf numFmtId="0" fontId="0" fillId="0" borderId="26" xfId="0" applyBorder="1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27" xfId="0" applyNumberFormat="1" applyBorder="1"/>
    <xf numFmtId="0" fontId="0" fillId="0" borderId="27" xfId="0" applyBorder="1"/>
    <xf numFmtId="0" fontId="0" fillId="0" borderId="28" xfId="0" applyBorder="1"/>
    <xf numFmtId="0" fontId="0" fillId="0" borderId="0" xfId="0" applyFill="1" applyBorder="1"/>
    <xf numFmtId="164" fontId="0" fillId="0" borderId="0" xfId="0" applyNumberFormat="1" applyBorder="1"/>
    <xf numFmtId="0" fontId="0" fillId="0" borderId="17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suslugi.ru/help/faq/subcategory/business/pharm_license" TargetMode="External"/><Relationship Id="rId1" Type="http://schemas.openxmlformats.org/officeDocument/2006/relationships/hyperlink" Target="http://in-vend.ru/torgovye-apparaty/222-apteka-vending?ysclid=lwqhaw0ig21433143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showWhiteSpace="0" topLeftCell="A9" zoomScaleNormal="100" workbookViewId="0">
      <selection activeCell="B26" sqref="B26"/>
    </sheetView>
  </sheetViews>
  <sheetFormatPr defaultRowHeight="15" x14ac:dyDescent="0.25"/>
  <cols>
    <col min="1" max="1" width="46.140625" customWidth="1"/>
    <col min="2" max="2" width="84.5703125" customWidth="1"/>
    <col min="3" max="3" width="32.5703125" customWidth="1"/>
    <col min="4" max="4" width="16.7109375" customWidth="1"/>
    <col min="5" max="5" width="10.42578125" customWidth="1"/>
    <col min="6" max="6" width="14.28515625" customWidth="1"/>
  </cols>
  <sheetData>
    <row r="1" spans="1:4" ht="15.75" thickBot="1" x14ac:dyDescent="0.3">
      <c r="A1" s="20" t="s">
        <v>0</v>
      </c>
      <c r="B1" s="21" t="s">
        <v>28</v>
      </c>
    </row>
    <row r="2" spans="1:4" x14ac:dyDescent="0.25">
      <c r="A2" s="41" t="s">
        <v>1</v>
      </c>
      <c r="B2" s="42">
        <v>13500</v>
      </c>
      <c r="C2" t="s">
        <v>3</v>
      </c>
      <c r="D2">
        <v>500000</v>
      </c>
    </row>
    <row r="3" spans="1:4" x14ac:dyDescent="0.25">
      <c r="A3" s="23" t="s">
        <v>2</v>
      </c>
      <c r="B3" s="24">
        <v>10000</v>
      </c>
      <c r="C3" t="s">
        <v>3</v>
      </c>
    </row>
    <row r="4" spans="1:4" x14ac:dyDescent="0.25">
      <c r="A4" s="23" t="s">
        <v>5</v>
      </c>
      <c r="B4" s="24">
        <v>15000</v>
      </c>
      <c r="C4" t="s">
        <v>3</v>
      </c>
    </row>
    <row r="5" spans="1:4" x14ac:dyDescent="0.25">
      <c r="A5" s="38" t="s">
        <v>34</v>
      </c>
      <c r="B5" s="39">
        <f>10000*1.5</f>
        <v>15000</v>
      </c>
      <c r="C5" t="s">
        <v>3</v>
      </c>
    </row>
    <row r="6" spans="1:4" ht="15.75" thickBot="1" x14ac:dyDescent="0.3">
      <c r="A6" s="35" t="s">
        <v>39</v>
      </c>
      <c r="B6" s="40">
        <v>1000</v>
      </c>
      <c r="C6" t="s">
        <v>3</v>
      </c>
    </row>
    <row r="8" spans="1:4" ht="15.75" thickBot="1" x14ac:dyDescent="0.3"/>
    <row r="9" spans="1:4" x14ac:dyDescent="0.25">
      <c r="A9" s="22" t="s">
        <v>10</v>
      </c>
      <c r="B9" s="14">
        <v>569</v>
      </c>
    </row>
    <row r="10" spans="1:4" x14ac:dyDescent="0.25">
      <c r="A10" s="23" t="s">
        <v>17</v>
      </c>
      <c r="B10" s="24">
        <f>B9*180</f>
        <v>102420</v>
      </c>
    </row>
    <row r="11" spans="1:4" x14ac:dyDescent="0.25">
      <c r="A11" s="23" t="s">
        <v>18</v>
      </c>
      <c r="B11" s="24">
        <f>B9*180*4</f>
        <v>409680</v>
      </c>
    </row>
    <row r="12" spans="1:4" x14ac:dyDescent="0.25">
      <c r="A12" s="23" t="s">
        <v>25</v>
      </c>
      <c r="B12" s="24">
        <f>100*B9</f>
        <v>56900</v>
      </c>
    </row>
    <row r="13" spans="1:4" ht="15.75" thickBot="1" x14ac:dyDescent="0.3">
      <c r="A13" s="35" t="s">
        <v>33</v>
      </c>
      <c r="B13" s="25">
        <v>7500</v>
      </c>
    </row>
    <row r="14" spans="1:4" x14ac:dyDescent="0.25">
      <c r="A14" s="37"/>
      <c r="B14" s="34"/>
    </row>
    <row r="15" spans="1:4" ht="15.75" thickBot="1" x14ac:dyDescent="0.3"/>
    <row r="16" spans="1:4" x14ac:dyDescent="0.25">
      <c r="A16" s="3" t="s">
        <v>19</v>
      </c>
      <c r="B16" s="4" t="s">
        <v>31</v>
      </c>
      <c r="C16" s="4" t="s">
        <v>40</v>
      </c>
      <c r="D16" s="5"/>
    </row>
    <row r="17" spans="1:16" ht="30.75" thickBot="1" x14ac:dyDescent="0.3">
      <c r="A17" s="8" t="s">
        <v>20</v>
      </c>
      <c r="B17" s="29" t="s">
        <v>4</v>
      </c>
      <c r="C17" s="30" t="s">
        <v>41</v>
      </c>
      <c r="D17" s="18"/>
    </row>
    <row r="18" spans="1:16" x14ac:dyDescent="0.25">
      <c r="A18" s="26" t="s">
        <v>35</v>
      </c>
      <c r="B18" s="36" t="s">
        <v>38</v>
      </c>
      <c r="C18" s="34"/>
      <c r="D18" s="34"/>
    </row>
    <row r="19" spans="1:16" x14ac:dyDescent="0.25">
      <c r="A19" s="26" t="s">
        <v>36</v>
      </c>
      <c r="B19" s="36" t="s">
        <v>37</v>
      </c>
      <c r="C19" s="34" t="s">
        <v>42</v>
      </c>
      <c r="D19" s="34"/>
    </row>
    <row r="20" spans="1:16" x14ac:dyDescent="0.25">
      <c r="A20" t="s">
        <v>8</v>
      </c>
      <c r="B20" t="s">
        <v>9</v>
      </c>
    </row>
    <row r="22" spans="1:16" x14ac:dyDescent="0.25">
      <c r="A22" t="s">
        <v>6</v>
      </c>
      <c r="B22">
        <f>B9*0.5</f>
        <v>284.5</v>
      </c>
    </row>
    <row r="23" spans="1:16" ht="30" x14ac:dyDescent="0.25">
      <c r="A23" s="1" t="s">
        <v>13</v>
      </c>
      <c r="B23" s="2">
        <f>SUM(B2:B8)/B22</f>
        <v>191.56414762741653</v>
      </c>
      <c r="C23" t="s">
        <v>15</v>
      </c>
      <c r="D23" s="2">
        <f>B23</f>
        <v>191.56414762741653</v>
      </c>
    </row>
    <row r="24" spans="1:16" x14ac:dyDescent="0.25">
      <c r="A24" s="1" t="s">
        <v>14</v>
      </c>
      <c r="B24" s="2">
        <f>(SUM(B2:B4)*4)/B22</f>
        <v>541.30052724077325</v>
      </c>
      <c r="C24" t="s">
        <v>15</v>
      </c>
      <c r="D24" s="2">
        <f>B24/4</f>
        <v>135.32513181019331</v>
      </c>
    </row>
    <row r="25" spans="1:16" ht="15.75" thickBot="1" x14ac:dyDescent="0.3">
      <c r="A25" s="1"/>
      <c r="B25" s="2"/>
      <c r="D25" s="2"/>
    </row>
    <row r="26" spans="1:16" x14ac:dyDescent="0.25">
      <c r="A26" s="9" t="s">
        <v>24</v>
      </c>
      <c r="B26" s="10">
        <v>200</v>
      </c>
      <c r="C26" s="13">
        <v>400</v>
      </c>
      <c r="D26" s="10">
        <v>600</v>
      </c>
      <c r="E26" s="13">
        <v>800</v>
      </c>
      <c r="F26" s="14">
        <v>1000</v>
      </c>
    </row>
    <row r="27" spans="1:16" x14ac:dyDescent="0.25">
      <c r="A27" s="6" t="s">
        <v>26</v>
      </c>
      <c r="B27" s="11">
        <f>B26*$B$22 - SUM($B$2:$B$4)</f>
        <v>18400</v>
      </c>
      <c r="C27" s="11">
        <f t="shared" ref="C27:F27" si="0">C26*$B$22 - SUM($B$2:$B$4)</f>
        <v>75300</v>
      </c>
      <c r="D27" s="11">
        <f t="shared" si="0"/>
        <v>132200</v>
      </c>
      <c r="E27" s="11">
        <f t="shared" si="0"/>
        <v>189100</v>
      </c>
      <c r="F27" s="15">
        <f t="shared" si="0"/>
        <v>246000</v>
      </c>
    </row>
    <row r="28" spans="1:16" ht="15.75" thickBot="1" x14ac:dyDescent="0.3">
      <c r="A28" s="8" t="s">
        <v>27</v>
      </c>
      <c r="B28" s="12">
        <f>B26*$B$22 - SUM($B$2:$B$4)*4</f>
        <v>-97100</v>
      </c>
      <c r="C28" s="12">
        <f t="shared" ref="C28:F28" si="1">C26*$B$22 - SUM($B$2:$B$4)*4</f>
        <v>-40200</v>
      </c>
      <c r="D28" s="12">
        <f t="shared" si="1"/>
        <v>16700</v>
      </c>
      <c r="E28" s="12">
        <f t="shared" si="1"/>
        <v>73600</v>
      </c>
      <c r="F28" s="16">
        <f t="shared" si="1"/>
        <v>130500</v>
      </c>
    </row>
    <row r="29" spans="1:16" x14ac:dyDescent="0.25">
      <c r="A29" s="26"/>
      <c r="B29" s="7"/>
      <c r="C29" s="7"/>
      <c r="D29" s="7"/>
      <c r="E29" s="7"/>
      <c r="F29" s="7"/>
    </row>
    <row r="30" spans="1:16" ht="15.75" thickBot="1" x14ac:dyDescent="0.3">
      <c r="A30" s="26"/>
      <c r="B30" s="7"/>
      <c r="C30" s="7"/>
      <c r="D30" s="7"/>
      <c r="E30" s="7"/>
      <c r="F30" s="7"/>
    </row>
    <row r="31" spans="1:16" ht="15.75" thickBot="1" x14ac:dyDescent="0.3">
      <c r="A31" s="17" t="s">
        <v>7</v>
      </c>
      <c r="B31" s="27" t="s">
        <v>21</v>
      </c>
    </row>
    <row r="32" spans="1:16" ht="73.5" customHeight="1" thickBot="1" x14ac:dyDescent="0.3">
      <c r="A32" s="19" t="s">
        <v>29</v>
      </c>
      <c r="B32" s="28" t="s">
        <v>16</v>
      </c>
      <c r="C32" s="31" t="s">
        <v>30</v>
      </c>
      <c r="D32" s="33" t="s">
        <v>32</v>
      </c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2"/>
      <c r="P32" s="32"/>
    </row>
    <row r="33" spans="1:2" ht="15.75" thickBot="1" x14ac:dyDescent="0.3">
      <c r="A33" s="19" t="s">
        <v>11</v>
      </c>
      <c r="B33" s="27" t="s">
        <v>12</v>
      </c>
    </row>
    <row r="34" spans="1:2" ht="15.75" thickBot="1" x14ac:dyDescent="0.3"/>
    <row r="35" spans="1:2" ht="15.75" thickBot="1" x14ac:dyDescent="0.3">
      <c r="A35" s="19" t="s">
        <v>22</v>
      </c>
      <c r="B35" s="21" t="s">
        <v>23</v>
      </c>
    </row>
    <row r="40" spans="1:2" x14ac:dyDescent="0.25">
      <c r="A40" t="s">
        <v>43</v>
      </c>
    </row>
    <row r="41" spans="1:2" x14ac:dyDescent="0.25">
      <c r="A41" t="s">
        <v>44</v>
      </c>
    </row>
    <row r="42" spans="1:2" x14ac:dyDescent="0.25">
      <c r="A42" t="s">
        <v>45</v>
      </c>
    </row>
  </sheetData>
  <hyperlinks>
    <hyperlink ref="B17" r:id="rId1"/>
    <hyperlink ref="B19" r:id="rId2"/>
  </hyperlinks>
  <printOptions gridLines="1"/>
  <pageMargins left="0.7" right="0.7" top="0.75" bottom="0.75" header="0.3" footer="0.3"/>
  <pageSetup paperSize="9" scale="78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E21" sqref="E21"/>
    </sheetView>
  </sheetViews>
  <sheetFormatPr defaultRowHeight="15" x14ac:dyDescent="0.25"/>
  <cols>
    <col min="1" max="1" width="27.85546875" customWidth="1"/>
    <col min="2" max="2" width="72.28515625" customWidth="1"/>
    <col min="3" max="3" width="13" style="43" customWidth="1"/>
    <col min="4" max="4" width="15" customWidth="1"/>
    <col min="5" max="5" width="13.42578125" customWidth="1"/>
    <col min="6" max="6" width="14" customWidth="1"/>
    <col min="7" max="7" width="17" customWidth="1"/>
    <col min="8" max="8" width="26.140625" customWidth="1"/>
    <col min="9" max="9" width="15.42578125" customWidth="1"/>
  </cols>
  <sheetData>
    <row r="1" spans="1:8" x14ac:dyDescent="0.25">
      <c r="A1" t="s">
        <v>84</v>
      </c>
      <c r="B1" t="s">
        <v>85</v>
      </c>
      <c r="C1" s="43" t="s">
        <v>65</v>
      </c>
      <c r="D1" t="s">
        <v>66</v>
      </c>
      <c r="E1" t="s">
        <v>28</v>
      </c>
      <c r="F1" t="s">
        <v>73</v>
      </c>
      <c r="G1" t="s">
        <v>75</v>
      </c>
      <c r="H1" t="s">
        <v>81</v>
      </c>
    </row>
    <row r="2" spans="1:8" x14ac:dyDescent="0.25">
      <c r="A2" s="44" t="s">
        <v>46</v>
      </c>
      <c r="B2" t="s">
        <v>47</v>
      </c>
      <c r="D2">
        <v>1</v>
      </c>
      <c r="E2">
        <f>C2*D2</f>
        <v>0</v>
      </c>
      <c r="F2">
        <v>1</v>
      </c>
      <c r="G2">
        <f>E2*F2</f>
        <v>0</v>
      </c>
    </row>
    <row r="3" spans="1:8" x14ac:dyDescent="0.25">
      <c r="A3" s="44"/>
      <c r="B3" t="s">
        <v>49</v>
      </c>
      <c r="C3" s="43">
        <v>10000</v>
      </c>
      <c r="D3">
        <v>1</v>
      </c>
      <c r="E3">
        <f t="shared" ref="E3:E29" si="0">C3*D3</f>
        <v>10000</v>
      </c>
      <c r="F3">
        <v>1</v>
      </c>
      <c r="G3">
        <f t="shared" ref="G3:G39" si="1">E3*F3</f>
        <v>10000</v>
      </c>
    </row>
    <row r="4" spans="1:8" x14ac:dyDescent="0.25">
      <c r="A4" s="44"/>
      <c r="B4" t="s">
        <v>48</v>
      </c>
      <c r="C4" s="43">
        <v>5000</v>
      </c>
      <c r="D4">
        <v>1</v>
      </c>
      <c r="E4">
        <f t="shared" si="0"/>
        <v>5000</v>
      </c>
      <c r="F4">
        <v>1</v>
      </c>
      <c r="G4">
        <f t="shared" si="1"/>
        <v>5000</v>
      </c>
    </row>
    <row r="5" spans="1:8" x14ac:dyDescent="0.25">
      <c r="A5" s="44"/>
      <c r="B5" t="s">
        <v>50</v>
      </c>
      <c r="C5" s="43">
        <v>25000</v>
      </c>
      <c r="D5">
        <v>1</v>
      </c>
      <c r="E5">
        <f t="shared" si="0"/>
        <v>25000</v>
      </c>
      <c r="F5">
        <v>1</v>
      </c>
      <c r="G5">
        <f t="shared" si="1"/>
        <v>25000</v>
      </c>
    </row>
    <row r="6" spans="1:8" x14ac:dyDescent="0.25">
      <c r="A6" s="44"/>
      <c r="B6" t="s">
        <v>80</v>
      </c>
      <c r="C6" s="43">
        <v>4000</v>
      </c>
      <c r="D6">
        <v>1</v>
      </c>
      <c r="E6">
        <f t="shared" si="0"/>
        <v>4000</v>
      </c>
      <c r="F6">
        <v>1</v>
      </c>
      <c r="G6">
        <f t="shared" si="1"/>
        <v>4000</v>
      </c>
    </row>
    <row r="7" spans="1:8" x14ac:dyDescent="0.25">
      <c r="A7" s="44"/>
      <c r="B7" t="s">
        <v>86</v>
      </c>
      <c r="C7" s="43">
        <v>40000</v>
      </c>
      <c r="D7">
        <v>1</v>
      </c>
      <c r="E7">
        <f t="shared" si="0"/>
        <v>40000</v>
      </c>
      <c r="F7">
        <v>1</v>
      </c>
      <c r="G7">
        <f t="shared" si="1"/>
        <v>40000</v>
      </c>
    </row>
    <row r="8" spans="1:8" ht="15.75" thickBot="1" x14ac:dyDescent="0.3">
      <c r="A8" s="44"/>
      <c r="B8" t="s">
        <v>87</v>
      </c>
      <c r="C8" s="43">
        <v>40000</v>
      </c>
      <c r="D8">
        <v>1</v>
      </c>
      <c r="E8">
        <f t="shared" si="0"/>
        <v>40000</v>
      </c>
      <c r="F8">
        <v>1</v>
      </c>
      <c r="G8">
        <f t="shared" si="1"/>
        <v>40000</v>
      </c>
    </row>
    <row r="9" spans="1:8" ht="15.75" thickBot="1" x14ac:dyDescent="0.3">
      <c r="A9" s="44"/>
      <c r="B9" s="19" t="s">
        <v>57</v>
      </c>
      <c r="C9" s="45"/>
      <c r="D9" s="46">
        <v>1</v>
      </c>
      <c r="E9" s="46">
        <f>SUM(E2:E8)</f>
        <v>124000</v>
      </c>
      <c r="F9" s="46">
        <v>1</v>
      </c>
      <c r="G9" s="47">
        <f t="shared" si="1"/>
        <v>124000</v>
      </c>
    </row>
    <row r="10" spans="1:8" x14ac:dyDescent="0.25">
      <c r="A10" s="44" t="s">
        <v>51</v>
      </c>
      <c r="B10" t="s">
        <v>54</v>
      </c>
      <c r="C10" s="43">
        <v>1376000</v>
      </c>
      <c r="D10">
        <v>1</v>
      </c>
      <c r="E10">
        <f t="shared" si="0"/>
        <v>1376000</v>
      </c>
      <c r="F10">
        <v>1</v>
      </c>
      <c r="G10">
        <f t="shared" si="1"/>
        <v>1376000</v>
      </c>
      <c r="H10" t="s">
        <v>82</v>
      </c>
    </row>
    <row r="11" spans="1:8" x14ac:dyDescent="0.25">
      <c r="A11" s="44"/>
      <c r="B11" t="s">
        <v>55</v>
      </c>
      <c r="C11" s="43">
        <v>14000</v>
      </c>
      <c r="D11">
        <v>1</v>
      </c>
      <c r="E11">
        <f t="shared" si="0"/>
        <v>14000</v>
      </c>
      <c r="F11">
        <v>1</v>
      </c>
      <c r="G11">
        <f t="shared" si="1"/>
        <v>14000</v>
      </c>
      <c r="H11" t="s">
        <v>83</v>
      </c>
    </row>
    <row r="12" spans="1:8" x14ac:dyDescent="0.25">
      <c r="A12" s="44"/>
      <c r="B12" t="s">
        <v>56</v>
      </c>
      <c r="C12" s="43">
        <v>5000</v>
      </c>
      <c r="D12">
        <v>1</v>
      </c>
      <c r="E12">
        <f t="shared" si="0"/>
        <v>5000</v>
      </c>
      <c r="F12">
        <v>1</v>
      </c>
      <c r="G12">
        <f t="shared" si="1"/>
        <v>5000</v>
      </c>
      <c r="H12" t="s">
        <v>96</v>
      </c>
    </row>
    <row r="13" spans="1:8" ht="15.75" thickBot="1" x14ac:dyDescent="0.3">
      <c r="A13" s="44"/>
      <c r="B13" t="s">
        <v>71</v>
      </c>
      <c r="C13" s="43">
        <f>C15*25+C16*25+C17*25+C18*25+C19*25+C20*25 + 2000</f>
        <v>87350</v>
      </c>
      <c r="D13">
        <v>1</v>
      </c>
      <c r="E13">
        <f t="shared" si="0"/>
        <v>87350</v>
      </c>
      <c r="F13">
        <v>1</v>
      </c>
      <c r="G13">
        <f t="shared" si="1"/>
        <v>87350</v>
      </c>
      <c r="H13" t="s">
        <v>96</v>
      </c>
    </row>
    <row r="14" spans="1:8" ht="15.75" thickBot="1" x14ac:dyDescent="0.3">
      <c r="A14" s="44"/>
      <c r="B14" s="19" t="s">
        <v>57</v>
      </c>
      <c r="C14" s="45">
        <f>SUM(C10:C13)</f>
        <v>1482350</v>
      </c>
      <c r="D14" s="46">
        <v>1</v>
      </c>
      <c r="E14" s="46">
        <f>SUM(E10:E13)</f>
        <v>1482350</v>
      </c>
      <c r="F14" s="46">
        <v>1</v>
      </c>
      <c r="G14" s="47">
        <f t="shared" si="1"/>
        <v>1482350</v>
      </c>
    </row>
    <row r="15" spans="1:8" x14ac:dyDescent="0.25">
      <c r="A15" s="44" t="s">
        <v>52</v>
      </c>
      <c r="B15" t="s">
        <v>60</v>
      </c>
      <c r="C15" s="43">
        <v>569</v>
      </c>
      <c r="D15">
        <v>30</v>
      </c>
      <c r="E15">
        <f t="shared" si="0"/>
        <v>17070</v>
      </c>
      <c r="F15">
        <v>1</v>
      </c>
      <c r="G15">
        <f t="shared" si="1"/>
        <v>17070</v>
      </c>
      <c r="H15" t="s">
        <v>83</v>
      </c>
    </row>
    <row r="16" spans="1:8" x14ac:dyDescent="0.25">
      <c r="A16" s="44"/>
      <c r="B16" t="s">
        <v>59</v>
      </c>
      <c r="C16" s="43">
        <v>569</v>
      </c>
      <c r="D16">
        <v>30</v>
      </c>
      <c r="E16">
        <f t="shared" si="0"/>
        <v>17070</v>
      </c>
      <c r="F16">
        <v>1</v>
      </c>
      <c r="G16">
        <f t="shared" si="1"/>
        <v>17070</v>
      </c>
      <c r="H16" t="s">
        <v>83</v>
      </c>
    </row>
    <row r="17" spans="1:8" x14ac:dyDescent="0.25">
      <c r="A17" s="44"/>
      <c r="B17" t="s">
        <v>61</v>
      </c>
      <c r="C17" s="43">
        <v>569</v>
      </c>
      <c r="D17">
        <v>30</v>
      </c>
      <c r="E17">
        <f t="shared" si="0"/>
        <v>17070</v>
      </c>
      <c r="F17">
        <v>1</v>
      </c>
      <c r="G17">
        <f t="shared" si="1"/>
        <v>17070</v>
      </c>
      <c r="H17" t="s">
        <v>83</v>
      </c>
    </row>
    <row r="18" spans="1:8" x14ac:dyDescent="0.25">
      <c r="A18" s="44"/>
      <c r="B18" t="s">
        <v>62</v>
      </c>
      <c r="C18" s="43">
        <v>569</v>
      </c>
      <c r="D18">
        <v>30</v>
      </c>
      <c r="E18">
        <f t="shared" si="0"/>
        <v>17070</v>
      </c>
      <c r="F18">
        <v>1</v>
      </c>
      <c r="G18">
        <f t="shared" si="1"/>
        <v>17070</v>
      </c>
      <c r="H18" t="s">
        <v>83</v>
      </c>
    </row>
    <row r="19" spans="1:8" x14ac:dyDescent="0.25">
      <c r="A19" s="44"/>
      <c r="B19" t="s">
        <v>63</v>
      </c>
      <c r="C19" s="43">
        <v>569</v>
      </c>
      <c r="D19">
        <v>30</v>
      </c>
      <c r="E19">
        <f t="shared" si="0"/>
        <v>17070</v>
      </c>
      <c r="F19">
        <v>1</v>
      </c>
      <c r="G19">
        <f t="shared" si="1"/>
        <v>17070</v>
      </c>
      <c r="H19" t="s">
        <v>83</v>
      </c>
    </row>
    <row r="20" spans="1:8" ht="15.75" thickBot="1" x14ac:dyDescent="0.3">
      <c r="A20" s="44"/>
      <c r="B20" t="s">
        <v>64</v>
      </c>
      <c r="C20" s="43">
        <v>569</v>
      </c>
      <c r="D20">
        <v>30</v>
      </c>
      <c r="E20">
        <f t="shared" si="0"/>
        <v>17070</v>
      </c>
      <c r="F20">
        <v>1</v>
      </c>
      <c r="G20">
        <f t="shared" si="1"/>
        <v>17070</v>
      </c>
      <c r="H20" t="s">
        <v>83</v>
      </c>
    </row>
    <row r="21" spans="1:8" ht="15.75" thickBot="1" x14ac:dyDescent="0.3">
      <c r="A21" s="44"/>
      <c r="B21" s="19" t="s">
        <v>57</v>
      </c>
      <c r="C21" s="45"/>
      <c r="D21" s="46">
        <f>SUM(D15:D20)</f>
        <v>180</v>
      </c>
      <c r="E21" s="46">
        <f>SUM(E15:E20)</f>
        <v>102420</v>
      </c>
      <c r="F21" s="46">
        <v>1</v>
      </c>
      <c r="G21" s="47">
        <f t="shared" si="1"/>
        <v>102420</v>
      </c>
      <c r="H21" t="s">
        <v>83</v>
      </c>
    </row>
    <row r="22" spans="1:8" x14ac:dyDescent="0.25">
      <c r="A22" s="44" t="s">
        <v>88</v>
      </c>
      <c r="B22" t="s">
        <v>72</v>
      </c>
      <c r="C22" s="43">
        <v>5000</v>
      </c>
      <c r="D22" s="48">
        <v>1</v>
      </c>
      <c r="E22">
        <f t="shared" si="0"/>
        <v>5000</v>
      </c>
      <c r="F22">
        <v>1.5</v>
      </c>
      <c r="G22">
        <f t="shared" si="1"/>
        <v>7500</v>
      </c>
    </row>
    <row r="23" spans="1:8" x14ac:dyDescent="0.25">
      <c r="A23" s="44"/>
      <c r="B23" t="s">
        <v>69</v>
      </c>
      <c r="C23" s="43">
        <v>25000</v>
      </c>
      <c r="D23">
        <v>2</v>
      </c>
      <c r="E23">
        <f t="shared" si="0"/>
        <v>50000</v>
      </c>
      <c r="F23">
        <v>1.5</v>
      </c>
      <c r="G23">
        <f t="shared" si="1"/>
        <v>75000</v>
      </c>
    </row>
    <row r="24" spans="1:8" x14ac:dyDescent="0.25">
      <c r="A24" s="44"/>
      <c r="B24" t="s">
        <v>70</v>
      </c>
      <c r="C24" s="43">
        <v>25000</v>
      </c>
      <c r="D24">
        <v>1</v>
      </c>
      <c r="E24">
        <f t="shared" si="0"/>
        <v>25000</v>
      </c>
      <c r="F24">
        <v>1.5</v>
      </c>
      <c r="G24">
        <f t="shared" si="1"/>
        <v>37500</v>
      </c>
    </row>
    <row r="25" spans="1:8" x14ac:dyDescent="0.25">
      <c r="A25" s="44"/>
      <c r="B25" t="s">
        <v>58</v>
      </c>
      <c r="C25" s="43">
        <v>10000</v>
      </c>
      <c r="D25">
        <v>1</v>
      </c>
      <c r="E25">
        <f t="shared" si="0"/>
        <v>10000</v>
      </c>
      <c r="F25">
        <v>1</v>
      </c>
      <c r="G25">
        <f t="shared" si="1"/>
        <v>10000</v>
      </c>
    </row>
    <row r="26" spans="1:8" x14ac:dyDescent="0.25">
      <c r="A26" s="44"/>
      <c r="B26" t="s">
        <v>74</v>
      </c>
      <c r="C26" s="43">
        <v>5000</v>
      </c>
      <c r="D26">
        <v>1</v>
      </c>
      <c r="E26">
        <f t="shared" si="0"/>
        <v>5000</v>
      </c>
      <c r="F26">
        <v>1</v>
      </c>
      <c r="G26">
        <f t="shared" si="1"/>
        <v>5000</v>
      </c>
    </row>
    <row r="27" spans="1:8" x14ac:dyDescent="0.25">
      <c r="A27" s="44"/>
      <c r="B27" t="s">
        <v>76</v>
      </c>
      <c r="C27" s="43">
        <v>1000</v>
      </c>
      <c r="D27">
        <v>1</v>
      </c>
      <c r="E27">
        <f t="shared" ref="E27" si="2">C27*D27</f>
        <v>1000</v>
      </c>
      <c r="F27">
        <v>1</v>
      </c>
      <c r="G27">
        <f t="shared" ref="G27" si="3">E27*F27</f>
        <v>1000</v>
      </c>
    </row>
    <row r="28" spans="1:8" ht="15.75" thickBot="1" x14ac:dyDescent="0.3">
      <c r="A28" s="44"/>
    </row>
    <row r="29" spans="1:8" ht="15.75" thickBot="1" x14ac:dyDescent="0.3">
      <c r="A29" s="44"/>
      <c r="B29" s="19" t="s">
        <v>89</v>
      </c>
      <c r="C29" s="45"/>
      <c r="D29" s="46"/>
      <c r="E29" s="46"/>
      <c r="F29" s="46"/>
      <c r="G29" s="47">
        <f>SUM(G22:G27)</f>
        <v>136000</v>
      </c>
    </row>
    <row r="30" spans="1:8" x14ac:dyDescent="0.25">
      <c r="F30">
        <v>1</v>
      </c>
      <c r="G30">
        <f t="shared" si="1"/>
        <v>0</v>
      </c>
    </row>
    <row r="31" spans="1:8" x14ac:dyDescent="0.25">
      <c r="F31">
        <v>1</v>
      </c>
      <c r="G31">
        <f t="shared" si="1"/>
        <v>0</v>
      </c>
    </row>
    <row r="33" spans="1:9" x14ac:dyDescent="0.25">
      <c r="A33" t="s">
        <v>67</v>
      </c>
      <c r="B33" t="s">
        <v>53</v>
      </c>
      <c r="C33" s="43">
        <v>100</v>
      </c>
      <c r="D33">
        <v>50</v>
      </c>
      <c r="E33">
        <f t="shared" ref="E33" si="4">C33*D33</f>
        <v>5000</v>
      </c>
      <c r="F33">
        <v>1</v>
      </c>
      <c r="G33">
        <f t="shared" ref="G33" si="5">E33*F33</f>
        <v>5000</v>
      </c>
    </row>
    <row r="34" spans="1:9" x14ac:dyDescent="0.25">
      <c r="B34" t="s">
        <v>68</v>
      </c>
      <c r="C34" s="43">
        <v>10000</v>
      </c>
      <c r="D34">
        <v>1</v>
      </c>
      <c r="E34">
        <f t="shared" ref="E34" si="6">C34*D34</f>
        <v>10000</v>
      </c>
      <c r="F34">
        <v>1</v>
      </c>
      <c r="G34">
        <f t="shared" ref="G34" si="7">E34*F34</f>
        <v>10000</v>
      </c>
    </row>
    <row r="35" spans="1:9" x14ac:dyDescent="0.25">
      <c r="F35">
        <v>1</v>
      </c>
      <c r="G35">
        <f t="shared" si="1"/>
        <v>0</v>
      </c>
    </row>
    <row r="36" spans="1:9" x14ac:dyDescent="0.25">
      <c r="A36" t="s">
        <v>77</v>
      </c>
      <c r="B36" t="s">
        <v>78</v>
      </c>
      <c r="C36" s="43">
        <f>SUM(G9,G14,G21,G34,G33)</f>
        <v>1723770</v>
      </c>
      <c r="F36">
        <v>1</v>
      </c>
      <c r="G36">
        <f t="shared" si="1"/>
        <v>0</v>
      </c>
    </row>
    <row r="37" spans="1:9" x14ac:dyDescent="0.25">
      <c r="B37" t="s">
        <v>79</v>
      </c>
      <c r="C37" s="43">
        <f>G29</f>
        <v>136000</v>
      </c>
      <c r="F37">
        <v>1</v>
      </c>
      <c r="G37">
        <f t="shared" si="1"/>
        <v>0</v>
      </c>
    </row>
    <row r="38" spans="1:9" x14ac:dyDescent="0.25">
      <c r="F38">
        <v>1</v>
      </c>
      <c r="G38">
        <f t="shared" si="1"/>
        <v>0</v>
      </c>
      <c r="H38" t="s">
        <v>95</v>
      </c>
      <c r="I38" t="s">
        <v>94</v>
      </c>
    </row>
    <row r="39" spans="1:9" x14ac:dyDescent="0.25">
      <c r="A39" t="s">
        <v>90</v>
      </c>
      <c r="B39" t="s">
        <v>91</v>
      </c>
      <c r="C39" s="43">
        <v>250</v>
      </c>
      <c r="D39">
        <v>0</v>
      </c>
      <c r="E39" s="43">
        <f>C39*D39</f>
        <v>0</v>
      </c>
      <c r="F39">
        <v>1</v>
      </c>
      <c r="G39">
        <f t="shared" si="1"/>
        <v>0</v>
      </c>
      <c r="H39" s="43">
        <f>G39-$C$37 - I39*D39+$C$15*0.1*D39</f>
        <v>-136000</v>
      </c>
      <c r="I39" s="43">
        <f>(C39+$C$15)*10/110</f>
        <v>74.454545454545453</v>
      </c>
    </row>
    <row r="40" spans="1:9" x14ac:dyDescent="0.25">
      <c r="C40" s="43">
        <v>250</v>
      </c>
      <c r="D40">
        <v>100</v>
      </c>
      <c r="E40" s="43">
        <f t="shared" ref="E40:E51" si="8">C40*D40</f>
        <v>25000</v>
      </c>
      <c r="F40">
        <v>1</v>
      </c>
      <c r="G40">
        <f t="shared" ref="G40:G51" si="9">E40*F40</f>
        <v>25000</v>
      </c>
      <c r="H40" s="43">
        <f t="shared" ref="H40:H51" si="10">G40-$C$37 - I40*D40+$C$15*0.1*D40</f>
        <v>-112755.45454545454</v>
      </c>
      <c r="I40" s="43">
        <f t="shared" ref="I40:I51" si="11">(C40+$C$15)*10/110</f>
        <v>74.454545454545453</v>
      </c>
    </row>
    <row r="41" spans="1:9" x14ac:dyDescent="0.25">
      <c r="C41" s="43">
        <v>250</v>
      </c>
      <c r="D41">
        <v>200</v>
      </c>
      <c r="E41" s="43">
        <f t="shared" si="8"/>
        <v>50000</v>
      </c>
      <c r="F41">
        <v>1</v>
      </c>
      <c r="G41">
        <f t="shared" si="9"/>
        <v>50000</v>
      </c>
      <c r="H41" s="43">
        <f t="shared" si="10"/>
        <v>-89510.909090909088</v>
      </c>
      <c r="I41" s="43">
        <f t="shared" si="11"/>
        <v>74.454545454545453</v>
      </c>
    </row>
    <row r="42" spans="1:9" x14ac:dyDescent="0.25">
      <c r="C42" s="43">
        <v>250</v>
      </c>
      <c r="D42">
        <v>300</v>
      </c>
      <c r="E42" s="43">
        <f t="shared" si="8"/>
        <v>75000</v>
      </c>
      <c r="F42">
        <v>1</v>
      </c>
      <c r="G42">
        <f t="shared" si="9"/>
        <v>75000</v>
      </c>
      <c r="H42" s="43">
        <f t="shared" si="10"/>
        <v>-66266.363636363632</v>
      </c>
      <c r="I42" s="43">
        <f t="shared" si="11"/>
        <v>74.454545454545453</v>
      </c>
    </row>
    <row r="43" spans="1:9" x14ac:dyDescent="0.25">
      <c r="C43" s="43">
        <v>250</v>
      </c>
      <c r="D43">
        <v>400</v>
      </c>
      <c r="E43" s="43">
        <f t="shared" si="8"/>
        <v>100000</v>
      </c>
      <c r="F43">
        <v>1</v>
      </c>
      <c r="G43">
        <f t="shared" si="9"/>
        <v>100000</v>
      </c>
      <c r="H43" s="43">
        <f t="shared" si="10"/>
        <v>-43021.818181818177</v>
      </c>
      <c r="I43" s="43">
        <f t="shared" si="11"/>
        <v>74.454545454545453</v>
      </c>
    </row>
    <row r="44" spans="1:9" x14ac:dyDescent="0.25">
      <c r="C44" s="43">
        <v>250</v>
      </c>
      <c r="D44">
        <v>500</v>
      </c>
      <c r="E44" s="43">
        <f t="shared" si="8"/>
        <v>125000</v>
      </c>
      <c r="F44">
        <v>1</v>
      </c>
      <c r="G44">
        <f t="shared" si="9"/>
        <v>125000</v>
      </c>
      <c r="H44" s="43">
        <f t="shared" si="10"/>
        <v>-19777.272727272724</v>
      </c>
      <c r="I44" s="43">
        <f t="shared" si="11"/>
        <v>74.454545454545453</v>
      </c>
    </row>
    <row r="45" spans="1:9" x14ac:dyDescent="0.25">
      <c r="B45" t="s">
        <v>93</v>
      </c>
      <c r="C45" s="43">
        <v>250</v>
      </c>
      <c r="D45">
        <v>600</v>
      </c>
      <c r="E45" s="43">
        <f t="shared" si="8"/>
        <v>150000</v>
      </c>
      <c r="F45">
        <v>1</v>
      </c>
      <c r="G45">
        <f t="shared" si="9"/>
        <v>150000</v>
      </c>
      <c r="H45" s="43">
        <f t="shared" si="10"/>
        <v>3467.2727272727279</v>
      </c>
      <c r="I45" s="43">
        <f t="shared" si="11"/>
        <v>74.454545454545453</v>
      </c>
    </row>
    <row r="46" spans="1:9" x14ac:dyDescent="0.25">
      <c r="C46" s="43">
        <v>250</v>
      </c>
      <c r="D46">
        <v>700</v>
      </c>
      <c r="E46" s="43">
        <f t="shared" si="8"/>
        <v>175000</v>
      </c>
      <c r="F46">
        <v>1</v>
      </c>
      <c r="G46">
        <f t="shared" si="9"/>
        <v>175000</v>
      </c>
      <c r="H46" s="43">
        <f t="shared" si="10"/>
        <v>26711.818181818191</v>
      </c>
      <c r="I46" s="43">
        <f t="shared" si="11"/>
        <v>74.454545454545453</v>
      </c>
    </row>
    <row r="47" spans="1:9" x14ac:dyDescent="0.25">
      <c r="C47" s="43">
        <v>250</v>
      </c>
      <c r="D47">
        <v>800</v>
      </c>
      <c r="E47" s="43">
        <f t="shared" si="8"/>
        <v>200000</v>
      </c>
      <c r="F47">
        <v>1</v>
      </c>
      <c r="G47">
        <f t="shared" si="9"/>
        <v>200000</v>
      </c>
      <c r="H47" s="43">
        <f t="shared" si="10"/>
        <v>49956.363636363647</v>
      </c>
      <c r="I47" s="43">
        <f t="shared" si="11"/>
        <v>74.454545454545453</v>
      </c>
    </row>
    <row r="48" spans="1:9" x14ac:dyDescent="0.25">
      <c r="C48" s="43">
        <v>250</v>
      </c>
      <c r="D48">
        <v>900</v>
      </c>
      <c r="E48" s="43">
        <f t="shared" si="8"/>
        <v>225000</v>
      </c>
      <c r="F48">
        <v>1</v>
      </c>
      <c r="G48">
        <f t="shared" si="9"/>
        <v>225000</v>
      </c>
      <c r="H48" s="43">
        <f t="shared" si="10"/>
        <v>73200.909090909088</v>
      </c>
      <c r="I48" s="43">
        <f t="shared" si="11"/>
        <v>74.454545454545453</v>
      </c>
    </row>
    <row r="49" spans="2:9" x14ac:dyDescent="0.25">
      <c r="C49" s="43">
        <v>250</v>
      </c>
      <c r="D49">
        <v>1000</v>
      </c>
      <c r="E49" s="43">
        <f t="shared" si="8"/>
        <v>250000</v>
      </c>
      <c r="F49">
        <v>1</v>
      </c>
      <c r="G49">
        <f t="shared" si="9"/>
        <v>250000</v>
      </c>
      <c r="H49" s="43">
        <f t="shared" si="10"/>
        <v>96445.454545454559</v>
      </c>
      <c r="I49" s="43">
        <f t="shared" si="11"/>
        <v>74.454545454545453</v>
      </c>
    </row>
    <row r="50" spans="2:9" x14ac:dyDescent="0.25">
      <c r="C50" s="43">
        <v>250</v>
      </c>
      <c r="D50">
        <v>1100</v>
      </c>
      <c r="E50" s="43">
        <f t="shared" si="8"/>
        <v>275000</v>
      </c>
      <c r="F50">
        <v>1</v>
      </c>
      <c r="G50">
        <f t="shared" si="9"/>
        <v>275000</v>
      </c>
      <c r="H50" s="43">
        <f t="shared" si="10"/>
        <v>119690</v>
      </c>
      <c r="I50" s="43">
        <f t="shared" si="11"/>
        <v>74.454545454545453</v>
      </c>
    </row>
    <row r="51" spans="2:9" x14ac:dyDescent="0.25">
      <c r="B51" t="s">
        <v>92</v>
      </c>
      <c r="C51" s="43">
        <v>250</v>
      </c>
      <c r="D51">
        <v>1200</v>
      </c>
      <c r="E51" s="43">
        <f t="shared" si="8"/>
        <v>300000</v>
      </c>
      <c r="F51">
        <v>1</v>
      </c>
      <c r="G51">
        <f t="shared" si="9"/>
        <v>300000</v>
      </c>
      <c r="H51" s="43">
        <f t="shared" si="10"/>
        <v>142934.54545454547</v>
      </c>
      <c r="I51" s="43">
        <f t="shared" si="11"/>
        <v>74.454545454545453</v>
      </c>
    </row>
  </sheetData>
  <mergeCells count="4">
    <mergeCell ref="A15:A21"/>
    <mergeCell ref="A10:A14"/>
    <mergeCell ref="A2:A9"/>
    <mergeCell ref="A22:A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4" workbookViewId="0">
      <selection sqref="A1:I30"/>
    </sheetView>
  </sheetViews>
  <sheetFormatPr defaultRowHeight="15" x14ac:dyDescent="0.25"/>
  <cols>
    <col min="1" max="1" width="32.42578125" customWidth="1"/>
    <col min="2" max="2" width="36.7109375" customWidth="1"/>
    <col min="3" max="3" width="21.5703125" customWidth="1"/>
    <col min="4" max="4" width="18.140625" customWidth="1"/>
    <col min="5" max="5" width="12.85546875" customWidth="1"/>
    <col min="6" max="6" width="14.85546875" customWidth="1"/>
    <col min="7" max="7" width="20.140625" customWidth="1"/>
    <col min="8" max="8" width="18.140625" customWidth="1"/>
    <col min="9" max="9" width="15.7109375" customWidth="1"/>
  </cols>
  <sheetData>
    <row r="1" spans="1:7" x14ac:dyDescent="0.25">
      <c r="A1" s="44" t="s">
        <v>51</v>
      </c>
      <c r="B1" t="s">
        <v>54</v>
      </c>
      <c r="C1" s="43">
        <v>359000</v>
      </c>
      <c r="D1">
        <v>3</v>
      </c>
      <c r="E1">
        <f t="shared" ref="E1:E12" si="0">C1*D1</f>
        <v>1077000</v>
      </c>
      <c r="F1">
        <v>1</v>
      </c>
      <c r="G1">
        <f t="shared" ref="G1:G30" si="1">E1*F1</f>
        <v>1077000</v>
      </c>
    </row>
    <row r="2" spans="1:7" x14ac:dyDescent="0.25">
      <c r="A2" s="44"/>
      <c r="B2" t="s">
        <v>55</v>
      </c>
      <c r="C2" s="43">
        <v>14000</v>
      </c>
      <c r="D2">
        <v>3</v>
      </c>
      <c r="E2">
        <f t="shared" si="0"/>
        <v>42000</v>
      </c>
      <c r="F2">
        <v>1</v>
      </c>
      <c r="G2">
        <f t="shared" si="1"/>
        <v>42000</v>
      </c>
    </row>
    <row r="3" spans="1:7" x14ac:dyDescent="0.25">
      <c r="A3" s="44"/>
      <c r="B3" t="s">
        <v>56</v>
      </c>
      <c r="C3" s="43">
        <v>5000</v>
      </c>
      <c r="D3">
        <v>3</v>
      </c>
      <c r="E3">
        <f t="shared" si="0"/>
        <v>15000</v>
      </c>
      <c r="F3">
        <v>1</v>
      </c>
      <c r="G3">
        <f t="shared" si="1"/>
        <v>15000</v>
      </c>
    </row>
    <row r="4" spans="1:7" ht="15.75" thickBot="1" x14ac:dyDescent="0.3">
      <c r="A4" s="44"/>
      <c r="B4" t="s">
        <v>71</v>
      </c>
      <c r="C4" s="43">
        <f>C6*25+C7*25+C8*25+C9*25+C10*25+C11*25 + 2000</f>
        <v>87350</v>
      </c>
      <c r="D4">
        <v>3</v>
      </c>
      <c r="E4">
        <f t="shared" si="0"/>
        <v>262050</v>
      </c>
      <c r="F4">
        <v>1</v>
      </c>
      <c r="G4">
        <f t="shared" si="1"/>
        <v>262050</v>
      </c>
    </row>
    <row r="5" spans="1:7" ht="15.75" thickBot="1" x14ac:dyDescent="0.3">
      <c r="A5" s="44"/>
      <c r="B5" s="19" t="s">
        <v>57</v>
      </c>
      <c r="C5" s="45">
        <f>SUM(C1:C4)</f>
        <v>465350</v>
      </c>
      <c r="D5" s="46">
        <v>1</v>
      </c>
      <c r="E5" s="46">
        <f>SUM(E1:E4)</f>
        <v>1396050</v>
      </c>
      <c r="F5" s="46">
        <v>1</v>
      </c>
      <c r="G5" s="47">
        <f t="shared" si="1"/>
        <v>1396050</v>
      </c>
    </row>
    <row r="6" spans="1:7" x14ac:dyDescent="0.25">
      <c r="A6" s="44" t="s">
        <v>52</v>
      </c>
      <c r="B6" t="s">
        <v>60</v>
      </c>
      <c r="C6" s="43">
        <v>569</v>
      </c>
      <c r="D6">
        <v>30</v>
      </c>
      <c r="E6">
        <f t="shared" si="0"/>
        <v>17070</v>
      </c>
      <c r="F6">
        <v>1</v>
      </c>
      <c r="G6">
        <f t="shared" si="1"/>
        <v>17070</v>
      </c>
    </row>
    <row r="7" spans="1:7" x14ac:dyDescent="0.25">
      <c r="A7" s="44"/>
      <c r="B7" t="s">
        <v>59</v>
      </c>
      <c r="C7" s="43">
        <v>569</v>
      </c>
      <c r="D7">
        <v>30</v>
      </c>
      <c r="E7">
        <f t="shared" si="0"/>
        <v>17070</v>
      </c>
      <c r="F7">
        <v>1</v>
      </c>
      <c r="G7">
        <f t="shared" si="1"/>
        <v>17070</v>
      </c>
    </row>
    <row r="8" spans="1:7" x14ac:dyDescent="0.25">
      <c r="A8" s="44"/>
      <c r="B8" t="s">
        <v>61</v>
      </c>
      <c r="C8" s="43">
        <v>569</v>
      </c>
      <c r="D8">
        <v>30</v>
      </c>
      <c r="E8">
        <f t="shared" si="0"/>
        <v>17070</v>
      </c>
      <c r="F8">
        <v>1</v>
      </c>
      <c r="G8">
        <f t="shared" si="1"/>
        <v>17070</v>
      </c>
    </row>
    <row r="9" spans="1:7" x14ac:dyDescent="0.25">
      <c r="A9" s="44"/>
      <c r="B9" t="s">
        <v>62</v>
      </c>
      <c r="C9" s="43">
        <v>569</v>
      </c>
      <c r="D9">
        <v>30</v>
      </c>
      <c r="E9">
        <f t="shared" si="0"/>
        <v>17070</v>
      </c>
      <c r="F9">
        <v>1</v>
      </c>
      <c r="G9">
        <f t="shared" si="1"/>
        <v>17070</v>
      </c>
    </row>
    <row r="10" spans="1:7" x14ac:dyDescent="0.25">
      <c r="A10" s="44"/>
      <c r="B10" t="s">
        <v>63</v>
      </c>
      <c r="C10" s="43">
        <v>569</v>
      </c>
      <c r="D10">
        <v>30</v>
      </c>
      <c r="E10">
        <f t="shared" si="0"/>
        <v>17070</v>
      </c>
      <c r="F10">
        <v>1</v>
      </c>
      <c r="G10">
        <f t="shared" si="1"/>
        <v>17070</v>
      </c>
    </row>
    <row r="11" spans="1:7" ht="15.75" thickBot="1" x14ac:dyDescent="0.3">
      <c r="A11" s="44"/>
      <c r="B11" t="s">
        <v>64</v>
      </c>
      <c r="C11" s="43">
        <v>569</v>
      </c>
      <c r="D11">
        <v>30</v>
      </c>
      <c r="E11">
        <f t="shared" si="0"/>
        <v>17070</v>
      </c>
      <c r="F11">
        <v>1</v>
      </c>
      <c r="G11">
        <f t="shared" si="1"/>
        <v>17070</v>
      </c>
    </row>
    <row r="12" spans="1:7" ht="15.75" thickBot="1" x14ac:dyDescent="0.3">
      <c r="A12" s="44"/>
      <c r="B12" s="19" t="s">
        <v>57</v>
      </c>
      <c r="C12" s="45"/>
      <c r="D12" s="46">
        <f>SUM(D6:D11)</f>
        <v>180</v>
      </c>
      <c r="E12" s="46">
        <f>SUM(E6:E11)</f>
        <v>102420</v>
      </c>
      <c r="F12" s="46">
        <v>1</v>
      </c>
      <c r="G12" s="47">
        <f t="shared" si="1"/>
        <v>102420</v>
      </c>
    </row>
    <row r="13" spans="1:7" x14ac:dyDescent="0.25">
      <c r="A13" s="44" t="s">
        <v>97</v>
      </c>
      <c r="B13" s="48" t="s">
        <v>5</v>
      </c>
      <c r="C13" s="43">
        <v>5000</v>
      </c>
      <c r="D13">
        <v>3</v>
      </c>
      <c r="E13">
        <f t="shared" ref="E13:E14" si="2">C13*D13</f>
        <v>15000</v>
      </c>
      <c r="F13">
        <v>1.5</v>
      </c>
      <c r="G13">
        <f t="shared" ref="G13" si="3">E13*F13</f>
        <v>22500</v>
      </c>
    </row>
    <row r="14" spans="1:7" ht="15.75" thickBot="1" x14ac:dyDescent="0.3">
      <c r="A14" s="44"/>
      <c r="B14" s="48" t="s">
        <v>2</v>
      </c>
      <c r="C14" s="43">
        <v>10000</v>
      </c>
      <c r="D14">
        <v>3</v>
      </c>
      <c r="E14">
        <f t="shared" si="2"/>
        <v>30000</v>
      </c>
      <c r="F14">
        <v>1</v>
      </c>
      <c r="G14">
        <f t="shared" si="1"/>
        <v>30000</v>
      </c>
    </row>
    <row r="15" spans="1:7" ht="15.75" thickBot="1" x14ac:dyDescent="0.3">
      <c r="A15" s="44"/>
      <c r="B15" s="50" t="s">
        <v>89</v>
      </c>
      <c r="C15" s="45"/>
      <c r="D15" s="46"/>
      <c r="E15" s="46"/>
      <c r="F15" s="46"/>
      <c r="G15" s="47">
        <f>SUM(G13:G14)</f>
        <v>52500</v>
      </c>
    </row>
    <row r="16" spans="1:7" x14ac:dyDescent="0.25">
      <c r="A16" s="44" t="s">
        <v>98</v>
      </c>
      <c r="B16" s="48" t="s">
        <v>99</v>
      </c>
      <c r="C16" s="49"/>
      <c r="D16" s="34"/>
      <c r="E16" s="34"/>
      <c r="F16" s="34"/>
      <c r="G16" s="48">
        <f>G5+G12</f>
        <v>1498470</v>
      </c>
    </row>
    <row r="17" spans="1:9" x14ac:dyDescent="0.25">
      <c r="A17" s="44"/>
      <c r="B17" s="48"/>
      <c r="C17" s="49"/>
      <c r="D17" s="34"/>
      <c r="E17" s="34"/>
      <c r="F17" s="34"/>
      <c r="G17" s="34"/>
      <c r="H17" t="s">
        <v>95</v>
      </c>
      <c r="I17" t="s">
        <v>94</v>
      </c>
    </row>
    <row r="18" spans="1:9" x14ac:dyDescent="0.25">
      <c r="A18" t="s">
        <v>90</v>
      </c>
      <c r="B18" t="s">
        <v>91</v>
      </c>
      <c r="C18" s="43">
        <v>250</v>
      </c>
      <c r="D18">
        <v>0</v>
      </c>
      <c r="E18" s="43">
        <f>C18*D18</f>
        <v>0</v>
      </c>
      <c r="F18">
        <v>1</v>
      </c>
      <c r="G18">
        <f t="shared" si="1"/>
        <v>0</v>
      </c>
      <c r="H18" s="43">
        <f>G18-'I этап'!$C$37 -$G$15- I18*D18+C18*0.1*D18</f>
        <v>-188500</v>
      </c>
      <c r="I18" s="43">
        <f>(C18+$C$6)*10/110</f>
        <v>74.454545454545453</v>
      </c>
    </row>
    <row r="19" spans="1:9" x14ac:dyDescent="0.25">
      <c r="C19" s="43">
        <v>250</v>
      </c>
      <c r="D19">
        <v>400</v>
      </c>
      <c r="E19" s="43">
        <f t="shared" ref="E19:E30" si="4">C19*D19</f>
        <v>100000</v>
      </c>
      <c r="F19">
        <v>1</v>
      </c>
      <c r="G19">
        <f t="shared" si="1"/>
        <v>100000</v>
      </c>
      <c r="H19" s="43">
        <f>G19-'I этап'!$C$37 -$G$15- I19*D19+C19*0.1*D19</f>
        <v>-108281.81818181818</v>
      </c>
      <c r="I19" s="43">
        <f t="shared" ref="I19:I30" si="5">(C19+$C$6)*10/110</f>
        <v>74.454545454545453</v>
      </c>
    </row>
    <row r="20" spans="1:9" x14ac:dyDescent="0.25">
      <c r="C20" s="43">
        <v>250</v>
      </c>
      <c r="D20">
        <v>800</v>
      </c>
      <c r="E20" s="43">
        <f t="shared" si="4"/>
        <v>200000</v>
      </c>
      <c r="F20">
        <v>1</v>
      </c>
      <c r="G20">
        <f t="shared" si="1"/>
        <v>200000</v>
      </c>
      <c r="H20" s="43">
        <f>G20-'I этап'!$C$37 -$G$15- I20*D20+C20*0.1*D20</f>
        <v>-28063.63636363636</v>
      </c>
      <c r="I20" s="43">
        <f t="shared" si="5"/>
        <v>74.454545454545453</v>
      </c>
    </row>
    <row r="21" spans="1:9" x14ac:dyDescent="0.25">
      <c r="C21" s="43">
        <v>250</v>
      </c>
      <c r="D21">
        <v>1200</v>
      </c>
      <c r="E21" s="43">
        <f t="shared" si="4"/>
        <v>300000</v>
      </c>
      <c r="F21">
        <v>1</v>
      </c>
      <c r="G21">
        <f t="shared" si="1"/>
        <v>300000</v>
      </c>
      <c r="H21" s="43">
        <f>G21-'I этап'!$C$37 -$G$15- I21*D21+C21*0.1*D21</f>
        <v>52154.545454545456</v>
      </c>
      <c r="I21" s="43">
        <f t="shared" si="5"/>
        <v>74.454545454545453</v>
      </c>
    </row>
    <row r="22" spans="1:9" x14ac:dyDescent="0.25">
      <c r="C22" s="43">
        <v>250</v>
      </c>
      <c r="D22">
        <v>1600</v>
      </c>
      <c r="E22" s="43">
        <f t="shared" si="4"/>
        <v>400000</v>
      </c>
      <c r="F22">
        <v>1</v>
      </c>
      <c r="G22">
        <f t="shared" si="1"/>
        <v>400000</v>
      </c>
      <c r="H22" s="43">
        <f>G22-'I этап'!$C$37 -$G$15- I22*D22+C22*0.1*D22</f>
        <v>132372.72727272729</v>
      </c>
      <c r="I22" s="43">
        <f t="shared" si="5"/>
        <v>74.454545454545453</v>
      </c>
    </row>
    <row r="23" spans="1:9" x14ac:dyDescent="0.25">
      <c r="C23" s="43">
        <v>250</v>
      </c>
      <c r="D23">
        <v>2000</v>
      </c>
      <c r="E23" s="43">
        <f t="shared" si="4"/>
        <v>500000</v>
      </c>
      <c r="F23">
        <v>1</v>
      </c>
      <c r="G23">
        <f t="shared" si="1"/>
        <v>500000</v>
      </c>
      <c r="H23" s="43">
        <f>G23-'I этап'!$C$37 -$G$15- I23*D23+C23*0.1*D23</f>
        <v>212590.90909090909</v>
      </c>
      <c r="I23" s="43">
        <f t="shared" si="5"/>
        <v>74.454545454545453</v>
      </c>
    </row>
    <row r="24" spans="1:9" x14ac:dyDescent="0.25">
      <c r="B24" t="s">
        <v>93</v>
      </c>
      <c r="C24" s="43">
        <v>250</v>
      </c>
      <c r="D24">
        <v>2400</v>
      </c>
      <c r="E24" s="43">
        <f t="shared" si="4"/>
        <v>600000</v>
      </c>
      <c r="F24">
        <v>1</v>
      </c>
      <c r="G24">
        <f t="shared" si="1"/>
        <v>600000</v>
      </c>
      <c r="H24" s="43">
        <f>G24-'I этап'!$C$37 -$G$15- I24*D24+C24*0.1*D24</f>
        <v>292809.09090909094</v>
      </c>
      <c r="I24" s="43">
        <f t="shared" si="5"/>
        <v>74.454545454545453</v>
      </c>
    </row>
    <row r="25" spans="1:9" x14ac:dyDescent="0.25">
      <c r="C25" s="43">
        <v>250</v>
      </c>
      <c r="D25">
        <v>2800</v>
      </c>
      <c r="E25" s="43">
        <f t="shared" si="4"/>
        <v>700000</v>
      </c>
      <c r="F25">
        <v>1</v>
      </c>
      <c r="G25">
        <f t="shared" si="1"/>
        <v>700000</v>
      </c>
      <c r="H25" s="43">
        <f>G25-'I этап'!$C$37 -$G$15- I25*D25+C25*0.1*D25</f>
        <v>373027.27272727271</v>
      </c>
      <c r="I25" s="43">
        <f t="shared" si="5"/>
        <v>74.454545454545453</v>
      </c>
    </row>
    <row r="26" spans="1:9" x14ac:dyDescent="0.25">
      <c r="C26" s="43">
        <v>250</v>
      </c>
      <c r="D26">
        <v>3200</v>
      </c>
      <c r="E26" s="43">
        <f t="shared" si="4"/>
        <v>800000</v>
      </c>
      <c r="F26">
        <v>1</v>
      </c>
      <c r="G26">
        <f t="shared" si="1"/>
        <v>800000</v>
      </c>
      <c r="H26" s="43">
        <f>G26-'I этап'!$C$37 -$G$15- I26*D26+C26*0.1*D26</f>
        <v>453245.45454545459</v>
      </c>
      <c r="I26" s="43">
        <f t="shared" si="5"/>
        <v>74.454545454545453</v>
      </c>
    </row>
    <row r="27" spans="1:9" x14ac:dyDescent="0.25">
      <c r="C27" s="43">
        <v>250</v>
      </c>
      <c r="D27">
        <v>3600</v>
      </c>
      <c r="E27" s="43">
        <f t="shared" si="4"/>
        <v>900000</v>
      </c>
      <c r="F27">
        <v>1</v>
      </c>
      <c r="G27">
        <f t="shared" si="1"/>
        <v>900000</v>
      </c>
      <c r="H27" s="43">
        <f>G27-'I этап'!$C$37 -$G$15- I27*D27+C27*0.1*D27</f>
        <v>533463.63636363635</v>
      </c>
      <c r="I27" s="43">
        <f t="shared" si="5"/>
        <v>74.454545454545453</v>
      </c>
    </row>
    <row r="28" spans="1:9" x14ac:dyDescent="0.25">
      <c r="C28" s="43">
        <v>250</v>
      </c>
      <c r="D28">
        <v>4000</v>
      </c>
      <c r="E28" s="43">
        <f t="shared" si="4"/>
        <v>1000000</v>
      </c>
      <c r="F28">
        <v>1</v>
      </c>
      <c r="G28">
        <f t="shared" si="1"/>
        <v>1000000</v>
      </c>
      <c r="H28" s="43">
        <f>G28-'I этап'!$C$37 -$G$15- I28*D28+C28*0.1*D28</f>
        <v>613681.81818181812</v>
      </c>
      <c r="I28" s="43">
        <f t="shared" si="5"/>
        <v>74.454545454545453</v>
      </c>
    </row>
    <row r="29" spans="1:9" x14ac:dyDescent="0.25">
      <c r="C29" s="43">
        <v>250</v>
      </c>
      <c r="D29">
        <v>4400</v>
      </c>
      <c r="E29" s="43">
        <f t="shared" si="4"/>
        <v>1100000</v>
      </c>
      <c r="F29">
        <v>1</v>
      </c>
      <c r="G29">
        <f t="shared" si="1"/>
        <v>1100000</v>
      </c>
      <c r="H29" s="43">
        <f>G29-'I этап'!$C$37 -$G$15- I29*D29+C29*0.1*D29</f>
        <v>693900</v>
      </c>
      <c r="I29" s="43">
        <f t="shared" si="5"/>
        <v>74.454545454545453</v>
      </c>
    </row>
    <row r="30" spans="1:9" x14ac:dyDescent="0.25">
      <c r="B30" t="s">
        <v>92</v>
      </c>
      <c r="C30" s="43">
        <v>250</v>
      </c>
      <c r="D30">
        <v>4800</v>
      </c>
      <c r="E30" s="43">
        <f t="shared" si="4"/>
        <v>1200000</v>
      </c>
      <c r="F30">
        <v>1</v>
      </c>
      <c r="G30">
        <f t="shared" si="1"/>
        <v>1200000</v>
      </c>
      <c r="H30" s="43">
        <f>G30-'I этап'!$C$37 -$G$15- I30*D30+C30*0.1*D30</f>
        <v>774118.18181818188</v>
      </c>
      <c r="I30" s="43">
        <f t="shared" si="5"/>
        <v>74.454545454545453</v>
      </c>
    </row>
  </sheetData>
  <mergeCells count="4">
    <mergeCell ref="A1:A5"/>
    <mergeCell ref="A6:A12"/>
    <mergeCell ref="A13:A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6" sqref="I6"/>
    </sheetView>
  </sheetViews>
  <sheetFormatPr defaultRowHeight="15" x14ac:dyDescent="0.25"/>
  <cols>
    <col min="1" max="1" width="38.5703125" customWidth="1"/>
    <col min="2" max="2" width="29.7109375" customWidth="1"/>
    <col min="3" max="3" width="18.85546875" customWidth="1"/>
    <col min="4" max="4" width="18" customWidth="1"/>
    <col min="5" max="5" width="14.28515625" customWidth="1"/>
    <col min="6" max="6" width="10.28515625" customWidth="1"/>
    <col min="7" max="7" width="13.7109375" customWidth="1"/>
    <col min="8" max="8" width="21.5703125" customWidth="1"/>
    <col min="9" max="9" width="20.28515625" customWidth="1"/>
  </cols>
  <sheetData>
    <row r="1" spans="1:7" x14ac:dyDescent="0.25">
      <c r="A1" s="44" t="s">
        <v>51</v>
      </c>
      <c r="B1" t="s">
        <v>54</v>
      </c>
      <c r="C1" s="43">
        <v>251000</v>
      </c>
      <c r="D1">
        <v>50</v>
      </c>
      <c r="E1">
        <f t="shared" ref="E1:E12" si="0">C1*D1</f>
        <v>12550000</v>
      </c>
      <c r="F1">
        <v>1</v>
      </c>
      <c r="G1">
        <f t="shared" ref="G1:G30" si="1">E1*F1</f>
        <v>12550000</v>
      </c>
    </row>
    <row r="2" spans="1:7" x14ac:dyDescent="0.25">
      <c r="A2" s="44"/>
      <c r="B2" t="s">
        <v>55</v>
      </c>
      <c r="C2" s="43">
        <v>5000</v>
      </c>
      <c r="D2">
        <v>50</v>
      </c>
      <c r="E2">
        <f t="shared" si="0"/>
        <v>250000</v>
      </c>
      <c r="F2">
        <v>1</v>
      </c>
      <c r="G2">
        <f t="shared" si="1"/>
        <v>250000</v>
      </c>
    </row>
    <row r="3" spans="1:7" x14ac:dyDescent="0.25">
      <c r="A3" s="44"/>
      <c r="B3" t="s">
        <v>56</v>
      </c>
      <c r="C3" s="43">
        <v>5000</v>
      </c>
      <c r="D3">
        <v>50</v>
      </c>
      <c r="E3">
        <f t="shared" si="0"/>
        <v>250000</v>
      </c>
      <c r="F3">
        <v>1</v>
      </c>
      <c r="G3">
        <f t="shared" si="1"/>
        <v>250000</v>
      </c>
    </row>
    <row r="4" spans="1:7" ht="15.75" thickBot="1" x14ac:dyDescent="0.3">
      <c r="A4" s="44"/>
      <c r="B4" t="s">
        <v>71</v>
      </c>
      <c r="C4" s="43">
        <f>C6*25+C7*25+C8*25+C9*25+C10*25+C11*25 + 2000</f>
        <v>87350</v>
      </c>
      <c r="D4">
        <v>50</v>
      </c>
      <c r="E4">
        <f t="shared" si="0"/>
        <v>4367500</v>
      </c>
      <c r="F4">
        <v>1</v>
      </c>
      <c r="G4">
        <f t="shared" si="1"/>
        <v>4367500</v>
      </c>
    </row>
    <row r="5" spans="1:7" ht="15.75" thickBot="1" x14ac:dyDescent="0.3">
      <c r="A5" s="44"/>
      <c r="B5" s="19" t="s">
        <v>57</v>
      </c>
      <c r="C5" s="45">
        <f>SUM(C1:C4)</f>
        <v>348350</v>
      </c>
      <c r="D5" s="46">
        <v>1</v>
      </c>
      <c r="E5" s="46">
        <f>SUM(E1:E4)</f>
        <v>17417500</v>
      </c>
      <c r="F5" s="46">
        <v>1</v>
      </c>
      <c r="G5" s="47">
        <f t="shared" si="1"/>
        <v>17417500</v>
      </c>
    </row>
    <row r="6" spans="1:7" x14ac:dyDescent="0.25">
      <c r="A6" s="44" t="s">
        <v>52</v>
      </c>
      <c r="B6" t="s">
        <v>60</v>
      </c>
      <c r="C6" s="43">
        <v>569</v>
      </c>
      <c r="D6">
        <v>30</v>
      </c>
      <c r="E6">
        <f t="shared" si="0"/>
        <v>17070</v>
      </c>
      <c r="F6">
        <v>1</v>
      </c>
      <c r="G6">
        <f t="shared" si="1"/>
        <v>17070</v>
      </c>
    </row>
    <row r="7" spans="1:7" x14ac:dyDescent="0.25">
      <c r="A7" s="44"/>
      <c r="B7" t="s">
        <v>59</v>
      </c>
      <c r="C7" s="43">
        <v>569</v>
      </c>
      <c r="D7">
        <v>30</v>
      </c>
      <c r="E7">
        <f t="shared" si="0"/>
        <v>17070</v>
      </c>
      <c r="F7">
        <v>1</v>
      </c>
      <c r="G7">
        <f t="shared" si="1"/>
        <v>17070</v>
      </c>
    </row>
    <row r="8" spans="1:7" x14ac:dyDescent="0.25">
      <c r="A8" s="44"/>
      <c r="B8" t="s">
        <v>61</v>
      </c>
      <c r="C8" s="43">
        <v>569</v>
      </c>
      <c r="D8">
        <v>30</v>
      </c>
      <c r="E8">
        <f t="shared" si="0"/>
        <v>17070</v>
      </c>
      <c r="F8">
        <v>1</v>
      </c>
      <c r="G8">
        <f t="shared" si="1"/>
        <v>17070</v>
      </c>
    </row>
    <row r="9" spans="1:7" x14ac:dyDescent="0.25">
      <c r="A9" s="44"/>
      <c r="B9" t="s">
        <v>62</v>
      </c>
      <c r="C9" s="43">
        <v>569</v>
      </c>
      <c r="D9">
        <v>30</v>
      </c>
      <c r="E9">
        <f t="shared" si="0"/>
        <v>17070</v>
      </c>
      <c r="F9">
        <v>1</v>
      </c>
      <c r="G9">
        <f t="shared" si="1"/>
        <v>17070</v>
      </c>
    </row>
    <row r="10" spans="1:7" x14ac:dyDescent="0.25">
      <c r="A10" s="44"/>
      <c r="B10" t="s">
        <v>63</v>
      </c>
      <c r="C10" s="43">
        <v>569</v>
      </c>
      <c r="D10">
        <v>30</v>
      </c>
      <c r="E10">
        <f t="shared" si="0"/>
        <v>17070</v>
      </c>
      <c r="F10">
        <v>1</v>
      </c>
      <c r="G10">
        <f t="shared" si="1"/>
        <v>17070</v>
      </c>
    </row>
    <row r="11" spans="1:7" ht="15.75" thickBot="1" x14ac:dyDescent="0.3">
      <c r="A11" s="44"/>
      <c r="B11" t="s">
        <v>64</v>
      </c>
      <c r="C11" s="43">
        <v>569</v>
      </c>
      <c r="D11">
        <v>30</v>
      </c>
      <c r="E11">
        <f t="shared" si="0"/>
        <v>17070</v>
      </c>
      <c r="F11">
        <v>1</v>
      </c>
      <c r="G11">
        <f t="shared" si="1"/>
        <v>17070</v>
      </c>
    </row>
    <row r="12" spans="1:7" ht="15.75" thickBot="1" x14ac:dyDescent="0.3">
      <c r="A12" s="44"/>
      <c r="B12" s="19" t="s">
        <v>57</v>
      </c>
      <c r="C12" s="45"/>
      <c r="D12" s="46">
        <f>SUM(D6:D11)</f>
        <v>180</v>
      </c>
      <c r="E12" s="46">
        <f>SUM(E6:E11)</f>
        <v>102420</v>
      </c>
      <c r="F12" s="46">
        <v>1</v>
      </c>
      <c r="G12" s="47">
        <f t="shared" si="1"/>
        <v>102420</v>
      </c>
    </row>
    <row r="13" spans="1:7" x14ac:dyDescent="0.25">
      <c r="A13" s="44" t="s">
        <v>97</v>
      </c>
      <c r="B13" s="48" t="s">
        <v>5</v>
      </c>
      <c r="C13" s="43">
        <v>5000</v>
      </c>
      <c r="D13">
        <v>50</v>
      </c>
      <c r="E13">
        <f t="shared" ref="E13:E14" si="2">C13*D13</f>
        <v>250000</v>
      </c>
      <c r="F13">
        <v>1.5</v>
      </c>
      <c r="G13">
        <f t="shared" si="1"/>
        <v>375000</v>
      </c>
    </row>
    <row r="14" spans="1:7" ht="15.75" thickBot="1" x14ac:dyDescent="0.3">
      <c r="A14" s="44"/>
      <c r="B14" s="48" t="s">
        <v>2</v>
      </c>
      <c r="C14" s="43">
        <v>10000</v>
      </c>
      <c r="D14">
        <v>50</v>
      </c>
      <c r="E14">
        <f t="shared" si="2"/>
        <v>500000</v>
      </c>
      <c r="F14">
        <v>1</v>
      </c>
      <c r="G14">
        <f t="shared" si="1"/>
        <v>500000</v>
      </c>
    </row>
    <row r="15" spans="1:7" ht="15.75" thickBot="1" x14ac:dyDescent="0.3">
      <c r="A15" s="44"/>
      <c r="B15" s="50" t="s">
        <v>89</v>
      </c>
      <c r="C15" s="45"/>
      <c r="D15" s="46"/>
      <c r="E15" s="46"/>
      <c r="F15" s="46"/>
      <c r="G15" s="47">
        <f>SUM(G13:G14)</f>
        <v>875000</v>
      </c>
    </row>
    <row r="16" spans="1:7" x14ac:dyDescent="0.25">
      <c r="A16" s="44" t="s">
        <v>98</v>
      </c>
      <c r="B16" s="48" t="s">
        <v>99</v>
      </c>
      <c r="C16" s="49"/>
      <c r="D16" s="34"/>
      <c r="E16" s="34"/>
      <c r="F16" s="34"/>
      <c r="G16" s="48">
        <f>G5+G12</f>
        <v>17519920</v>
      </c>
    </row>
    <row r="17" spans="1:9" x14ac:dyDescent="0.25">
      <c r="A17" s="44"/>
      <c r="B17" s="48"/>
      <c r="C17" s="49"/>
      <c r="D17" s="34"/>
      <c r="E17" s="34"/>
      <c r="F17" s="34"/>
      <c r="G17" s="34"/>
      <c r="H17" t="s">
        <v>95</v>
      </c>
      <c r="I17" t="s">
        <v>94</v>
      </c>
    </row>
    <row r="18" spans="1:9" x14ac:dyDescent="0.25">
      <c r="A18" t="s">
        <v>90</v>
      </c>
      <c r="B18" t="s">
        <v>91</v>
      </c>
      <c r="C18" s="43">
        <v>250</v>
      </c>
      <c r="D18">
        <v>0</v>
      </c>
      <c r="E18" s="43">
        <f>C18*D18</f>
        <v>0</v>
      </c>
      <c r="F18">
        <v>1</v>
      </c>
      <c r="G18">
        <f t="shared" si="1"/>
        <v>0</v>
      </c>
      <c r="H18" s="43">
        <f>G18-'I этап'!$C$37 -$G$15- I18*D18+C18*0.1*D18</f>
        <v>-1011000</v>
      </c>
      <c r="I18" s="43">
        <f>(C18+$C$6)*10/110</f>
        <v>74.454545454545453</v>
      </c>
    </row>
    <row r="19" spans="1:9" x14ac:dyDescent="0.25">
      <c r="C19" s="43">
        <v>250</v>
      </c>
      <c r="D19">
        <v>5000</v>
      </c>
      <c r="E19" s="43">
        <f t="shared" ref="E19:E30" si="3">C19*D19</f>
        <v>1250000</v>
      </c>
      <c r="F19">
        <v>1</v>
      </c>
      <c r="G19">
        <f t="shared" si="1"/>
        <v>1250000</v>
      </c>
      <c r="H19" s="43">
        <f>G19-'I этап'!$C$37 -$G$15- I19*D19+C19*0.1*D19</f>
        <v>-8272.7272727272939</v>
      </c>
      <c r="I19" s="43">
        <f t="shared" ref="I19:I30" si="4">(C19+$C$6)*10/110</f>
        <v>74.454545454545453</v>
      </c>
    </row>
    <row r="20" spans="1:9" x14ac:dyDescent="0.25">
      <c r="C20" s="43">
        <v>250</v>
      </c>
      <c r="D20">
        <v>10000</v>
      </c>
      <c r="E20" s="43">
        <f t="shared" si="3"/>
        <v>2500000</v>
      </c>
      <c r="F20">
        <v>1</v>
      </c>
      <c r="G20">
        <f t="shared" si="1"/>
        <v>2500000</v>
      </c>
      <c r="H20" s="43">
        <f>G20-'I этап'!$C$37 -$G$15- I20*D20+C20*0.1*D20</f>
        <v>994454.54545454541</v>
      </c>
      <c r="I20" s="43">
        <f t="shared" si="4"/>
        <v>74.454545454545453</v>
      </c>
    </row>
    <row r="21" spans="1:9" x14ac:dyDescent="0.25">
      <c r="C21" s="43">
        <v>250</v>
      </c>
      <c r="D21">
        <v>15000</v>
      </c>
      <c r="E21" s="43">
        <f t="shared" si="3"/>
        <v>3750000</v>
      </c>
      <c r="F21">
        <v>1</v>
      </c>
      <c r="G21">
        <f t="shared" si="1"/>
        <v>3750000</v>
      </c>
      <c r="H21" s="43">
        <f>G21-'I этап'!$C$37 -$G$15- I21*D21+C21*0.1*D21</f>
        <v>1997181.8181818181</v>
      </c>
      <c r="I21" s="43">
        <f t="shared" si="4"/>
        <v>74.454545454545453</v>
      </c>
    </row>
    <row r="22" spans="1:9" x14ac:dyDescent="0.25">
      <c r="C22" s="43">
        <v>250</v>
      </c>
      <c r="D22">
        <v>20000</v>
      </c>
      <c r="E22" s="43">
        <f t="shared" si="3"/>
        <v>5000000</v>
      </c>
      <c r="F22">
        <v>1</v>
      </c>
      <c r="G22">
        <f t="shared" si="1"/>
        <v>5000000</v>
      </c>
      <c r="H22" s="43">
        <f>G22-'I этап'!$C$37 -$G$15- I22*D22+C22*0.1*D22</f>
        <v>2999909.0909090908</v>
      </c>
      <c r="I22" s="43">
        <f t="shared" si="4"/>
        <v>74.454545454545453</v>
      </c>
    </row>
    <row r="23" spans="1:9" x14ac:dyDescent="0.25">
      <c r="C23" s="43">
        <v>250</v>
      </c>
      <c r="D23">
        <v>25000</v>
      </c>
      <c r="E23" s="43">
        <f t="shared" si="3"/>
        <v>6250000</v>
      </c>
      <c r="F23">
        <v>1</v>
      </c>
      <c r="G23">
        <f t="shared" si="1"/>
        <v>6250000</v>
      </c>
      <c r="H23" s="43">
        <f>G23-'I этап'!$C$37 -$G$15- I23*D23+C23*0.1*D23</f>
        <v>4002636.3636363638</v>
      </c>
      <c r="I23" s="43">
        <f t="shared" si="4"/>
        <v>74.454545454545453</v>
      </c>
    </row>
    <row r="24" spans="1:9" x14ac:dyDescent="0.25">
      <c r="B24" t="s">
        <v>93</v>
      </c>
      <c r="C24" s="43">
        <v>250</v>
      </c>
      <c r="D24">
        <v>30000</v>
      </c>
      <c r="E24" s="43">
        <f t="shared" si="3"/>
        <v>7500000</v>
      </c>
      <c r="F24">
        <v>1</v>
      </c>
      <c r="G24">
        <f t="shared" si="1"/>
        <v>7500000</v>
      </c>
      <c r="H24" s="43">
        <f>G24-'I этап'!$C$37 -$G$15- I24*D24+C24*0.1*D24</f>
        <v>5005363.6363636367</v>
      </c>
      <c r="I24" s="43">
        <f t="shared" si="4"/>
        <v>74.454545454545453</v>
      </c>
    </row>
    <row r="25" spans="1:9" x14ac:dyDescent="0.25">
      <c r="C25" s="43">
        <v>250</v>
      </c>
      <c r="D25">
        <v>35000</v>
      </c>
      <c r="E25" s="43">
        <f t="shared" si="3"/>
        <v>8750000</v>
      </c>
      <c r="F25">
        <v>1</v>
      </c>
      <c r="G25">
        <f t="shared" si="1"/>
        <v>8750000</v>
      </c>
      <c r="H25" s="43">
        <f>G25-'I этап'!$C$37 -$G$15- I25*D25+C25*0.1*D25</f>
        <v>6008090.9090909092</v>
      </c>
      <c r="I25" s="43">
        <f t="shared" si="4"/>
        <v>74.454545454545453</v>
      </c>
    </row>
    <row r="26" spans="1:9" x14ac:dyDescent="0.25">
      <c r="C26" s="43">
        <v>250</v>
      </c>
      <c r="D26">
        <v>40000</v>
      </c>
      <c r="E26" s="43">
        <f t="shared" si="3"/>
        <v>10000000</v>
      </c>
      <c r="F26">
        <v>1</v>
      </c>
      <c r="G26">
        <f t="shared" si="1"/>
        <v>10000000</v>
      </c>
      <c r="H26" s="43">
        <f>G26-'I этап'!$C$37 -$G$15- I26*D26+C26*0.1*D26</f>
        <v>7010818.1818181816</v>
      </c>
      <c r="I26" s="43">
        <f t="shared" si="4"/>
        <v>74.454545454545453</v>
      </c>
    </row>
    <row r="27" spans="1:9" x14ac:dyDescent="0.25">
      <c r="C27" s="43">
        <v>250</v>
      </c>
      <c r="D27">
        <v>45000</v>
      </c>
      <c r="E27" s="43">
        <f t="shared" si="3"/>
        <v>11250000</v>
      </c>
      <c r="F27">
        <v>1</v>
      </c>
      <c r="G27">
        <f t="shared" si="1"/>
        <v>11250000</v>
      </c>
      <c r="H27" s="43">
        <f>G27-'I этап'!$C$37 -$G$15- I27*D27+C27*0.1*D27</f>
        <v>8013545.4545454551</v>
      </c>
      <c r="I27" s="43">
        <f t="shared" si="4"/>
        <v>74.454545454545453</v>
      </c>
    </row>
    <row r="28" spans="1:9" x14ac:dyDescent="0.25">
      <c r="C28" s="43">
        <v>250</v>
      </c>
      <c r="D28">
        <v>50000</v>
      </c>
      <c r="E28" s="43">
        <f t="shared" si="3"/>
        <v>12500000</v>
      </c>
      <c r="F28">
        <v>1</v>
      </c>
      <c r="G28">
        <f t="shared" si="1"/>
        <v>12500000</v>
      </c>
      <c r="H28" s="43">
        <f>G28-'I этап'!$C$37 -$G$15- I28*D28+C28*0.1*D28</f>
        <v>9016272.7272727266</v>
      </c>
      <c r="I28" s="43">
        <f t="shared" si="4"/>
        <v>74.454545454545453</v>
      </c>
    </row>
    <row r="29" spans="1:9" x14ac:dyDescent="0.25">
      <c r="C29" s="43">
        <v>250</v>
      </c>
      <c r="D29">
        <v>55000</v>
      </c>
      <c r="E29" s="43">
        <f t="shared" si="3"/>
        <v>13750000</v>
      </c>
      <c r="F29">
        <v>1</v>
      </c>
      <c r="G29">
        <f t="shared" si="1"/>
        <v>13750000</v>
      </c>
      <c r="H29" s="43">
        <f>G29-'I этап'!$C$37 -$G$15- I29*D29+C29*0.1*D29</f>
        <v>10019000</v>
      </c>
      <c r="I29" s="43">
        <f t="shared" si="4"/>
        <v>74.454545454545453</v>
      </c>
    </row>
    <row r="30" spans="1:9" x14ac:dyDescent="0.25">
      <c r="B30" t="s">
        <v>92</v>
      </c>
      <c r="C30" s="43">
        <v>250</v>
      </c>
      <c r="D30">
        <v>60000</v>
      </c>
      <c r="E30" s="43">
        <f t="shared" si="3"/>
        <v>15000000</v>
      </c>
      <c r="F30">
        <v>1</v>
      </c>
      <c r="G30">
        <f t="shared" si="1"/>
        <v>15000000</v>
      </c>
      <c r="H30" s="43">
        <f>G30-'I этап'!$C$37 -$G$15- I30*D30+C30*0.1*D30</f>
        <v>11021727.272727273</v>
      </c>
      <c r="I30" s="43">
        <f t="shared" si="4"/>
        <v>74.454545454545453</v>
      </c>
    </row>
  </sheetData>
  <mergeCells count="4">
    <mergeCell ref="A1:A5"/>
    <mergeCell ref="A6:A12"/>
    <mergeCell ref="A13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Расчёты</vt:lpstr>
      <vt:lpstr>I этап</vt:lpstr>
      <vt:lpstr>II этап</vt:lpstr>
      <vt:lpstr>III этап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</dc:creator>
  <cp:lastModifiedBy>Вяч</cp:lastModifiedBy>
  <cp:lastPrinted>2024-05-28T15:03:07Z</cp:lastPrinted>
  <dcterms:created xsi:type="dcterms:W3CDTF">2024-05-28T14:04:07Z</dcterms:created>
  <dcterms:modified xsi:type="dcterms:W3CDTF">2024-06-24T18:06:55Z</dcterms:modified>
</cp:coreProperties>
</file>