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liu/Downloads/"/>
    </mc:Choice>
  </mc:AlternateContent>
  <xr:revisionPtr revIDLastSave="0" documentId="13_ncr:1_{05AFC77A-3684-A04B-9892-1F6BB78DD4C0}" xr6:coauthVersionLast="47" xr6:coauthVersionMax="47" xr10:uidLastSave="{00000000-0000-0000-0000-000000000000}"/>
  <bookViews>
    <workbookView xWindow="0" yWindow="500" windowWidth="23060" windowHeight="15620" activeTab="1" xr2:uid="{D7A11B22-4522-467B-9402-0B9402DE3F9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2" l="1"/>
  <c r="AA25" i="2"/>
  <c r="AG25" i="2"/>
  <c r="AH24" i="2"/>
  <c r="AA9" i="2"/>
  <c r="Z9" i="2"/>
  <c r="F23" i="2"/>
  <c r="G23" i="2"/>
  <c r="H23" i="2"/>
  <c r="E23" i="2"/>
  <c r="N9" i="2"/>
  <c r="O9" i="2"/>
  <c r="P9" i="2"/>
  <c r="M9" i="2"/>
  <c r="Z4" i="2"/>
  <c r="AA4" i="2"/>
  <c r="Y4" i="2"/>
  <c r="Z11" i="2"/>
  <c r="Z16" i="2" s="1"/>
  <c r="AA11" i="2"/>
  <c r="AA16" i="2" s="1"/>
  <c r="Y9" i="2"/>
  <c r="Y23" i="2" s="1"/>
  <c r="AB22" i="2"/>
  <c r="X25" i="2"/>
  <c r="W22" i="2"/>
  <c r="Y22" i="2"/>
  <c r="X15" i="2"/>
  <c r="X8" i="2"/>
  <c r="X9" i="2" s="1"/>
  <c r="W9" i="2"/>
  <c r="W11" i="2" s="1"/>
  <c r="W16" i="2" s="1"/>
  <c r="W18" i="2" s="1"/>
  <c r="W15" i="2"/>
  <c r="W8" i="2"/>
  <c r="V8" i="2"/>
  <c r="V9" i="2" s="1"/>
  <c r="V11" i="2" s="1"/>
  <c r="V16" i="2" s="1"/>
  <c r="V18" i="2" s="1"/>
  <c r="V15" i="2"/>
  <c r="E16" i="2"/>
  <c r="E18" i="2" s="1"/>
  <c r="F15" i="2"/>
  <c r="G15" i="2"/>
  <c r="H15" i="2"/>
  <c r="E15" i="2"/>
  <c r="I8" i="2"/>
  <c r="J8" i="2"/>
  <c r="K8" i="2"/>
  <c r="L8" i="2"/>
  <c r="M8" i="2"/>
  <c r="N8" i="2"/>
  <c r="O8" i="2"/>
  <c r="P8" i="2"/>
  <c r="Q8" i="2"/>
  <c r="F8" i="2"/>
  <c r="F9" i="2" s="1"/>
  <c r="F11" i="2" s="1"/>
  <c r="F16" i="2" s="1"/>
  <c r="F18" i="2" s="1"/>
  <c r="G8" i="2"/>
  <c r="G9" i="2" s="1"/>
  <c r="G11" i="2" s="1"/>
  <c r="G16" i="2" s="1"/>
  <c r="G18" i="2" s="1"/>
  <c r="H8" i="2"/>
  <c r="H9" i="2" s="1"/>
  <c r="H11" i="2" s="1"/>
  <c r="H16" i="2" s="1"/>
  <c r="H18" i="2" s="1"/>
  <c r="E8" i="2"/>
  <c r="E9" i="2" s="1"/>
  <c r="E11" i="2" s="1"/>
  <c r="J22" i="2"/>
  <c r="K22" i="2"/>
  <c r="L22" i="2"/>
  <c r="I22" i="2"/>
  <c r="K7" i="1"/>
  <c r="N6" i="1"/>
  <c r="K6" i="1"/>
  <c r="K4" i="1"/>
  <c r="AA22" i="2"/>
  <c r="AA23" i="2"/>
  <c r="AB23" i="2"/>
  <c r="X22" i="2"/>
  <c r="Z22" i="2"/>
  <c r="Q22" i="2"/>
  <c r="P23" i="2"/>
  <c r="O22" i="2"/>
  <c r="Y83" i="2"/>
  <c r="W83" i="2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A17" i="2" l="1"/>
  <c r="AA18" i="2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Z17" i="2"/>
  <c r="Z18" i="2" s="1"/>
  <c r="Y11" i="2"/>
  <c r="Y16" i="2" s="1"/>
  <c r="Y8" i="2"/>
  <c r="Z23" i="2"/>
  <c r="AA8" i="2"/>
  <c r="Z8" i="2"/>
  <c r="X11" i="2"/>
  <c r="X16" i="2" s="1"/>
  <c r="X18" i="2" s="1"/>
  <c r="X23" i="2"/>
  <c r="X24" i="2"/>
  <c r="Y24" i="2"/>
  <c r="Y25" i="2"/>
  <c r="W25" i="2"/>
  <c r="W24" i="2"/>
  <c r="AA24" i="2"/>
  <c r="Z24" i="2"/>
  <c r="W23" i="2"/>
  <c r="Q23" i="2"/>
  <c r="K23" i="2"/>
  <c r="P22" i="2"/>
  <c r="X83" i="2"/>
  <c r="Q85" i="2"/>
  <c r="P25" i="2"/>
  <c r="M23" i="2"/>
  <c r="M22" i="2"/>
  <c r="J23" i="2"/>
  <c r="I23" i="2"/>
  <c r="N22" i="2"/>
  <c r="N23" i="2"/>
  <c r="O23" i="2"/>
  <c r="Y17" i="2" l="1"/>
  <c r="Y18" i="2" s="1"/>
  <c r="AG24" i="2" s="1"/>
  <c r="AB24" i="2"/>
  <c r="L23" i="2"/>
  <c r="M25" i="2"/>
  <c r="H85" i="2"/>
  <c r="H25" i="2"/>
  <c r="N25" i="2"/>
  <c r="I25" i="2"/>
  <c r="J25" i="2"/>
  <c r="G25" i="2"/>
  <c r="L25" i="2"/>
  <c r="N84" i="2" l="1"/>
  <c r="H89" i="2"/>
  <c r="M85" i="2"/>
  <c r="K25" i="2"/>
  <c r="P85" i="2"/>
  <c r="J84" i="2"/>
  <c r="L84" i="2"/>
  <c r="O25" i="2"/>
  <c r="K84" i="2"/>
  <c r="L26" i="2"/>
  <c r="M84" i="2"/>
  <c r="J85" i="2"/>
  <c r="M26" i="2"/>
  <c r="I85" i="2"/>
  <c r="N26" i="2"/>
  <c r="W85" i="2" l="1"/>
  <c r="X85" i="2"/>
  <c r="Y85" i="2"/>
  <c r="O84" i="2"/>
  <c r="P84" i="2"/>
  <c r="L85" i="2"/>
  <c r="O26" i="2"/>
  <c r="P26" i="2"/>
  <c r="K26" i="2"/>
  <c r="M86" i="2"/>
  <c r="M89" i="2"/>
  <c r="Q86" i="2"/>
  <c r="I89" i="2"/>
  <c r="G85" i="2"/>
  <c r="J89" i="2"/>
  <c r="P89" i="2"/>
  <c r="N85" i="2"/>
  <c r="O85" i="2"/>
  <c r="O87" i="2" l="1"/>
  <c r="P87" i="2"/>
  <c r="L86" i="2"/>
  <c r="K85" i="2"/>
  <c r="K86" i="2" s="1"/>
  <c r="L89" i="2"/>
  <c r="P86" i="2"/>
  <c r="O89" i="2"/>
  <c r="J87" i="2"/>
  <c r="G89" i="2"/>
  <c r="N86" i="2"/>
  <c r="N89" i="2"/>
  <c r="Q87" i="2"/>
  <c r="N87" i="2"/>
  <c r="K89" i="2"/>
  <c r="O86" i="2" l="1"/>
  <c r="K87" i="2"/>
  <c r="M87" i="2"/>
  <c r="L87" i="2"/>
</calcChain>
</file>

<file path=xl/sharedStrings.xml><?xml version="1.0" encoding="utf-8"?>
<sst xmlns="http://schemas.openxmlformats.org/spreadsheetml/2006/main" count="107" uniqueCount="90">
  <si>
    <t>Price</t>
  </si>
  <si>
    <t>Shares</t>
  </si>
  <si>
    <t>MC</t>
  </si>
  <si>
    <t>Cash</t>
  </si>
  <si>
    <t>Debt</t>
  </si>
  <si>
    <t>EV</t>
  </si>
  <si>
    <t>Main</t>
  </si>
  <si>
    <t>Revenue</t>
  </si>
  <si>
    <t>Revenue y/y</t>
  </si>
  <si>
    <t>Gross Margin</t>
  </si>
  <si>
    <t>Operating Margin</t>
  </si>
  <si>
    <t>EPS</t>
  </si>
  <si>
    <t>Net Income</t>
  </si>
  <si>
    <t>Taxes</t>
  </si>
  <si>
    <t>Pretax Income</t>
  </si>
  <si>
    <t>Interest</t>
  </si>
  <si>
    <t>Settlement</t>
  </si>
  <si>
    <t>AR</t>
  </si>
  <si>
    <t>Collateral</t>
  </si>
  <si>
    <t>Incentives</t>
  </si>
  <si>
    <t>Prepaids</t>
  </si>
  <si>
    <t>PP&amp;E</t>
  </si>
  <si>
    <t>Assets</t>
  </si>
  <si>
    <t>Other</t>
  </si>
  <si>
    <t>Goodwill</t>
  </si>
  <si>
    <t>AP</t>
  </si>
  <si>
    <t>Settlement+Legal</t>
  </si>
  <si>
    <t>Compensation</t>
  </si>
  <si>
    <t>AL</t>
  </si>
  <si>
    <t>L+SE</t>
  </si>
  <si>
    <t>SE</t>
  </si>
  <si>
    <t>OL</t>
  </si>
  <si>
    <t>Net Cash</t>
  </si>
  <si>
    <t>FQ125</t>
  </si>
  <si>
    <t>Net Income y/y</t>
  </si>
  <si>
    <t>Model NI</t>
  </si>
  <si>
    <t>WC</t>
  </si>
  <si>
    <t>DT</t>
  </si>
  <si>
    <t>D&amp;A</t>
  </si>
  <si>
    <t>SBC</t>
  </si>
  <si>
    <t>CFFI</t>
  </si>
  <si>
    <t>CapEx</t>
  </si>
  <si>
    <t>Investments</t>
  </si>
  <si>
    <t>Acquisitions</t>
  </si>
  <si>
    <t>CIC</t>
  </si>
  <si>
    <t>FX</t>
  </si>
  <si>
    <t>CFFF</t>
  </si>
  <si>
    <t>Buyback</t>
  </si>
  <si>
    <t>Dividend</t>
  </si>
  <si>
    <t>ESOP</t>
  </si>
  <si>
    <t>FQ424</t>
  </si>
  <si>
    <t>FQ324</t>
  </si>
  <si>
    <t>FQ224</t>
  </si>
  <si>
    <t>FQ124</t>
  </si>
  <si>
    <t>FQ423</t>
  </si>
  <si>
    <t>FCF</t>
  </si>
  <si>
    <t>FQ323</t>
  </si>
  <si>
    <t>Model FCF</t>
  </si>
  <si>
    <t>fcf y/y</t>
  </si>
  <si>
    <t>COGS</t>
  </si>
  <si>
    <t>Operating Income</t>
  </si>
  <si>
    <t>Supreme NI</t>
  </si>
  <si>
    <t>Continued NI</t>
  </si>
  <si>
    <t>ROU Reduction</t>
  </si>
  <si>
    <t>Doubtful AR</t>
  </si>
  <si>
    <t>Pension</t>
  </si>
  <si>
    <t>Reported NI (total)</t>
  </si>
  <si>
    <t>CFFO (w/o Supreme)</t>
  </si>
  <si>
    <t>Model CFFO (w/o Supreme)</t>
  </si>
  <si>
    <t>CFFO (w/ Supreme)</t>
  </si>
  <si>
    <t>Discount</t>
  </si>
  <si>
    <t>NPV</t>
  </si>
  <si>
    <t>Terminal</t>
  </si>
  <si>
    <t>EBIT %</t>
  </si>
  <si>
    <t>Q125</t>
  </si>
  <si>
    <t>(in dollars)</t>
  </si>
  <si>
    <t>(in euros)</t>
  </si>
  <si>
    <t>(all in euros)</t>
  </si>
  <si>
    <t>FQ223</t>
  </si>
  <si>
    <t>FQ123</t>
  </si>
  <si>
    <t>FQ422</t>
  </si>
  <si>
    <t>FQ322</t>
  </si>
  <si>
    <t>FQ222</t>
  </si>
  <si>
    <t>FQ122</t>
  </si>
  <si>
    <t>Personnel Expenses</t>
  </si>
  <si>
    <t>Sports Rights</t>
  </si>
  <si>
    <t>Purchased Services</t>
  </si>
  <si>
    <t>OpEx</t>
  </si>
  <si>
    <t>Finance Income</t>
  </si>
  <si>
    <t>Finance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</si>
</sst>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64" fontId="2" fillId="0" borderId="0" xfId="1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8" fontId="0" fillId="0" borderId="0" xfId="0" applyNumberFormat="1"/>
    <xf numFmtId="3" fontId="0" fillId="0" borderId="0" xfId="0" applyNumberFormat="1" applyAlignment="1">
      <alignment horizontal="left" indent="1"/>
    </xf>
    <xf numFmtId="3" fontId="0" fillId="0" borderId="0" xfId="0" applyNumberFormat="1" applyFont="1"/>
    <xf numFmtId="3" fontId="0" fillId="0" borderId="0" xfId="0" applyNumberFormat="1" applyFont="1" applyAlignment="1">
      <alignment horizontal="left" indent="1"/>
    </xf>
    <xf numFmtId="3" fontId="0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44" fontId="0" fillId="0" borderId="0" xfId="2" applyFont="1"/>
    <xf numFmtId="4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5D0DCE0-38CC-47E5-914E-5E91E8146B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11893</xdr:colOff>
      <xdr:row>0</xdr:row>
      <xdr:rowOff>18143</xdr:rowOff>
    </xdr:from>
    <xdr:to>
      <xdr:col>17</xdr:col>
      <xdr:colOff>11893</xdr:colOff>
      <xdr:row>89</xdr:row>
      <xdr:rowOff>104397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C89BE6-AA1C-A6E7-58EF-6408B3927913}"/>
            </a:ext>
          </a:extLst>
        </xdr:cNvPr>
        <xdr:cNvCxnSpPr/>
      </xdr:nvCxnSpPr>
      <xdr:spPr>
        <a:xfrm>
          <a:off x="12503250" y="18143"/>
          <a:ext cx="0" cy="151266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18142</xdr:colOff>
      <xdr:row>0</xdr:row>
      <xdr:rowOff>0</xdr:rowOff>
    </xdr:from>
    <xdr:to>
      <xdr:col>24</xdr:col>
      <xdr:colOff>18142</xdr:colOff>
      <xdr:row>89</xdr:row>
      <xdr:rowOff>86254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C8C032F-046E-D744-ADF2-B89DDD2B97A8}"/>
            </a:ext>
          </a:extLst>
        </xdr:cNvPr>
        <xdr:cNvCxnSpPr/>
      </xdr:nvCxnSpPr>
      <xdr:spPr>
        <a:xfrm>
          <a:off x="17127864" y="0"/>
          <a:ext cx="0" cy="149146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423B-511B-43A5-A095-4200DABC367B}">
  <dimension ref="J2:N7"/>
  <sheetViews>
    <sheetView topLeftCell="B1" zoomScale="150" zoomScaleNormal="150" workbookViewId="0">
      <selection activeCell="L12" sqref="L12"/>
    </sheetView>
  </sheetViews>
  <sheetFormatPr baseColWidth="10" defaultColWidth="8.83203125" defaultRowHeight="13" x14ac:dyDescent="0.15"/>
  <sheetData>
    <row r="2" spans="10:14" x14ac:dyDescent="0.15">
      <c r="J2" t="s">
        <v>0</v>
      </c>
      <c r="K2" s="1">
        <v>29.5</v>
      </c>
    </row>
    <row r="3" spans="10:14" x14ac:dyDescent="0.15">
      <c r="J3" t="s">
        <v>1</v>
      </c>
      <c r="K3" s="2">
        <v>300.97699999999998</v>
      </c>
      <c r="L3" s="3" t="s">
        <v>74</v>
      </c>
    </row>
    <row r="4" spans="10:14" x14ac:dyDescent="0.15">
      <c r="J4" t="s">
        <v>2</v>
      </c>
      <c r="K4" s="2">
        <f>+K2*K3</f>
        <v>8878.8215</v>
      </c>
      <c r="M4" t="s">
        <v>75</v>
      </c>
    </row>
    <row r="5" spans="10:14" x14ac:dyDescent="0.15">
      <c r="J5" t="s">
        <v>3</v>
      </c>
      <c r="K5" s="2">
        <v>357.82499999999999</v>
      </c>
      <c r="L5" s="3" t="s">
        <v>74</v>
      </c>
      <c r="M5" t="s">
        <v>76</v>
      </c>
    </row>
    <row r="6" spans="10:14" x14ac:dyDescent="0.15">
      <c r="J6" t="s">
        <v>4</v>
      </c>
      <c r="K6" s="2">
        <f>10+40</f>
        <v>50</v>
      </c>
      <c r="L6" s="3" t="s">
        <v>74</v>
      </c>
      <c r="M6" t="s">
        <v>76</v>
      </c>
      <c r="N6" s="2">
        <f>(K5-K6)*1.14</f>
        <v>350.92049999999995</v>
      </c>
    </row>
    <row r="7" spans="10:14" x14ac:dyDescent="0.15">
      <c r="J7" t="s">
        <v>5</v>
      </c>
      <c r="K7" s="2">
        <f>+K4-N6</f>
        <v>8527.9009999999998</v>
      </c>
      <c r="M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F777-564E-431B-B3DF-DE9720FAF314}">
  <dimension ref="A1:BV92"/>
  <sheetViews>
    <sheetView tabSelected="1" zoomScale="110" zoomScaleNormal="110" workbookViewId="0">
      <pane xSplit="2" ySplit="3" topLeftCell="U4" activePane="bottomRight" state="frozen"/>
      <selection pane="topRight" activeCell="C1" sqref="C1"/>
      <selection pane="bottomLeft" activeCell="A3" sqref="A3"/>
      <selection pane="bottomRight" activeCell="Z25" sqref="Z25"/>
    </sheetView>
  </sheetViews>
  <sheetFormatPr baseColWidth="10" defaultColWidth="8.83203125" defaultRowHeight="13" x14ac:dyDescent="0.15"/>
  <cols>
    <col min="1" max="1" width="5" bestFit="1" customWidth="1"/>
    <col min="2" max="2" width="21.83203125" bestFit="1" customWidth="1"/>
    <col min="3" max="9" width="9.1640625" style="3"/>
    <col min="10" max="14" width="9.1640625" style="3" customWidth="1"/>
    <col min="15" max="16" width="9.1640625" customWidth="1"/>
    <col min="33" max="33" width="9.6640625" bestFit="1" customWidth="1"/>
    <col min="34" max="34" width="10.1640625" bestFit="1" customWidth="1"/>
  </cols>
  <sheetData>
    <row r="1" spans="1:35" x14ac:dyDescent="0.15">
      <c r="A1" s="8" t="s">
        <v>6</v>
      </c>
    </row>
    <row r="2" spans="1:35" s="11" customFormat="1" x14ac:dyDescent="0.15">
      <c r="A2" s="10"/>
      <c r="B2" s="11" t="s">
        <v>77</v>
      </c>
      <c r="C2" s="12"/>
      <c r="D2" s="12"/>
      <c r="E2" s="12"/>
      <c r="F2" s="12"/>
      <c r="G2" s="12">
        <v>44926</v>
      </c>
      <c r="H2" s="12">
        <v>45016</v>
      </c>
      <c r="I2" s="12">
        <v>45107</v>
      </c>
      <c r="J2" s="12">
        <v>45199</v>
      </c>
      <c r="K2" s="12">
        <v>45291</v>
      </c>
      <c r="L2" s="12">
        <v>45382</v>
      </c>
      <c r="M2" s="12">
        <v>45473</v>
      </c>
      <c r="N2" s="12">
        <v>45565</v>
      </c>
      <c r="O2" s="11">
        <v>45657</v>
      </c>
      <c r="P2" s="11">
        <v>45747</v>
      </c>
      <c r="Q2" s="11">
        <v>45836</v>
      </c>
    </row>
    <row r="3" spans="1:35" x14ac:dyDescent="0.15">
      <c r="E3" s="3" t="s">
        <v>83</v>
      </c>
      <c r="F3" s="3" t="s">
        <v>82</v>
      </c>
      <c r="G3" s="3" t="s">
        <v>81</v>
      </c>
      <c r="H3" s="3" t="s">
        <v>80</v>
      </c>
      <c r="I3" s="3" t="s">
        <v>79</v>
      </c>
      <c r="J3" s="3" t="s">
        <v>78</v>
      </c>
      <c r="K3" s="3" t="s">
        <v>56</v>
      </c>
      <c r="L3" s="3" t="s">
        <v>54</v>
      </c>
      <c r="M3" s="3" t="s">
        <v>53</v>
      </c>
      <c r="N3" s="3" t="s">
        <v>52</v>
      </c>
      <c r="O3" s="3" t="s">
        <v>51</v>
      </c>
      <c r="P3" s="3" t="s">
        <v>50</v>
      </c>
      <c r="Q3" s="3" t="s">
        <v>33</v>
      </c>
      <c r="R3" s="3"/>
      <c r="S3" s="3"/>
      <c r="T3">
        <v>2020</v>
      </c>
      <c r="U3">
        <f>+T3+1</f>
        <v>2021</v>
      </c>
      <c r="V3">
        <f t="shared" ref="V3:AI3" si="0">+U3+1</f>
        <v>2022</v>
      </c>
      <c r="W3">
        <f t="shared" si="0"/>
        <v>2023</v>
      </c>
      <c r="X3">
        <f t="shared" si="0"/>
        <v>2024</v>
      </c>
      <c r="Y3">
        <f t="shared" si="0"/>
        <v>2025</v>
      </c>
      <c r="Z3">
        <f t="shared" si="0"/>
        <v>2026</v>
      </c>
      <c r="AA3">
        <f t="shared" si="0"/>
        <v>2027</v>
      </c>
      <c r="AB3">
        <f t="shared" si="0"/>
        <v>2028</v>
      </c>
      <c r="AC3">
        <f t="shared" si="0"/>
        <v>2029</v>
      </c>
      <c r="AD3">
        <f t="shared" si="0"/>
        <v>2030</v>
      </c>
      <c r="AE3">
        <f t="shared" si="0"/>
        <v>2031</v>
      </c>
      <c r="AF3">
        <f t="shared" si="0"/>
        <v>2032</v>
      </c>
      <c r="AG3">
        <f t="shared" si="0"/>
        <v>2033</v>
      </c>
      <c r="AH3">
        <f t="shared" si="0"/>
        <v>2034</v>
      </c>
      <c r="AI3">
        <f t="shared" si="0"/>
        <v>2035</v>
      </c>
    </row>
    <row r="4" spans="1:35" s="6" customFormat="1" x14ac:dyDescent="0.15">
      <c r="B4" s="18" t="s">
        <v>7</v>
      </c>
      <c r="C4" s="7"/>
      <c r="D4" s="7"/>
      <c r="E4" s="7">
        <v>167876</v>
      </c>
      <c r="F4" s="7">
        <v>177189</v>
      </c>
      <c r="G4" s="6">
        <v>178835</v>
      </c>
      <c r="H4" s="7">
        <v>206288</v>
      </c>
      <c r="I4" s="6">
        <v>207564</v>
      </c>
      <c r="J4" s="6">
        <v>216434</v>
      </c>
      <c r="K4" s="6">
        <v>201037</v>
      </c>
      <c r="L4" s="6">
        <v>252586</v>
      </c>
      <c r="M4" s="7">
        <v>265894</v>
      </c>
      <c r="N4" s="6">
        <v>278420</v>
      </c>
      <c r="O4" s="6">
        <v>255172</v>
      </c>
      <c r="P4" s="6">
        <v>307070</v>
      </c>
      <c r="Q4" s="6">
        <v>311231</v>
      </c>
      <c r="V4" s="6">
        <v>730</v>
      </c>
      <c r="W4" s="6">
        <v>877</v>
      </c>
      <c r="X4" s="6">
        <v>1106</v>
      </c>
      <c r="Y4" s="6">
        <f>+X4*1.3</f>
        <v>1437.8</v>
      </c>
      <c r="Z4" s="6">
        <f t="shared" ref="Z4:AA4" si="1">+Y4*1.3</f>
        <v>1869.14</v>
      </c>
      <c r="AA4" s="6">
        <f t="shared" si="1"/>
        <v>2429.8820000000001</v>
      </c>
    </row>
    <row r="5" spans="1:35" s="6" customFormat="1" x14ac:dyDescent="0.15">
      <c r="B5" s="19" t="s">
        <v>84</v>
      </c>
      <c r="C5" s="7"/>
      <c r="D5" s="7"/>
      <c r="E5" s="20">
        <v>-52254</v>
      </c>
      <c r="F5" s="20">
        <v>-64442</v>
      </c>
      <c r="G5" s="18">
        <v>-68278</v>
      </c>
      <c r="H5" s="20">
        <v>-81010</v>
      </c>
      <c r="M5" s="20">
        <v>-79567</v>
      </c>
      <c r="N5" s="18">
        <v>-89134</v>
      </c>
      <c r="O5" s="18">
        <v>-87966</v>
      </c>
      <c r="P5" s="18">
        <v>-93002</v>
      </c>
      <c r="V5" s="6">
        <v>-265</v>
      </c>
      <c r="W5" s="6">
        <v>-325</v>
      </c>
      <c r="X5" s="6">
        <v>-349</v>
      </c>
    </row>
    <row r="6" spans="1:35" s="6" customFormat="1" x14ac:dyDescent="0.15">
      <c r="B6" s="19" t="s">
        <v>85</v>
      </c>
      <c r="C6" s="7"/>
      <c r="D6" s="7"/>
      <c r="E6" s="20">
        <v>-54010</v>
      </c>
      <c r="F6" s="20">
        <v>-48734</v>
      </c>
      <c r="G6" s="18">
        <v>-34542</v>
      </c>
      <c r="H6" s="20">
        <v>-49726</v>
      </c>
      <c r="M6" s="20">
        <v>-90943</v>
      </c>
      <c r="N6" s="18">
        <v>-95916</v>
      </c>
      <c r="O6" s="18">
        <v>-63002</v>
      </c>
      <c r="P6" s="18">
        <v>-102574</v>
      </c>
      <c r="V6" s="6">
        <v>-187</v>
      </c>
      <c r="W6" s="6">
        <v>-214</v>
      </c>
      <c r="X6" s="6">
        <v>-352</v>
      </c>
    </row>
    <row r="7" spans="1:35" s="6" customFormat="1" x14ac:dyDescent="0.15">
      <c r="B7" s="19" t="s">
        <v>86</v>
      </c>
      <c r="C7" s="7"/>
      <c r="D7" s="7"/>
      <c r="E7" s="20">
        <v>-25094</v>
      </c>
      <c r="F7" s="20">
        <v>-32363</v>
      </c>
      <c r="G7" s="18">
        <v>-33662</v>
      </c>
      <c r="H7" s="20">
        <v>-38066</v>
      </c>
      <c r="M7" s="20">
        <v>-39146</v>
      </c>
      <c r="N7" s="18">
        <v>-43650</v>
      </c>
      <c r="O7" s="18">
        <v>-42770</v>
      </c>
      <c r="P7" s="18">
        <v>-50016</v>
      </c>
      <c r="V7" s="6">
        <v>-129</v>
      </c>
      <c r="W7" s="6">
        <v>-151</v>
      </c>
      <c r="X7" s="6">
        <v>-175</v>
      </c>
    </row>
    <row r="8" spans="1:35" s="2" customFormat="1" x14ac:dyDescent="0.15">
      <c r="B8" s="6" t="s">
        <v>59</v>
      </c>
      <c r="C8" s="5"/>
      <c r="D8" s="5"/>
      <c r="E8" s="5">
        <f>E7+E6+E5</f>
        <v>-131358</v>
      </c>
      <c r="F8" s="5">
        <f t="shared" ref="F8:H8" si="2">F7+F6+F5</f>
        <v>-145539</v>
      </c>
      <c r="G8" s="5">
        <f t="shared" si="2"/>
        <v>-136482</v>
      </c>
      <c r="H8" s="5">
        <f t="shared" si="2"/>
        <v>-168802</v>
      </c>
      <c r="I8" s="5">
        <f t="shared" ref="I8" si="3">I7+I6+I5</f>
        <v>0</v>
      </c>
      <c r="J8" s="5">
        <f t="shared" ref="J8" si="4">J7+J6+J5</f>
        <v>0</v>
      </c>
      <c r="K8" s="5">
        <f t="shared" ref="K8" si="5">K7+K6+K5</f>
        <v>0</v>
      </c>
      <c r="L8" s="5">
        <f t="shared" ref="L8" si="6">L7+L6+L5</f>
        <v>0</v>
      </c>
      <c r="M8" s="5">
        <f t="shared" ref="M8" si="7">M7+M6+M5</f>
        <v>-209656</v>
      </c>
      <c r="N8" s="5">
        <f t="shared" ref="N8" si="8">N7+N6+N5</f>
        <v>-228700</v>
      </c>
      <c r="O8" s="5">
        <f t="shared" ref="O8" si="9">O7+O6+O5</f>
        <v>-193738</v>
      </c>
      <c r="P8" s="5">
        <f t="shared" ref="P8" si="10">P7+P6+P5</f>
        <v>-245592</v>
      </c>
      <c r="Q8" s="5">
        <f t="shared" ref="Q8" si="11">Q7+Q6+Q5</f>
        <v>0</v>
      </c>
      <c r="S8" s="6"/>
      <c r="V8" s="2">
        <f>SUM(V5:V7)</f>
        <v>-581</v>
      </c>
      <c r="W8" s="2">
        <f>SUM(W5:W7)</f>
        <v>-690</v>
      </c>
      <c r="X8" s="2">
        <f>SUM(X5:X7)</f>
        <v>-876</v>
      </c>
      <c r="Y8" s="6">
        <f>Y9-Y4</f>
        <v>-1135.8620000000001</v>
      </c>
      <c r="Z8" s="6">
        <f t="shared" ref="Z8:AA8" si="12">Z9-Z4</f>
        <v>-1457.9292</v>
      </c>
      <c r="AA8" s="6">
        <f t="shared" si="12"/>
        <v>-1895.3079600000001</v>
      </c>
    </row>
    <row r="9" spans="1:35" s="2" customFormat="1" x14ac:dyDescent="0.15">
      <c r="B9" s="2" t="s">
        <v>9</v>
      </c>
      <c r="C9" s="5"/>
      <c r="D9" s="5"/>
      <c r="E9" s="5">
        <f>E8+E4</f>
        <v>36518</v>
      </c>
      <c r="F9" s="5">
        <f t="shared" ref="F9:H9" si="13">F8+F4</f>
        <v>31650</v>
      </c>
      <c r="G9" s="5">
        <f t="shared" si="13"/>
        <v>42353</v>
      </c>
      <c r="H9" s="5">
        <f t="shared" si="13"/>
        <v>37486</v>
      </c>
      <c r="M9" s="2">
        <f>M8+M4</f>
        <v>56238</v>
      </c>
      <c r="N9" s="2">
        <f t="shared" ref="N9:P9" si="14">N8+N4</f>
        <v>49720</v>
      </c>
      <c r="O9" s="2">
        <f t="shared" si="14"/>
        <v>61434</v>
      </c>
      <c r="P9" s="2">
        <f t="shared" si="14"/>
        <v>61478</v>
      </c>
      <c r="V9" s="2">
        <f>V4+V8</f>
        <v>149</v>
      </c>
      <c r="W9" s="2">
        <f>W4+W8</f>
        <v>187</v>
      </c>
      <c r="X9" s="2">
        <f>X4+X8</f>
        <v>230</v>
      </c>
      <c r="Y9" s="2">
        <f>+Y4*0.21</f>
        <v>301.93799999999999</v>
      </c>
      <c r="Z9" s="2">
        <f>+Z4*0.22</f>
        <v>411.21080000000001</v>
      </c>
      <c r="AA9" s="2">
        <f>+AA4*0.22</f>
        <v>534.57403999999997</v>
      </c>
    </row>
    <row r="10" spans="1:35" s="2" customFormat="1" x14ac:dyDescent="0.15">
      <c r="B10" s="21" t="s">
        <v>87</v>
      </c>
      <c r="C10" s="5"/>
      <c r="D10" s="5"/>
      <c r="E10" s="5">
        <v>-19507</v>
      </c>
      <c r="F10" s="5">
        <v>-21172</v>
      </c>
      <c r="G10" s="5">
        <v>-20296</v>
      </c>
      <c r="H10" s="2">
        <v>-34916</v>
      </c>
      <c r="V10" s="2">
        <v>-95</v>
      </c>
      <c r="W10" s="2">
        <v>-89</v>
      </c>
      <c r="X10" s="2">
        <v>-93</v>
      </c>
      <c r="Y10" s="2">
        <v>-90</v>
      </c>
      <c r="Z10" s="2">
        <v>-90</v>
      </c>
      <c r="AA10" s="2">
        <v>-90</v>
      </c>
    </row>
    <row r="11" spans="1:35" s="2" customFormat="1" x14ac:dyDescent="0.15">
      <c r="B11" s="2" t="s">
        <v>60</v>
      </c>
      <c r="C11" s="5"/>
      <c r="D11" s="5"/>
      <c r="E11" s="5">
        <f>E9+E10</f>
        <v>17011</v>
      </c>
      <c r="F11" s="5">
        <f t="shared" ref="F11:H11" si="15">F9+F10</f>
        <v>10478</v>
      </c>
      <c r="G11" s="5">
        <f t="shared" si="15"/>
        <v>22057</v>
      </c>
      <c r="H11" s="5">
        <f t="shared" si="15"/>
        <v>2570</v>
      </c>
      <c r="I11" s="5"/>
      <c r="J11" s="5"/>
      <c r="K11" s="5"/>
      <c r="L11" s="5"/>
      <c r="M11" s="5"/>
      <c r="N11" s="5"/>
      <c r="O11" s="5"/>
      <c r="P11" s="5"/>
      <c r="Q11" s="5"/>
      <c r="V11" s="2">
        <f>V9+V10</f>
        <v>54</v>
      </c>
      <c r="W11" s="2">
        <f>W9+W10</f>
        <v>98</v>
      </c>
      <c r="X11" s="2">
        <f>X9+X10</f>
        <v>137</v>
      </c>
      <c r="Y11" s="2">
        <f t="shared" ref="Y11:AA11" si="16">Y9+Y10</f>
        <v>211.93799999999999</v>
      </c>
      <c r="Z11" s="2">
        <f t="shared" si="16"/>
        <v>321.21080000000001</v>
      </c>
      <c r="AA11" s="2">
        <f t="shared" si="16"/>
        <v>444.57403999999997</v>
      </c>
    </row>
    <row r="12" spans="1:35" s="2" customFormat="1" x14ac:dyDescent="0.15">
      <c r="B12" s="2" t="s">
        <v>45</v>
      </c>
      <c r="C12" s="5"/>
      <c r="D12" s="5"/>
      <c r="E12" s="5">
        <v>10419</v>
      </c>
      <c r="F12" s="5">
        <v>18436</v>
      </c>
      <c r="G12" s="5">
        <v>11003</v>
      </c>
      <c r="H12" s="2">
        <v>-13168</v>
      </c>
      <c r="V12" s="2">
        <v>26.69</v>
      </c>
      <c r="W12" s="2">
        <v>23</v>
      </c>
      <c r="X12" s="2">
        <v>-38</v>
      </c>
      <c r="Y12" s="6"/>
    </row>
    <row r="13" spans="1:35" s="2" customFormat="1" x14ac:dyDescent="0.15">
      <c r="B13" s="17" t="s">
        <v>88</v>
      </c>
      <c r="C13" s="5"/>
      <c r="D13" s="5"/>
      <c r="E13" s="5">
        <v>86</v>
      </c>
      <c r="F13" s="5">
        <v>638</v>
      </c>
      <c r="G13" s="5">
        <v>1991</v>
      </c>
      <c r="H13" s="2">
        <v>2535</v>
      </c>
      <c r="V13" s="2">
        <v>5.25</v>
      </c>
      <c r="W13" s="2">
        <v>12</v>
      </c>
      <c r="X13" s="2">
        <v>10</v>
      </c>
      <c r="Y13" s="6"/>
    </row>
    <row r="14" spans="1:35" s="2" customFormat="1" x14ac:dyDescent="0.15">
      <c r="B14" s="17" t="s">
        <v>89</v>
      </c>
      <c r="C14" s="5"/>
      <c r="D14" s="5"/>
      <c r="E14" s="5">
        <v>-8922</v>
      </c>
      <c r="F14" s="5">
        <v>-9212</v>
      </c>
      <c r="G14" s="5">
        <v>-11312</v>
      </c>
      <c r="H14" s="2">
        <v>-12001</v>
      </c>
      <c r="V14" s="2">
        <v>-41.5</v>
      </c>
      <c r="W14" s="2">
        <v>-33</v>
      </c>
      <c r="X14" s="2">
        <v>-78</v>
      </c>
      <c r="Y14" s="6"/>
    </row>
    <row r="15" spans="1:35" s="2" customFormat="1" x14ac:dyDescent="0.15">
      <c r="B15" s="2" t="s">
        <v>15</v>
      </c>
      <c r="C15" s="5"/>
      <c r="D15" s="5"/>
      <c r="E15" s="5">
        <f>E13+E14</f>
        <v>-8836</v>
      </c>
      <c r="F15" s="5">
        <f t="shared" ref="F15:H15" si="17">F13+F14</f>
        <v>-8574</v>
      </c>
      <c r="G15" s="5">
        <f t="shared" si="17"/>
        <v>-9321</v>
      </c>
      <c r="H15" s="5">
        <f t="shared" si="17"/>
        <v>-9466</v>
      </c>
      <c r="V15" s="2">
        <f>V13+V14</f>
        <v>-36.25</v>
      </c>
      <c r="W15" s="2">
        <f>W13+W14</f>
        <v>-21</v>
      </c>
      <c r="X15" s="2">
        <f>X13+X14</f>
        <v>-68</v>
      </c>
      <c r="Y15" s="6">
        <v>-60</v>
      </c>
      <c r="Z15" s="6">
        <v>-60</v>
      </c>
      <c r="AA15" s="6">
        <v>-60</v>
      </c>
    </row>
    <row r="16" spans="1:35" s="2" customFormat="1" x14ac:dyDescent="0.15">
      <c r="B16" s="2" t="s">
        <v>14</v>
      </c>
      <c r="C16" s="5"/>
      <c r="D16" s="5"/>
      <c r="E16" s="5">
        <f>E11+E12+E15</f>
        <v>18594</v>
      </c>
      <c r="F16" s="5">
        <f t="shared" ref="F16:H16" si="18">F11+F12+F15</f>
        <v>20340</v>
      </c>
      <c r="G16" s="5">
        <f t="shared" si="18"/>
        <v>23739</v>
      </c>
      <c r="H16" s="5">
        <f t="shared" si="18"/>
        <v>-20064</v>
      </c>
      <c r="I16" s="5"/>
      <c r="J16" s="5"/>
      <c r="K16" s="5"/>
      <c r="L16" s="5"/>
      <c r="M16" s="5"/>
      <c r="N16" s="5"/>
      <c r="O16" s="5"/>
      <c r="P16" s="5"/>
      <c r="Q16" s="5"/>
      <c r="V16" s="2">
        <f>V11+V12+V15</f>
        <v>44.44</v>
      </c>
      <c r="W16" s="2">
        <f>W11+W12+W15</f>
        <v>100</v>
      </c>
      <c r="X16" s="2">
        <f>X11+X12+X15</f>
        <v>31</v>
      </c>
      <c r="Y16" s="6">
        <f>Y11+Y15</f>
        <v>151.93799999999999</v>
      </c>
      <c r="Z16" s="6">
        <f t="shared" ref="Z16:AA16" si="19">Z11+Z15</f>
        <v>261.21080000000001</v>
      </c>
      <c r="AA16" s="6">
        <f t="shared" si="19"/>
        <v>384.57403999999997</v>
      </c>
    </row>
    <row r="17" spans="2:74" s="2" customFormat="1" x14ac:dyDescent="0.15">
      <c r="B17" s="2" t="s">
        <v>13</v>
      </c>
      <c r="C17" s="5"/>
      <c r="D17" s="5"/>
      <c r="E17" s="5">
        <v>-3079</v>
      </c>
      <c r="F17" s="5">
        <v>873</v>
      </c>
      <c r="G17" s="5">
        <v>-1906</v>
      </c>
      <c r="H17" s="2">
        <v>-3187</v>
      </c>
      <c r="V17" s="2">
        <v>-7.3</v>
      </c>
      <c r="W17" s="2">
        <v>-12</v>
      </c>
      <c r="X17" s="2">
        <v>-12</v>
      </c>
      <c r="Y17" s="6">
        <f>+Y16*0.1*-1</f>
        <v>-15.1938</v>
      </c>
      <c r="Z17" s="6">
        <f t="shared" ref="Z17:AA17" si="20">+Z16*0.1*-1</f>
        <v>-26.121080000000003</v>
      </c>
      <c r="AA17" s="6">
        <f t="shared" si="20"/>
        <v>-38.457403999999997</v>
      </c>
    </row>
    <row r="18" spans="2:74" s="2" customFormat="1" x14ac:dyDescent="0.15">
      <c r="B18" s="2" t="s">
        <v>12</v>
      </c>
      <c r="C18" s="5"/>
      <c r="D18" s="5"/>
      <c r="E18" s="5">
        <f>E16+E17</f>
        <v>15515</v>
      </c>
      <c r="F18" s="5">
        <f t="shared" ref="F18:H18" si="21">F16+F17</f>
        <v>21213</v>
      </c>
      <c r="G18" s="5">
        <f t="shared" si="21"/>
        <v>21833</v>
      </c>
      <c r="H18" s="5">
        <f t="shared" si="21"/>
        <v>-23251</v>
      </c>
      <c r="V18" s="2">
        <f>V16+V17</f>
        <v>37.14</v>
      </c>
      <c r="W18" s="2">
        <f>W16+W17</f>
        <v>88</v>
      </c>
      <c r="X18" s="2">
        <f>X16+X17</f>
        <v>19</v>
      </c>
      <c r="Y18" s="6">
        <f>Y16+Y17</f>
        <v>136.74419999999998</v>
      </c>
      <c r="Z18" s="6">
        <f t="shared" ref="Z18:AA18" si="22">Z16+Z17</f>
        <v>235.08972</v>
      </c>
      <c r="AA18" s="6">
        <f t="shared" si="22"/>
        <v>346.11663599999997</v>
      </c>
      <c r="AB18" s="2">
        <f>+AA18*(1.01)</f>
        <v>349.57780235999996</v>
      </c>
      <c r="AC18" s="2">
        <f t="shared" ref="AC18:BV18" si="23">+AB18*(1.01)</f>
        <v>353.07358038359996</v>
      </c>
      <c r="AD18" s="2">
        <f t="shared" si="23"/>
        <v>356.60431618743598</v>
      </c>
      <c r="AE18" s="2">
        <f t="shared" si="23"/>
        <v>360.17035934931033</v>
      </c>
      <c r="AF18" s="2">
        <f t="shared" si="23"/>
        <v>363.77206294280342</v>
      </c>
      <c r="AG18" s="2">
        <f t="shared" si="23"/>
        <v>367.40978357223145</v>
      </c>
      <c r="AH18" s="2">
        <f t="shared" si="23"/>
        <v>371.08388140795375</v>
      </c>
      <c r="AI18" s="2">
        <f t="shared" si="23"/>
        <v>374.79472022203328</v>
      </c>
      <c r="AJ18" s="2">
        <f t="shared" si="23"/>
        <v>378.54266742425364</v>
      </c>
      <c r="AK18" s="2">
        <f t="shared" si="23"/>
        <v>382.32809409849619</v>
      </c>
      <c r="AL18" s="2">
        <f t="shared" si="23"/>
        <v>386.15137503948114</v>
      </c>
      <c r="AM18" s="2">
        <f t="shared" si="23"/>
        <v>390.01288878987594</v>
      </c>
      <c r="AN18" s="2">
        <f t="shared" si="23"/>
        <v>393.91301767777469</v>
      </c>
      <c r="AO18" s="2">
        <f t="shared" si="23"/>
        <v>397.85214785455241</v>
      </c>
      <c r="AP18" s="2">
        <f t="shared" si="23"/>
        <v>401.83066933309794</v>
      </c>
      <c r="AQ18" s="2">
        <f t="shared" si="23"/>
        <v>405.84897602642894</v>
      </c>
      <c r="AR18" s="2">
        <f t="shared" si="23"/>
        <v>409.90746578669325</v>
      </c>
      <c r="AS18" s="2">
        <f t="shared" si="23"/>
        <v>414.00654044456019</v>
      </c>
      <c r="AT18" s="2">
        <f t="shared" si="23"/>
        <v>418.14660584900577</v>
      </c>
      <c r="AU18" s="2">
        <f t="shared" si="23"/>
        <v>422.32807190749583</v>
      </c>
      <c r="AV18" s="2">
        <f t="shared" si="23"/>
        <v>426.5513526265708</v>
      </c>
      <c r="AW18" s="2">
        <f t="shared" si="23"/>
        <v>430.8168661528365</v>
      </c>
      <c r="AX18" s="2">
        <f t="shared" si="23"/>
        <v>435.12503481436488</v>
      </c>
      <c r="AY18" s="2">
        <f t="shared" si="23"/>
        <v>439.47628516250853</v>
      </c>
      <c r="AZ18" s="2">
        <f t="shared" si="23"/>
        <v>443.87104801413363</v>
      </c>
      <c r="BA18" s="2">
        <f t="shared" si="23"/>
        <v>448.309758494275</v>
      </c>
      <c r="BB18" s="2">
        <f t="shared" si="23"/>
        <v>452.79285607921776</v>
      </c>
      <c r="BC18" s="2">
        <f t="shared" si="23"/>
        <v>457.32078464000995</v>
      </c>
      <c r="BD18" s="2">
        <f t="shared" si="23"/>
        <v>461.89399248641007</v>
      </c>
      <c r="BE18" s="2">
        <f t="shared" si="23"/>
        <v>466.51293241127416</v>
      </c>
      <c r="BF18" s="2">
        <f t="shared" si="23"/>
        <v>471.1780617353869</v>
      </c>
      <c r="BG18" s="2">
        <f t="shared" si="23"/>
        <v>475.8898423527408</v>
      </c>
      <c r="BH18" s="2">
        <f t="shared" si="23"/>
        <v>480.6487407762682</v>
      </c>
      <c r="BI18" s="2">
        <f t="shared" si="23"/>
        <v>485.45522818403089</v>
      </c>
      <c r="BJ18" s="2">
        <f t="shared" si="23"/>
        <v>490.3097804658712</v>
      </c>
      <c r="BK18" s="2">
        <f t="shared" si="23"/>
        <v>495.21287827052993</v>
      </c>
      <c r="BL18" s="2">
        <f t="shared" si="23"/>
        <v>500.16500705323523</v>
      </c>
      <c r="BM18" s="2">
        <f t="shared" si="23"/>
        <v>505.16665712376761</v>
      </c>
      <c r="BN18" s="2">
        <f t="shared" si="23"/>
        <v>510.21832369500527</v>
      </c>
      <c r="BO18" s="2">
        <f t="shared" si="23"/>
        <v>515.32050693195538</v>
      </c>
      <c r="BP18" s="2">
        <f t="shared" si="23"/>
        <v>520.47371200127498</v>
      </c>
      <c r="BQ18" s="2">
        <f t="shared" si="23"/>
        <v>525.67844912128771</v>
      </c>
      <c r="BR18" s="2">
        <f t="shared" si="23"/>
        <v>530.93523361250061</v>
      </c>
      <c r="BS18" s="2">
        <f t="shared" si="23"/>
        <v>536.24458594862563</v>
      </c>
      <c r="BT18" s="2">
        <f t="shared" si="23"/>
        <v>541.60703180811186</v>
      </c>
      <c r="BU18" s="2">
        <f t="shared" si="23"/>
        <v>547.02310212619295</v>
      </c>
      <c r="BV18" s="2">
        <f t="shared" si="23"/>
        <v>552.4933331474549</v>
      </c>
    </row>
    <row r="19" spans="2:74" x14ac:dyDescent="0.15">
      <c r="B19" t="s">
        <v>11</v>
      </c>
      <c r="D19" s="9"/>
      <c r="G19" s="9"/>
      <c r="H19" s="9"/>
      <c r="I19" s="1"/>
      <c r="J19" s="1"/>
      <c r="K19" s="1"/>
      <c r="L19" s="1"/>
      <c r="M19" s="1"/>
      <c r="N19" s="1"/>
      <c r="O19" s="1"/>
      <c r="P19" s="1"/>
      <c r="Q19" s="1"/>
      <c r="W19" s="14"/>
      <c r="X19" s="14"/>
      <c r="Y19" s="14"/>
      <c r="Z19" s="14"/>
      <c r="AA19" s="14"/>
      <c r="AB19" s="14"/>
    </row>
    <row r="20" spans="2:74" s="2" customFormat="1" x14ac:dyDescent="0.15">
      <c r="B20" s="2" t="s">
        <v>1</v>
      </c>
      <c r="C20" s="5"/>
      <c r="D20" s="5"/>
      <c r="E20" s="5"/>
      <c r="F20" s="5"/>
      <c r="G20" s="5"/>
    </row>
    <row r="22" spans="2:74" ht="14" customHeight="1" x14ac:dyDescent="0.15">
      <c r="B22" t="s">
        <v>8</v>
      </c>
      <c r="I22" s="4">
        <f>I4/E4-1</f>
        <v>0.23641259024518102</v>
      </c>
      <c r="J22" s="4">
        <f>J4/F4-1</f>
        <v>0.22148666113584925</v>
      </c>
      <c r="K22" s="4">
        <f>K4/G4-1</f>
        <v>0.12414795761456099</v>
      </c>
      <c r="L22" s="4">
        <f>L4/H4-1</f>
        <v>0.22443380128752044</v>
      </c>
      <c r="M22" s="4">
        <f>+M4/I4-1</f>
        <v>0.28102175714478417</v>
      </c>
      <c r="N22" s="4">
        <f>+N4/J4-1</f>
        <v>0.28639677684652143</v>
      </c>
      <c r="O22" s="4">
        <f>+O4/K4-1</f>
        <v>0.26927878947656403</v>
      </c>
      <c r="P22" s="4">
        <f>+P4/L4-1</f>
        <v>0.21570475006532419</v>
      </c>
      <c r="Q22" s="4">
        <f>+Q4/M4-1</f>
        <v>0.17050779633989488</v>
      </c>
      <c r="W22" s="13">
        <f>W4/V4-1</f>
        <v>0.20136986301369864</v>
      </c>
      <c r="X22" s="13">
        <f>X4/W4-1</f>
        <v>0.26111744583808427</v>
      </c>
      <c r="Y22" s="13">
        <f>Y4/X4-1</f>
        <v>0.30000000000000004</v>
      </c>
      <c r="Z22" s="13">
        <f>Z4/Y4-1</f>
        <v>0.30000000000000004</v>
      </c>
      <c r="AA22" s="13">
        <f>AA4/Z4-1</f>
        <v>0.30000000000000004</v>
      </c>
      <c r="AB22" s="13">
        <f>AB4/AA4-1</f>
        <v>-1</v>
      </c>
      <c r="AF22" t="s">
        <v>72</v>
      </c>
      <c r="AG22" s="13">
        <v>0.01</v>
      </c>
    </row>
    <row r="23" spans="2:74" x14ac:dyDescent="0.15">
      <c r="B23" t="s">
        <v>9</v>
      </c>
      <c r="D23" s="4"/>
      <c r="E23" s="4">
        <f>E9/E4</f>
        <v>0.21752960518477923</v>
      </c>
      <c r="F23" s="4">
        <f t="shared" ref="F23:H23" si="24">F9/F4</f>
        <v>0.17862282647342667</v>
      </c>
      <c r="G23" s="4">
        <f t="shared" si="24"/>
        <v>0.23682724298934774</v>
      </c>
      <c r="H23" s="4">
        <f t="shared" si="24"/>
        <v>0.18171682308229273</v>
      </c>
      <c r="I23" s="4">
        <f>+J9/J4</f>
        <v>0</v>
      </c>
      <c r="J23" s="4">
        <f>+J9/J4</f>
        <v>0</v>
      </c>
      <c r="K23" s="4">
        <f>+K9/K4</f>
        <v>0</v>
      </c>
      <c r="L23" s="4">
        <f>+L9/L4</f>
        <v>0</v>
      </c>
      <c r="M23" s="4">
        <f>+M9/M4</f>
        <v>0.2115053367131263</v>
      </c>
      <c r="N23" s="4">
        <f>+N9/N4</f>
        <v>0.17857912506285467</v>
      </c>
      <c r="O23" s="4">
        <f>+O9/O4</f>
        <v>0.24075525527879235</v>
      </c>
      <c r="P23" s="4">
        <f>P9/P4</f>
        <v>0.20020842153254959</v>
      </c>
      <c r="Q23" s="4">
        <f>Q9/Q4</f>
        <v>0</v>
      </c>
      <c r="W23" s="13">
        <f>W9/W4</f>
        <v>0.21322690992018245</v>
      </c>
      <c r="X23" s="13">
        <f>X9/X4</f>
        <v>0.20795660036166366</v>
      </c>
      <c r="Y23" s="13">
        <f>Y9/Y4</f>
        <v>0.21</v>
      </c>
      <c r="Z23" s="13">
        <f>Z9/Z4</f>
        <v>0.22</v>
      </c>
      <c r="AA23" s="13">
        <f>AA9/AA4</f>
        <v>0.21999999999999997</v>
      </c>
      <c r="AB23" s="13" t="e">
        <f>AB9/AB4</f>
        <v>#DIV/0!</v>
      </c>
      <c r="AF23" t="s">
        <v>70</v>
      </c>
      <c r="AG23" s="13">
        <v>0.06</v>
      </c>
    </row>
    <row r="24" spans="2:74" x14ac:dyDescent="0.15">
      <c r="B24" t="s">
        <v>73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W24" s="13">
        <f>W11/W4</f>
        <v>0.11174458380843785</v>
      </c>
      <c r="X24" s="13">
        <f>X11/X4</f>
        <v>0.12386980108499096</v>
      </c>
      <c r="Y24" s="13">
        <f>Y11/Y4</f>
        <v>0.14740436778411461</v>
      </c>
      <c r="Z24" s="13">
        <f>Z11/Z4</f>
        <v>0.17184951368008816</v>
      </c>
      <c r="AA24" s="13">
        <f>AA11/AA4</f>
        <v>0.18296116436929857</v>
      </c>
      <c r="AB24" s="13" t="e">
        <f>AB11/AB4</f>
        <v>#DIV/0!</v>
      </c>
      <c r="AF24" t="s">
        <v>71</v>
      </c>
      <c r="AG24" s="16">
        <f>NPV(AG23,Y18:BV18)</f>
        <v>5893.2065025235661</v>
      </c>
      <c r="AH24" s="22">
        <f>+(AG24*1.14)+Main!K5-Main!K6</f>
        <v>7026.080412876865</v>
      </c>
    </row>
    <row r="25" spans="2:74" x14ac:dyDescent="0.15">
      <c r="B25" t="s">
        <v>10</v>
      </c>
      <c r="D25" s="4"/>
      <c r="E25" s="4"/>
      <c r="F25" s="4"/>
      <c r="G25" s="4" t="e">
        <f>+#REF!/G4</f>
        <v>#REF!</v>
      </c>
      <c r="H25" s="4" t="e">
        <f>+#REF!/H4</f>
        <v>#REF!</v>
      </c>
      <c r="I25" s="4" t="e">
        <f>+#REF!/J4</f>
        <v>#REF!</v>
      </c>
      <c r="J25" s="4" t="e">
        <f>+#REF!/J4</f>
        <v>#REF!</v>
      </c>
      <c r="K25" s="4" t="e">
        <f>+#REF!/K4</f>
        <v>#REF!</v>
      </c>
      <c r="L25" s="4" t="e">
        <f>+#REF!/P4</f>
        <v>#REF!</v>
      </c>
      <c r="M25" s="4" t="e">
        <f>+#REF!/M4</f>
        <v>#REF!</v>
      </c>
      <c r="N25" s="4" t="e">
        <f>+#REF!/N4</f>
        <v>#REF!</v>
      </c>
      <c r="O25" s="4" t="e">
        <f>+#REF!/O4</f>
        <v>#REF!</v>
      </c>
      <c r="P25" s="4" t="e">
        <f>+#REF!/#REF!</f>
        <v>#REF!</v>
      </c>
      <c r="W25" s="15">
        <f>W11/W4</f>
        <v>0.11174458380843785</v>
      </c>
      <c r="X25" s="15">
        <f>X11/X4</f>
        <v>0.12386980108499096</v>
      </c>
      <c r="Y25" s="15">
        <f>Y11/Y4</f>
        <v>0.14740436778411461</v>
      </c>
      <c r="Z25" s="15">
        <f t="shared" ref="Z25:AA25" si="25">Z11/Z4</f>
        <v>0.17184951368008816</v>
      </c>
      <c r="AA25" s="15">
        <f t="shared" si="25"/>
        <v>0.18296116436929857</v>
      </c>
      <c r="AF25" t="s">
        <v>0</v>
      </c>
      <c r="AG25" s="23">
        <f>AH24/Main!K3</f>
        <v>23.344243622857778</v>
      </c>
    </row>
    <row r="26" spans="2:74" x14ac:dyDescent="0.15">
      <c r="B26" t="s">
        <v>34</v>
      </c>
      <c r="K26" s="4">
        <f>+K18/G18-1</f>
        <v>-1</v>
      </c>
      <c r="L26" s="4">
        <f>+L18/H18-1</f>
        <v>-1</v>
      </c>
      <c r="M26" s="4" t="e">
        <f>+M18/I18-1</f>
        <v>#DIV/0!</v>
      </c>
      <c r="N26" s="4" t="e">
        <f>+N18/J18-1</f>
        <v>#DIV/0!</v>
      </c>
      <c r="O26" s="4" t="e">
        <f>+O18/K18-1</f>
        <v>#DIV/0!</v>
      </c>
      <c r="P26" s="4" t="e">
        <f>+P18/L18-1</f>
        <v>#DIV/0!</v>
      </c>
    </row>
    <row r="28" spans="2:74" x14ac:dyDescent="0.15">
      <c r="B28" t="s">
        <v>32</v>
      </c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2:74" s="2" customFormat="1" x14ac:dyDescent="0.15">
      <c r="B29" s="2" t="s">
        <v>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X29" s="2">
        <v>656</v>
      </c>
      <c r="Y29" s="2">
        <v>429</v>
      </c>
      <c r="AG29"/>
      <c r="AH29"/>
    </row>
    <row r="30" spans="2:74" s="2" customFormat="1" x14ac:dyDescent="0.15">
      <c r="B30" s="2" t="s">
        <v>16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74" s="2" customFormat="1" x14ac:dyDescent="0.15">
      <c r="B31" s="2" t="s">
        <v>17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74" s="2" customFormat="1" x14ac:dyDescent="0.15">
      <c r="B32" s="2" t="s">
        <v>18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6" s="2" customFormat="1" x14ac:dyDescent="0.15">
      <c r="B33" s="2" t="s">
        <v>19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6" s="2" customFormat="1" x14ac:dyDescent="0.15">
      <c r="B34" s="2" t="s">
        <v>20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6" s="2" customFormat="1" x14ac:dyDescent="0.15">
      <c r="B35" s="2" t="s">
        <v>21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6" s="2" customFormat="1" x14ac:dyDescent="0.15">
      <c r="B36" s="2" t="s">
        <v>24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6" s="2" customFormat="1" x14ac:dyDescent="0.15">
      <c r="B37" s="2" t="s">
        <v>23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6" s="2" customFormat="1" x14ac:dyDescent="0.15">
      <c r="B38" s="2" t="s">
        <v>22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s="2" customFormat="1" x14ac:dyDescent="0.1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6" s="2" customFormat="1" x14ac:dyDescent="0.15">
      <c r="B40" s="2" t="s">
        <v>25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6" s="2" customFormat="1" x14ac:dyDescent="0.15">
      <c r="B41" s="2" t="s">
        <v>26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6" s="2" customFormat="1" x14ac:dyDescent="0.15">
      <c r="B42" s="2" t="s">
        <v>18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6" s="2" customFormat="1" x14ac:dyDescent="0.15">
      <c r="B43" s="2" t="s">
        <v>27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6" s="2" customFormat="1" x14ac:dyDescent="0.15">
      <c r="B44" s="2" t="s">
        <v>19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6" s="2" customFormat="1" x14ac:dyDescent="0.15">
      <c r="B45" s="2" t="s">
        <v>28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6" s="2" customFormat="1" x14ac:dyDescent="0.15">
      <c r="B46" s="2" t="s">
        <v>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16" s="2" customFormat="1" x14ac:dyDescent="0.15">
      <c r="B47" s="2" t="s">
        <v>13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6" s="2" customFormat="1" x14ac:dyDescent="0.15">
      <c r="B48" s="2" t="s">
        <v>31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6" s="2" customFormat="1" x14ac:dyDescent="0.15">
      <c r="B49" s="2" t="s">
        <v>30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6" s="2" customFormat="1" x14ac:dyDescent="0.15">
      <c r="B50" s="2" t="s">
        <v>29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2" spans="2:16" s="2" customFormat="1" x14ac:dyDescent="0.15">
      <c r="B52" s="2" t="s">
        <v>35</v>
      </c>
      <c r="C52" s="5"/>
      <c r="D52" s="5"/>
      <c r="E52" s="5"/>
      <c r="F52" s="5"/>
    </row>
    <row r="53" spans="2:16" s="2" customFormat="1" x14ac:dyDescent="0.15">
      <c r="B53" s="2" t="s">
        <v>66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2:16" s="2" customFormat="1" x14ac:dyDescent="0.15">
      <c r="B54" s="2" t="s">
        <v>61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2:16" s="2" customFormat="1" x14ac:dyDescent="0.15">
      <c r="B55" s="2" t="s">
        <v>62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16" s="2" customFormat="1" x14ac:dyDescent="0.15">
      <c r="B56" s="2" t="s">
        <v>24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2:16" s="2" customFormat="1" x14ac:dyDescent="0.15">
      <c r="B57" s="2" t="s">
        <v>38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6" s="2" customFormat="1" x14ac:dyDescent="0.15">
      <c r="B58" s="2" t="s">
        <v>63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2:16" s="2" customFormat="1" x14ac:dyDescent="0.15">
      <c r="B59" s="2" t="s">
        <v>39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2:16" s="2" customFormat="1" x14ac:dyDescent="0.15">
      <c r="B60" s="2" t="s">
        <v>64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16" s="2" customFormat="1" x14ac:dyDescent="0.15">
      <c r="B61" s="2" t="s">
        <v>65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2:16" s="2" customFormat="1" x14ac:dyDescent="0.15">
      <c r="B62" s="2" t="s">
        <v>37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2:16" s="2" customFormat="1" x14ac:dyDescent="0.15">
      <c r="B63" s="2" t="s">
        <v>36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6" s="2" customFormat="1" x14ac:dyDescent="0.15">
      <c r="B64" s="2" t="s">
        <v>69</v>
      </c>
      <c r="C64" s="5"/>
      <c r="D64" s="5"/>
      <c r="E64" s="5"/>
      <c r="F64" s="5"/>
    </row>
    <row r="65" spans="2:25" s="2" customFormat="1" x14ac:dyDescent="0.15">
      <c r="B65" s="2" t="s">
        <v>67</v>
      </c>
      <c r="C65" s="5"/>
      <c r="D65" s="5"/>
      <c r="E65" s="5"/>
      <c r="F65" s="5"/>
    </row>
    <row r="66" spans="2:25" x14ac:dyDescent="0.15">
      <c r="B66" s="2" t="s">
        <v>68</v>
      </c>
      <c r="K66" s="4"/>
      <c r="L66" s="4"/>
      <c r="M66" s="4"/>
      <c r="N66" s="4"/>
      <c r="O66" s="4"/>
      <c r="P66" s="4"/>
      <c r="W66" s="2"/>
      <c r="X66" s="2"/>
      <c r="Y66" s="2"/>
    </row>
    <row r="67" spans="2:25" x14ac:dyDescent="0.15">
      <c r="K67" s="4"/>
      <c r="L67" s="4"/>
      <c r="M67" s="4"/>
      <c r="N67" s="4"/>
      <c r="O67" s="4"/>
      <c r="P67" s="4"/>
    </row>
    <row r="68" spans="2:25" s="2" customFormat="1" x14ac:dyDescent="0.15">
      <c r="B68" s="2" t="s">
        <v>41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2:25" s="2" customFormat="1" x14ac:dyDescent="0.15">
      <c r="B69" s="2" t="s">
        <v>42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2:25" s="2" customFormat="1" x14ac:dyDescent="0.15">
      <c r="B70" s="2" t="s">
        <v>43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2:25" s="2" customFormat="1" x14ac:dyDescent="0.15">
      <c r="B71" s="2" t="s">
        <v>23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2:25" s="2" customFormat="1" x14ac:dyDescent="0.15">
      <c r="B72" s="2" t="s">
        <v>40</v>
      </c>
      <c r="C72" s="5"/>
      <c r="D72" s="5"/>
      <c r="E72" s="5"/>
      <c r="F72" s="5"/>
    </row>
    <row r="73" spans="2:25" s="2" customFormat="1" x14ac:dyDescent="0.1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2:25" s="2" customFormat="1" x14ac:dyDescent="0.15">
      <c r="B74" s="2" t="s">
        <v>47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2:25" s="2" customFormat="1" x14ac:dyDescent="0.15">
      <c r="B75" s="2" t="s">
        <v>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2:25" s="2" customFormat="1" x14ac:dyDescent="0.15">
      <c r="B76" s="2" t="s">
        <v>48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2:25" s="2" customFormat="1" x14ac:dyDescent="0.15">
      <c r="B77" s="2" t="s">
        <v>49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2:25" s="2" customFormat="1" x14ac:dyDescent="0.15">
      <c r="B78" s="2" t="s">
        <v>23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2:25" s="2" customFormat="1" x14ac:dyDescent="0.15">
      <c r="B79" s="2" t="s">
        <v>46</v>
      </c>
      <c r="C79" s="5"/>
      <c r="D79" s="5"/>
      <c r="E79" s="5"/>
      <c r="F79" s="5"/>
    </row>
    <row r="80" spans="2:25" s="2" customFormat="1" x14ac:dyDescent="0.15">
      <c r="B80" s="2" t="s">
        <v>45</v>
      </c>
      <c r="C80" s="5"/>
      <c r="D80" s="5"/>
      <c r="E80" s="5"/>
      <c r="F80" s="5"/>
      <c r="H80" s="5"/>
      <c r="I80" s="5"/>
      <c r="J80" s="5"/>
      <c r="L80" s="5"/>
      <c r="M80" s="5"/>
      <c r="N80" s="5"/>
    </row>
    <row r="81" spans="2:25" s="2" customFormat="1" x14ac:dyDescent="0.15">
      <c r="B81" s="2" t="s">
        <v>44</v>
      </c>
      <c r="C81" s="5"/>
      <c r="D81" s="5"/>
      <c r="E81" s="5"/>
      <c r="F81" s="5"/>
    </row>
    <row r="83" spans="2:25" x14ac:dyDescent="0.15">
      <c r="B83" s="2" t="s">
        <v>55</v>
      </c>
      <c r="G83" s="5"/>
      <c r="H83" s="5"/>
      <c r="I83" s="5"/>
      <c r="J83" s="5"/>
      <c r="K83" s="5"/>
      <c r="L83" s="5"/>
      <c r="M83" s="5"/>
      <c r="N83" s="5"/>
      <c r="O83" s="5"/>
      <c r="P83" s="5"/>
      <c r="W83" s="2">
        <f>W64+W68</f>
        <v>0</v>
      </c>
      <c r="X83" s="2">
        <f t="shared" ref="X83:Y83" si="26">X64+X68</f>
        <v>0</v>
      </c>
      <c r="Y83" s="2">
        <f t="shared" si="26"/>
        <v>0</v>
      </c>
    </row>
    <row r="84" spans="2:25" x14ac:dyDescent="0.15">
      <c r="J84" s="2">
        <f t="shared" ref="J84:N84" si="27">SUM(G83:J83)</f>
        <v>0</v>
      </c>
      <c r="K84" s="2">
        <f t="shared" si="27"/>
        <v>0</v>
      </c>
      <c r="L84" s="2">
        <f t="shared" si="27"/>
        <v>0</v>
      </c>
      <c r="M84" s="2">
        <f t="shared" si="27"/>
        <v>0</v>
      </c>
      <c r="N84" s="2">
        <f t="shared" si="27"/>
        <v>0</v>
      </c>
      <c r="O84" s="2">
        <f>SUM(L83:O83)</f>
        <v>0</v>
      </c>
      <c r="P84" s="2">
        <f>SUM(M83:P83)</f>
        <v>0</v>
      </c>
    </row>
    <row r="85" spans="2:25" x14ac:dyDescent="0.15">
      <c r="B85" s="2" t="s">
        <v>57</v>
      </c>
      <c r="G85" s="5">
        <f t="shared" ref="G85:P85" si="28">G65+G68</f>
        <v>0</v>
      </c>
      <c r="H85" s="5">
        <f t="shared" si="28"/>
        <v>0</v>
      </c>
      <c r="I85" s="5">
        <f t="shared" si="28"/>
        <v>0</v>
      </c>
      <c r="J85" s="5">
        <f t="shared" si="28"/>
        <v>0</v>
      </c>
      <c r="K85" s="5">
        <f t="shared" si="28"/>
        <v>0</v>
      </c>
      <c r="L85" s="5">
        <f t="shared" si="28"/>
        <v>0</v>
      </c>
      <c r="M85" s="5">
        <f t="shared" si="28"/>
        <v>0</v>
      </c>
      <c r="N85" s="5">
        <f t="shared" si="28"/>
        <v>0</v>
      </c>
      <c r="O85" s="5">
        <f t="shared" si="28"/>
        <v>0</v>
      </c>
      <c r="P85" s="5">
        <f t="shared" si="28"/>
        <v>0</v>
      </c>
      <c r="Q85" s="5">
        <f>0.65*Q4</f>
        <v>202300.15</v>
      </c>
      <c r="R85" s="5"/>
      <c r="S85" s="5"/>
      <c r="W85" s="2">
        <f>W66+W68</f>
        <v>0</v>
      </c>
      <c r="X85" s="2">
        <f>X66+X68</f>
        <v>0</v>
      </c>
      <c r="Y85" s="2">
        <f>Y66+Y68</f>
        <v>0</v>
      </c>
    </row>
    <row r="86" spans="2:25" x14ac:dyDescent="0.15">
      <c r="B86" t="s">
        <v>58</v>
      </c>
      <c r="J86" s="13"/>
      <c r="K86" s="13" t="e">
        <f>K85/G85-1</f>
        <v>#DIV/0!</v>
      </c>
      <c r="L86" s="13" t="e">
        <f t="shared" ref="L86:O86" si="29">L85/H85-1</f>
        <v>#DIV/0!</v>
      </c>
      <c r="M86" s="13" t="e">
        <f t="shared" si="29"/>
        <v>#DIV/0!</v>
      </c>
      <c r="N86" s="13" t="e">
        <f t="shared" si="29"/>
        <v>#DIV/0!</v>
      </c>
      <c r="O86" s="13" t="e">
        <f t="shared" si="29"/>
        <v>#DIV/0!</v>
      </c>
      <c r="P86" s="13" t="e">
        <f>P85/L85-1</f>
        <v>#DIV/0!</v>
      </c>
      <c r="Q86" s="13" t="e">
        <f>Q85/M85-1</f>
        <v>#DIV/0!</v>
      </c>
      <c r="R86" s="13"/>
      <c r="S86" s="13"/>
      <c r="T86" s="13"/>
    </row>
    <row r="87" spans="2:25" x14ac:dyDescent="0.15">
      <c r="J87" s="5">
        <f>SUM(G85:J85)</f>
        <v>0</v>
      </c>
      <c r="K87" s="5">
        <f t="shared" ref="K87:Q87" si="30">SUM(H85:K85)</f>
        <v>0</v>
      </c>
      <c r="L87" s="5">
        <f t="shared" si="30"/>
        <v>0</v>
      </c>
      <c r="M87" s="5">
        <f t="shared" si="30"/>
        <v>0</v>
      </c>
      <c r="N87" s="5">
        <f t="shared" si="30"/>
        <v>0</v>
      </c>
      <c r="O87" s="5">
        <f t="shared" si="30"/>
        <v>0</v>
      </c>
      <c r="P87" s="5">
        <f t="shared" si="30"/>
        <v>0</v>
      </c>
      <c r="Q87" s="5">
        <f t="shared" si="30"/>
        <v>202300.15</v>
      </c>
      <c r="R87" s="5"/>
      <c r="S87" s="5"/>
    </row>
    <row r="89" spans="2:25" x14ac:dyDescent="0.15">
      <c r="G89" s="4">
        <f>G85/G4</f>
        <v>0</v>
      </c>
      <c r="H89" s="4">
        <f>H85/H4</f>
        <v>0</v>
      </c>
      <c r="I89" s="4">
        <f>I85/I4</f>
        <v>0</v>
      </c>
      <c r="J89" s="4">
        <f>J85/J4</f>
        <v>0</v>
      </c>
      <c r="K89" s="4">
        <f>K85/K4</f>
        <v>0</v>
      </c>
      <c r="L89" s="4">
        <f>L85/P4</f>
        <v>0</v>
      </c>
      <c r="M89" s="4">
        <f>M85/M4</f>
        <v>0</v>
      </c>
      <c r="N89" s="4">
        <f>N85/N4</f>
        <v>0</v>
      </c>
      <c r="O89" s="4">
        <f>O85/O4</f>
        <v>0</v>
      </c>
      <c r="P89" s="4" t="e">
        <f>P85/#REF!</f>
        <v>#REF!</v>
      </c>
    </row>
    <row r="90" spans="2:25" x14ac:dyDescent="0.15">
      <c r="K90" s="4"/>
      <c r="L90" s="4"/>
      <c r="M90" s="4"/>
      <c r="N90" s="4"/>
      <c r="O90" s="4"/>
      <c r="P90" s="4"/>
    </row>
    <row r="91" spans="2:25" x14ac:dyDescent="0.15">
      <c r="K91" s="4"/>
    </row>
    <row r="92" spans="2:25" x14ac:dyDescent="0.15">
      <c r="O92" s="13"/>
    </row>
  </sheetData>
  <hyperlinks>
    <hyperlink ref="A1" location="Main!A1" display="Main" xr:uid="{3524F6D3-CE33-47D0-957C-080365F2BEF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Zhuping Liu</cp:lastModifiedBy>
  <dcterms:created xsi:type="dcterms:W3CDTF">2024-10-10T19:55:58Z</dcterms:created>
  <dcterms:modified xsi:type="dcterms:W3CDTF">2025-07-31T17:25:35Z</dcterms:modified>
</cp:coreProperties>
</file>