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davidliu/models/"/>
    </mc:Choice>
  </mc:AlternateContent>
  <xr:revisionPtr revIDLastSave="0" documentId="13_ncr:1_{4C5FC393-3E5C-3348-B65A-5C43F55E80D8}" xr6:coauthVersionLast="47" xr6:coauthVersionMax="47" xr10:uidLastSave="{00000000-0000-0000-0000-000000000000}"/>
  <bookViews>
    <workbookView xWindow="0" yWindow="500" windowWidth="38400" windowHeight="18000" tabRatio="319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73" i="2" l="1"/>
  <c r="Z73" i="2"/>
  <c r="AA68" i="2"/>
  <c r="AB68" i="2"/>
  <c r="M73" i="2"/>
  <c r="M57" i="2"/>
  <c r="M56" i="2"/>
  <c r="M55" i="2"/>
  <c r="M54" i="2"/>
  <c r="M53" i="2"/>
  <c r="M52" i="2"/>
  <c r="M58" i="2"/>
  <c r="M30" i="2"/>
  <c r="M40" i="2"/>
  <c r="M28" i="2"/>
  <c r="M27" i="2"/>
  <c r="N8" i="2"/>
  <c r="O8" i="2"/>
  <c r="O9" i="2"/>
  <c r="N9" i="2"/>
  <c r="M26" i="2"/>
  <c r="M25" i="2"/>
  <c r="M19" i="2"/>
  <c r="M18" i="2"/>
  <c r="M16" i="2"/>
  <c r="M15" i="2"/>
  <c r="M13" i="2"/>
  <c r="M12" i="2"/>
  <c r="O7" i="2"/>
  <c r="N7" i="2"/>
  <c r="N23" i="2"/>
  <c r="M7" i="2"/>
  <c r="M23" i="2" s="1"/>
  <c r="O23" i="2"/>
  <c r="O74" i="2"/>
  <c r="G6" i="1"/>
  <c r="G5" i="1"/>
  <c r="N74" i="2"/>
  <c r="N75" i="2" s="1"/>
  <c r="J75" i="2"/>
  <c r="K75" i="2"/>
  <c r="L75" i="2"/>
  <c r="I75" i="2"/>
  <c r="K60" i="2"/>
  <c r="J60" i="2"/>
  <c r="J73" i="2" s="1"/>
  <c r="K58" i="2"/>
  <c r="K73" i="2" s="1"/>
  <c r="J58" i="2"/>
  <c r="J51" i="2"/>
  <c r="I16" i="2"/>
  <c r="I63" i="2"/>
  <c r="I62" i="2"/>
  <c r="I60" i="2"/>
  <c r="I73" i="2" s="1"/>
  <c r="I74" i="2"/>
  <c r="I58" i="2"/>
  <c r="I57" i="2"/>
  <c r="I52" i="2"/>
  <c r="I53" i="2"/>
  <c r="I56" i="2"/>
  <c r="I55" i="2"/>
  <c r="M8" i="2"/>
  <c r="L23" i="2"/>
  <c r="L7" i="2"/>
  <c r="L63" i="2"/>
  <c r="L62" i="2"/>
  <c r="W73" i="2"/>
  <c r="X73" i="2"/>
  <c r="V73" i="2"/>
  <c r="L58" i="2"/>
  <c r="L57" i="2"/>
  <c r="L56" i="2"/>
  <c r="L55" i="2"/>
  <c r="V58" i="2"/>
  <c r="V57" i="2"/>
  <c r="W58" i="2"/>
  <c r="W57" i="2"/>
  <c r="W55" i="2"/>
  <c r="X58" i="2"/>
  <c r="X57" i="2"/>
  <c r="V56" i="2"/>
  <c r="W56" i="2"/>
  <c r="X56" i="2"/>
  <c r="X55" i="2"/>
  <c r="E53" i="2"/>
  <c r="E52" i="2"/>
  <c r="E51" i="2"/>
  <c r="F73" i="2"/>
  <c r="G73" i="2"/>
  <c r="L73" i="2"/>
  <c r="H63" i="2"/>
  <c r="D62" i="2"/>
  <c r="D63" i="2" s="1"/>
  <c r="H62" i="2"/>
  <c r="D57" i="2"/>
  <c r="E57" i="2" s="1"/>
  <c r="H57" i="2"/>
  <c r="D56" i="2"/>
  <c r="H56" i="2"/>
  <c r="H58" i="2" s="1"/>
  <c r="H73" i="2" s="1"/>
  <c r="D55" i="2"/>
  <c r="E55" i="2" s="1"/>
  <c r="H55" i="2"/>
  <c r="Z15" i="2"/>
  <c r="AA15" i="2"/>
  <c r="AB15" i="2"/>
  <c r="AC15" i="2"/>
  <c r="AD15" i="2"/>
  <c r="Y15" i="2"/>
  <c r="L40" i="2"/>
  <c r="L30" i="2" s="1"/>
  <c r="M74" i="2" l="1"/>
  <c r="M75" i="2" s="1"/>
  <c r="O75" i="2"/>
  <c r="D58" i="2"/>
  <c r="D73" i="2" s="1"/>
  <c r="J15" i="2"/>
  <c r="F15" i="2"/>
  <c r="I15" i="2"/>
  <c r="E15" i="2"/>
  <c r="D15" i="2"/>
  <c r="H15" i="2"/>
  <c r="L15" i="2"/>
  <c r="L8" i="2"/>
  <c r="L12" i="2"/>
  <c r="K17" i="2"/>
  <c r="X17" i="2" s="1"/>
  <c r="K14" i="2"/>
  <c r="X14" i="2" s="1"/>
  <c r="Y14" i="2" s="1"/>
  <c r="Z14" i="2" s="1"/>
  <c r="AA14" i="2" s="1"/>
  <c r="AB14" i="2" s="1"/>
  <c r="AC14" i="2" s="1"/>
  <c r="AD14" i="2" s="1"/>
  <c r="K11" i="2"/>
  <c r="X11" i="2" s="1"/>
  <c r="Y11" i="2" s="1"/>
  <c r="K10" i="2"/>
  <c r="K6" i="2"/>
  <c r="X6" i="2" s="1"/>
  <c r="K5" i="2"/>
  <c r="K7" i="2" s="1"/>
  <c r="G17" i="2"/>
  <c r="W17" i="2" s="1"/>
  <c r="G14" i="2"/>
  <c r="W14" i="2" s="1"/>
  <c r="G11" i="2"/>
  <c r="W11" i="2" s="1"/>
  <c r="G10" i="2"/>
  <c r="G12" i="2" s="1"/>
  <c r="G5" i="2"/>
  <c r="G6" i="2"/>
  <c r="W6" i="2" s="1"/>
  <c r="F12" i="2"/>
  <c r="F8" i="2"/>
  <c r="J8" i="2"/>
  <c r="J7" i="2"/>
  <c r="J12" i="2"/>
  <c r="I8" i="2"/>
  <c r="E8" i="2"/>
  <c r="I12" i="2"/>
  <c r="I7" i="2"/>
  <c r="I9" i="2" s="1"/>
  <c r="I25" i="2" s="1"/>
  <c r="F7" i="2"/>
  <c r="F9" i="2" s="1"/>
  <c r="F13" i="2" s="1"/>
  <c r="F26" i="2" s="1"/>
  <c r="E12" i="2"/>
  <c r="E7" i="2"/>
  <c r="H12" i="2"/>
  <c r="H8" i="2"/>
  <c r="D12" i="2"/>
  <c r="H28" i="2" s="1"/>
  <c r="J9" i="2" l="1"/>
  <c r="J25" i="2" s="1"/>
  <c r="L28" i="2"/>
  <c r="K15" i="2"/>
  <c r="X15" i="2" s="1"/>
  <c r="G7" i="2"/>
  <c r="K23" i="2" s="1"/>
  <c r="I28" i="2"/>
  <c r="J23" i="2"/>
  <c r="X5" i="2"/>
  <c r="W15" i="2"/>
  <c r="I23" i="2"/>
  <c r="J28" i="2"/>
  <c r="L9" i="2"/>
  <c r="L25" i="2" s="1"/>
  <c r="G15" i="2"/>
  <c r="Z11" i="2"/>
  <c r="W5" i="2"/>
  <c r="W10" i="2"/>
  <c r="W12" i="2"/>
  <c r="K8" i="2"/>
  <c r="X8" i="2" s="1"/>
  <c r="F25" i="2"/>
  <c r="K12" i="2"/>
  <c r="K28" i="2" s="1"/>
  <c r="F16" i="2"/>
  <c r="F27" i="2" s="1"/>
  <c r="X10" i="2"/>
  <c r="J13" i="2"/>
  <c r="I13" i="2"/>
  <c r="E9" i="2"/>
  <c r="D8" i="2"/>
  <c r="H7" i="2"/>
  <c r="D7" i="2"/>
  <c r="E2" i="2"/>
  <c r="F2" i="2"/>
  <c r="G2" i="2"/>
  <c r="D2" i="2"/>
  <c r="L2" i="2"/>
  <c r="M2" i="2"/>
  <c r="W2" i="2"/>
  <c r="X2" i="2" s="1"/>
  <c r="Y2" i="2" s="1"/>
  <c r="Z2" i="2" s="1"/>
  <c r="AA2" i="2" s="1"/>
  <c r="AB2" i="2" s="1"/>
  <c r="AC2" i="2" s="1"/>
  <c r="AD2" i="2" s="1"/>
  <c r="O2" i="2"/>
  <c r="N2" i="2"/>
  <c r="G4" i="1"/>
  <c r="G7" i="1" s="1"/>
  <c r="G8" i="1" s="1"/>
  <c r="W7" i="2" l="1"/>
  <c r="L13" i="2"/>
  <c r="L26" i="2" s="1"/>
  <c r="Y10" i="2"/>
  <c r="X12" i="2"/>
  <c r="K9" i="2"/>
  <c r="F18" i="2"/>
  <c r="AA11" i="2"/>
  <c r="J16" i="2"/>
  <c r="J27" i="2" s="1"/>
  <c r="J26" i="2"/>
  <c r="G8" i="2"/>
  <c r="G9" i="2" s="1"/>
  <c r="W8" i="2"/>
  <c r="W9" i="2" s="1"/>
  <c r="W13" i="2" s="1"/>
  <c r="E13" i="2"/>
  <c r="E25" i="2"/>
  <c r="I26" i="2"/>
  <c r="H9" i="2"/>
  <c r="H23" i="2"/>
  <c r="X7" i="2"/>
  <c r="Y7" i="2" s="1"/>
  <c r="D9" i="2"/>
  <c r="L16" i="2" l="1"/>
  <c r="J18" i="2"/>
  <c r="J19" i="2" s="1"/>
  <c r="Z7" i="2"/>
  <c r="Y9" i="2"/>
  <c r="I18" i="2"/>
  <c r="I19" i="2" s="1"/>
  <c r="I27" i="2"/>
  <c r="AB11" i="2"/>
  <c r="L18" i="2"/>
  <c r="L19" i="2" s="1"/>
  <c r="L27" i="2"/>
  <c r="K25" i="2"/>
  <c r="K13" i="2"/>
  <c r="Z10" i="2"/>
  <c r="Y12" i="2"/>
  <c r="G13" i="2"/>
  <c r="G25" i="2"/>
  <c r="D13" i="2"/>
  <c r="D25" i="2"/>
  <c r="X9" i="2"/>
  <c r="X13" i="2" s="1"/>
  <c r="X16" i="2" s="1"/>
  <c r="X18" i="2" s="1"/>
  <c r="X19" i="2" s="1"/>
  <c r="H13" i="2"/>
  <c r="H25" i="2"/>
  <c r="E26" i="2"/>
  <c r="E16" i="2"/>
  <c r="E18" i="2" l="1"/>
  <c r="E27" i="2"/>
  <c r="AC11" i="2"/>
  <c r="AA10" i="2"/>
  <c r="Z12" i="2"/>
  <c r="K16" i="2"/>
  <c r="K26" i="2"/>
  <c r="AA7" i="2"/>
  <c r="Z9" i="2"/>
  <c r="H16" i="2"/>
  <c r="H27" i="2" s="1"/>
  <c r="H26" i="2"/>
  <c r="Y13" i="2"/>
  <c r="Y16" i="2" s="1"/>
  <c r="Y8" i="2"/>
  <c r="D26" i="2"/>
  <c r="D16" i="2"/>
  <c r="G16" i="2"/>
  <c r="G27" i="2" s="1"/>
  <c r="G26" i="2"/>
  <c r="K18" i="2" l="1"/>
  <c r="K19" i="2" s="1"/>
  <c r="K27" i="2"/>
  <c r="AB10" i="2"/>
  <c r="AA12" i="2"/>
  <c r="H18" i="2"/>
  <c r="H19" i="2" s="1"/>
  <c r="G18" i="2"/>
  <c r="W16" i="2"/>
  <c r="W18" i="2" s="1"/>
  <c r="W19" i="2" s="1"/>
  <c r="D27" i="2"/>
  <c r="AD11" i="2"/>
  <c r="AB7" i="2"/>
  <c r="AA9" i="2"/>
  <c r="Y17" i="2"/>
  <c r="Y18" i="2" s="1"/>
  <c r="Z13" i="2"/>
  <c r="Z16" i="2" s="1"/>
  <c r="Z8" i="2"/>
  <c r="D18" i="2"/>
  <c r="AC7" i="2" l="1"/>
  <c r="AB9" i="2"/>
  <c r="AC10" i="2"/>
  <c r="AB12" i="2"/>
  <c r="Z17" i="2"/>
  <c r="Z18" i="2"/>
  <c r="Z19" i="2" s="1"/>
  <c r="Y19" i="2"/>
  <c r="AA13" i="2"/>
  <c r="AA16" i="2" s="1"/>
  <c r="AA8" i="2"/>
  <c r="AD10" i="2" l="1"/>
  <c r="AD12" i="2" s="1"/>
  <c r="AC12" i="2"/>
  <c r="AD7" i="2"/>
  <c r="AD9" i="2" s="1"/>
  <c r="AC9" i="2"/>
  <c r="AA17" i="2"/>
  <c r="AA18" i="2" s="1"/>
  <c r="AB8" i="2" l="1"/>
  <c r="AB13" i="2"/>
  <c r="AB16" i="2" s="1"/>
  <c r="AA19" i="2"/>
  <c r="AC8" i="2" l="1"/>
  <c r="AC13" i="2"/>
  <c r="AC16" i="2" s="1"/>
  <c r="AB17" i="2"/>
  <c r="AB18" i="2" s="1"/>
  <c r="AD13" i="2"/>
  <c r="AD16" i="2" s="1"/>
  <c r="AD8" i="2"/>
  <c r="AB19" i="2" l="1"/>
  <c r="AD17" i="2"/>
  <c r="AD18" i="2" s="1"/>
  <c r="AC17" i="2"/>
  <c r="AC18" i="2" s="1"/>
  <c r="AC19" i="2" l="1"/>
  <c r="AD19" i="2"/>
  <c r="AE18" i="2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CG18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X18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DO18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EA18" i="2" s="1"/>
  <c r="EB18" i="2" s="1"/>
  <c r="EC18" i="2" s="1"/>
  <c r="ED18" i="2" s="1"/>
  <c r="EE18" i="2" s="1"/>
  <c r="EF18" i="2" s="1"/>
  <c r="EG18" i="2" s="1"/>
  <c r="EH18" i="2" s="1"/>
  <c r="EI18" i="2" s="1"/>
  <c r="EJ18" i="2" s="1"/>
  <c r="EK18" i="2" s="1"/>
  <c r="EL18" i="2" s="1"/>
  <c r="EM18" i="2" s="1"/>
  <c r="EN18" i="2" s="1"/>
  <c r="EO18" i="2" s="1"/>
  <c r="EP18" i="2" s="1"/>
  <c r="EQ18" i="2" s="1"/>
  <c r="ER18" i="2" s="1"/>
  <c r="ES18" i="2" s="1"/>
  <c r="ET18" i="2" s="1"/>
  <c r="EU18" i="2" s="1"/>
  <c r="EV18" i="2" s="1"/>
  <c r="EW18" i="2" s="1"/>
  <c r="EX18" i="2" s="1"/>
  <c r="EY18" i="2" s="1"/>
  <c r="EZ18" i="2" s="1"/>
  <c r="FA18" i="2" s="1"/>
  <c r="FB18" i="2" s="1"/>
  <c r="FC18" i="2" s="1"/>
  <c r="FD18" i="2" s="1"/>
  <c r="FE18" i="2" s="1"/>
  <c r="AG33" i="2" l="1"/>
  <c r="AG34" i="2" s="1"/>
  <c r="AG35" i="2" s="1"/>
  <c r="E7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tc={DF3A69DD-1198-42A5-A83A-5484CF412A11}</author>
  </authors>
  <commentList>
    <comment ref="K68" authorId="0" shapeId="0" xr:uid="{DF3A69DD-1198-42A5-A83A-5484CF412A11}">
      <text>
        <t>[Threaded comment]
Your version of Excel allows you to read this threaded comment; however, any edits to it will get removed if the file is opened in a newer version of Excel. Learn more: https://go.microsoft.com/fwlink/?linkid=870924
Comment:
    Didn’t add up?</t>
      </text>
    </comment>
  </commentList>
</comments>
</file>

<file path=xl/sharedStrings.xml><?xml version="1.0" encoding="utf-8"?>
<sst xmlns="http://schemas.openxmlformats.org/spreadsheetml/2006/main" count="109" uniqueCount="100">
  <si>
    <t>Price</t>
  </si>
  <si>
    <t>Shares</t>
  </si>
  <si>
    <t>MC</t>
  </si>
  <si>
    <t>Cash</t>
  </si>
  <si>
    <t>Debt</t>
  </si>
  <si>
    <t>EV</t>
  </si>
  <si>
    <t>Main</t>
  </si>
  <si>
    <t>Revenue</t>
  </si>
  <si>
    <t>COGS</t>
  </si>
  <si>
    <t>Gross Profit</t>
  </si>
  <si>
    <t>Gross Margin</t>
  </si>
  <si>
    <t>R&amp;D</t>
  </si>
  <si>
    <t>Operating Expenses</t>
  </si>
  <si>
    <t>Operating Income</t>
  </si>
  <si>
    <t>Interest Expense</t>
  </si>
  <si>
    <t>Pretax Income</t>
  </si>
  <si>
    <t>Taxes</t>
  </si>
  <si>
    <t>EPS</t>
  </si>
  <si>
    <t>NGEPS</t>
  </si>
  <si>
    <t>FY21</t>
  </si>
  <si>
    <t>FY22</t>
  </si>
  <si>
    <t>Revenue y/y</t>
  </si>
  <si>
    <t>Services</t>
  </si>
  <si>
    <t>FQ123</t>
  </si>
  <si>
    <t>FQ223</t>
  </si>
  <si>
    <t>FQ323</t>
  </si>
  <si>
    <t>FQ423</t>
  </si>
  <si>
    <t>6/13/22: FY22 results.</t>
  </si>
  <si>
    <t>FY20</t>
  </si>
  <si>
    <t>FY19</t>
  </si>
  <si>
    <t>FY23</t>
  </si>
  <si>
    <t>FY24</t>
  </si>
  <si>
    <t>FY25</t>
  </si>
  <si>
    <t>FY26</t>
  </si>
  <si>
    <t>FY27</t>
  </si>
  <si>
    <t>FY28</t>
  </si>
  <si>
    <t>FY29</t>
  </si>
  <si>
    <t>FY30</t>
  </si>
  <si>
    <t>Assets</t>
  </si>
  <si>
    <t>AR</t>
  </si>
  <si>
    <t>Prepaids</t>
  </si>
  <si>
    <t>PPE</t>
  </si>
  <si>
    <t>Goodwill</t>
  </si>
  <si>
    <t>DT</t>
  </si>
  <si>
    <t>ONCA</t>
  </si>
  <si>
    <t>DR</t>
  </si>
  <si>
    <t>AP</t>
  </si>
  <si>
    <t>Compensation</t>
  </si>
  <si>
    <t>OCL</t>
  </si>
  <si>
    <t>ONCL</t>
  </si>
  <si>
    <t>SE</t>
  </si>
  <si>
    <t>L+SE</t>
  </si>
  <si>
    <t>Net Cash</t>
  </si>
  <si>
    <t>FY18</t>
  </si>
  <si>
    <t>Model NI</t>
  </si>
  <si>
    <t>Reported NI</t>
  </si>
  <si>
    <t>Depreciation</t>
  </si>
  <si>
    <t>Intangibles</t>
  </si>
  <si>
    <t>Other</t>
  </si>
  <si>
    <t>WC</t>
  </si>
  <si>
    <t>CFFO</t>
  </si>
  <si>
    <t>CapEx</t>
  </si>
  <si>
    <t>Acquisitions</t>
  </si>
  <si>
    <t>Investments</t>
  </si>
  <si>
    <t>Tax Rate</t>
  </si>
  <si>
    <t>ROIC</t>
  </si>
  <si>
    <t>Discount</t>
  </si>
  <si>
    <t>NPV</t>
  </si>
  <si>
    <t>Terminal</t>
  </si>
  <si>
    <t>Share</t>
  </si>
  <si>
    <t>Delta</t>
  </si>
  <si>
    <t>Operating Margin</t>
  </si>
  <si>
    <t>FQ124</t>
  </si>
  <si>
    <t>FQ224</t>
  </si>
  <si>
    <t>FQ324</t>
  </si>
  <si>
    <t>FQ424</t>
  </si>
  <si>
    <t>FY17</t>
  </si>
  <si>
    <t>FQ125</t>
  </si>
  <si>
    <t>FQ225</t>
  </si>
  <si>
    <t>FQ325</t>
  </si>
  <si>
    <t>FQ425</t>
  </si>
  <si>
    <t>CEO: Safra Catz</t>
  </si>
  <si>
    <t>Revenue CC y/y</t>
  </si>
  <si>
    <t>CFFI</t>
  </si>
  <si>
    <t>Shares/Buybacks</t>
  </si>
  <si>
    <t>Dividends</t>
  </si>
  <si>
    <t>CFFF</t>
  </si>
  <si>
    <t>FX</t>
  </si>
  <si>
    <t>CIC</t>
  </si>
  <si>
    <t>Q125</t>
  </si>
  <si>
    <t>Equipment</t>
  </si>
  <si>
    <t>SG&amp;A</t>
  </si>
  <si>
    <t>Net Income (Model)</t>
  </si>
  <si>
    <t xml:space="preserve">EDF acuires GE Vernova nuclear </t>
  </si>
  <si>
    <t>Operating % y/y</t>
  </si>
  <si>
    <t>FCF</t>
  </si>
  <si>
    <t>Pension + Retirement</t>
  </si>
  <si>
    <t>Purchases/Sales</t>
  </si>
  <si>
    <t>Model FCF</t>
  </si>
  <si>
    <t>FCF/revenue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</si>
</sst>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5" fillId="0" borderId="0" xfId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4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indent="1"/>
    </xf>
    <xf numFmtId="14" fontId="2" fillId="0" borderId="0" xfId="0" applyNumberFormat="1" applyFont="1"/>
    <xf numFmtId="2" fontId="2" fillId="0" borderId="0" xfId="0" applyNumberFormat="1" applyFont="1" applyAlignment="1">
      <alignment horizontal="right"/>
    </xf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40DFB76-DC69-4A56-93BC-1C4FCEC984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6747</xdr:colOff>
      <xdr:row>0</xdr:row>
      <xdr:rowOff>0</xdr:rowOff>
    </xdr:from>
    <xdr:to>
      <xdr:col>13</xdr:col>
      <xdr:colOff>6747</xdr:colOff>
      <xdr:row>75</xdr:row>
      <xdr:rowOff>133614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FCF9D3-5100-8A80-28CE-CF7450CB3CAC}"/>
            </a:ext>
          </a:extLst>
        </xdr:cNvPr>
        <xdr:cNvCxnSpPr/>
      </xdr:nvCxnSpPr>
      <xdr:spPr>
        <a:xfrm>
          <a:off x="9269280" y="0"/>
          <a:ext cx="0" cy="128336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7350</xdr:colOff>
      <xdr:row>0</xdr:row>
      <xdr:rowOff>53578</xdr:rowOff>
    </xdr:from>
    <xdr:to>
      <xdr:col>24</xdr:col>
      <xdr:colOff>7350</xdr:colOff>
      <xdr:row>74</xdr:row>
      <xdr:rowOff>50213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76DD61-519C-41F5-9F0F-40218F5D1A06}"/>
            </a:ext>
          </a:extLst>
        </xdr:cNvPr>
        <xdr:cNvCxnSpPr/>
      </xdr:nvCxnSpPr>
      <xdr:spPr>
        <a:xfrm>
          <a:off x="21646959" y="53578"/>
          <a:ext cx="0" cy="13498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216FEC0-B7FB-466B-9D42-622825855BC7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68" dT="2024-09-11T18:53:29.19" personId="{7216FEC0-B7FB-466B-9D42-622825855BC7}" id="{DF3A69DD-1198-42A5-A83A-5484CF412A11}">
    <text>Didn’t add up?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04C5-FAB4-8B42-B6A2-F2686B3BB573}">
  <dimension ref="A2:I16"/>
  <sheetViews>
    <sheetView tabSelected="1" zoomScale="205" zoomScaleNormal="205" zoomScaleSheetLayoutView="100" workbookViewId="0">
      <selection activeCell="G7" sqref="G7"/>
    </sheetView>
  </sheetViews>
  <sheetFormatPr baseColWidth="10" defaultColWidth="8.5" defaultRowHeight="13" x14ac:dyDescent="0.15"/>
  <cols>
    <col min="1" max="6" width="8.5" style="1"/>
    <col min="7" max="7" width="8.33203125" style="1" customWidth="1"/>
    <col min="8" max="16384" width="8.5" style="1"/>
  </cols>
  <sheetData>
    <row r="2" spans="1:9" x14ac:dyDescent="0.15">
      <c r="A2" s="23">
        <v>45443</v>
      </c>
      <c r="B2" s="1" t="s">
        <v>93</v>
      </c>
      <c r="F2" s="1" t="s">
        <v>0</v>
      </c>
      <c r="G2" s="2">
        <v>618</v>
      </c>
    </row>
    <row r="3" spans="1:9" x14ac:dyDescent="0.15">
      <c r="F3" s="1" t="s">
        <v>1</v>
      </c>
      <c r="G3" s="3">
        <v>272.93400000000003</v>
      </c>
      <c r="H3" s="4" t="s">
        <v>89</v>
      </c>
    </row>
    <row r="4" spans="1:9" x14ac:dyDescent="0.15">
      <c r="F4" s="1" t="s">
        <v>2</v>
      </c>
      <c r="G4" s="3">
        <f>G3*G2</f>
        <v>168673.21200000003</v>
      </c>
    </row>
    <row r="5" spans="1:9" x14ac:dyDescent="0.15">
      <c r="F5" s="1" t="s">
        <v>3</v>
      </c>
      <c r="G5" s="3">
        <f>8107+2137</f>
        <v>10244</v>
      </c>
      <c r="H5" s="4" t="s">
        <v>89</v>
      </c>
    </row>
    <row r="6" spans="1:9" x14ac:dyDescent="0.15">
      <c r="F6" s="1" t="s">
        <v>4</v>
      </c>
      <c r="G6" s="3">
        <f>18708+5177+5547</f>
        <v>29432</v>
      </c>
      <c r="H6" s="4" t="s">
        <v>89</v>
      </c>
    </row>
    <row r="7" spans="1:9" x14ac:dyDescent="0.15">
      <c r="F7" s="1" t="s">
        <v>5</v>
      </c>
      <c r="G7" s="3">
        <f>G4-G5+G6</f>
        <v>187861.21200000003</v>
      </c>
      <c r="I7" s="3"/>
    </row>
    <row r="8" spans="1:9" x14ac:dyDescent="0.15">
      <c r="G8" s="1">
        <f>G7/7140</f>
        <v>26.311094117647063</v>
      </c>
    </row>
    <row r="10" spans="1:9" x14ac:dyDescent="0.15">
      <c r="F10" s="1" t="s">
        <v>81</v>
      </c>
    </row>
    <row r="16" spans="1:9" x14ac:dyDescent="0.15">
      <c r="B1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AAF-34CF-A143-8837-7F659B2590CD}">
  <dimension ref="A1:FE1048576"/>
  <sheetViews>
    <sheetView zoomScale="150" zoomScaleNormal="150" zoomScaleSheetLayoutView="100" workbookViewId="0">
      <pane xSplit="2" ySplit="3" topLeftCell="M49" activePane="bottomRight" state="frozen"/>
      <selection pane="topRight" activeCell="C1" sqref="C1"/>
      <selection pane="bottomLeft" activeCell="A4" sqref="A4"/>
      <selection pane="bottomRight" activeCell="AA73" sqref="AA73"/>
    </sheetView>
  </sheetViews>
  <sheetFormatPr baseColWidth="10" defaultColWidth="8.5" defaultRowHeight="13" x14ac:dyDescent="0.15"/>
  <cols>
    <col min="1" max="1" width="5" style="1" bestFit="1" customWidth="1"/>
    <col min="2" max="2" width="17.5" style="1" customWidth="1"/>
    <col min="3" max="17" width="9" style="4" customWidth="1"/>
    <col min="18" max="18" width="8.5" style="1"/>
    <col min="19" max="20" width="8.5" style="4"/>
    <col min="21" max="22" width="9.5" style="4" customWidth="1"/>
    <col min="23" max="32" width="8.5" style="1"/>
    <col min="33" max="33" width="9.33203125" style="1" customWidth="1"/>
    <col min="34" max="16384" width="8.5" style="1"/>
  </cols>
  <sheetData>
    <row r="1" spans="1:30" x14ac:dyDescent="0.15">
      <c r="A1" s="10" t="s">
        <v>6</v>
      </c>
    </row>
    <row r="2" spans="1:30" s="11" customFormat="1" x14ac:dyDescent="0.15">
      <c r="C2" s="12"/>
      <c r="D2" s="12">
        <f>H2-365</f>
        <v>45017</v>
      </c>
      <c r="E2" s="12">
        <f t="shared" ref="E2:G2" si="0">I2-365</f>
        <v>45108</v>
      </c>
      <c r="F2" s="12">
        <f t="shared" si="0"/>
        <v>45200</v>
      </c>
      <c r="G2" s="12">
        <f t="shared" si="0"/>
        <v>45292</v>
      </c>
      <c r="H2" s="12">
        <v>45382</v>
      </c>
      <c r="I2" s="12">
        <v>45473</v>
      </c>
      <c r="J2" s="12">
        <v>45565</v>
      </c>
      <c r="K2" s="12">
        <v>45657</v>
      </c>
      <c r="L2" s="12">
        <f>365+H2</f>
        <v>45747</v>
      </c>
      <c r="M2" s="12">
        <f>+I2+366</f>
        <v>45839</v>
      </c>
      <c r="N2" s="12">
        <f>+J2+365</f>
        <v>45930</v>
      </c>
      <c r="O2" s="12">
        <f>+K2+365</f>
        <v>46022</v>
      </c>
      <c r="P2" s="12"/>
      <c r="Q2" s="12">
        <v>42886</v>
      </c>
      <c r="R2" s="12">
        <v>43251</v>
      </c>
      <c r="S2" s="12">
        <v>43616</v>
      </c>
      <c r="T2" s="12">
        <v>43982</v>
      </c>
      <c r="U2" s="12">
        <v>44347</v>
      </c>
      <c r="V2" s="12">
        <v>44712</v>
      </c>
      <c r="W2" s="12">
        <f>V2+365</f>
        <v>45077</v>
      </c>
      <c r="X2" s="12">
        <f>W2+366</f>
        <v>45443</v>
      </c>
      <c r="Y2" s="12">
        <f t="shared" ref="Y2" si="1">X2+365</f>
        <v>45808</v>
      </c>
      <c r="Z2" s="12">
        <f t="shared" ref="Z2:AA2" si="2">Y2+365</f>
        <v>46173</v>
      </c>
      <c r="AA2" s="12">
        <f t="shared" si="2"/>
        <v>46538</v>
      </c>
      <c r="AB2" s="12">
        <f>AA2+366</f>
        <v>46904</v>
      </c>
      <c r="AC2" s="12">
        <f t="shared" ref="AC2" si="3">AB2+365</f>
        <v>47269</v>
      </c>
      <c r="AD2" s="12">
        <f>AC2+365</f>
        <v>47634</v>
      </c>
    </row>
    <row r="3" spans="1:30" x14ac:dyDescent="0.15">
      <c r="D3" s="4" t="s">
        <v>23</v>
      </c>
      <c r="E3" s="4" t="s">
        <v>24</v>
      </c>
      <c r="F3" s="4" t="s">
        <v>25</v>
      </c>
      <c r="G3" s="4" t="s">
        <v>26</v>
      </c>
      <c r="H3" s="4" t="s">
        <v>72</v>
      </c>
      <c r="I3" s="4" t="s">
        <v>73</v>
      </c>
      <c r="J3" s="4" t="s">
        <v>74</v>
      </c>
      <c r="K3" s="4" t="s">
        <v>75</v>
      </c>
      <c r="L3" s="4" t="s">
        <v>77</v>
      </c>
      <c r="M3" s="4" t="s">
        <v>78</v>
      </c>
      <c r="N3" s="4" t="s">
        <v>79</v>
      </c>
      <c r="O3" s="4" t="s">
        <v>80</v>
      </c>
      <c r="Q3" s="4" t="s">
        <v>76</v>
      </c>
      <c r="R3" s="4" t="s">
        <v>53</v>
      </c>
      <c r="S3" s="4" t="s">
        <v>29</v>
      </c>
      <c r="T3" s="4" t="s">
        <v>28</v>
      </c>
      <c r="U3" s="4" t="s">
        <v>19</v>
      </c>
      <c r="V3" s="4" t="s">
        <v>20</v>
      </c>
      <c r="W3" s="4" t="s">
        <v>30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</row>
    <row r="4" spans="1:30" x14ac:dyDescent="0.15">
      <c r="R4" s="4"/>
      <c r="W4" s="4"/>
      <c r="X4" s="4"/>
      <c r="Y4" s="4"/>
      <c r="Z4" s="4"/>
      <c r="AA4" s="4"/>
      <c r="AB4" s="4"/>
      <c r="AC4" s="4"/>
      <c r="AD4" s="4"/>
    </row>
    <row r="5" spans="1:30" s="16" customFormat="1" x14ac:dyDescent="0.15">
      <c r="A5" s="21"/>
      <c r="B5" s="22" t="s">
        <v>90</v>
      </c>
      <c r="C5" s="18"/>
      <c r="D5" s="20">
        <v>3489</v>
      </c>
      <c r="E5" s="20">
        <v>4388</v>
      </c>
      <c r="F5" s="4">
        <v>4869</v>
      </c>
      <c r="G5" s="18">
        <f>18258-F5-E5-D5</f>
        <v>5512</v>
      </c>
      <c r="H5" s="20">
        <v>3617</v>
      </c>
      <c r="I5" s="20">
        <v>4194</v>
      </c>
      <c r="J5" s="20">
        <v>5290</v>
      </c>
      <c r="K5" s="5">
        <f>18952-SUM(H5:J5)</f>
        <v>5851</v>
      </c>
      <c r="L5" s="20">
        <v>4197</v>
      </c>
      <c r="M5" s="18">
        <v>4894</v>
      </c>
      <c r="N5" s="18"/>
      <c r="O5" s="18"/>
      <c r="P5" s="17"/>
      <c r="Q5" s="17"/>
      <c r="R5" s="17"/>
      <c r="S5" s="17"/>
      <c r="T5" s="17"/>
      <c r="U5" s="17"/>
      <c r="V5" s="17"/>
      <c r="W5" s="18">
        <f>SUM(D5:G5)</f>
        <v>18258</v>
      </c>
      <c r="X5" s="18">
        <f>SUM(H5:K5)</f>
        <v>18952</v>
      </c>
      <c r="Y5" s="18"/>
      <c r="Z5" s="18"/>
      <c r="AA5" s="18"/>
      <c r="AB5" s="18"/>
      <c r="AC5" s="18"/>
      <c r="AD5" s="18"/>
    </row>
    <row r="6" spans="1:30" s="3" customFormat="1" x14ac:dyDescent="0.15">
      <c r="A6" s="19"/>
      <c r="B6" s="22" t="s">
        <v>22</v>
      </c>
      <c r="C6" s="5"/>
      <c r="D6" s="5">
        <v>3333</v>
      </c>
      <c r="E6" s="5">
        <v>3732</v>
      </c>
      <c r="F6" s="5">
        <v>3383</v>
      </c>
      <c r="G6" s="5">
        <f>14981-F6-E6-D6</f>
        <v>4533</v>
      </c>
      <c r="H6" s="5">
        <v>3642</v>
      </c>
      <c r="I6" s="5">
        <v>4010</v>
      </c>
      <c r="J6" s="5">
        <v>3623</v>
      </c>
      <c r="K6" s="5">
        <f>15983-SUM(H6:J6)</f>
        <v>4708</v>
      </c>
      <c r="L6" s="5">
        <v>3835</v>
      </c>
      <c r="M6" s="5">
        <v>4217</v>
      </c>
      <c r="N6" s="5"/>
      <c r="O6" s="5"/>
      <c r="P6" s="5"/>
      <c r="Q6" s="5"/>
      <c r="S6" s="5"/>
      <c r="T6" s="5"/>
      <c r="U6" s="5"/>
      <c r="V6" s="5"/>
      <c r="W6" s="3">
        <f>SUM(D6:G6)</f>
        <v>14981</v>
      </c>
      <c r="X6" s="3">
        <f>SUM(H6:K6)</f>
        <v>15983</v>
      </c>
    </row>
    <row r="7" spans="1:30" s="8" customFormat="1" x14ac:dyDescent="0.15">
      <c r="B7" s="8" t="s">
        <v>7</v>
      </c>
      <c r="C7" s="9"/>
      <c r="D7" s="9">
        <f>SUM(D5:D6)</f>
        <v>6822</v>
      </c>
      <c r="E7" s="9">
        <f>SUM(E5:E6)</f>
        <v>8120</v>
      </c>
      <c r="F7" s="9">
        <f t="shared" ref="F7:K7" si="4">SUM(F5:F6)</f>
        <v>8252</v>
      </c>
      <c r="G7" s="9">
        <f>SUM(G5:G6)</f>
        <v>10045</v>
      </c>
      <c r="H7" s="9">
        <f t="shared" si="4"/>
        <v>7259</v>
      </c>
      <c r="I7" s="9">
        <f>SUM(I5:I6)</f>
        <v>8204</v>
      </c>
      <c r="J7" s="9">
        <f>SUM(J5:J6)</f>
        <v>8913</v>
      </c>
      <c r="K7" s="9">
        <f t="shared" si="4"/>
        <v>10559</v>
      </c>
      <c r="L7" s="9">
        <f>SUM(L5:L6)</f>
        <v>8032</v>
      </c>
      <c r="M7" s="9">
        <f>M6+M5</f>
        <v>9111</v>
      </c>
      <c r="N7" s="9">
        <f>+J7*1.11</f>
        <v>9893.43</v>
      </c>
      <c r="O7" s="9">
        <f>+K7*1.12</f>
        <v>11826.080000000002</v>
      </c>
      <c r="P7" s="9"/>
      <c r="Q7" s="9"/>
      <c r="R7" s="9"/>
      <c r="S7" s="9"/>
      <c r="T7" s="9"/>
      <c r="U7" s="9"/>
      <c r="V7" s="9"/>
      <c r="W7" s="9">
        <f>SUM(D7:G7)</f>
        <v>33239</v>
      </c>
      <c r="X7" s="9">
        <f>SUM(H7:K7)</f>
        <v>34935</v>
      </c>
      <c r="Y7" s="9">
        <f>+X7*1.11</f>
        <v>38777.850000000006</v>
      </c>
      <c r="Z7" s="9">
        <f t="shared" ref="Z7:AD7" si="5">+Y7*1.11</f>
        <v>43043.41350000001</v>
      </c>
      <c r="AA7" s="9">
        <f t="shared" si="5"/>
        <v>47778.188985000015</v>
      </c>
      <c r="AB7" s="9">
        <f t="shared" si="5"/>
        <v>53033.789773350021</v>
      </c>
      <c r="AC7" s="9">
        <f t="shared" si="5"/>
        <v>58867.50664841853</v>
      </c>
      <c r="AD7" s="9">
        <f t="shared" si="5"/>
        <v>65342.932379744576</v>
      </c>
    </row>
    <row r="8" spans="1:30" s="3" customFormat="1" x14ac:dyDescent="0.15">
      <c r="B8" s="3" t="s">
        <v>8</v>
      </c>
      <c r="C8" s="5"/>
      <c r="D8" s="5">
        <f>SUM(3575,2328)</f>
        <v>5903</v>
      </c>
      <c r="E8" s="5">
        <f>4621+2352</f>
        <v>6973</v>
      </c>
      <c r="F8" s="5">
        <f>5005+2196</f>
        <v>7201</v>
      </c>
      <c r="G8" s="5">
        <f>18705+9716-F8-E8-D8</f>
        <v>8344</v>
      </c>
      <c r="H8" s="5">
        <f>SUM(3693,2417)</f>
        <v>6110</v>
      </c>
      <c r="I8" s="5">
        <f>3853+2649</f>
        <v>6502</v>
      </c>
      <c r="J8" s="5">
        <f>5076+2728</f>
        <v>7804</v>
      </c>
      <c r="K8" s="5">
        <f>17989+10861-SUM(H8:J8)</f>
        <v>8434</v>
      </c>
      <c r="L8" s="5">
        <f>3915+2647</f>
        <v>6562</v>
      </c>
      <c r="M8" s="5">
        <f>M7-M9</f>
        <v>7265</v>
      </c>
      <c r="N8" s="5">
        <f t="shared" ref="N8:O8" si="6">N7-N9</f>
        <v>7865.2768500000002</v>
      </c>
      <c r="O8" s="5">
        <f t="shared" si="6"/>
        <v>9224.3424000000014</v>
      </c>
      <c r="P8" s="5"/>
      <c r="Q8" s="5"/>
      <c r="S8" s="5"/>
      <c r="T8" s="5"/>
      <c r="U8" s="5"/>
      <c r="V8" s="5"/>
      <c r="W8" s="3">
        <f>SUM(D8:G8)</f>
        <v>28421</v>
      </c>
      <c r="X8" s="3">
        <f>SUM(H8:K8)</f>
        <v>28850</v>
      </c>
      <c r="Y8" s="3">
        <f>Y7-Y9</f>
        <v>31022.280000000006</v>
      </c>
      <c r="Z8" s="3">
        <f t="shared" ref="Z8:AD8" si="7">Z7-Z9</f>
        <v>34434.730800000005</v>
      </c>
      <c r="AA8" s="3">
        <f t="shared" si="7"/>
        <v>38222.551188000012</v>
      </c>
      <c r="AB8" s="3">
        <f t="shared" si="7"/>
        <v>42427.031818680014</v>
      </c>
      <c r="AC8" s="3">
        <f t="shared" si="7"/>
        <v>47094.005318734824</v>
      </c>
      <c r="AD8" s="3">
        <f t="shared" si="7"/>
        <v>52274.345903795664</v>
      </c>
    </row>
    <row r="9" spans="1:30" s="3" customFormat="1" x14ac:dyDescent="0.15">
      <c r="B9" s="3" t="s">
        <v>9</v>
      </c>
      <c r="C9" s="5"/>
      <c r="D9" s="5">
        <f t="shared" ref="D9:L9" si="8">D7-D8</f>
        <v>919</v>
      </c>
      <c r="E9" s="5">
        <f t="shared" si="8"/>
        <v>1147</v>
      </c>
      <c r="F9" s="5">
        <f t="shared" si="8"/>
        <v>1051</v>
      </c>
      <c r="G9" s="5">
        <f t="shared" si="8"/>
        <v>1701</v>
      </c>
      <c r="H9" s="5">
        <f t="shared" si="8"/>
        <v>1149</v>
      </c>
      <c r="I9" s="5">
        <f t="shared" si="8"/>
        <v>1702</v>
      </c>
      <c r="J9" s="5">
        <f t="shared" si="8"/>
        <v>1109</v>
      </c>
      <c r="K9" s="5">
        <f t="shared" si="8"/>
        <v>2125</v>
      </c>
      <c r="L9" s="5">
        <f t="shared" si="8"/>
        <v>1470</v>
      </c>
      <c r="M9" s="5">
        <v>1846</v>
      </c>
      <c r="N9" s="5">
        <f>N25*N7</f>
        <v>2028.1531499999999</v>
      </c>
      <c r="O9" s="5">
        <f>O25*O7</f>
        <v>2601.7376000000004</v>
      </c>
      <c r="P9" s="5"/>
      <c r="Q9" s="5"/>
      <c r="R9" s="5"/>
      <c r="S9" s="5"/>
      <c r="T9" s="5"/>
      <c r="U9" s="5"/>
      <c r="V9" s="5"/>
      <c r="W9" s="3">
        <f>W7-W8</f>
        <v>4818</v>
      </c>
      <c r="X9" s="3">
        <f>X7-X8</f>
        <v>6085</v>
      </c>
      <c r="Y9" s="3">
        <f>0.2*Y7</f>
        <v>7755.5700000000015</v>
      </c>
      <c r="Z9" s="3">
        <f t="shared" ref="Z9:AD9" si="9">0.2*Z7</f>
        <v>8608.682700000003</v>
      </c>
      <c r="AA9" s="3">
        <f t="shared" si="9"/>
        <v>9555.637797000003</v>
      </c>
      <c r="AB9" s="3">
        <f t="shared" si="9"/>
        <v>10606.757954670005</v>
      </c>
      <c r="AC9" s="3">
        <f t="shared" si="9"/>
        <v>11773.501329683706</v>
      </c>
      <c r="AD9" s="3">
        <f t="shared" si="9"/>
        <v>13068.586475948916</v>
      </c>
    </row>
    <row r="10" spans="1:30" s="3" customFormat="1" x14ac:dyDescent="0.15">
      <c r="B10" s="3" t="s">
        <v>91</v>
      </c>
      <c r="C10" s="5"/>
      <c r="D10" s="5">
        <v>1186</v>
      </c>
      <c r="E10" s="5">
        <v>1272</v>
      </c>
      <c r="F10" s="5">
        <v>1135</v>
      </c>
      <c r="G10" s="5">
        <f>4845-F10-E10-D10</f>
        <v>1252</v>
      </c>
      <c r="H10" s="5">
        <v>1202</v>
      </c>
      <c r="I10" s="5">
        <v>938</v>
      </c>
      <c r="J10" s="5">
        <v>1226</v>
      </c>
      <c r="K10" s="5">
        <f>4632-SUM(H10:J10)</f>
        <v>1266</v>
      </c>
      <c r="L10" s="5">
        <v>1188</v>
      </c>
      <c r="M10" s="5">
        <v>1185</v>
      </c>
      <c r="N10" s="5"/>
      <c r="O10" s="5"/>
      <c r="P10" s="5"/>
      <c r="Q10" s="5"/>
      <c r="S10" s="5"/>
      <c r="T10" s="5"/>
      <c r="U10" s="5"/>
      <c r="V10" s="5"/>
      <c r="W10" s="3">
        <f>SUM(D10:G10)</f>
        <v>4845</v>
      </c>
      <c r="X10" s="3">
        <f>SUM(H10:K10)</f>
        <v>4632</v>
      </c>
      <c r="Y10" s="3">
        <f>+X10*1.04</f>
        <v>4817.28</v>
      </c>
      <c r="Z10" s="3">
        <f t="shared" ref="Z10:AD10" si="10">+Y10*1.02</f>
        <v>4913.6255999999994</v>
      </c>
      <c r="AA10" s="3">
        <f t="shared" si="10"/>
        <v>5011.8981119999999</v>
      </c>
      <c r="AB10" s="3">
        <f t="shared" si="10"/>
        <v>5112.1360742400002</v>
      </c>
      <c r="AC10" s="3">
        <f t="shared" si="10"/>
        <v>5214.3787957248005</v>
      </c>
      <c r="AD10" s="3">
        <f t="shared" si="10"/>
        <v>5318.6663716392968</v>
      </c>
    </row>
    <row r="11" spans="1:30" s="3" customFormat="1" x14ac:dyDescent="0.15">
      <c r="B11" s="3" t="s">
        <v>11</v>
      </c>
      <c r="C11" s="5"/>
      <c r="D11" s="5">
        <v>202</v>
      </c>
      <c r="E11" s="5">
        <v>216</v>
      </c>
      <c r="F11" s="5">
        <v>223</v>
      </c>
      <c r="G11" s="5">
        <f>896-F11-E11-D11</f>
        <v>255</v>
      </c>
      <c r="H11" s="5">
        <v>237</v>
      </c>
      <c r="I11" s="5">
        <v>237</v>
      </c>
      <c r="J11" s="5">
        <v>243</v>
      </c>
      <c r="K11" s="5">
        <f>982-SUM(H11:J11)</f>
        <v>265</v>
      </c>
      <c r="L11" s="5">
        <v>239</v>
      </c>
      <c r="M11" s="5">
        <v>282</v>
      </c>
      <c r="N11" s="5"/>
      <c r="O11" s="5"/>
      <c r="P11" s="5"/>
      <c r="Q11" s="5"/>
      <c r="S11" s="5"/>
      <c r="T11" s="5"/>
      <c r="U11" s="5"/>
      <c r="V11" s="5"/>
      <c r="W11" s="3">
        <f>SUM(D11:G11)</f>
        <v>896</v>
      </c>
      <c r="X11" s="3">
        <f>SUM(H11:K11)</f>
        <v>982</v>
      </c>
      <c r="Y11" s="3">
        <f>+X11*1.04</f>
        <v>1021.2800000000001</v>
      </c>
      <c r="Z11" s="3">
        <f t="shared" ref="Z11:AD11" si="11">+Y11*1.02</f>
        <v>1041.7056</v>
      </c>
      <c r="AA11" s="3">
        <f t="shared" si="11"/>
        <v>1062.539712</v>
      </c>
      <c r="AB11" s="3">
        <f t="shared" si="11"/>
        <v>1083.79050624</v>
      </c>
      <c r="AC11" s="3">
        <f t="shared" si="11"/>
        <v>1105.4663163647999</v>
      </c>
      <c r="AD11" s="3">
        <f t="shared" si="11"/>
        <v>1127.5756426920959</v>
      </c>
    </row>
    <row r="12" spans="1:30" s="3" customFormat="1" x14ac:dyDescent="0.15">
      <c r="B12" s="3" t="s">
        <v>12</v>
      </c>
      <c r="C12" s="5"/>
      <c r="D12" s="5">
        <f>SUM(D10:D11)</f>
        <v>1388</v>
      </c>
      <c r="E12" s="5">
        <f>SUM(E10:E11)</f>
        <v>1488</v>
      </c>
      <c r="F12" s="5">
        <f>SUM(F10:F11)</f>
        <v>1358</v>
      </c>
      <c r="G12" s="5">
        <f>SUM(G10:G11)</f>
        <v>1507</v>
      </c>
      <c r="H12" s="5">
        <f>H11+H10</f>
        <v>1439</v>
      </c>
      <c r="I12" s="5">
        <f>SUM(I10:I11)</f>
        <v>1175</v>
      </c>
      <c r="J12" s="5">
        <f>SUM(J10:J11)</f>
        <v>1469</v>
      </c>
      <c r="K12" s="5">
        <f>SUM(K10:K11)</f>
        <v>1531</v>
      </c>
      <c r="L12" s="5">
        <f>SUM(L10:L11)</f>
        <v>1427</v>
      </c>
      <c r="M12" s="5">
        <f>M11+M10</f>
        <v>1467</v>
      </c>
      <c r="N12" s="5"/>
      <c r="O12" s="5"/>
      <c r="P12" s="5"/>
      <c r="Q12" s="5"/>
      <c r="R12" s="5"/>
      <c r="S12" s="5"/>
      <c r="T12" s="5"/>
      <c r="U12" s="5"/>
      <c r="V12" s="5"/>
      <c r="W12" s="5">
        <f>SUM(W10:W11)</f>
        <v>5741</v>
      </c>
      <c r="X12" s="5">
        <f>SUM(X10:X11)</f>
        <v>5614</v>
      </c>
      <c r="Y12" s="5">
        <f>Y11+Y10</f>
        <v>5838.5599999999995</v>
      </c>
      <c r="Z12" s="5">
        <f t="shared" ref="Z12:AD12" si="12">Z11+Z10</f>
        <v>5955.3311999999996</v>
      </c>
      <c r="AA12" s="5">
        <f t="shared" si="12"/>
        <v>6074.4378239999996</v>
      </c>
      <c r="AB12" s="5">
        <f t="shared" si="12"/>
        <v>6195.9265804799998</v>
      </c>
      <c r="AC12" s="5">
        <f t="shared" si="12"/>
        <v>6319.8451120896007</v>
      </c>
      <c r="AD12" s="5">
        <f t="shared" si="12"/>
        <v>6446.242014331393</v>
      </c>
    </row>
    <row r="13" spans="1:30" s="3" customFormat="1" x14ac:dyDescent="0.15">
      <c r="B13" s="3" t="s">
        <v>13</v>
      </c>
      <c r="C13" s="5"/>
      <c r="D13" s="5">
        <f t="shared" ref="D13:L13" si="13">D9-D12</f>
        <v>-469</v>
      </c>
      <c r="E13" s="5">
        <f t="shared" si="13"/>
        <v>-341</v>
      </c>
      <c r="F13" s="5">
        <f t="shared" si="13"/>
        <v>-307</v>
      </c>
      <c r="G13" s="5">
        <f t="shared" si="13"/>
        <v>194</v>
      </c>
      <c r="H13" s="5">
        <f t="shared" si="13"/>
        <v>-290</v>
      </c>
      <c r="I13" s="5">
        <f t="shared" si="13"/>
        <v>527</v>
      </c>
      <c r="J13" s="5">
        <f t="shared" si="13"/>
        <v>-360</v>
      </c>
      <c r="K13" s="5">
        <f t="shared" si="13"/>
        <v>594</v>
      </c>
      <c r="L13" s="5">
        <f t="shared" si="13"/>
        <v>43</v>
      </c>
      <c r="M13" s="5">
        <f>M9-M12</f>
        <v>379</v>
      </c>
      <c r="N13" s="5"/>
      <c r="O13" s="5"/>
      <c r="P13" s="5"/>
      <c r="Q13" s="5"/>
      <c r="R13" s="5"/>
      <c r="S13" s="5"/>
      <c r="T13" s="5"/>
      <c r="U13" s="5"/>
      <c r="V13" s="5"/>
      <c r="W13" s="5">
        <f>W9-W12</f>
        <v>-923</v>
      </c>
      <c r="X13" s="5">
        <f>X9-X12</f>
        <v>471</v>
      </c>
      <c r="Y13" s="5">
        <f>Y9-Y12</f>
        <v>1917.010000000002</v>
      </c>
      <c r="Z13" s="5">
        <f t="shared" ref="Z13:AD13" si="14">Z9-Z12</f>
        <v>2653.3515000000034</v>
      </c>
      <c r="AA13" s="5">
        <f t="shared" si="14"/>
        <v>3481.1999730000034</v>
      </c>
      <c r="AB13" s="5">
        <f t="shared" si="14"/>
        <v>4410.8313741900056</v>
      </c>
      <c r="AC13" s="5">
        <f t="shared" si="14"/>
        <v>5453.6562175941053</v>
      </c>
      <c r="AD13" s="5">
        <f t="shared" si="14"/>
        <v>6622.3444616175229</v>
      </c>
    </row>
    <row r="14" spans="1:30" s="3" customFormat="1" x14ac:dyDescent="0.15">
      <c r="B14" s="3" t="s">
        <v>14</v>
      </c>
      <c r="C14" s="5"/>
      <c r="D14" s="5">
        <v>-21</v>
      </c>
      <c r="E14" s="5">
        <v>-21</v>
      </c>
      <c r="F14" s="5">
        <v>-21</v>
      </c>
      <c r="G14" s="5">
        <f>-98-F14-E14-D14</f>
        <v>-35</v>
      </c>
      <c r="H14" s="5">
        <v>-14</v>
      </c>
      <c r="I14" s="5">
        <v>60</v>
      </c>
      <c r="J14" s="5">
        <v>36</v>
      </c>
      <c r="K14" s="5">
        <f>120-J14-I14-H14</f>
        <v>38</v>
      </c>
      <c r="L14" s="5">
        <v>56</v>
      </c>
      <c r="M14" s="5">
        <v>42</v>
      </c>
      <c r="N14" s="5"/>
      <c r="O14" s="5"/>
      <c r="Q14" s="5"/>
      <c r="R14" s="5"/>
      <c r="S14" s="5"/>
      <c r="T14" s="5"/>
      <c r="U14" s="5"/>
      <c r="V14" s="5"/>
      <c r="W14" s="3">
        <f>SUM(D14:G14)</f>
        <v>-98</v>
      </c>
      <c r="X14" s="3">
        <f>SUM(H14:K14)</f>
        <v>120</v>
      </c>
      <c r="Y14" s="3">
        <f>+X14*1.03</f>
        <v>123.60000000000001</v>
      </c>
      <c r="Z14" s="3">
        <f t="shared" ref="Z14:AD14" si="15">+Y14*1.03</f>
        <v>127.30800000000001</v>
      </c>
      <c r="AA14" s="3">
        <f t="shared" si="15"/>
        <v>131.12724</v>
      </c>
      <c r="AB14" s="3">
        <f t="shared" si="15"/>
        <v>135.06105719999999</v>
      </c>
      <c r="AC14" s="3">
        <f t="shared" si="15"/>
        <v>139.112888916</v>
      </c>
      <c r="AD14" s="3">
        <f t="shared" si="15"/>
        <v>143.28627558348001</v>
      </c>
    </row>
    <row r="15" spans="1:30" s="3" customFormat="1" x14ac:dyDescent="0.15">
      <c r="B15" s="3" t="s">
        <v>58</v>
      </c>
      <c r="C15" s="5"/>
      <c r="D15" s="5">
        <f>139-64</f>
        <v>75</v>
      </c>
      <c r="E15" s="5">
        <f>143+193</f>
        <v>336</v>
      </c>
      <c r="F15" s="5">
        <f>134+179</f>
        <v>313</v>
      </c>
      <c r="G15" s="5">
        <f>567+324-F15-E15-D15</f>
        <v>167</v>
      </c>
      <c r="H15" s="5">
        <f>134+73</f>
        <v>207</v>
      </c>
      <c r="I15" s="5">
        <f>881+134</f>
        <v>1015</v>
      </c>
      <c r="J15" s="5">
        <f>130+71</f>
        <v>201</v>
      </c>
      <c r="K15" s="5">
        <f>536+1372-J15-I15-H15</f>
        <v>485</v>
      </c>
      <c r="L15" s="5">
        <f>115+119</f>
        <v>234</v>
      </c>
      <c r="M15" s="5">
        <f>115+110</f>
        <v>225</v>
      </c>
      <c r="N15" s="5"/>
      <c r="O15" s="5"/>
      <c r="P15" s="5"/>
      <c r="Q15" s="5"/>
      <c r="R15" s="5"/>
      <c r="S15" s="5"/>
      <c r="T15" s="5"/>
      <c r="U15" s="5"/>
      <c r="V15" s="5"/>
      <c r="W15" s="3">
        <f>SUM(D15:G15)</f>
        <v>891</v>
      </c>
      <c r="X15" s="3">
        <f>SUM(H15:K15)</f>
        <v>1908</v>
      </c>
      <c r="Y15" s="5">
        <f>800*1.06</f>
        <v>848</v>
      </c>
      <c r="Z15" s="5">
        <f t="shared" ref="Z15:AD15" si="16">800*1.06</f>
        <v>848</v>
      </c>
      <c r="AA15" s="5">
        <f t="shared" si="16"/>
        <v>848</v>
      </c>
      <c r="AB15" s="5">
        <f t="shared" si="16"/>
        <v>848</v>
      </c>
      <c r="AC15" s="5">
        <f t="shared" si="16"/>
        <v>848</v>
      </c>
      <c r="AD15" s="5">
        <f t="shared" si="16"/>
        <v>848</v>
      </c>
    </row>
    <row r="16" spans="1:30" x14ac:dyDescent="0.15">
      <c r="B16" s="1" t="s">
        <v>15</v>
      </c>
      <c r="C16" s="5"/>
      <c r="D16" s="5">
        <f>D13+D14+D15</f>
        <v>-415</v>
      </c>
      <c r="E16" s="5">
        <f t="shared" ref="E16:L16" si="17">E13+E14+E15</f>
        <v>-26</v>
      </c>
      <c r="F16" s="5">
        <f t="shared" si="17"/>
        <v>-15</v>
      </c>
      <c r="G16" s="5">
        <f t="shared" si="17"/>
        <v>326</v>
      </c>
      <c r="H16" s="5">
        <f t="shared" si="17"/>
        <v>-97</v>
      </c>
      <c r="I16" s="5">
        <f>I13+I14+I15</f>
        <v>1602</v>
      </c>
      <c r="J16" s="5">
        <f t="shared" si="17"/>
        <v>-123</v>
      </c>
      <c r="K16" s="5">
        <f t="shared" si="17"/>
        <v>1117</v>
      </c>
      <c r="L16" s="5">
        <f t="shared" si="17"/>
        <v>333</v>
      </c>
      <c r="M16" s="5">
        <f>M13+M14+M15</f>
        <v>646</v>
      </c>
      <c r="N16" s="5"/>
      <c r="O16" s="5"/>
      <c r="P16" s="5"/>
      <c r="Q16" s="5"/>
      <c r="R16" s="5"/>
      <c r="S16" s="5"/>
      <c r="T16" s="5"/>
      <c r="U16" s="5"/>
      <c r="V16" s="5"/>
      <c r="W16" s="5">
        <f>SUM(D16:G16)</f>
        <v>-130</v>
      </c>
      <c r="X16" s="5">
        <f>SUM(X13:X15)</f>
        <v>2499</v>
      </c>
      <c r="Y16" s="3">
        <f>Y13+Y14+Y15</f>
        <v>2888.6100000000019</v>
      </c>
      <c r="Z16" s="3">
        <f t="shared" ref="Z16:AD16" si="18">Z13+Z14+Z15</f>
        <v>3628.6595000000034</v>
      </c>
      <c r="AA16" s="3">
        <f t="shared" si="18"/>
        <v>4460.3272130000032</v>
      </c>
      <c r="AB16" s="3">
        <f t="shared" si="18"/>
        <v>5393.8924313900052</v>
      </c>
      <c r="AC16" s="3">
        <f t="shared" si="18"/>
        <v>6440.7691065101053</v>
      </c>
      <c r="AD16" s="3">
        <f t="shared" si="18"/>
        <v>7613.6307372010033</v>
      </c>
    </row>
    <row r="17" spans="2:161" x14ac:dyDescent="0.15">
      <c r="B17" s="1" t="s">
        <v>16</v>
      </c>
      <c r="C17" s="5"/>
      <c r="D17" s="5">
        <v>-69</v>
      </c>
      <c r="E17" s="5">
        <v>122</v>
      </c>
      <c r="F17" s="5">
        <v>169</v>
      </c>
      <c r="G17" s="5">
        <f>-130-F17-E17-D17</f>
        <v>-352</v>
      </c>
      <c r="H17" s="5">
        <v>10</v>
      </c>
      <c r="I17" s="5">
        <v>322</v>
      </c>
      <c r="J17" s="5">
        <v>-23</v>
      </c>
      <c r="K17" s="5">
        <f>939-J17-I17-H17</f>
        <v>630</v>
      </c>
      <c r="L17" s="5">
        <v>68</v>
      </c>
      <c r="M17" s="5">
        <v>153</v>
      </c>
      <c r="N17" s="5"/>
      <c r="O17" s="5"/>
      <c r="Q17" s="5"/>
      <c r="R17" s="3"/>
      <c r="S17" s="5"/>
      <c r="T17" s="5"/>
      <c r="U17" s="5"/>
      <c r="V17" s="5"/>
      <c r="W17" s="3">
        <f>SUM(D17:G17)</f>
        <v>-130</v>
      </c>
      <c r="X17" s="3">
        <f>SUM(H17:K17)</f>
        <v>939</v>
      </c>
      <c r="Y17" s="3">
        <f>0.18*Y16</f>
        <v>519.94980000000032</v>
      </c>
      <c r="Z17" s="3">
        <f t="shared" ref="Z17:AD17" si="19">0.18*Z16</f>
        <v>653.15871000000061</v>
      </c>
      <c r="AA17" s="3">
        <f t="shared" si="19"/>
        <v>802.85889834000056</v>
      </c>
      <c r="AB17" s="3">
        <f t="shared" si="19"/>
        <v>970.90063765020091</v>
      </c>
      <c r="AC17" s="3">
        <f t="shared" si="19"/>
        <v>1159.3384391718189</v>
      </c>
      <c r="AD17" s="3">
        <f t="shared" si="19"/>
        <v>1370.4535326961804</v>
      </c>
    </row>
    <row r="18" spans="2:161" x14ac:dyDescent="0.15">
      <c r="B18" s="1" t="s">
        <v>92</v>
      </c>
      <c r="C18" s="5"/>
      <c r="D18" s="5">
        <f t="shared" ref="D18:L18" si="20">D16-D17</f>
        <v>-346</v>
      </c>
      <c r="E18" s="5">
        <f t="shared" si="20"/>
        <v>-148</v>
      </c>
      <c r="F18" s="5">
        <f t="shared" si="20"/>
        <v>-184</v>
      </c>
      <c r="G18" s="5">
        <f t="shared" si="20"/>
        <v>678</v>
      </c>
      <c r="H18" s="5">
        <f t="shared" si="20"/>
        <v>-107</v>
      </c>
      <c r="I18" s="5">
        <f t="shared" si="20"/>
        <v>1280</v>
      </c>
      <c r="J18" s="5">
        <f t="shared" si="20"/>
        <v>-100</v>
      </c>
      <c r="K18" s="5">
        <f t="shared" si="20"/>
        <v>487</v>
      </c>
      <c r="L18" s="5">
        <f t="shared" si="20"/>
        <v>265</v>
      </c>
      <c r="M18" s="5">
        <f>M16-M17</f>
        <v>493</v>
      </c>
      <c r="N18" s="5"/>
      <c r="O18" s="5"/>
      <c r="Q18" s="5"/>
      <c r="R18" s="5"/>
      <c r="S18" s="5"/>
      <c r="T18" s="5"/>
      <c r="U18" s="5"/>
      <c r="V18" s="5"/>
      <c r="W18" s="5">
        <f>W16-W17</f>
        <v>0</v>
      </c>
      <c r="X18" s="5">
        <f>X16-X17</f>
        <v>1560</v>
      </c>
      <c r="Y18" s="5">
        <f>Y16-Y17</f>
        <v>2368.6602000000016</v>
      </c>
      <c r="Z18" s="5">
        <f t="shared" ref="Z18:AD18" si="21">Z16-Z17</f>
        <v>2975.5007900000028</v>
      </c>
      <c r="AA18" s="5">
        <f t="shared" si="21"/>
        <v>3657.4683146600028</v>
      </c>
      <c r="AB18" s="5">
        <f t="shared" si="21"/>
        <v>4422.9917937398041</v>
      </c>
      <c r="AC18" s="5">
        <f t="shared" si="21"/>
        <v>5281.4306673382862</v>
      </c>
      <c r="AD18" s="5">
        <f t="shared" si="21"/>
        <v>6243.1772045048228</v>
      </c>
      <c r="AE18" s="3">
        <f>+AD18*1.01</f>
        <v>6305.6089765498709</v>
      </c>
      <c r="AF18" s="3">
        <f>+AE18*1.01</f>
        <v>6368.6650663153696</v>
      </c>
      <c r="AG18" s="3">
        <f t="shared" ref="AG18:CS18" si="22">+AF18*1.01</f>
        <v>6432.3517169785237</v>
      </c>
      <c r="AH18" s="3">
        <f t="shared" si="22"/>
        <v>6496.6752341483088</v>
      </c>
      <c r="AI18" s="3">
        <f t="shared" si="22"/>
        <v>6561.6419864897916</v>
      </c>
      <c r="AJ18" s="3">
        <f t="shared" si="22"/>
        <v>6627.2584063546892</v>
      </c>
      <c r="AK18" s="3">
        <f t="shared" si="22"/>
        <v>6693.5309904182359</v>
      </c>
      <c r="AL18" s="3">
        <f t="shared" si="22"/>
        <v>6760.4663003224186</v>
      </c>
      <c r="AM18" s="3">
        <f t="shared" si="22"/>
        <v>6828.0709633256429</v>
      </c>
      <c r="AN18" s="3">
        <f t="shared" si="22"/>
        <v>6896.3516729588991</v>
      </c>
      <c r="AO18" s="3">
        <f t="shared" si="22"/>
        <v>6965.3151896884883</v>
      </c>
      <c r="AP18" s="3">
        <f t="shared" si="22"/>
        <v>7034.9683415853733</v>
      </c>
      <c r="AQ18" s="3">
        <f t="shared" si="22"/>
        <v>7105.3180250012274</v>
      </c>
      <c r="AR18" s="3">
        <f t="shared" si="22"/>
        <v>7176.3712052512401</v>
      </c>
      <c r="AS18" s="3">
        <f t="shared" si="22"/>
        <v>7248.1349173037524</v>
      </c>
      <c r="AT18" s="3">
        <f t="shared" si="22"/>
        <v>7320.6162664767899</v>
      </c>
      <c r="AU18" s="3">
        <f t="shared" si="22"/>
        <v>7393.8224291415581</v>
      </c>
      <c r="AV18" s="3">
        <f t="shared" si="22"/>
        <v>7467.7606534329734</v>
      </c>
      <c r="AW18" s="3">
        <f t="shared" si="22"/>
        <v>7542.4382599673036</v>
      </c>
      <c r="AX18" s="3">
        <f t="shared" si="22"/>
        <v>7617.8626425669763</v>
      </c>
      <c r="AY18" s="3">
        <f t="shared" si="22"/>
        <v>7694.0412689926461</v>
      </c>
      <c r="AZ18" s="3">
        <f t="shared" si="22"/>
        <v>7770.9816816825723</v>
      </c>
      <c r="BA18" s="3">
        <f t="shared" si="22"/>
        <v>7848.6914984993982</v>
      </c>
      <c r="BB18" s="3">
        <f t="shared" si="22"/>
        <v>7927.178413484392</v>
      </c>
      <c r="BC18" s="3">
        <f t="shared" si="22"/>
        <v>8006.450197619236</v>
      </c>
      <c r="BD18" s="3">
        <f t="shared" si="22"/>
        <v>8086.5146995954283</v>
      </c>
      <c r="BE18" s="3">
        <f t="shared" si="22"/>
        <v>8167.3798465913824</v>
      </c>
      <c r="BF18" s="3">
        <f t="shared" si="22"/>
        <v>8249.0536450572963</v>
      </c>
      <c r="BG18" s="3">
        <f t="shared" si="22"/>
        <v>8331.5441815078702</v>
      </c>
      <c r="BH18" s="3">
        <f t="shared" si="22"/>
        <v>8414.8596233229491</v>
      </c>
      <c r="BI18" s="3">
        <f t="shared" si="22"/>
        <v>8499.008219556179</v>
      </c>
      <c r="BJ18" s="3">
        <f t="shared" si="22"/>
        <v>8583.9983017517407</v>
      </c>
      <c r="BK18" s="3">
        <f t="shared" si="22"/>
        <v>8669.8382847692574</v>
      </c>
      <c r="BL18" s="3">
        <f t="shared" si="22"/>
        <v>8756.5366676169506</v>
      </c>
      <c r="BM18" s="3">
        <f t="shared" si="22"/>
        <v>8844.1020342931206</v>
      </c>
      <c r="BN18" s="3">
        <f t="shared" si="22"/>
        <v>8932.5430546360512</v>
      </c>
      <c r="BO18" s="3">
        <f t="shared" si="22"/>
        <v>9021.868485182411</v>
      </c>
      <c r="BP18" s="3">
        <f t="shared" si="22"/>
        <v>9112.0871700342359</v>
      </c>
      <c r="BQ18" s="3">
        <f t="shared" si="22"/>
        <v>9203.2080417345787</v>
      </c>
      <c r="BR18" s="3">
        <f t="shared" si="22"/>
        <v>9295.2401221519249</v>
      </c>
      <c r="BS18" s="3">
        <f t="shared" si="22"/>
        <v>9388.1925233734437</v>
      </c>
      <c r="BT18" s="3">
        <f t="shared" si="22"/>
        <v>9482.0744486071781</v>
      </c>
      <c r="BU18" s="3">
        <f t="shared" si="22"/>
        <v>9576.8951930932508</v>
      </c>
      <c r="BV18" s="3">
        <f t="shared" si="22"/>
        <v>9672.6641450241841</v>
      </c>
      <c r="BW18" s="3">
        <f t="shared" si="22"/>
        <v>9769.3907864744269</v>
      </c>
      <c r="BX18" s="3">
        <f t="shared" si="22"/>
        <v>9867.0846943391716</v>
      </c>
      <c r="BY18" s="3">
        <f t="shared" si="22"/>
        <v>9965.7555412825641</v>
      </c>
      <c r="BZ18" s="3">
        <f t="shared" si="22"/>
        <v>10065.413096695389</v>
      </c>
      <c r="CA18" s="3">
        <f t="shared" si="22"/>
        <v>10166.067227662343</v>
      </c>
      <c r="CB18" s="3">
        <f t="shared" si="22"/>
        <v>10267.727899938965</v>
      </c>
      <c r="CC18" s="3">
        <f t="shared" si="22"/>
        <v>10370.405178938356</v>
      </c>
      <c r="CD18" s="3">
        <f t="shared" si="22"/>
        <v>10474.109230727739</v>
      </c>
      <c r="CE18" s="3">
        <f t="shared" si="22"/>
        <v>10578.850323035016</v>
      </c>
      <c r="CF18" s="3">
        <f t="shared" si="22"/>
        <v>10684.638826265367</v>
      </c>
      <c r="CG18" s="3">
        <f t="shared" si="22"/>
        <v>10791.48521452802</v>
      </c>
      <c r="CH18" s="3">
        <f t="shared" si="22"/>
        <v>10899.400066673301</v>
      </c>
      <c r="CI18" s="3">
        <f t="shared" si="22"/>
        <v>11008.394067340034</v>
      </c>
      <c r="CJ18" s="3">
        <f t="shared" si="22"/>
        <v>11118.478008013435</v>
      </c>
      <c r="CK18" s="3">
        <f t="shared" si="22"/>
        <v>11229.66278809357</v>
      </c>
      <c r="CL18" s="3">
        <f t="shared" si="22"/>
        <v>11341.959415974507</v>
      </c>
      <c r="CM18" s="3">
        <f t="shared" si="22"/>
        <v>11455.379010134251</v>
      </c>
      <c r="CN18" s="3">
        <f t="shared" si="22"/>
        <v>11569.932800235594</v>
      </c>
      <c r="CO18" s="3">
        <f t="shared" si="22"/>
        <v>11685.63212823795</v>
      </c>
      <c r="CP18" s="3">
        <f t="shared" si="22"/>
        <v>11802.48844952033</v>
      </c>
      <c r="CQ18" s="3">
        <f t="shared" si="22"/>
        <v>11920.513334015533</v>
      </c>
      <c r="CR18" s="3">
        <f t="shared" si="22"/>
        <v>12039.718467355689</v>
      </c>
      <c r="CS18" s="3">
        <f t="shared" si="22"/>
        <v>12160.115652029246</v>
      </c>
      <c r="CT18" s="3">
        <f t="shared" ref="CT18:FE18" si="23">+CS18*1.01</f>
        <v>12281.71680854954</v>
      </c>
      <c r="CU18" s="3">
        <f t="shared" si="23"/>
        <v>12404.533976635035</v>
      </c>
      <c r="CV18" s="3">
        <f t="shared" si="23"/>
        <v>12528.579316401385</v>
      </c>
      <c r="CW18" s="3">
        <f t="shared" si="23"/>
        <v>12653.865109565399</v>
      </c>
      <c r="CX18" s="3">
        <f t="shared" si="23"/>
        <v>12780.403760661053</v>
      </c>
      <c r="CY18" s="3">
        <f t="shared" si="23"/>
        <v>12908.207798267664</v>
      </c>
      <c r="CZ18" s="3">
        <f t="shared" si="23"/>
        <v>13037.289876250341</v>
      </c>
      <c r="DA18" s="3">
        <f t="shared" si="23"/>
        <v>13167.662775012845</v>
      </c>
      <c r="DB18" s="3">
        <f t="shared" si="23"/>
        <v>13299.339402762973</v>
      </c>
      <c r="DC18" s="3">
        <f t="shared" si="23"/>
        <v>13432.332796790603</v>
      </c>
      <c r="DD18" s="3">
        <f t="shared" si="23"/>
        <v>13566.656124758509</v>
      </c>
      <c r="DE18" s="3">
        <f t="shared" si="23"/>
        <v>13702.322686006093</v>
      </c>
      <c r="DF18" s="3">
        <f t="shared" si="23"/>
        <v>13839.345912866154</v>
      </c>
      <c r="DG18" s="3">
        <f t="shared" si="23"/>
        <v>13977.739371994816</v>
      </c>
      <c r="DH18" s="3">
        <f t="shared" si="23"/>
        <v>14117.516765714765</v>
      </c>
      <c r="DI18" s="3">
        <f t="shared" si="23"/>
        <v>14258.691933371912</v>
      </c>
      <c r="DJ18" s="3">
        <f t="shared" si="23"/>
        <v>14401.278852705631</v>
      </c>
      <c r="DK18" s="3">
        <f t="shared" si="23"/>
        <v>14545.291641232687</v>
      </c>
      <c r="DL18" s="3">
        <f t="shared" si="23"/>
        <v>14690.744557645014</v>
      </c>
      <c r="DM18" s="3">
        <f t="shared" si="23"/>
        <v>14837.652003221463</v>
      </c>
      <c r="DN18" s="3">
        <f t="shared" si="23"/>
        <v>14986.028523253677</v>
      </c>
      <c r="DO18" s="3">
        <f t="shared" si="23"/>
        <v>15135.888808486214</v>
      </c>
      <c r="DP18" s="3">
        <f t="shared" si="23"/>
        <v>15287.247696571076</v>
      </c>
      <c r="DQ18" s="3">
        <f t="shared" si="23"/>
        <v>15440.120173536787</v>
      </c>
      <c r="DR18" s="3">
        <f t="shared" si="23"/>
        <v>15594.521375272156</v>
      </c>
      <c r="DS18" s="3">
        <f t="shared" si="23"/>
        <v>15750.466589024878</v>
      </c>
      <c r="DT18" s="3">
        <f t="shared" si="23"/>
        <v>15907.971254915126</v>
      </c>
      <c r="DU18" s="3">
        <f t="shared" si="23"/>
        <v>16067.050967464278</v>
      </c>
      <c r="DV18" s="3">
        <f t="shared" si="23"/>
        <v>16227.721477138921</v>
      </c>
      <c r="DW18" s="3">
        <f t="shared" si="23"/>
        <v>16389.99869191031</v>
      </c>
      <c r="DX18" s="3">
        <f t="shared" si="23"/>
        <v>16553.898678829413</v>
      </c>
      <c r="DY18" s="3">
        <f t="shared" si="23"/>
        <v>16719.437665617708</v>
      </c>
      <c r="DZ18" s="3">
        <f t="shared" si="23"/>
        <v>16886.632042273886</v>
      </c>
      <c r="EA18" s="3">
        <f t="shared" si="23"/>
        <v>17055.498362696624</v>
      </c>
      <c r="EB18" s="3">
        <f t="shared" si="23"/>
        <v>17226.053346323592</v>
      </c>
      <c r="EC18" s="3">
        <f t="shared" si="23"/>
        <v>17398.313879786827</v>
      </c>
      <c r="ED18" s="3">
        <f t="shared" si="23"/>
        <v>17572.297018584697</v>
      </c>
      <c r="EE18" s="3">
        <f t="shared" si="23"/>
        <v>17748.019988770546</v>
      </c>
      <c r="EF18" s="3">
        <f t="shared" si="23"/>
        <v>17925.50018865825</v>
      </c>
      <c r="EG18" s="3">
        <f t="shared" si="23"/>
        <v>18104.755190544834</v>
      </c>
      <c r="EH18" s="3">
        <f t="shared" si="23"/>
        <v>18285.802742450283</v>
      </c>
      <c r="EI18" s="3">
        <f t="shared" si="23"/>
        <v>18468.660769874787</v>
      </c>
      <c r="EJ18" s="3">
        <f t="shared" si="23"/>
        <v>18653.347377573533</v>
      </c>
      <c r="EK18" s="3">
        <f t="shared" si="23"/>
        <v>18839.88085134927</v>
      </c>
      <c r="EL18" s="3">
        <f t="shared" si="23"/>
        <v>19028.279659862761</v>
      </c>
      <c r="EM18" s="3">
        <f t="shared" si="23"/>
        <v>19218.56245646139</v>
      </c>
      <c r="EN18" s="3">
        <f t="shared" si="23"/>
        <v>19410.748081026006</v>
      </c>
      <c r="EO18" s="3">
        <f t="shared" si="23"/>
        <v>19604.855561836266</v>
      </c>
      <c r="EP18" s="3">
        <f t="shared" si="23"/>
        <v>19800.904117454629</v>
      </c>
      <c r="EQ18" s="3">
        <f t="shared" si="23"/>
        <v>19998.913158629177</v>
      </c>
      <c r="ER18" s="3">
        <f t="shared" si="23"/>
        <v>20198.902290215468</v>
      </c>
      <c r="ES18" s="3">
        <f t="shared" si="23"/>
        <v>20400.891313117623</v>
      </c>
      <c r="ET18" s="3">
        <f t="shared" si="23"/>
        <v>20604.900226248799</v>
      </c>
      <c r="EU18" s="3">
        <f t="shared" si="23"/>
        <v>20810.949228511286</v>
      </c>
      <c r="EV18" s="3">
        <f t="shared" si="23"/>
        <v>21019.058720796398</v>
      </c>
      <c r="EW18" s="3">
        <f t="shared" si="23"/>
        <v>21229.249308004361</v>
      </c>
      <c r="EX18" s="3">
        <f t="shared" si="23"/>
        <v>21441.541801084404</v>
      </c>
      <c r="EY18" s="3">
        <f t="shared" si="23"/>
        <v>21655.957219095249</v>
      </c>
      <c r="EZ18" s="3">
        <f t="shared" si="23"/>
        <v>21872.516791286202</v>
      </c>
      <c r="FA18" s="3">
        <f t="shared" si="23"/>
        <v>22091.241959199066</v>
      </c>
      <c r="FB18" s="3">
        <f t="shared" si="23"/>
        <v>22312.154378791056</v>
      </c>
      <c r="FC18" s="3">
        <f t="shared" si="23"/>
        <v>22535.275922578967</v>
      </c>
      <c r="FD18" s="3">
        <f t="shared" si="23"/>
        <v>22760.628681804756</v>
      </c>
      <c r="FE18" s="3">
        <f t="shared" si="23"/>
        <v>22988.234968622804</v>
      </c>
    </row>
    <row r="19" spans="2:161" x14ac:dyDescent="0.15">
      <c r="B19" s="1" t="s">
        <v>17</v>
      </c>
      <c r="C19" s="6"/>
      <c r="D19" s="6"/>
      <c r="E19" s="6"/>
      <c r="F19" s="6"/>
      <c r="G19" s="6"/>
      <c r="H19" s="6">
        <f>H18/H20</f>
        <v>-0.39051094890510951</v>
      </c>
      <c r="I19" s="6">
        <f>I18/I20</f>
        <v>4.6715328467153281</v>
      </c>
      <c r="J19" s="6">
        <f>J18/J20</f>
        <v>-0.36496350364963503</v>
      </c>
      <c r="K19" s="6">
        <f>K18/K20</f>
        <v>1.7773722627737227</v>
      </c>
      <c r="L19" s="6">
        <f>L18/L20</f>
        <v>0.96715328467153283</v>
      </c>
      <c r="M19" s="6">
        <f>M18/M20</f>
        <v>1.7992700729927007</v>
      </c>
      <c r="N19" s="6"/>
      <c r="O19" s="6"/>
      <c r="Q19" s="6"/>
      <c r="R19" s="6"/>
      <c r="S19" s="6"/>
      <c r="T19" s="6"/>
      <c r="U19" s="6"/>
      <c r="V19" s="6"/>
      <c r="W19" s="6">
        <f>W18/W20</f>
        <v>0</v>
      </c>
      <c r="X19" s="6">
        <f>X18/X20</f>
        <v>5.6934306569343063</v>
      </c>
      <c r="Y19" s="24">
        <f>Y18/Y20</f>
        <v>8.6447452554744579</v>
      </c>
      <c r="Z19" s="24">
        <f t="shared" ref="Z19:AD19" si="24">Z18/Z20</f>
        <v>10.859491934306579</v>
      </c>
      <c r="AA19" s="24">
        <f t="shared" si="24"/>
        <v>13.348424506058404</v>
      </c>
      <c r="AB19" s="24">
        <f t="shared" si="24"/>
        <v>16.142305816568626</v>
      </c>
      <c r="AC19" s="24">
        <f t="shared" si="24"/>
        <v>19.275294406344109</v>
      </c>
      <c r="AD19" s="24">
        <f t="shared" si="24"/>
        <v>22.785318264616141</v>
      </c>
    </row>
    <row r="20" spans="2:161" s="3" customFormat="1" x14ac:dyDescent="0.15">
      <c r="B20" s="3" t="s">
        <v>1</v>
      </c>
      <c r="C20" s="5"/>
      <c r="E20" s="5"/>
      <c r="F20" s="5"/>
      <c r="G20" s="5"/>
      <c r="H20" s="5">
        <v>274</v>
      </c>
      <c r="I20" s="5">
        <v>274</v>
      </c>
      <c r="J20" s="5">
        <v>274</v>
      </c>
      <c r="K20" s="5">
        <v>274</v>
      </c>
      <c r="L20" s="5">
        <v>274</v>
      </c>
      <c r="M20" s="5">
        <v>274</v>
      </c>
      <c r="N20" s="5"/>
      <c r="O20" s="5"/>
      <c r="P20" s="5"/>
      <c r="Q20" s="5"/>
      <c r="S20" s="5"/>
      <c r="T20" s="5"/>
      <c r="U20" s="5"/>
      <c r="V20" s="5"/>
      <c r="W20" s="3">
        <v>274</v>
      </c>
      <c r="X20" s="3">
        <v>274</v>
      </c>
      <c r="Y20" s="25">
        <v>274</v>
      </c>
      <c r="Z20" s="25">
        <v>274</v>
      </c>
      <c r="AA20" s="25">
        <v>274</v>
      </c>
      <c r="AB20" s="25">
        <v>274</v>
      </c>
      <c r="AC20" s="25">
        <v>274</v>
      </c>
      <c r="AD20" s="25">
        <v>274</v>
      </c>
    </row>
    <row r="21" spans="2:161" x14ac:dyDescent="0.15">
      <c r="B21" s="1" t="s">
        <v>18</v>
      </c>
    </row>
    <row r="23" spans="2:161" x14ac:dyDescent="0.15">
      <c r="B23" s="1" t="s">
        <v>21</v>
      </c>
      <c r="C23" s="7"/>
      <c r="D23" s="7"/>
      <c r="E23" s="7"/>
      <c r="F23" s="7"/>
      <c r="G23" s="7"/>
      <c r="H23" s="7">
        <f>H7/D7-1</f>
        <v>6.4057461155086592E-2</v>
      </c>
      <c r="I23" s="7">
        <f t="shared" ref="I23:K23" si="25">I7/E7-1</f>
        <v>1.0344827586206806E-2</v>
      </c>
      <c r="J23" s="7">
        <f t="shared" si="25"/>
        <v>8.010179350460489E-2</v>
      </c>
      <c r="K23" s="7">
        <f t="shared" si="25"/>
        <v>5.1169736187157699E-2</v>
      </c>
      <c r="L23" s="7">
        <f>L7/H7-1</f>
        <v>0.10648849703815944</v>
      </c>
      <c r="M23" s="7">
        <f t="shared" ref="M23:O23" si="26">M7/I7-1</f>
        <v>0.11055582642613349</v>
      </c>
      <c r="N23" s="7">
        <f t="shared" si="26"/>
        <v>0.1100000000000001</v>
      </c>
      <c r="O23" s="7">
        <f t="shared" si="26"/>
        <v>0.12000000000000011</v>
      </c>
      <c r="P23" s="7"/>
      <c r="Q23" s="7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2:161" x14ac:dyDescent="0.15">
      <c r="B24" s="1" t="s">
        <v>82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2:161" x14ac:dyDescent="0.15">
      <c r="B25" s="1" t="s">
        <v>10</v>
      </c>
      <c r="C25" s="7"/>
      <c r="D25" s="7">
        <f>D9/D7</f>
        <v>0.13471122837877456</v>
      </c>
      <c r="E25" s="7">
        <f t="shared" ref="E25:K25" si="27">E9/E7</f>
        <v>0.14125615763546798</v>
      </c>
      <c r="F25" s="7">
        <f t="shared" si="27"/>
        <v>0.12736306349975762</v>
      </c>
      <c r="G25" s="7">
        <f t="shared" si="27"/>
        <v>0.16933797909407666</v>
      </c>
      <c r="H25" s="7">
        <f t="shared" si="27"/>
        <v>0.15828626532580245</v>
      </c>
      <c r="I25" s="7">
        <f t="shared" si="27"/>
        <v>0.20745977571916138</v>
      </c>
      <c r="J25" s="7">
        <f t="shared" si="27"/>
        <v>0.12442499719510827</v>
      </c>
      <c r="K25" s="7">
        <f t="shared" si="27"/>
        <v>0.20125011838242257</v>
      </c>
      <c r="L25" s="7">
        <f>L9/L7</f>
        <v>0.18301792828685259</v>
      </c>
      <c r="M25" s="7">
        <f>M9/M7</f>
        <v>0.20261222697837777</v>
      </c>
      <c r="N25" s="7">
        <v>0.20499999999999999</v>
      </c>
      <c r="O25" s="7">
        <v>0.22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2:161" x14ac:dyDescent="0.15">
      <c r="B26" s="1" t="s">
        <v>71</v>
      </c>
      <c r="C26" s="7"/>
      <c r="D26" s="7">
        <f>D13/D7</f>
        <v>-6.8748167692758724E-2</v>
      </c>
      <c r="E26" s="7">
        <f t="shared" ref="E26:M26" si="28">E13/E7</f>
        <v>-4.1995073891625614E-2</v>
      </c>
      <c r="F26" s="7">
        <f t="shared" si="28"/>
        <v>-3.7203102278235582E-2</v>
      </c>
      <c r="G26" s="7">
        <f t="shared" si="28"/>
        <v>1.9313091090094575E-2</v>
      </c>
      <c r="H26" s="7">
        <f t="shared" si="28"/>
        <v>-3.995040639206502E-2</v>
      </c>
      <c r="I26" s="7">
        <f t="shared" si="28"/>
        <v>6.4236957581667475E-2</v>
      </c>
      <c r="J26" s="7">
        <f t="shared" si="28"/>
        <v>-4.0390440928980142E-2</v>
      </c>
      <c r="K26" s="7">
        <f t="shared" si="28"/>
        <v>5.6255327209016007E-2</v>
      </c>
      <c r="L26" s="7">
        <f t="shared" si="28"/>
        <v>5.3535856573705175E-3</v>
      </c>
      <c r="M26" s="7">
        <f t="shared" si="28"/>
        <v>4.1598068269125231E-2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2:161" x14ac:dyDescent="0.15">
      <c r="B27" s="1" t="s">
        <v>64</v>
      </c>
      <c r="C27" s="7"/>
      <c r="D27" s="7">
        <f>D17/D16</f>
        <v>0.16626506024096385</v>
      </c>
      <c r="E27" s="7">
        <f t="shared" ref="E27:M27" si="29">E17/E16</f>
        <v>-4.6923076923076925</v>
      </c>
      <c r="F27" s="7">
        <f t="shared" si="29"/>
        <v>-11.266666666666667</v>
      </c>
      <c r="G27" s="7">
        <f t="shared" si="29"/>
        <v>-1.0797546012269938</v>
      </c>
      <c r="H27" s="7">
        <f t="shared" si="29"/>
        <v>-0.10309278350515463</v>
      </c>
      <c r="I27" s="7">
        <f t="shared" si="29"/>
        <v>0.2009987515605493</v>
      </c>
      <c r="J27" s="7">
        <f t="shared" si="29"/>
        <v>0.18699186991869918</v>
      </c>
      <c r="K27" s="7">
        <f t="shared" si="29"/>
        <v>0.56401074306177257</v>
      </c>
      <c r="L27" s="7">
        <f t="shared" si="29"/>
        <v>0.20420420420420421</v>
      </c>
      <c r="M27" s="7">
        <f t="shared" si="29"/>
        <v>0.23684210526315788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2:161" x14ac:dyDescent="0.15">
      <c r="B28" s="1" t="s">
        <v>94</v>
      </c>
      <c r="C28" s="7"/>
      <c r="D28" s="7"/>
      <c r="E28" s="7"/>
      <c r="F28" s="7"/>
      <c r="G28" s="7"/>
      <c r="H28" s="7">
        <f>H12/D12-1</f>
        <v>3.6743515850144126E-2</v>
      </c>
      <c r="I28" s="7">
        <f>I12/E12-1</f>
        <v>-0.21034946236559138</v>
      </c>
      <c r="J28" s="7">
        <f t="shared" ref="J28:M28" si="30">J12/F12-1</f>
        <v>8.1737849779086824E-2</v>
      </c>
      <c r="K28" s="7">
        <f t="shared" si="30"/>
        <v>1.5925680159256883E-2</v>
      </c>
      <c r="L28" s="7">
        <f t="shared" si="30"/>
        <v>-8.3391243919388458E-3</v>
      </c>
      <c r="M28" s="7">
        <f t="shared" si="30"/>
        <v>0.24851063829787234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30" spans="2:161" x14ac:dyDescent="0.15">
      <c r="B30" s="1" t="s">
        <v>52</v>
      </c>
      <c r="C30" s="5"/>
      <c r="D30" s="5"/>
      <c r="E30" s="5"/>
      <c r="F30" s="5"/>
      <c r="G30" s="5"/>
      <c r="H30" s="5"/>
      <c r="I30" s="5"/>
      <c r="J30" s="5"/>
      <c r="K30" s="5"/>
      <c r="L30" s="5">
        <f>L31-L40</f>
        <v>-24569</v>
      </c>
      <c r="M30" s="5">
        <f>M31-M40</f>
        <v>-22143</v>
      </c>
      <c r="N30" s="5"/>
      <c r="O30" s="5"/>
      <c r="W30" s="3"/>
      <c r="X30" s="3"/>
      <c r="Y30" s="3"/>
      <c r="Z30" s="3"/>
      <c r="AA30" s="3"/>
      <c r="AB30" s="3"/>
      <c r="AC30" s="3"/>
      <c r="AD30" s="3"/>
      <c r="AF30" s="1" t="s">
        <v>68</v>
      </c>
      <c r="AG30" s="14">
        <v>0.01</v>
      </c>
    </row>
    <row r="31" spans="2:161" s="3" customFormat="1" x14ac:dyDescent="0.15">
      <c r="B31" s="3" t="s">
        <v>3</v>
      </c>
      <c r="C31" s="5"/>
      <c r="D31" s="5"/>
      <c r="E31" s="5"/>
      <c r="F31" s="5"/>
      <c r="G31" s="5"/>
      <c r="H31" s="5"/>
      <c r="I31" s="5"/>
      <c r="J31" s="5"/>
      <c r="K31" s="5"/>
      <c r="L31" s="5">
        <v>8107</v>
      </c>
      <c r="M31" s="5">
        <v>7892</v>
      </c>
      <c r="N31" s="5"/>
      <c r="O31" s="5"/>
      <c r="P31" s="5"/>
      <c r="Q31" s="5"/>
      <c r="S31" s="5"/>
      <c r="T31" s="5"/>
      <c r="U31" s="5"/>
      <c r="V31" s="5"/>
      <c r="AF31" s="1" t="s">
        <v>65</v>
      </c>
      <c r="AG31" s="14">
        <v>0.02</v>
      </c>
    </row>
    <row r="32" spans="2:161" s="3" customFormat="1" x14ac:dyDescent="0.15">
      <c r="B32" s="3" t="s">
        <v>39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S32" s="5"/>
      <c r="T32" s="5"/>
      <c r="U32" s="5"/>
      <c r="V32" s="5"/>
      <c r="AF32" s="1" t="s">
        <v>66</v>
      </c>
      <c r="AG32" s="14">
        <v>0.06</v>
      </c>
    </row>
    <row r="33" spans="2:33" s="3" customFormat="1" x14ac:dyDescent="0.15">
      <c r="B33" s="3" t="s">
        <v>40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S33" s="5"/>
      <c r="T33" s="5"/>
      <c r="U33" s="5"/>
      <c r="V33" s="5"/>
      <c r="AF33" s="1" t="s">
        <v>67</v>
      </c>
      <c r="AG33" s="3">
        <f>NPV(AG32,Y18:DO18)-L30</f>
        <v>132072.09648361156</v>
      </c>
    </row>
    <row r="34" spans="2:33" s="3" customFormat="1" x14ac:dyDescent="0.15">
      <c r="B34" s="3" t="s">
        <v>41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S34" s="5"/>
      <c r="T34" s="5"/>
      <c r="U34" s="5"/>
      <c r="V34" s="5"/>
      <c r="AF34" s="1" t="s">
        <v>69</v>
      </c>
      <c r="AG34" s="15">
        <f>AG33/274</f>
        <v>482.01495067011518</v>
      </c>
    </row>
    <row r="35" spans="2:33" s="3" customFormat="1" x14ac:dyDescent="0.15">
      <c r="B35" s="3" t="s">
        <v>42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S35" s="5"/>
      <c r="T35" s="5"/>
      <c r="U35" s="5"/>
      <c r="V35" s="5"/>
      <c r="AF35" s="1" t="s">
        <v>70</v>
      </c>
      <c r="AG35" s="14">
        <f>AG34/574.6-1</f>
        <v>-0.16112956722917648</v>
      </c>
    </row>
    <row r="36" spans="2:33" s="3" customFormat="1" x14ac:dyDescent="0.15">
      <c r="B36" s="3" t="s">
        <v>43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S36" s="5"/>
      <c r="T36" s="5"/>
      <c r="U36" s="5"/>
      <c r="V36" s="5"/>
    </row>
    <row r="37" spans="2:33" s="3" customFormat="1" x14ac:dyDescent="0.15">
      <c r="B37" s="3" t="s">
        <v>44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S37" s="5"/>
      <c r="T37" s="5"/>
      <c r="U37" s="5"/>
      <c r="V37" s="5"/>
    </row>
    <row r="38" spans="2:33" s="3" customFormat="1" x14ac:dyDescent="0.15">
      <c r="B38" s="3" t="s">
        <v>38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S38" s="5"/>
      <c r="T38" s="5"/>
      <c r="U38" s="5"/>
      <c r="V38" s="5"/>
    </row>
    <row r="40" spans="2:33" s="3" customFormat="1" x14ac:dyDescent="0.15">
      <c r="B40" s="3" t="s">
        <v>4</v>
      </c>
      <c r="C40" s="5"/>
      <c r="D40" s="5"/>
      <c r="E40" s="5"/>
      <c r="F40" s="5"/>
      <c r="G40" s="5"/>
      <c r="H40" s="5"/>
      <c r="I40" s="5"/>
      <c r="J40" s="5"/>
      <c r="K40" s="5"/>
      <c r="L40" s="5">
        <f>8421+18708+5547</f>
        <v>32676</v>
      </c>
      <c r="M40" s="5">
        <f>19603+5123+5309</f>
        <v>30035</v>
      </c>
      <c r="N40" s="5"/>
      <c r="O40" s="5"/>
      <c r="P40" s="5"/>
      <c r="Q40" s="5"/>
      <c r="S40" s="5"/>
      <c r="T40" s="5"/>
      <c r="U40" s="5"/>
      <c r="V40" s="5"/>
    </row>
    <row r="41" spans="2:33" s="3" customFormat="1" x14ac:dyDescent="0.15">
      <c r="B41" s="3" t="s">
        <v>46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S41" s="5"/>
      <c r="T41" s="5"/>
      <c r="U41" s="5"/>
      <c r="V41" s="5"/>
    </row>
    <row r="42" spans="2:33" s="3" customFormat="1" x14ac:dyDescent="0.15">
      <c r="B42" s="3" t="s">
        <v>47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S42" s="5"/>
      <c r="T42" s="5"/>
      <c r="U42" s="5"/>
      <c r="V42" s="5"/>
    </row>
    <row r="43" spans="2:33" s="3" customFormat="1" x14ac:dyDescent="0.15">
      <c r="B43" s="3" t="s">
        <v>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S43" s="5"/>
      <c r="T43" s="5"/>
      <c r="U43" s="5"/>
      <c r="V43" s="5"/>
    </row>
    <row r="44" spans="2:33" s="3" customFormat="1" x14ac:dyDescent="0.15">
      <c r="B44" s="3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S44" s="5"/>
      <c r="T44" s="5"/>
      <c r="U44" s="5"/>
      <c r="V44" s="5"/>
    </row>
    <row r="45" spans="2:33" s="3" customFormat="1" x14ac:dyDescent="0.15">
      <c r="B45" s="3" t="s">
        <v>43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S45" s="5"/>
      <c r="T45" s="5"/>
      <c r="U45" s="5"/>
      <c r="V45" s="5"/>
    </row>
    <row r="46" spans="2:33" s="3" customFormat="1" x14ac:dyDescent="0.15">
      <c r="B46" s="3" t="s">
        <v>49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S46" s="5"/>
      <c r="T46" s="5"/>
      <c r="U46" s="5"/>
      <c r="V46" s="5"/>
    </row>
    <row r="47" spans="2:33" s="3" customFormat="1" x14ac:dyDescent="0.15">
      <c r="B47" s="3" t="s">
        <v>50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S47" s="5"/>
      <c r="T47" s="5"/>
      <c r="U47" s="5"/>
      <c r="V47" s="5"/>
    </row>
    <row r="48" spans="2:33" s="3" customFormat="1" x14ac:dyDescent="0.15">
      <c r="B48" s="3" t="s">
        <v>51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S48" s="5"/>
      <c r="T48" s="5"/>
      <c r="U48" s="5"/>
      <c r="V48" s="5"/>
    </row>
    <row r="50" spans="2:24" s="3" customFormat="1" x14ac:dyDescent="0.15">
      <c r="B50" s="3" t="s">
        <v>54</v>
      </c>
      <c r="C50" s="5"/>
      <c r="D50" s="5"/>
      <c r="E50" s="5"/>
      <c r="F50" s="5"/>
      <c r="G50" s="5"/>
      <c r="H50" s="5">
        <v>-107</v>
      </c>
      <c r="I50" s="5">
        <v>465</v>
      </c>
      <c r="J50" s="5"/>
      <c r="K50" s="5"/>
      <c r="L50" s="5">
        <v>265</v>
      </c>
      <c r="N50" s="5"/>
      <c r="O50" s="5"/>
      <c r="P50" s="5"/>
      <c r="Q50" s="5"/>
      <c r="S50" s="5"/>
      <c r="T50" s="5"/>
      <c r="U50" s="5"/>
      <c r="V50" s="5"/>
    </row>
    <row r="51" spans="2:24" s="3" customFormat="1" x14ac:dyDescent="0.15">
      <c r="B51" s="3" t="s">
        <v>55</v>
      </c>
      <c r="C51" s="5"/>
      <c r="D51" s="5">
        <v>-346</v>
      </c>
      <c r="E51" s="5">
        <f>-495-D51</f>
        <v>-149</v>
      </c>
      <c r="F51" s="5"/>
      <c r="G51" s="5"/>
      <c r="H51" s="5">
        <v>-106</v>
      </c>
      <c r="I51" s="5">
        <v>1280</v>
      </c>
      <c r="J51" s="5">
        <f>1075-I51-H51</f>
        <v>-99</v>
      </c>
      <c r="K51" s="5">
        <v>487</v>
      </c>
      <c r="L51" s="5">
        <v>264</v>
      </c>
      <c r="M51" s="5">
        <v>493</v>
      </c>
      <c r="N51" s="5"/>
      <c r="O51" s="5"/>
      <c r="P51" s="5"/>
      <c r="Q51" s="5"/>
      <c r="S51" s="5"/>
      <c r="T51" s="5"/>
      <c r="U51" s="5"/>
      <c r="V51" s="5">
        <v>-2722</v>
      </c>
      <c r="W51" s="3">
        <v>-474</v>
      </c>
      <c r="X51" s="3">
        <v>1559</v>
      </c>
    </row>
    <row r="52" spans="2:24" s="3" customFormat="1" x14ac:dyDescent="0.15">
      <c r="B52" s="3" t="s">
        <v>56</v>
      </c>
      <c r="C52" s="5"/>
      <c r="D52" s="5">
        <v>176</v>
      </c>
      <c r="E52" s="5">
        <f>347-D52</f>
        <v>171</v>
      </c>
      <c r="F52" s="5"/>
      <c r="G52" s="5"/>
      <c r="H52" s="5">
        <v>188</v>
      </c>
      <c r="I52" s="5">
        <f>379-H52</f>
        <v>191</v>
      </c>
      <c r="J52" s="5"/>
      <c r="K52" s="5"/>
      <c r="L52" s="5">
        <v>149</v>
      </c>
      <c r="M52" s="5">
        <f>294-L52</f>
        <v>145</v>
      </c>
      <c r="N52" s="5"/>
      <c r="O52" s="5"/>
      <c r="P52" s="5"/>
      <c r="Q52" s="5"/>
      <c r="S52" s="5"/>
      <c r="T52" s="5"/>
      <c r="U52" s="5"/>
      <c r="V52" s="5">
        <v>779</v>
      </c>
      <c r="W52" s="3">
        <v>724</v>
      </c>
      <c r="X52" s="3">
        <v>895</v>
      </c>
    </row>
    <row r="53" spans="2:24" s="3" customFormat="1" x14ac:dyDescent="0.15">
      <c r="B53" s="3" t="s">
        <v>57</v>
      </c>
      <c r="C53" s="5"/>
      <c r="D53" s="5">
        <v>55</v>
      </c>
      <c r="E53" s="5">
        <f>123-D53</f>
        <v>68</v>
      </c>
      <c r="F53" s="5"/>
      <c r="G53" s="5"/>
      <c r="H53" s="5">
        <v>63</v>
      </c>
      <c r="I53" s="5">
        <f>126-H53</f>
        <v>63</v>
      </c>
      <c r="J53" s="5"/>
      <c r="K53" s="5"/>
      <c r="L53" s="5">
        <v>56</v>
      </c>
      <c r="M53" s="5">
        <f>116-L53</f>
        <v>60</v>
      </c>
      <c r="N53" s="5"/>
      <c r="O53" s="5"/>
      <c r="P53" s="5"/>
      <c r="Q53" s="5"/>
      <c r="S53" s="5"/>
      <c r="T53" s="5"/>
      <c r="U53" s="5"/>
      <c r="V53" s="5">
        <v>1018</v>
      </c>
      <c r="W53" s="3">
        <v>240</v>
      </c>
      <c r="X53" s="3">
        <v>277</v>
      </c>
    </row>
    <row r="54" spans="2:24" s="3" customFormat="1" x14ac:dyDescent="0.15">
      <c r="B54" s="3" t="s">
        <v>97</v>
      </c>
      <c r="C54" s="5"/>
      <c r="D54" s="5"/>
      <c r="E54" s="5"/>
      <c r="F54" s="5"/>
      <c r="G54" s="5"/>
      <c r="H54" s="5"/>
      <c r="I54" s="5">
        <v>-851</v>
      </c>
      <c r="J54" s="5"/>
      <c r="K54" s="5"/>
      <c r="L54" s="5">
        <v>-21</v>
      </c>
      <c r="M54" s="5">
        <f>-22-L54</f>
        <v>-1</v>
      </c>
      <c r="N54" s="5"/>
      <c r="O54" s="5"/>
      <c r="P54" s="5"/>
      <c r="Q54" s="5"/>
      <c r="S54" s="5"/>
      <c r="T54" s="5"/>
      <c r="U54" s="5"/>
      <c r="V54" s="5">
        <v>-21</v>
      </c>
      <c r="W54" s="3">
        <v>-209</v>
      </c>
      <c r="X54" s="3">
        <v>-1147</v>
      </c>
    </row>
    <row r="55" spans="2:24" s="3" customFormat="1" x14ac:dyDescent="0.15">
      <c r="B55" s="3" t="s">
        <v>96</v>
      </c>
      <c r="C55" s="5"/>
      <c r="D55" s="5">
        <f>-99-83</f>
        <v>-182</v>
      </c>
      <c r="E55" s="5">
        <f>-95-D55</f>
        <v>87</v>
      </c>
      <c r="F55" s="5"/>
      <c r="G55" s="5"/>
      <c r="H55" s="5">
        <f>-95-47</f>
        <v>-142</v>
      </c>
      <c r="I55" s="5">
        <f>-186-121-H55</f>
        <v>-165</v>
      </c>
      <c r="J55" s="5"/>
      <c r="K55" s="5"/>
      <c r="L55" s="5">
        <f>-89-44</f>
        <v>-133</v>
      </c>
      <c r="M55" s="5">
        <f>-179-110-L55</f>
        <v>-156</v>
      </c>
      <c r="N55" s="5"/>
      <c r="O55" s="5"/>
      <c r="P55" s="5"/>
      <c r="Q55" s="5"/>
      <c r="S55" s="5"/>
      <c r="T55" s="5"/>
      <c r="U55" s="5"/>
      <c r="V55" s="5">
        <v>-206</v>
      </c>
      <c r="W55" s="3">
        <f>-405-313</f>
        <v>-718</v>
      </c>
      <c r="X55" s="3">
        <f>-376-290</f>
        <v>-666</v>
      </c>
    </row>
    <row r="56" spans="2:24" s="3" customFormat="1" x14ac:dyDescent="0.15">
      <c r="B56" s="3" t="s">
        <v>43</v>
      </c>
      <c r="C56" s="5"/>
      <c r="D56" s="5">
        <f>-69-45</f>
        <v>-114</v>
      </c>
      <c r="E56" s="5"/>
      <c r="F56" s="5"/>
      <c r="G56" s="5"/>
      <c r="H56" s="5">
        <f>10-58</f>
        <v>-48</v>
      </c>
      <c r="I56" s="5">
        <f>333-173-H56</f>
        <v>208</v>
      </c>
      <c r="J56" s="5"/>
      <c r="K56" s="5"/>
      <c r="L56" s="5">
        <f>68-145</f>
        <v>-77</v>
      </c>
      <c r="M56" s="5">
        <f>221-363-L56</f>
        <v>-65</v>
      </c>
      <c r="N56" s="5"/>
      <c r="O56" s="5"/>
      <c r="P56" s="5"/>
      <c r="Q56" s="5"/>
      <c r="S56" s="5"/>
      <c r="T56" s="5"/>
      <c r="U56" s="5"/>
      <c r="V56" s="5">
        <f>248-91</f>
        <v>157</v>
      </c>
      <c r="W56" s="3">
        <f>344-2</f>
        <v>342</v>
      </c>
      <c r="X56" s="3">
        <f>939-623</f>
        <v>316</v>
      </c>
    </row>
    <row r="57" spans="2:24" s="3" customFormat="1" x14ac:dyDescent="0.15">
      <c r="B57" s="3" t="s">
        <v>59</v>
      </c>
      <c r="C57" s="5"/>
      <c r="D57" s="5">
        <f>591-12-739-36-306+10+317-104</f>
        <v>-279</v>
      </c>
      <c r="E57" s="5">
        <f>-163-D57</f>
        <v>116</v>
      </c>
      <c r="F57" s="5"/>
      <c r="G57" s="5"/>
      <c r="H57" s="5">
        <f>359-56-717-270-306-365+885+71</f>
        <v>-399</v>
      </c>
      <c r="I57" s="5">
        <f>683-6-1288-408+94-384+1596-430-H57</f>
        <v>256</v>
      </c>
      <c r="J57" s="5"/>
      <c r="K57" s="5"/>
      <c r="L57" s="5">
        <f>918-432-345-269+1124-74</f>
        <v>922</v>
      </c>
      <c r="M57" s="5">
        <f>1031-883-647+207+1860-754-L57</f>
        <v>-108</v>
      </c>
      <c r="N57" s="5"/>
      <c r="O57" s="5"/>
      <c r="P57" s="5"/>
      <c r="Q57" s="5"/>
      <c r="S57" s="5"/>
      <c r="T57" s="5"/>
      <c r="U57" s="5"/>
      <c r="V57" s="5">
        <f>-870-4-949+353+643+124+1282+302</f>
        <v>881</v>
      </c>
      <c r="W57" s="3">
        <f>-837-2-240+113-663-53+2812+151</f>
        <v>1281</v>
      </c>
      <c r="X57" s="3">
        <f>-1289-8-641-409+1066-398+2799+229</f>
        <v>1349</v>
      </c>
    </row>
    <row r="58" spans="2:24" s="3" customFormat="1" x14ac:dyDescent="0.15">
      <c r="B58" s="3" t="s">
        <v>60</v>
      </c>
      <c r="C58" s="5"/>
      <c r="D58" s="5">
        <f>SUM(D51:D57)</f>
        <v>-690</v>
      </c>
      <c r="E58" s="5"/>
      <c r="F58" s="5"/>
      <c r="G58" s="5"/>
      <c r="H58" s="5">
        <f>SUM(H51:H57)</f>
        <v>-444</v>
      </c>
      <c r="I58" s="5">
        <f>SUM(I51:I57)</f>
        <v>982</v>
      </c>
      <c r="J58" s="5">
        <f>1662-I58-H58</f>
        <v>1124</v>
      </c>
      <c r="K58" s="5">
        <f>2583-J58-I58-H58</f>
        <v>921</v>
      </c>
      <c r="L58" s="5">
        <f>SUM(L51:L57)</f>
        <v>1160</v>
      </c>
      <c r="M58" s="5">
        <f>SUM(M51:M57)</f>
        <v>368</v>
      </c>
      <c r="N58" s="5"/>
      <c r="O58" s="5"/>
      <c r="P58" s="5"/>
      <c r="Q58" s="5"/>
      <c r="S58" s="5"/>
      <c r="T58" s="5"/>
      <c r="U58" s="5"/>
      <c r="V58" s="5">
        <f>SUM(V51:V57)</f>
        <v>-114</v>
      </c>
      <c r="W58" s="3">
        <f>SUM(W51:W57)</f>
        <v>1186</v>
      </c>
      <c r="X58" s="3">
        <f>SUM(X51:X57)</f>
        <v>2583</v>
      </c>
    </row>
    <row r="60" spans="2:24" s="3" customFormat="1" x14ac:dyDescent="0.15">
      <c r="B60" s="3" t="s">
        <v>61</v>
      </c>
      <c r="C60" s="5"/>
      <c r="D60" s="5">
        <v>-124</v>
      </c>
      <c r="E60" s="5"/>
      <c r="F60" s="5"/>
      <c r="G60" s="5"/>
      <c r="H60" s="5">
        <v>-217</v>
      </c>
      <c r="I60" s="5">
        <f>-374-H60</f>
        <v>-157</v>
      </c>
      <c r="J60" s="5">
        <f>-533-I60-H60</f>
        <v>-159</v>
      </c>
      <c r="K60" s="5">
        <f>-833-J60-I60-H60</f>
        <v>-300</v>
      </c>
      <c r="L60" s="5">
        <v>-186</v>
      </c>
      <c r="M60" s="5">
        <v>-359</v>
      </c>
      <c r="N60" s="5"/>
      <c r="O60" s="5"/>
      <c r="P60" s="5"/>
      <c r="Q60" s="5"/>
      <c r="S60" s="5"/>
      <c r="T60" s="5"/>
      <c r="U60" s="5"/>
      <c r="V60" s="5">
        <v>-513</v>
      </c>
      <c r="W60" s="3">
        <v>-744</v>
      </c>
      <c r="X60" s="3">
        <v>-883</v>
      </c>
    </row>
    <row r="61" spans="2:24" s="3" customFormat="1" x14ac:dyDescent="0.15">
      <c r="B61" s="3" t="s">
        <v>62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S61" s="5"/>
      <c r="T61" s="5"/>
      <c r="U61" s="5"/>
      <c r="V61" s="5"/>
    </row>
    <row r="62" spans="2:24" s="3" customFormat="1" x14ac:dyDescent="0.15">
      <c r="B62" s="3" t="s">
        <v>63</v>
      </c>
      <c r="C62" s="5"/>
      <c r="D62" s="5">
        <f>-18+13+86</f>
        <v>81</v>
      </c>
      <c r="E62" s="5"/>
      <c r="F62" s="5"/>
      <c r="G62" s="5"/>
      <c r="H62" s="5">
        <f>-91+29-9</f>
        <v>-71</v>
      </c>
      <c r="I62" s="5">
        <f>-108+31+639+51</f>
        <v>613</v>
      </c>
      <c r="J62" s="5"/>
      <c r="K62" s="5"/>
      <c r="L62" s="5">
        <f>-6+90-25</f>
        <v>59</v>
      </c>
      <c r="M62" s="5"/>
      <c r="N62" s="5"/>
      <c r="O62" s="5"/>
      <c r="P62" s="5"/>
      <c r="Q62" s="5"/>
      <c r="S62" s="5"/>
      <c r="T62" s="5"/>
      <c r="U62" s="5"/>
      <c r="V62" s="5"/>
    </row>
    <row r="63" spans="2:24" s="3" customFormat="1" x14ac:dyDescent="0.15">
      <c r="B63" s="3" t="s">
        <v>83</v>
      </c>
      <c r="C63" s="5"/>
      <c r="D63" s="5">
        <f>D60+D62</f>
        <v>-43</v>
      </c>
      <c r="E63" s="5"/>
      <c r="F63" s="5"/>
      <c r="G63" s="5"/>
      <c r="H63" s="3">
        <f>H60+H62</f>
        <v>-288</v>
      </c>
      <c r="I63" s="5">
        <f>I62+I60</f>
        <v>456</v>
      </c>
      <c r="J63" s="5"/>
      <c r="K63" s="5"/>
      <c r="L63" s="5">
        <f>L62+L60</f>
        <v>-127</v>
      </c>
      <c r="M63" s="5"/>
      <c r="N63" s="5"/>
      <c r="O63" s="5"/>
      <c r="P63" s="5"/>
      <c r="Q63" s="5"/>
      <c r="S63" s="5"/>
      <c r="T63" s="5"/>
      <c r="U63" s="5"/>
      <c r="V63" s="5"/>
    </row>
    <row r="64" spans="2:24" s="3" customFormat="1" x14ac:dyDescent="0.1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S64" s="5"/>
      <c r="T64" s="5"/>
      <c r="U64" s="5"/>
      <c r="V64" s="5"/>
    </row>
    <row r="65" spans="2:28" x14ac:dyDescent="0.15">
      <c r="B65" s="1" t="s">
        <v>84</v>
      </c>
      <c r="H65" s="5"/>
      <c r="I65" s="5"/>
      <c r="J65" s="5"/>
      <c r="K65" s="5"/>
      <c r="L65" s="5"/>
    </row>
    <row r="66" spans="2:28" x14ac:dyDescent="0.15">
      <c r="B66" s="1" t="s">
        <v>85</v>
      </c>
      <c r="H66" s="5"/>
      <c r="I66" s="5"/>
      <c r="J66" s="5"/>
      <c r="K66" s="5"/>
      <c r="L66" s="5"/>
    </row>
    <row r="67" spans="2:28" x14ac:dyDescent="0.15">
      <c r="B67" s="1" t="s">
        <v>4</v>
      </c>
      <c r="H67" s="5"/>
      <c r="I67" s="5"/>
      <c r="J67" s="5"/>
      <c r="K67" s="5"/>
      <c r="L67" s="5"/>
    </row>
    <row r="68" spans="2:28" x14ac:dyDescent="0.15">
      <c r="B68" s="1" t="s">
        <v>58</v>
      </c>
      <c r="H68" s="5"/>
      <c r="I68" s="5"/>
      <c r="J68" s="5"/>
      <c r="K68" s="5"/>
      <c r="L68" s="5"/>
      <c r="AA68" s="1">
        <f>535-374</f>
        <v>161</v>
      </c>
      <c r="AB68" s="1">
        <f>1528-359</f>
        <v>1169</v>
      </c>
    </row>
    <row r="69" spans="2:28" x14ac:dyDescent="0.15">
      <c r="B69" s="1" t="s">
        <v>86</v>
      </c>
      <c r="H69" s="5"/>
      <c r="I69" s="5"/>
      <c r="J69" s="5"/>
      <c r="K69" s="5"/>
      <c r="L69" s="5"/>
    </row>
    <row r="70" spans="2:28" x14ac:dyDescent="0.15">
      <c r="B70" s="1" t="s">
        <v>87</v>
      </c>
      <c r="L70" s="5"/>
    </row>
    <row r="71" spans="2:28" x14ac:dyDescent="0.15">
      <c r="B71" s="1" t="s">
        <v>88</v>
      </c>
      <c r="H71" s="5"/>
      <c r="I71" s="5"/>
      <c r="J71" s="5"/>
      <c r="K71" s="5"/>
      <c r="L71" s="5"/>
    </row>
    <row r="73" spans="2:28" x14ac:dyDescent="0.15">
      <c r="B73" s="1" t="s">
        <v>95</v>
      </c>
      <c r="D73" s="5">
        <f>D58+D60</f>
        <v>-814</v>
      </c>
      <c r="E73" s="5">
        <f t="shared" ref="E73:M73" si="31">E58+E60</f>
        <v>0</v>
      </c>
      <c r="F73" s="5">
        <f t="shared" si="31"/>
        <v>0</v>
      </c>
      <c r="G73" s="5">
        <f t="shared" si="31"/>
        <v>0</v>
      </c>
      <c r="H73" s="5">
        <f t="shared" si="31"/>
        <v>-661</v>
      </c>
      <c r="I73" s="5">
        <f t="shared" si="31"/>
        <v>825</v>
      </c>
      <c r="J73" s="5">
        <f t="shared" si="31"/>
        <v>965</v>
      </c>
      <c r="K73" s="5">
        <f t="shared" si="31"/>
        <v>621</v>
      </c>
      <c r="L73" s="5">
        <f t="shared" si="31"/>
        <v>974</v>
      </c>
      <c r="M73" s="5">
        <f t="shared" si="31"/>
        <v>9</v>
      </c>
      <c r="V73" s="5">
        <f>V58+V60</f>
        <v>-627</v>
      </c>
      <c r="W73" s="5">
        <f t="shared" ref="W73:X73" si="32">W58+W60</f>
        <v>442</v>
      </c>
      <c r="X73" s="5">
        <f t="shared" si="32"/>
        <v>1700</v>
      </c>
      <c r="Y73" s="3">
        <v>3400</v>
      </c>
      <c r="Z73" s="3">
        <f>1.5*Y73</f>
        <v>5100</v>
      </c>
      <c r="AA73" s="3">
        <f>1.4*Z73</f>
        <v>7140</v>
      </c>
    </row>
    <row r="74" spans="2:28" x14ac:dyDescent="0.15">
      <c r="B74" s="1" t="s">
        <v>98</v>
      </c>
      <c r="H74" s="4">
        <v>-661</v>
      </c>
      <c r="I74" s="5">
        <f>SUM(I52:I57,I50)</f>
        <v>167</v>
      </c>
      <c r="J74" s="4">
        <v>965</v>
      </c>
      <c r="K74" s="4">
        <v>621</v>
      </c>
      <c r="L74" s="4">
        <v>974</v>
      </c>
      <c r="M74" s="5">
        <f>M7*0.08</f>
        <v>728.88</v>
      </c>
      <c r="N74" s="5">
        <f>N7*0.12</f>
        <v>1187.2116000000001</v>
      </c>
      <c r="O74" s="5">
        <f>O7*0.07</f>
        <v>827.82560000000024</v>
      </c>
    </row>
    <row r="75" spans="2:28" x14ac:dyDescent="0.15">
      <c r="B75" s="1" t="s">
        <v>99</v>
      </c>
      <c r="I75" s="13">
        <f>I74/I7</f>
        <v>2.0355923939541685E-2</v>
      </c>
      <c r="J75" s="13">
        <f t="shared" ref="J75:L75" si="33">J74/J7</f>
        <v>0.10826882082351622</v>
      </c>
      <c r="K75" s="13">
        <f t="shared" si="33"/>
        <v>5.8812387536698554E-2</v>
      </c>
      <c r="L75" s="13">
        <f t="shared" si="33"/>
        <v>0.12126494023904383</v>
      </c>
      <c r="M75" s="13">
        <f t="shared" ref="M75" si="34">M74/M7</f>
        <v>0.08</v>
      </c>
      <c r="N75" s="13">
        <f t="shared" ref="N75" si="35">N74/N7</f>
        <v>0.12000000000000001</v>
      </c>
      <c r="O75" s="13">
        <f t="shared" ref="O75" si="36">O74/O7</f>
        <v>7.0000000000000007E-2</v>
      </c>
    </row>
    <row r="1048576" spans="24:24" x14ac:dyDescent="0.15">
      <c r="X1048576" s="3"/>
    </row>
  </sheetData>
  <hyperlinks>
    <hyperlink ref="A1" location="Main!A1" display="Main" xr:uid="{9063304A-9B64-48AF-9309-873C7B521AD3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Zhuping Liu</cp:lastModifiedBy>
  <dcterms:created xsi:type="dcterms:W3CDTF">2022-06-26T21:24:14Z</dcterms:created>
  <dcterms:modified xsi:type="dcterms:W3CDTF">2025-07-23T14:03:06Z</dcterms:modified>
</cp:coreProperties>
</file>