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davidliu/Downloads/"/>
    </mc:Choice>
  </mc:AlternateContent>
  <xr:revisionPtr revIDLastSave="0" documentId="13_ncr:1_{5E23C64C-D596-CA4A-8AB1-69F7D7FCC6EF}" xr6:coauthVersionLast="47" xr6:coauthVersionMax="47" xr10:uidLastSave="{00000000-0000-0000-0000-000000000000}"/>
  <bookViews>
    <workbookView xWindow="0" yWindow="500" windowWidth="38400" windowHeight="18000" tabRatio="319" activeTab="1" xr2:uid="{00000000-000D-0000-FFFF-FFFF00000000}"/>
  </bookViews>
  <sheets>
    <sheet name="Main" sheetId="1" r:id="rId1"/>
    <sheet name="Model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7" i="2" l="1"/>
  <c r="AA7" i="2"/>
  <c r="AB7" i="2"/>
  <c r="AC7" i="2"/>
  <c r="AD7" i="2"/>
  <c r="Y7" i="2"/>
  <c r="AA14" i="2"/>
  <c r="AB14" i="2"/>
  <c r="AC14" i="2"/>
  <c r="AD14" i="2" s="1"/>
  <c r="Z14" i="2"/>
  <c r="Z15" i="2"/>
  <c r="AA15" i="2"/>
  <c r="AB15" i="2"/>
  <c r="AC15" i="2"/>
  <c r="AD15" i="2"/>
  <c r="Y15" i="2"/>
  <c r="L30" i="2"/>
  <c r="L40" i="2"/>
  <c r="Y9" i="2" l="1"/>
  <c r="E27" i="2"/>
  <c r="F27" i="2"/>
  <c r="G27" i="2"/>
  <c r="H27" i="2"/>
  <c r="I27" i="2"/>
  <c r="J27" i="2"/>
  <c r="K27" i="2"/>
  <c r="L27" i="2"/>
  <c r="D27" i="2"/>
  <c r="Y10" i="2"/>
  <c r="Y11" i="2"/>
  <c r="Z12" i="2"/>
  <c r="AA12" i="2"/>
  <c r="AD12" i="2"/>
  <c r="Y12" i="2"/>
  <c r="Z11" i="2"/>
  <c r="AA11" i="2"/>
  <c r="AB11" i="2"/>
  <c r="AC11" i="2"/>
  <c r="AD11" i="2"/>
  <c r="Z10" i="2"/>
  <c r="AA10" i="2" s="1"/>
  <c r="AB10" i="2" s="1"/>
  <c r="AC10" i="2" s="1"/>
  <c r="AD10" i="2" s="1"/>
  <c r="I28" i="2"/>
  <c r="J28" i="2"/>
  <c r="K28" i="2"/>
  <c r="L28" i="2"/>
  <c r="H28" i="2"/>
  <c r="F25" i="2"/>
  <c r="I25" i="2"/>
  <c r="J25" i="2"/>
  <c r="K25" i="2"/>
  <c r="L25" i="2"/>
  <c r="W17" i="2"/>
  <c r="X17" i="2"/>
  <c r="W15" i="2"/>
  <c r="W14" i="2"/>
  <c r="X14" i="2"/>
  <c r="X12" i="2"/>
  <c r="W11" i="2"/>
  <c r="W12" i="2" s="1"/>
  <c r="X11" i="2"/>
  <c r="X10" i="2"/>
  <c r="W10" i="2"/>
  <c r="W5" i="2"/>
  <c r="W6" i="2"/>
  <c r="X5" i="2"/>
  <c r="X6" i="2"/>
  <c r="I23" i="2"/>
  <c r="J23" i="2"/>
  <c r="F16" i="2"/>
  <c r="K15" i="2"/>
  <c r="X15" i="2" s="1"/>
  <c r="G15" i="2"/>
  <c r="J15" i="2"/>
  <c r="F15" i="2"/>
  <c r="I15" i="2"/>
  <c r="E15" i="2"/>
  <c r="D15" i="2"/>
  <c r="H15" i="2"/>
  <c r="L15" i="2"/>
  <c r="L8" i="2"/>
  <c r="L12" i="2"/>
  <c r="L7" i="2"/>
  <c r="L9" i="2" s="1"/>
  <c r="K17" i="2"/>
  <c r="K14" i="2"/>
  <c r="K11" i="2"/>
  <c r="K10" i="2"/>
  <c r="K12" i="2" s="1"/>
  <c r="K6" i="2"/>
  <c r="K5" i="2"/>
  <c r="G17" i="2"/>
  <c r="G14" i="2"/>
  <c r="G11" i="2"/>
  <c r="G10" i="2"/>
  <c r="G12" i="2" s="1"/>
  <c r="G5" i="2"/>
  <c r="G6" i="2"/>
  <c r="G7" i="2"/>
  <c r="F12" i="2"/>
  <c r="F8" i="2"/>
  <c r="J8" i="2"/>
  <c r="K8" i="2" s="1"/>
  <c r="X8" i="2" s="1"/>
  <c r="J7" i="2"/>
  <c r="J9" i="2"/>
  <c r="J12" i="2"/>
  <c r="I8" i="2"/>
  <c r="E8" i="2"/>
  <c r="I12" i="2"/>
  <c r="I7" i="2"/>
  <c r="I9" i="2" s="1"/>
  <c r="F7" i="2"/>
  <c r="F9" i="2" s="1"/>
  <c r="F13" i="2" s="1"/>
  <c r="F26" i="2" s="1"/>
  <c r="K7" i="2"/>
  <c r="K9" i="2" s="1"/>
  <c r="E12" i="2"/>
  <c r="E7" i="2"/>
  <c r="H12" i="2"/>
  <c r="H8" i="2"/>
  <c r="D12" i="2"/>
  <c r="Z9" i="2" l="1"/>
  <c r="AC12" i="2"/>
  <c r="AB12" i="2"/>
  <c r="K23" i="2"/>
  <c r="F18" i="2"/>
  <c r="K13" i="2"/>
  <c r="L13" i="2"/>
  <c r="J13" i="2"/>
  <c r="I13" i="2"/>
  <c r="E9" i="2"/>
  <c r="D8" i="2"/>
  <c r="H7" i="2"/>
  <c r="D7" i="2"/>
  <c r="W7" i="2" s="1"/>
  <c r="E2" i="2"/>
  <c r="F2" i="2"/>
  <c r="G2" i="2"/>
  <c r="D2" i="2"/>
  <c r="L2" i="2"/>
  <c r="M2" i="2"/>
  <c r="G6" i="1"/>
  <c r="G5" i="1"/>
  <c r="V65" i="2"/>
  <c r="V66" i="2" s="1"/>
  <c r="V57" i="2"/>
  <c r="V58" i="2" s="1"/>
  <c r="W2" i="2"/>
  <c r="X2" i="2" s="1"/>
  <c r="Y2" i="2" s="1"/>
  <c r="Z2" i="2" s="1"/>
  <c r="AA2" i="2" s="1"/>
  <c r="AB2" i="2" s="1"/>
  <c r="AC2" i="2" s="1"/>
  <c r="AD2" i="2" s="1"/>
  <c r="O2" i="2"/>
  <c r="N2" i="2"/>
  <c r="G4" i="1"/>
  <c r="AA9" i="2" l="1"/>
  <c r="J16" i="2"/>
  <c r="J26" i="2"/>
  <c r="L26" i="2"/>
  <c r="L16" i="2"/>
  <c r="L18" i="2" s="1"/>
  <c r="L19" i="2" s="1"/>
  <c r="G8" i="2"/>
  <c r="G9" i="2" s="1"/>
  <c r="W8" i="2"/>
  <c r="W9" i="2" s="1"/>
  <c r="W13" i="2" s="1"/>
  <c r="E13" i="2"/>
  <c r="E25" i="2"/>
  <c r="I16" i="2"/>
  <c r="I18" i="2" s="1"/>
  <c r="I19" i="2" s="1"/>
  <c r="I26" i="2"/>
  <c r="K16" i="2"/>
  <c r="K18" i="2" s="1"/>
  <c r="K19" i="2" s="1"/>
  <c r="K26" i="2"/>
  <c r="H9" i="2"/>
  <c r="H23" i="2"/>
  <c r="X7" i="2"/>
  <c r="L23" i="2"/>
  <c r="J18" i="2"/>
  <c r="J19" i="2" s="1"/>
  <c r="D9" i="2"/>
  <c r="G7" i="1"/>
  <c r="AB9" i="2" l="1"/>
  <c r="G13" i="2"/>
  <c r="G25" i="2"/>
  <c r="D13" i="2"/>
  <c r="D25" i="2"/>
  <c r="X9" i="2"/>
  <c r="X13" i="2" s="1"/>
  <c r="X16" i="2" s="1"/>
  <c r="X18" i="2" s="1"/>
  <c r="X19" i="2" s="1"/>
  <c r="H13" i="2"/>
  <c r="H25" i="2"/>
  <c r="E26" i="2"/>
  <c r="E16" i="2"/>
  <c r="E18" i="2" s="1"/>
  <c r="AD9" i="2" l="1"/>
  <c r="AC9" i="2"/>
  <c r="H18" i="2"/>
  <c r="H19" i="2" s="1"/>
  <c r="H16" i="2"/>
  <c r="H26" i="2"/>
  <c r="Y13" i="2"/>
  <c r="Y16" i="2" s="1"/>
  <c r="Y8" i="2"/>
  <c r="D26" i="2"/>
  <c r="D16" i="2"/>
  <c r="W16" i="2" s="1"/>
  <c r="W18" i="2" s="1"/>
  <c r="W19" i="2" s="1"/>
  <c r="G18" i="2"/>
  <c r="G16" i="2"/>
  <c r="G26" i="2"/>
  <c r="V50" i="2"/>
  <c r="Y17" i="2" l="1"/>
  <c r="Y18" i="2" s="1"/>
  <c r="Z13" i="2"/>
  <c r="Z16" i="2" s="1"/>
  <c r="Z8" i="2"/>
  <c r="D18" i="2"/>
  <c r="Z17" i="2" l="1"/>
  <c r="Z18" i="2"/>
  <c r="Z19" i="2" s="1"/>
  <c r="Y19" i="2"/>
  <c r="AA13" i="2"/>
  <c r="AA16" i="2" s="1"/>
  <c r="AA8" i="2"/>
  <c r="AA17" i="2" l="1"/>
  <c r="AA18" i="2" s="1"/>
  <c r="AB8" i="2" l="1"/>
  <c r="AB13" i="2"/>
  <c r="AB16" i="2" s="1"/>
  <c r="AA19" i="2"/>
  <c r="AC8" i="2" l="1"/>
  <c r="AC13" i="2"/>
  <c r="AC16" i="2" s="1"/>
  <c r="AB17" i="2"/>
  <c r="AB18" i="2" s="1"/>
  <c r="AD13" i="2"/>
  <c r="AD16" i="2" s="1"/>
  <c r="AD8" i="2"/>
  <c r="AB19" i="2" l="1"/>
  <c r="AD17" i="2"/>
  <c r="AD18" i="2" s="1"/>
  <c r="AC17" i="2"/>
  <c r="AC18" i="2" s="1"/>
  <c r="AC19" i="2" l="1"/>
  <c r="AD19" i="2"/>
  <c r="AE18" i="2"/>
  <c r="AF18" i="2" s="1"/>
  <c r="AG18" i="2" s="1"/>
  <c r="AH18" i="2" s="1"/>
  <c r="AI18" i="2" s="1"/>
  <c r="AJ18" i="2" s="1"/>
  <c r="AK18" i="2" s="1"/>
  <c r="AL18" i="2" s="1"/>
  <c r="AM18" i="2" s="1"/>
  <c r="AN18" i="2" s="1"/>
  <c r="AO18" i="2" s="1"/>
  <c r="AP18" i="2" s="1"/>
  <c r="AQ18" i="2" s="1"/>
  <c r="AR18" i="2" s="1"/>
  <c r="AS18" i="2" s="1"/>
  <c r="AT18" i="2" s="1"/>
  <c r="AU18" i="2" s="1"/>
  <c r="AV18" i="2" s="1"/>
  <c r="AW18" i="2" s="1"/>
  <c r="AX18" i="2" s="1"/>
  <c r="AY18" i="2" s="1"/>
  <c r="AZ18" i="2" s="1"/>
  <c r="BA18" i="2" s="1"/>
  <c r="BB18" i="2" s="1"/>
  <c r="BC18" i="2" s="1"/>
  <c r="BD18" i="2" s="1"/>
  <c r="BE18" i="2" s="1"/>
  <c r="BF18" i="2" s="1"/>
  <c r="BG18" i="2" s="1"/>
  <c r="BH18" i="2" s="1"/>
  <c r="BI18" i="2" s="1"/>
  <c r="BJ18" i="2" s="1"/>
  <c r="BK18" i="2" s="1"/>
  <c r="BL18" i="2" s="1"/>
  <c r="BM18" i="2" s="1"/>
  <c r="BN18" i="2" s="1"/>
  <c r="BO18" i="2" s="1"/>
  <c r="BP18" i="2" s="1"/>
  <c r="BQ18" i="2" s="1"/>
  <c r="BR18" i="2" s="1"/>
  <c r="BS18" i="2" s="1"/>
  <c r="BT18" i="2" s="1"/>
  <c r="BU18" i="2" s="1"/>
  <c r="BV18" i="2" s="1"/>
  <c r="BW18" i="2" s="1"/>
  <c r="BX18" i="2" s="1"/>
  <c r="BY18" i="2" s="1"/>
  <c r="BZ18" i="2" s="1"/>
  <c r="CA18" i="2" s="1"/>
  <c r="CB18" i="2" s="1"/>
  <c r="CC18" i="2" s="1"/>
  <c r="CD18" i="2" s="1"/>
  <c r="CE18" i="2" s="1"/>
  <c r="CF18" i="2" s="1"/>
  <c r="CG18" i="2" s="1"/>
  <c r="CH18" i="2" s="1"/>
  <c r="CI18" i="2" s="1"/>
  <c r="CJ18" i="2" s="1"/>
  <c r="CK18" i="2" s="1"/>
  <c r="CL18" i="2" s="1"/>
  <c r="CM18" i="2" s="1"/>
  <c r="CN18" i="2" s="1"/>
  <c r="CO18" i="2" s="1"/>
  <c r="CP18" i="2" s="1"/>
  <c r="CQ18" i="2" s="1"/>
  <c r="CR18" i="2" s="1"/>
  <c r="CS18" i="2" s="1"/>
  <c r="CT18" i="2" s="1"/>
  <c r="CU18" i="2" s="1"/>
  <c r="CV18" i="2" s="1"/>
  <c r="CW18" i="2" s="1"/>
  <c r="CX18" i="2" s="1"/>
  <c r="CY18" i="2" s="1"/>
  <c r="CZ18" i="2" s="1"/>
  <c r="DA18" i="2" s="1"/>
  <c r="DB18" i="2" s="1"/>
  <c r="DC18" i="2" s="1"/>
  <c r="DD18" i="2" s="1"/>
  <c r="DE18" i="2" s="1"/>
  <c r="DF18" i="2" s="1"/>
  <c r="DG18" i="2" s="1"/>
  <c r="DH18" i="2" s="1"/>
  <c r="DI18" i="2" s="1"/>
  <c r="DJ18" i="2" s="1"/>
  <c r="DK18" i="2" s="1"/>
  <c r="DL18" i="2" s="1"/>
  <c r="DM18" i="2" s="1"/>
  <c r="DN18" i="2" s="1"/>
  <c r="DO18" i="2" s="1"/>
  <c r="DP18" i="2" s="1"/>
  <c r="DQ18" i="2" s="1"/>
  <c r="DR18" i="2" s="1"/>
  <c r="DS18" i="2" s="1"/>
  <c r="DT18" i="2" s="1"/>
  <c r="DU18" i="2" s="1"/>
  <c r="DV18" i="2" s="1"/>
  <c r="DW18" i="2" s="1"/>
  <c r="DX18" i="2" s="1"/>
  <c r="DY18" i="2" s="1"/>
  <c r="DZ18" i="2" s="1"/>
  <c r="EA18" i="2" s="1"/>
  <c r="EB18" i="2" s="1"/>
  <c r="EC18" i="2" s="1"/>
  <c r="ED18" i="2" s="1"/>
  <c r="EE18" i="2" s="1"/>
  <c r="EF18" i="2" s="1"/>
  <c r="EG18" i="2" s="1"/>
  <c r="EH18" i="2" s="1"/>
  <c r="EI18" i="2" s="1"/>
  <c r="EJ18" i="2" s="1"/>
  <c r="EK18" i="2" s="1"/>
  <c r="EL18" i="2" s="1"/>
  <c r="EM18" i="2" s="1"/>
  <c r="EN18" i="2" s="1"/>
  <c r="EO18" i="2" s="1"/>
  <c r="EP18" i="2" s="1"/>
  <c r="EQ18" i="2" s="1"/>
  <c r="ER18" i="2" s="1"/>
  <c r="ES18" i="2" s="1"/>
  <c r="ET18" i="2" s="1"/>
  <c r="EU18" i="2" s="1"/>
  <c r="EV18" i="2" s="1"/>
  <c r="EW18" i="2" s="1"/>
  <c r="EX18" i="2" s="1"/>
  <c r="EY18" i="2" s="1"/>
  <c r="EZ18" i="2" s="1"/>
  <c r="FA18" i="2" s="1"/>
  <c r="FB18" i="2" s="1"/>
  <c r="FC18" i="2" s="1"/>
  <c r="FD18" i="2" s="1"/>
  <c r="FE18" i="2" s="1"/>
  <c r="AG33" i="2" l="1"/>
  <c r="AG34" i="2" s="1"/>
  <c r="AG35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tc={0C902BA8-DB29-8840-A4E3-B4EE13DC32C9}</author>
    <author>tc={DF3A69DD-1198-42A5-A83A-5484CF412A11}</author>
  </authors>
  <commentList>
    <comment ref="I16" authorId="0" shapeId="0" xr:uid="{0C902BA8-DB29-8840-A4E3-B4EE13DC32C9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 not include spin-off / sale of nuclear business to EDF. taxes are high because of sale.</t>
      </text>
    </comment>
    <comment ref="K70" authorId="1" shapeId="0" xr:uid="{DF3A69DD-1198-42A5-A83A-5484CF412A11}">
      <text>
        <t>[Threaded comment]
Your version of Excel allows you to read this threaded comment; however, any edits to it will get removed if the file is opened in a newer version of Excel. Learn more: https://go.microsoft.com/fwlink/?linkid=870924
Comment:
    Didn’t add up?</t>
      </text>
    </comment>
  </commentList>
</comments>
</file>

<file path=xl/sharedStrings.xml><?xml version="1.0" encoding="utf-8"?>
<sst xmlns="http://schemas.openxmlformats.org/spreadsheetml/2006/main" count="107" uniqueCount="96">
  <si>
    <t>Price</t>
  </si>
  <si>
    <t>Shares</t>
  </si>
  <si>
    <t>MC</t>
  </si>
  <si>
    <t>Cash</t>
  </si>
  <si>
    <t>Debt</t>
  </si>
  <si>
    <t>EV</t>
  </si>
  <si>
    <t>Main</t>
  </si>
  <si>
    <t>Revenue</t>
  </si>
  <si>
    <t>COGS</t>
  </si>
  <si>
    <t>Gross Profit</t>
  </si>
  <si>
    <t>Gross Margin</t>
  </si>
  <si>
    <t>R&amp;D</t>
  </si>
  <si>
    <t>Operating Expenses</t>
  </si>
  <si>
    <t>Operating Income</t>
  </si>
  <si>
    <t>Interest Expense</t>
  </si>
  <si>
    <t>Pretax Income</t>
  </si>
  <si>
    <t>Taxes</t>
  </si>
  <si>
    <t>EPS</t>
  </si>
  <si>
    <t>NGEPS</t>
  </si>
  <si>
    <t>FY21</t>
  </si>
  <si>
    <t>FY22</t>
  </si>
  <si>
    <t>Revenue y/y</t>
  </si>
  <si>
    <t>Services</t>
  </si>
  <si>
    <t>FQ123</t>
  </si>
  <si>
    <t>FQ223</t>
  </si>
  <si>
    <t>FQ323</t>
  </si>
  <si>
    <t>FQ423</t>
  </si>
  <si>
    <t>6/13/22: FY22 results.</t>
  </si>
  <si>
    <t>FY20</t>
  </si>
  <si>
    <t>FY19</t>
  </si>
  <si>
    <t>FY23</t>
  </si>
  <si>
    <t>FY24</t>
  </si>
  <si>
    <t>FY25</t>
  </si>
  <si>
    <t>FY26</t>
  </si>
  <si>
    <t>FY27</t>
  </si>
  <si>
    <t>FY28</t>
  </si>
  <si>
    <t>FY29</t>
  </si>
  <si>
    <t>FY30</t>
  </si>
  <si>
    <t>Assets</t>
  </si>
  <si>
    <t>AR</t>
  </si>
  <si>
    <t>Prepaids</t>
  </si>
  <si>
    <t>PPE</t>
  </si>
  <si>
    <t>Goodwill</t>
  </si>
  <si>
    <t>DT</t>
  </si>
  <si>
    <t>ONCA</t>
  </si>
  <si>
    <t>DR</t>
  </si>
  <si>
    <t>AP</t>
  </si>
  <si>
    <t>Compensation</t>
  </si>
  <si>
    <t>OCL</t>
  </si>
  <si>
    <t>ONCL</t>
  </si>
  <si>
    <t>SE</t>
  </si>
  <si>
    <t>L+SE</t>
  </si>
  <si>
    <t>Net Cash</t>
  </si>
  <si>
    <t>FY18</t>
  </si>
  <si>
    <t>Model NI</t>
  </si>
  <si>
    <t>Reported NI</t>
  </si>
  <si>
    <t>Depreciation</t>
  </si>
  <si>
    <t>Intangibles</t>
  </si>
  <si>
    <t>SBC</t>
  </si>
  <si>
    <t>Other</t>
  </si>
  <si>
    <t>WC</t>
  </si>
  <si>
    <t>CFFO</t>
  </si>
  <si>
    <t>CapEx</t>
  </si>
  <si>
    <t>Acquisitions</t>
  </si>
  <si>
    <t>Investments</t>
  </si>
  <si>
    <t>Tax Rate</t>
  </si>
  <si>
    <t>ROIC</t>
  </si>
  <si>
    <t>Discount</t>
  </si>
  <si>
    <t>NPV</t>
  </si>
  <si>
    <t>Terminal</t>
  </si>
  <si>
    <t>Share</t>
  </si>
  <si>
    <t>Delta</t>
  </si>
  <si>
    <t>Operating Margin</t>
  </si>
  <si>
    <t>FQ124</t>
  </si>
  <si>
    <t>FQ224</t>
  </si>
  <si>
    <t>FQ324</t>
  </si>
  <si>
    <t>FQ424</t>
  </si>
  <si>
    <t>FY17</t>
  </si>
  <si>
    <t>FQ125</t>
  </si>
  <si>
    <t>FQ225</t>
  </si>
  <si>
    <t>FQ325</t>
  </si>
  <si>
    <t>FQ425</t>
  </si>
  <si>
    <t>CEO: Safra Catz</t>
  </si>
  <si>
    <t>Revenue CC y/y</t>
  </si>
  <si>
    <t>CFFI</t>
  </si>
  <si>
    <t>Shares/Buybacks</t>
  </si>
  <si>
    <t>Dividends</t>
  </si>
  <si>
    <t>CFFF</t>
  </si>
  <si>
    <t>FX</t>
  </si>
  <si>
    <t>CIC</t>
  </si>
  <si>
    <t>Q125</t>
  </si>
  <si>
    <t>Equipment</t>
  </si>
  <si>
    <t>SG&amp;A</t>
  </si>
  <si>
    <t>Net Income (Model)</t>
  </si>
  <si>
    <t xml:space="preserve">EDF acuires GE Vernova nuclear </t>
  </si>
  <si>
    <t>Operating % y/y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</si>
</sst>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%"/>
    <numFmt numFmtId="165" formatCode="m/d/yy;@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18"/>
    </font>
    <font>
      <b/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2" fontId="2" fillId="0" borderId="0" xfId="0" applyNumberFormat="1" applyFont="1"/>
    <xf numFmtId="3" fontId="2" fillId="0" borderId="0" xfId="0" applyNumberFormat="1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3" fontId="3" fillId="0" borderId="0" xfId="0" applyNumberFormat="1" applyFont="1"/>
    <xf numFmtId="3" fontId="3" fillId="0" borderId="0" xfId="0" applyNumberFormat="1" applyFont="1" applyAlignment="1">
      <alignment horizontal="right"/>
    </xf>
    <xf numFmtId="0" fontId="5" fillId="0" borderId="0" xfId="1" applyFont="1"/>
    <xf numFmtId="165" fontId="2" fillId="0" borderId="0" xfId="0" applyNumberFormat="1" applyFont="1"/>
    <xf numFmtId="165" fontId="2" fillId="0" borderId="0" xfId="0" applyNumberFormat="1" applyFont="1" applyAlignment="1">
      <alignment horizontal="right"/>
    </xf>
    <xf numFmtId="9" fontId="2" fillId="0" borderId="0" xfId="0" applyNumberFormat="1" applyFont="1" applyAlignment="1">
      <alignment horizontal="right"/>
    </xf>
    <xf numFmtId="9" fontId="2" fillId="0" borderId="0" xfId="0" applyNumberFormat="1" applyFont="1"/>
    <xf numFmtId="4" fontId="2" fillId="0" borderId="0" xfId="0" applyNumberFormat="1" applyFont="1"/>
    <xf numFmtId="0" fontId="6" fillId="0" borderId="0" xfId="0" applyFont="1"/>
    <xf numFmtId="0" fontId="6" fillId="0" borderId="0" xfId="0" applyFont="1" applyAlignment="1">
      <alignment horizontal="right"/>
    </xf>
    <xf numFmtId="3" fontId="6" fillId="0" borderId="0" xfId="0" applyNumberFormat="1" applyFon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 indent="1"/>
    </xf>
    <xf numFmtId="14" fontId="2" fillId="0" borderId="0" xfId="0" applyNumberFormat="1" applyFont="1"/>
    <xf numFmtId="2" fontId="2" fillId="0" borderId="0" xfId="0" applyNumberFormat="1" applyFont="1" applyAlignment="1">
      <alignment horizontal="right"/>
    </xf>
    <xf numFmtId="1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940DFB76-DC69-4A56-93BC-1C4FCEC9849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684080</xdr:colOff>
      <xdr:row>0</xdr:row>
      <xdr:rowOff>0</xdr:rowOff>
    </xdr:from>
    <xdr:to>
      <xdr:col>11</xdr:col>
      <xdr:colOff>684080</xdr:colOff>
      <xdr:row>77</xdr:row>
      <xdr:rowOff>133614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AFCF9D3-5100-8A80-28CE-CF7450CB3CAC}"/>
            </a:ext>
          </a:extLst>
        </xdr:cNvPr>
        <xdr:cNvCxnSpPr/>
      </xdr:nvCxnSpPr>
      <xdr:spPr>
        <a:xfrm>
          <a:off x="5831813" y="0"/>
          <a:ext cx="0" cy="148656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7350</xdr:colOff>
      <xdr:row>0</xdr:row>
      <xdr:rowOff>53578</xdr:rowOff>
    </xdr:from>
    <xdr:to>
      <xdr:col>24</xdr:col>
      <xdr:colOff>7350</xdr:colOff>
      <xdr:row>76</xdr:row>
      <xdr:rowOff>50213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8176DD61-519C-41F5-9F0F-40218F5D1A06}"/>
            </a:ext>
          </a:extLst>
        </xdr:cNvPr>
        <xdr:cNvCxnSpPr/>
      </xdr:nvCxnSpPr>
      <xdr:spPr>
        <a:xfrm>
          <a:off x="21646959" y="53578"/>
          <a:ext cx="0" cy="134983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7216FEC0-B7FB-466B-9D42-622825855BC7}" userId="9ffda80931a57275" providerId="Windows Live"/>
  <person displayName="Zhuping Liu" id="{30FBDE2E-2711-A541-90D7-9499F3AA6A54}" userId="d297780b3146bd88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6" dT="2025-07-19T03:28:08.35" personId="{30FBDE2E-2711-A541-90D7-9499F3AA6A54}" id="{0C902BA8-DB29-8840-A4E3-B4EE13DC32C9}">
    <text>does not include spin-off / sale of nuclear business to EDF. taxes are high because of sale.</text>
  </threadedComment>
  <threadedComment ref="K70" dT="2024-09-11T18:53:29.19" personId="{7216FEC0-B7FB-466B-9D42-622825855BC7}" id="{DF3A69DD-1198-42A5-A83A-5484CF412A11}">
    <text>Didn’t add up?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D04C5-FAB4-8B42-B6A2-F2686B3BB573}">
  <dimension ref="A2:H16"/>
  <sheetViews>
    <sheetView zoomScale="205" zoomScaleNormal="205" zoomScaleSheetLayoutView="100" workbookViewId="0">
      <selection activeCell="D5" sqref="D5:D6"/>
    </sheetView>
  </sheetViews>
  <sheetFormatPr baseColWidth="10" defaultColWidth="8.5" defaultRowHeight="13" x14ac:dyDescent="0.15"/>
  <cols>
    <col min="1" max="6" width="8.5" style="1"/>
    <col min="7" max="7" width="8.33203125" style="1" customWidth="1"/>
    <col min="8" max="16384" width="8.5" style="1"/>
  </cols>
  <sheetData>
    <row r="2" spans="1:8" x14ac:dyDescent="0.15">
      <c r="A2" s="23">
        <v>45443</v>
      </c>
      <c r="B2" s="1" t="s">
        <v>94</v>
      </c>
      <c r="F2" s="1" t="s">
        <v>0</v>
      </c>
      <c r="G2" s="2">
        <v>205</v>
      </c>
    </row>
    <row r="3" spans="1:8" x14ac:dyDescent="0.15">
      <c r="F3" s="1" t="s">
        <v>1</v>
      </c>
      <c r="G3" s="3">
        <v>2808.8330000000001</v>
      </c>
      <c r="H3" s="4" t="s">
        <v>90</v>
      </c>
    </row>
    <row r="4" spans="1:8" x14ac:dyDescent="0.15">
      <c r="F4" s="1" t="s">
        <v>2</v>
      </c>
      <c r="G4" s="3">
        <f>G3*G2</f>
        <v>575810.76500000001</v>
      </c>
    </row>
    <row r="5" spans="1:8" x14ac:dyDescent="0.15">
      <c r="F5" s="1" t="s">
        <v>3</v>
      </c>
      <c r="G5" s="3">
        <f>10786+417</f>
        <v>11203</v>
      </c>
      <c r="H5" s="4" t="s">
        <v>90</v>
      </c>
    </row>
    <row r="6" spans="1:8" x14ac:dyDescent="0.15">
      <c r="F6" s="1" t="s">
        <v>4</v>
      </c>
      <c r="G6" s="3">
        <f>7271+85297</f>
        <v>92568</v>
      </c>
      <c r="H6" s="4" t="s">
        <v>90</v>
      </c>
    </row>
    <row r="7" spans="1:8" x14ac:dyDescent="0.15">
      <c r="F7" s="1" t="s">
        <v>5</v>
      </c>
      <c r="G7" s="3">
        <f>G4-G5+G6</f>
        <v>657175.76500000001</v>
      </c>
    </row>
    <row r="10" spans="1:8" x14ac:dyDescent="0.15">
      <c r="F10" s="1" t="s">
        <v>82</v>
      </c>
    </row>
    <row r="16" spans="1:8" x14ac:dyDescent="0.15">
      <c r="B16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BEAAF-34CF-A143-8837-7F659B2590CD}">
  <dimension ref="A1:FE73"/>
  <sheetViews>
    <sheetView tabSelected="1" zoomScale="150" zoomScaleNormal="150" zoomScaleSheetLayoutView="100" workbookViewId="0">
      <pane xSplit="2" ySplit="3" topLeftCell="T7" activePane="bottomRight" state="frozen"/>
      <selection pane="topRight" activeCell="C1" sqref="C1"/>
      <selection pane="bottomLeft" activeCell="A4" sqref="A4"/>
      <selection pane="bottomRight" activeCell="AG33" sqref="AG33"/>
    </sheetView>
  </sheetViews>
  <sheetFormatPr baseColWidth="10" defaultColWidth="8.5" defaultRowHeight="13" x14ac:dyDescent="0.15"/>
  <cols>
    <col min="1" max="1" width="5" style="1" bestFit="1" customWidth="1"/>
    <col min="2" max="2" width="17.5" style="1" customWidth="1"/>
    <col min="3" max="17" width="9" style="4" customWidth="1"/>
    <col min="18" max="18" width="8.5" style="1"/>
    <col min="19" max="20" width="8.5" style="4"/>
    <col min="21" max="22" width="9.5" style="4" customWidth="1"/>
    <col min="23" max="32" width="8.5" style="1"/>
    <col min="33" max="33" width="9.33203125" style="1" customWidth="1"/>
    <col min="34" max="16384" width="8.5" style="1"/>
  </cols>
  <sheetData>
    <row r="1" spans="1:30" x14ac:dyDescent="0.15">
      <c r="A1" s="10" t="s">
        <v>6</v>
      </c>
    </row>
    <row r="2" spans="1:30" s="11" customFormat="1" x14ac:dyDescent="0.15">
      <c r="C2" s="12"/>
      <c r="D2" s="12">
        <f>H2-365</f>
        <v>45017</v>
      </c>
      <c r="E2" s="12">
        <f t="shared" ref="E2:G2" si="0">I2-365</f>
        <v>45108</v>
      </c>
      <c r="F2" s="12">
        <f t="shared" si="0"/>
        <v>45200</v>
      </c>
      <c r="G2" s="12">
        <f t="shared" si="0"/>
        <v>45292</v>
      </c>
      <c r="H2" s="12">
        <v>45382</v>
      </c>
      <c r="I2" s="12">
        <v>45473</v>
      </c>
      <c r="J2" s="12">
        <v>45565</v>
      </c>
      <c r="K2" s="12">
        <v>45657</v>
      </c>
      <c r="L2" s="12">
        <f>365+H2</f>
        <v>45747</v>
      </c>
      <c r="M2" s="12">
        <f>+I2+366</f>
        <v>45839</v>
      </c>
      <c r="N2" s="12">
        <f>+J2+365</f>
        <v>45930</v>
      </c>
      <c r="O2" s="12">
        <f>+K2+365</f>
        <v>46022</v>
      </c>
      <c r="P2" s="12"/>
      <c r="Q2" s="12">
        <v>42886</v>
      </c>
      <c r="R2" s="12">
        <v>43251</v>
      </c>
      <c r="S2" s="12">
        <v>43616</v>
      </c>
      <c r="T2" s="12">
        <v>43982</v>
      </c>
      <c r="U2" s="12">
        <v>44347</v>
      </c>
      <c r="V2" s="12">
        <v>44712</v>
      </c>
      <c r="W2" s="12">
        <f>V2+365</f>
        <v>45077</v>
      </c>
      <c r="X2" s="12">
        <f>W2+366</f>
        <v>45443</v>
      </c>
      <c r="Y2" s="12">
        <f t="shared" ref="Y2" si="1">X2+365</f>
        <v>45808</v>
      </c>
      <c r="Z2" s="12">
        <f t="shared" ref="Z2:AA2" si="2">Y2+365</f>
        <v>46173</v>
      </c>
      <c r="AA2" s="12">
        <f t="shared" si="2"/>
        <v>46538</v>
      </c>
      <c r="AB2" s="12">
        <f>AA2+366</f>
        <v>46904</v>
      </c>
      <c r="AC2" s="12">
        <f t="shared" ref="AC2" si="3">AB2+365</f>
        <v>47269</v>
      </c>
      <c r="AD2" s="12">
        <f>AC2+365</f>
        <v>47634</v>
      </c>
    </row>
    <row r="3" spans="1:30" x14ac:dyDescent="0.15">
      <c r="D3" s="4" t="s">
        <v>23</v>
      </c>
      <c r="E3" s="4" t="s">
        <v>24</v>
      </c>
      <c r="F3" s="4" t="s">
        <v>25</v>
      </c>
      <c r="G3" s="4" t="s">
        <v>26</v>
      </c>
      <c r="H3" s="4" t="s">
        <v>73</v>
      </c>
      <c r="I3" s="4" t="s">
        <v>74</v>
      </c>
      <c r="J3" s="4" t="s">
        <v>75</v>
      </c>
      <c r="K3" s="4" t="s">
        <v>76</v>
      </c>
      <c r="L3" s="4" t="s">
        <v>78</v>
      </c>
      <c r="M3" s="4" t="s">
        <v>79</v>
      </c>
      <c r="N3" s="4" t="s">
        <v>80</v>
      </c>
      <c r="O3" s="4" t="s">
        <v>81</v>
      </c>
      <c r="Q3" s="4" t="s">
        <v>77</v>
      </c>
      <c r="R3" s="4" t="s">
        <v>53</v>
      </c>
      <c r="S3" s="4" t="s">
        <v>29</v>
      </c>
      <c r="T3" s="4" t="s">
        <v>28</v>
      </c>
      <c r="U3" s="4" t="s">
        <v>19</v>
      </c>
      <c r="V3" s="4" t="s">
        <v>20</v>
      </c>
      <c r="W3" s="4" t="s">
        <v>30</v>
      </c>
      <c r="X3" s="4" t="s">
        <v>31</v>
      </c>
      <c r="Y3" s="4" t="s">
        <v>32</v>
      </c>
      <c r="Z3" s="4" t="s">
        <v>33</v>
      </c>
      <c r="AA3" s="4" t="s">
        <v>34</v>
      </c>
      <c r="AB3" s="4" t="s">
        <v>35</v>
      </c>
      <c r="AC3" s="4" t="s">
        <v>36</v>
      </c>
      <c r="AD3" s="4" t="s">
        <v>37</v>
      </c>
    </row>
    <row r="4" spans="1:30" x14ac:dyDescent="0.15">
      <c r="R4" s="4"/>
      <c r="W4" s="4"/>
      <c r="X4" s="4"/>
      <c r="Y4" s="4"/>
      <c r="Z4" s="4"/>
      <c r="AA4" s="4"/>
      <c r="AB4" s="4"/>
      <c r="AC4" s="4"/>
      <c r="AD4" s="4"/>
    </row>
    <row r="5" spans="1:30" s="16" customFormat="1" x14ac:dyDescent="0.15">
      <c r="A5" s="21"/>
      <c r="B5" s="22" t="s">
        <v>91</v>
      </c>
      <c r="C5" s="18"/>
      <c r="D5" s="20">
        <v>3489</v>
      </c>
      <c r="E5" s="20">
        <v>4388</v>
      </c>
      <c r="F5" s="4">
        <v>4869</v>
      </c>
      <c r="G5" s="18">
        <f>18258-F5-E5-D5</f>
        <v>5512</v>
      </c>
      <c r="H5" s="20">
        <v>3617</v>
      </c>
      <c r="I5" s="20">
        <v>4194</v>
      </c>
      <c r="J5" s="20">
        <v>5290</v>
      </c>
      <c r="K5" s="5">
        <f>18952-SUM(H5:J5)</f>
        <v>5851</v>
      </c>
      <c r="L5" s="20">
        <v>4197</v>
      </c>
      <c r="M5" s="18"/>
      <c r="N5" s="18"/>
      <c r="O5" s="18"/>
      <c r="P5" s="17"/>
      <c r="Q5" s="17"/>
      <c r="R5" s="17"/>
      <c r="S5" s="17"/>
      <c r="T5" s="17"/>
      <c r="U5" s="17"/>
      <c r="V5" s="17"/>
      <c r="W5" s="18">
        <f>SUM(D5:G5)</f>
        <v>18258</v>
      </c>
      <c r="X5" s="18">
        <f>SUM(H5:K5)</f>
        <v>18952</v>
      </c>
      <c r="Y5" s="18"/>
      <c r="Z5" s="18"/>
      <c r="AA5" s="18"/>
      <c r="AB5" s="18"/>
      <c r="AC5" s="18"/>
      <c r="AD5" s="18"/>
    </row>
    <row r="6" spans="1:30" s="3" customFormat="1" x14ac:dyDescent="0.15">
      <c r="A6" s="19"/>
      <c r="B6" s="22" t="s">
        <v>22</v>
      </c>
      <c r="C6" s="5"/>
      <c r="D6" s="5">
        <v>3333</v>
      </c>
      <c r="E6" s="5">
        <v>3732</v>
      </c>
      <c r="F6" s="5">
        <v>3383</v>
      </c>
      <c r="G6" s="5">
        <f>14981-F6-E6-D6</f>
        <v>4533</v>
      </c>
      <c r="H6" s="5">
        <v>3642</v>
      </c>
      <c r="I6" s="5">
        <v>4010</v>
      </c>
      <c r="J6" s="5">
        <v>3623</v>
      </c>
      <c r="K6" s="5">
        <f>15983-SUM(H6:J6)</f>
        <v>4708</v>
      </c>
      <c r="L6" s="5">
        <v>3835</v>
      </c>
      <c r="M6" s="5"/>
      <c r="N6" s="5"/>
      <c r="O6" s="5"/>
      <c r="P6" s="5"/>
      <c r="Q6" s="5"/>
      <c r="S6" s="5"/>
      <c r="T6" s="5"/>
      <c r="U6" s="5"/>
      <c r="V6" s="5"/>
      <c r="W6" s="3">
        <f>SUM(D6:G6)</f>
        <v>14981</v>
      </c>
      <c r="X6" s="3">
        <f>SUM(H6:K6)</f>
        <v>15983</v>
      </c>
    </row>
    <row r="7" spans="1:30" s="8" customFormat="1" x14ac:dyDescent="0.15">
      <c r="B7" s="8" t="s">
        <v>7</v>
      </c>
      <c r="C7" s="9"/>
      <c r="D7" s="9">
        <f>SUM(D5:D6)</f>
        <v>6822</v>
      </c>
      <c r="E7" s="9">
        <f>SUM(E5:E6)</f>
        <v>8120</v>
      </c>
      <c r="F7" s="9">
        <f t="shared" ref="F7:K7" si="4">SUM(F5:F6)</f>
        <v>8252</v>
      </c>
      <c r="G7" s="9">
        <f>SUM(G5:G6)</f>
        <v>10045</v>
      </c>
      <c r="H7" s="9">
        <f t="shared" si="4"/>
        <v>7259</v>
      </c>
      <c r="I7" s="9">
        <f>SUM(I5:I6)</f>
        <v>8204</v>
      </c>
      <c r="J7" s="9">
        <f>SUM(J5:J6)</f>
        <v>8913</v>
      </c>
      <c r="K7" s="9">
        <f t="shared" si="4"/>
        <v>10559</v>
      </c>
      <c r="L7" s="9">
        <f>SUM(L5:L6)</f>
        <v>8032</v>
      </c>
      <c r="M7" s="9"/>
      <c r="N7" s="9"/>
      <c r="O7" s="9"/>
      <c r="P7" s="9"/>
      <c r="Q7" s="9"/>
      <c r="R7" s="9"/>
      <c r="S7" s="9"/>
      <c r="T7" s="9"/>
      <c r="U7" s="9"/>
      <c r="V7" s="9"/>
      <c r="W7" s="9">
        <f>SUM(D7:G7)</f>
        <v>33239</v>
      </c>
      <c r="X7" s="9">
        <f>SUM(H7:K7)</f>
        <v>34935</v>
      </c>
      <c r="Y7" s="9">
        <f>+X7*1.11</f>
        <v>38777.850000000006</v>
      </c>
      <c r="Z7" s="9">
        <f t="shared" ref="Z7:AD7" si="5">+Y7*1.11</f>
        <v>43043.41350000001</v>
      </c>
      <c r="AA7" s="9">
        <f t="shared" si="5"/>
        <v>47778.188985000015</v>
      </c>
      <c r="AB7" s="9">
        <f t="shared" si="5"/>
        <v>53033.789773350021</v>
      </c>
      <c r="AC7" s="9">
        <f t="shared" si="5"/>
        <v>58867.50664841853</v>
      </c>
      <c r="AD7" s="9">
        <f t="shared" si="5"/>
        <v>65342.932379744576</v>
      </c>
    </row>
    <row r="8" spans="1:30" s="3" customFormat="1" x14ac:dyDescent="0.15">
      <c r="B8" s="3" t="s">
        <v>8</v>
      </c>
      <c r="C8" s="5"/>
      <c r="D8" s="5">
        <f>SUM(3575,2328)</f>
        <v>5903</v>
      </c>
      <c r="E8" s="5">
        <f>4621+2352</f>
        <v>6973</v>
      </c>
      <c r="F8" s="5">
        <f>5005+2196</f>
        <v>7201</v>
      </c>
      <c r="G8" s="5">
        <f>18705+9716-F8-E8-D8</f>
        <v>8344</v>
      </c>
      <c r="H8" s="5">
        <f>SUM(3693,2417)</f>
        <v>6110</v>
      </c>
      <c r="I8" s="5">
        <f>3853+2649</f>
        <v>6502</v>
      </c>
      <c r="J8" s="5">
        <f>5076+2728</f>
        <v>7804</v>
      </c>
      <c r="K8" s="5">
        <f>17989+10861-SUM(H8:J8)</f>
        <v>8434</v>
      </c>
      <c r="L8" s="5">
        <f>3915+2647</f>
        <v>6562</v>
      </c>
      <c r="M8" s="5"/>
      <c r="N8" s="5"/>
      <c r="O8" s="5"/>
      <c r="P8" s="5"/>
      <c r="Q8" s="5"/>
      <c r="S8" s="5"/>
      <c r="T8" s="5"/>
      <c r="U8" s="5"/>
      <c r="V8" s="5"/>
      <c r="W8" s="3">
        <f>SUM(D8:G8)</f>
        <v>28421</v>
      </c>
      <c r="X8" s="3">
        <f>SUM(H8:K8)</f>
        <v>28850</v>
      </c>
      <c r="Y8" s="3">
        <f>Y7-Y9</f>
        <v>31022.280000000006</v>
      </c>
      <c r="Z8" s="3">
        <f t="shared" ref="Z8:AD8" si="6">Z7-Z9</f>
        <v>34434.730800000005</v>
      </c>
      <c r="AA8" s="3">
        <f t="shared" si="6"/>
        <v>38222.551188000012</v>
      </c>
      <c r="AB8" s="3">
        <f t="shared" si="6"/>
        <v>42427.031818680014</v>
      </c>
      <c r="AC8" s="3">
        <f t="shared" si="6"/>
        <v>47094.005318734824</v>
      </c>
      <c r="AD8" s="3">
        <f t="shared" si="6"/>
        <v>52274.345903795664</v>
      </c>
    </row>
    <row r="9" spans="1:30" s="3" customFormat="1" x14ac:dyDescent="0.15">
      <c r="B9" s="3" t="s">
        <v>9</v>
      </c>
      <c r="C9" s="5"/>
      <c r="D9" s="5">
        <f t="shared" ref="D9:L9" si="7">D7-D8</f>
        <v>919</v>
      </c>
      <c r="E9" s="5">
        <f t="shared" si="7"/>
        <v>1147</v>
      </c>
      <c r="F9" s="5">
        <f t="shared" si="7"/>
        <v>1051</v>
      </c>
      <c r="G9" s="5">
        <f t="shared" si="7"/>
        <v>1701</v>
      </c>
      <c r="H9" s="5">
        <f t="shared" si="7"/>
        <v>1149</v>
      </c>
      <c r="I9" s="5">
        <f t="shared" si="7"/>
        <v>1702</v>
      </c>
      <c r="J9" s="5">
        <f t="shared" si="7"/>
        <v>1109</v>
      </c>
      <c r="K9" s="5">
        <f t="shared" si="7"/>
        <v>2125</v>
      </c>
      <c r="L9" s="5">
        <f t="shared" si="7"/>
        <v>1470</v>
      </c>
      <c r="M9" s="5"/>
      <c r="N9" s="5"/>
      <c r="O9" s="5"/>
      <c r="P9" s="5"/>
      <c r="Q9" s="5"/>
      <c r="R9" s="5"/>
      <c r="S9" s="5"/>
      <c r="T9" s="5"/>
      <c r="U9" s="5"/>
      <c r="V9" s="5"/>
      <c r="W9" s="3">
        <f>W7-W8</f>
        <v>4818</v>
      </c>
      <c r="X9" s="3">
        <f>X7-X8</f>
        <v>6085</v>
      </c>
      <c r="Y9" s="3">
        <f>0.2*Y7</f>
        <v>7755.5700000000015</v>
      </c>
      <c r="Z9" s="3">
        <f t="shared" ref="Z9:AD9" si="8">0.2*Z7</f>
        <v>8608.682700000003</v>
      </c>
      <c r="AA9" s="3">
        <f t="shared" si="8"/>
        <v>9555.637797000003</v>
      </c>
      <c r="AB9" s="3">
        <f t="shared" si="8"/>
        <v>10606.757954670005</v>
      </c>
      <c r="AC9" s="3">
        <f t="shared" si="8"/>
        <v>11773.501329683706</v>
      </c>
      <c r="AD9" s="3">
        <f t="shared" si="8"/>
        <v>13068.586475948916</v>
      </c>
    </row>
    <row r="10" spans="1:30" s="3" customFormat="1" x14ac:dyDescent="0.15">
      <c r="B10" s="3" t="s">
        <v>92</v>
      </c>
      <c r="C10" s="5"/>
      <c r="D10" s="5">
        <v>1186</v>
      </c>
      <c r="E10" s="5">
        <v>1272</v>
      </c>
      <c r="F10" s="5">
        <v>1135</v>
      </c>
      <c r="G10" s="5">
        <f>4845-F10-E10-D10</f>
        <v>1252</v>
      </c>
      <c r="H10" s="5">
        <v>1202</v>
      </c>
      <c r="I10" s="5">
        <v>938</v>
      </c>
      <c r="J10" s="5">
        <v>1226</v>
      </c>
      <c r="K10" s="5">
        <f>4632-SUM(H10:J10)</f>
        <v>1266</v>
      </c>
      <c r="L10" s="5">
        <v>1188</v>
      </c>
      <c r="M10" s="5"/>
      <c r="N10" s="5"/>
      <c r="O10" s="5"/>
      <c r="P10" s="5"/>
      <c r="Q10" s="5"/>
      <c r="S10" s="5"/>
      <c r="T10" s="5"/>
      <c r="U10" s="5"/>
      <c r="V10" s="5"/>
      <c r="W10" s="3">
        <f>SUM(D10:G10)</f>
        <v>4845</v>
      </c>
      <c r="X10" s="3">
        <f>SUM(H10:K10)</f>
        <v>4632</v>
      </c>
      <c r="Y10" s="3">
        <f>+X10*1.04</f>
        <v>4817.28</v>
      </c>
      <c r="Z10" s="3">
        <f t="shared" ref="Z10:AD10" si="9">+Y10*1.02</f>
        <v>4913.6255999999994</v>
      </c>
      <c r="AA10" s="3">
        <f t="shared" si="9"/>
        <v>5011.8981119999999</v>
      </c>
      <c r="AB10" s="3">
        <f t="shared" si="9"/>
        <v>5112.1360742400002</v>
      </c>
      <c r="AC10" s="3">
        <f t="shared" si="9"/>
        <v>5214.3787957248005</v>
      </c>
      <c r="AD10" s="3">
        <f t="shared" si="9"/>
        <v>5318.6663716392968</v>
      </c>
    </row>
    <row r="11" spans="1:30" s="3" customFormat="1" x14ac:dyDescent="0.15">
      <c r="B11" s="3" t="s">
        <v>11</v>
      </c>
      <c r="C11" s="5"/>
      <c r="D11" s="5">
        <v>202</v>
      </c>
      <c r="E11" s="5">
        <v>216</v>
      </c>
      <c r="F11" s="5">
        <v>223</v>
      </c>
      <c r="G11" s="5">
        <f>896-F11-E11-D11</f>
        <v>255</v>
      </c>
      <c r="H11" s="5">
        <v>237</v>
      </c>
      <c r="I11" s="5">
        <v>237</v>
      </c>
      <c r="J11" s="5">
        <v>243</v>
      </c>
      <c r="K11" s="5">
        <f>982-SUM(H11:J11)</f>
        <v>265</v>
      </c>
      <c r="L11" s="5">
        <v>239</v>
      </c>
      <c r="M11" s="5"/>
      <c r="N11" s="5"/>
      <c r="O11" s="5"/>
      <c r="P11" s="5"/>
      <c r="Q11" s="5"/>
      <c r="S11" s="5"/>
      <c r="T11" s="5"/>
      <c r="U11" s="5"/>
      <c r="V11" s="5"/>
      <c r="W11" s="3">
        <f>SUM(D11:G11)</f>
        <v>896</v>
      </c>
      <c r="X11" s="3">
        <f>SUM(H11:K11)</f>
        <v>982</v>
      </c>
      <c r="Y11" s="3">
        <f>+X11*1.04</f>
        <v>1021.2800000000001</v>
      </c>
      <c r="Z11" s="3">
        <f t="shared" ref="Z11:AD11" si="10">+Y11*1.02</f>
        <v>1041.7056</v>
      </c>
      <c r="AA11" s="3">
        <f t="shared" si="10"/>
        <v>1062.539712</v>
      </c>
      <c r="AB11" s="3">
        <f t="shared" si="10"/>
        <v>1083.79050624</v>
      </c>
      <c r="AC11" s="3">
        <f t="shared" si="10"/>
        <v>1105.4663163647999</v>
      </c>
      <c r="AD11" s="3">
        <f t="shared" si="10"/>
        <v>1127.5756426920959</v>
      </c>
    </row>
    <row r="12" spans="1:30" s="3" customFormat="1" x14ac:dyDescent="0.15">
      <c r="B12" s="3" t="s">
        <v>12</v>
      </c>
      <c r="C12" s="5"/>
      <c r="D12" s="5">
        <f>SUM(D10:D11)</f>
        <v>1388</v>
      </c>
      <c r="E12" s="5">
        <f>SUM(E10:E11)</f>
        <v>1488</v>
      </c>
      <c r="F12" s="5">
        <f>SUM(F10:F11)</f>
        <v>1358</v>
      </c>
      <c r="G12" s="5">
        <f>SUM(G10:G11)</f>
        <v>1507</v>
      </c>
      <c r="H12" s="5">
        <f>H11+H10</f>
        <v>1439</v>
      </c>
      <c r="I12" s="5">
        <f>SUM(I10:I11)</f>
        <v>1175</v>
      </c>
      <c r="J12" s="5">
        <f>SUM(J10:J11)</f>
        <v>1469</v>
      </c>
      <c r="K12" s="5">
        <f>SUM(K10:K11)</f>
        <v>1531</v>
      </c>
      <c r="L12" s="5">
        <f>SUM(L10:L11)</f>
        <v>1427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>
        <f>SUM(W10:W11)</f>
        <v>5741</v>
      </c>
      <c r="X12" s="5">
        <f>SUM(X10:X11)</f>
        <v>5614</v>
      </c>
      <c r="Y12" s="5">
        <f>Y11+Y10</f>
        <v>5838.5599999999995</v>
      </c>
      <c r="Z12" s="5">
        <f t="shared" ref="Z12:AD12" si="11">Z11+Z10</f>
        <v>5955.3311999999996</v>
      </c>
      <c r="AA12" s="5">
        <f t="shared" si="11"/>
        <v>6074.4378239999996</v>
      </c>
      <c r="AB12" s="5">
        <f t="shared" si="11"/>
        <v>6195.9265804799998</v>
      </c>
      <c r="AC12" s="5">
        <f t="shared" si="11"/>
        <v>6319.8451120896007</v>
      </c>
      <c r="AD12" s="5">
        <f t="shared" si="11"/>
        <v>6446.242014331393</v>
      </c>
    </row>
    <row r="13" spans="1:30" s="3" customFormat="1" x14ac:dyDescent="0.15">
      <c r="B13" s="3" t="s">
        <v>13</v>
      </c>
      <c r="C13" s="5"/>
      <c r="D13" s="5">
        <f t="shared" ref="D13:L13" si="12">D9-D12</f>
        <v>-469</v>
      </c>
      <c r="E13" s="5">
        <f t="shared" si="12"/>
        <v>-341</v>
      </c>
      <c r="F13" s="5">
        <f t="shared" si="12"/>
        <v>-307</v>
      </c>
      <c r="G13" s="5">
        <f t="shared" si="12"/>
        <v>194</v>
      </c>
      <c r="H13" s="5">
        <f t="shared" si="12"/>
        <v>-290</v>
      </c>
      <c r="I13" s="5">
        <f t="shared" si="12"/>
        <v>527</v>
      </c>
      <c r="J13" s="5">
        <f t="shared" si="12"/>
        <v>-360</v>
      </c>
      <c r="K13" s="5">
        <f t="shared" si="12"/>
        <v>594</v>
      </c>
      <c r="L13" s="5">
        <f t="shared" si="12"/>
        <v>43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>
        <f>W9-W12</f>
        <v>-923</v>
      </c>
      <c r="X13" s="5">
        <f>X9-X12</f>
        <v>471</v>
      </c>
      <c r="Y13" s="5">
        <f>Y9-Y12</f>
        <v>1917.010000000002</v>
      </c>
      <c r="Z13" s="5">
        <f t="shared" ref="Z13:AD13" si="13">Z9-Z12</f>
        <v>2653.3515000000034</v>
      </c>
      <c r="AA13" s="5">
        <f t="shared" si="13"/>
        <v>3481.1999730000034</v>
      </c>
      <c r="AB13" s="5">
        <f t="shared" si="13"/>
        <v>4410.8313741900056</v>
      </c>
      <c r="AC13" s="5">
        <f t="shared" si="13"/>
        <v>5453.6562175941053</v>
      </c>
      <c r="AD13" s="5">
        <f t="shared" si="13"/>
        <v>6622.3444616175229</v>
      </c>
    </row>
    <row r="14" spans="1:30" s="3" customFormat="1" x14ac:dyDescent="0.15">
      <c r="B14" s="3" t="s">
        <v>14</v>
      </c>
      <c r="C14" s="5"/>
      <c r="D14" s="5">
        <v>-21</v>
      </c>
      <c r="E14" s="5">
        <v>-21</v>
      </c>
      <c r="F14" s="5">
        <v>-21</v>
      </c>
      <c r="G14" s="5">
        <f>-98-F14-E14-D14</f>
        <v>-35</v>
      </c>
      <c r="H14" s="5">
        <v>-14</v>
      </c>
      <c r="I14" s="5">
        <v>60</v>
      </c>
      <c r="J14" s="5">
        <v>36</v>
      </c>
      <c r="K14" s="5">
        <f>120-J14-I14-H14</f>
        <v>38</v>
      </c>
      <c r="L14" s="5">
        <v>56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3">
        <f>SUM(D14:G14)</f>
        <v>-98</v>
      </c>
      <c r="X14" s="3">
        <f>SUM(H14:K14)</f>
        <v>120</v>
      </c>
      <c r="Y14" s="3">
        <v>100</v>
      </c>
      <c r="Z14" s="3">
        <f>Y14*1.01</f>
        <v>101</v>
      </c>
      <c r="AA14" s="3">
        <f t="shared" ref="AA14:AD14" si="14">Z14*1.01</f>
        <v>102.01</v>
      </c>
      <c r="AB14" s="3">
        <f t="shared" si="14"/>
        <v>103.0301</v>
      </c>
      <c r="AC14" s="3">
        <f t="shared" si="14"/>
        <v>104.060401</v>
      </c>
      <c r="AD14" s="3">
        <f t="shared" si="14"/>
        <v>105.10100500999999</v>
      </c>
    </row>
    <row r="15" spans="1:30" s="3" customFormat="1" x14ac:dyDescent="0.15">
      <c r="B15" s="3" t="s">
        <v>59</v>
      </c>
      <c r="C15" s="5"/>
      <c r="D15" s="5">
        <f>139-64</f>
        <v>75</v>
      </c>
      <c r="E15" s="5">
        <f>143+193</f>
        <v>336</v>
      </c>
      <c r="F15" s="5">
        <f>134+179</f>
        <v>313</v>
      </c>
      <c r="G15" s="5">
        <f>567+324-F15-E15-D15</f>
        <v>167</v>
      </c>
      <c r="H15" s="5">
        <f>134+73</f>
        <v>207</v>
      </c>
      <c r="I15" s="5">
        <f>881+134</f>
        <v>1015</v>
      </c>
      <c r="J15" s="5">
        <f>130+71</f>
        <v>201</v>
      </c>
      <c r="K15" s="5">
        <f>536+1372-J15-I15-H15</f>
        <v>485</v>
      </c>
      <c r="L15" s="5">
        <f>115+119</f>
        <v>234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3">
        <f>SUM(D15:G15)</f>
        <v>891</v>
      </c>
      <c r="X15" s="3">
        <f>SUM(H15:K15)</f>
        <v>1908</v>
      </c>
      <c r="Y15" s="5">
        <f>800*1.06</f>
        <v>848</v>
      </c>
      <c r="Z15" s="5">
        <f t="shared" ref="Z15:AD15" si="15">800*1.06</f>
        <v>848</v>
      </c>
      <c r="AA15" s="5">
        <f t="shared" si="15"/>
        <v>848</v>
      </c>
      <c r="AB15" s="5">
        <f t="shared" si="15"/>
        <v>848</v>
      </c>
      <c r="AC15" s="5">
        <f t="shared" si="15"/>
        <v>848</v>
      </c>
      <c r="AD15" s="5">
        <f t="shared" si="15"/>
        <v>848</v>
      </c>
    </row>
    <row r="16" spans="1:30" x14ac:dyDescent="0.15">
      <c r="B16" s="1" t="s">
        <v>15</v>
      </c>
      <c r="C16" s="5"/>
      <c r="D16" s="5">
        <f>D13+D14+D15</f>
        <v>-415</v>
      </c>
      <c r="E16" s="5">
        <f t="shared" ref="E16:L16" si="16">E13+E14+E15</f>
        <v>-26</v>
      </c>
      <c r="F16" s="5">
        <f t="shared" si="16"/>
        <v>-15</v>
      </c>
      <c r="G16" s="5">
        <f t="shared" si="16"/>
        <v>326</v>
      </c>
      <c r="H16" s="5">
        <f t="shared" si="16"/>
        <v>-97</v>
      </c>
      <c r="I16" s="5">
        <f t="shared" si="16"/>
        <v>1602</v>
      </c>
      <c r="J16" s="5">
        <f t="shared" si="16"/>
        <v>-123</v>
      </c>
      <c r="K16" s="5">
        <f t="shared" si="16"/>
        <v>1117</v>
      </c>
      <c r="L16" s="5">
        <f t="shared" si="16"/>
        <v>333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>
        <f>SUM(D16:G16)</f>
        <v>-130</v>
      </c>
      <c r="X16" s="5">
        <f>SUM(X13:X15)</f>
        <v>2499</v>
      </c>
      <c r="Y16" s="3">
        <f>Y13+Y14+Y15</f>
        <v>2865.010000000002</v>
      </c>
      <c r="Z16" s="3">
        <f t="shared" ref="Z16:AD16" si="17">Z13+Z14+Z15</f>
        <v>3602.3515000000034</v>
      </c>
      <c r="AA16" s="3">
        <f t="shared" si="17"/>
        <v>4431.2099730000036</v>
      </c>
      <c r="AB16" s="3">
        <f t="shared" si="17"/>
        <v>5361.8614741900055</v>
      </c>
      <c r="AC16" s="3">
        <f t="shared" si="17"/>
        <v>6405.7166185941051</v>
      </c>
      <c r="AD16" s="3">
        <f t="shared" si="17"/>
        <v>7575.4454666275233</v>
      </c>
    </row>
    <row r="17" spans="2:161" x14ac:dyDescent="0.15">
      <c r="B17" s="1" t="s">
        <v>16</v>
      </c>
      <c r="C17" s="5"/>
      <c r="D17" s="5">
        <v>-69</v>
      </c>
      <c r="E17" s="5">
        <v>122</v>
      </c>
      <c r="F17" s="5">
        <v>169</v>
      </c>
      <c r="G17" s="5">
        <f>-130-F17-E17-D17</f>
        <v>-352</v>
      </c>
      <c r="H17" s="5">
        <v>10</v>
      </c>
      <c r="I17" s="5">
        <v>322</v>
      </c>
      <c r="J17" s="5">
        <v>-23</v>
      </c>
      <c r="K17" s="5">
        <f>939-J17-I17-H17</f>
        <v>630</v>
      </c>
      <c r="L17" s="5">
        <v>68</v>
      </c>
      <c r="M17" s="5"/>
      <c r="N17" s="5"/>
      <c r="O17" s="5"/>
      <c r="Q17" s="5"/>
      <c r="R17" s="3"/>
      <c r="S17" s="5"/>
      <c r="T17" s="5"/>
      <c r="U17" s="5"/>
      <c r="V17" s="5"/>
      <c r="W17" s="3">
        <f>SUM(D17:G17)</f>
        <v>-130</v>
      </c>
      <c r="X17" s="3">
        <f>SUM(H17:K17)</f>
        <v>939</v>
      </c>
      <c r="Y17" s="3">
        <f>0.18*Y16</f>
        <v>515.70180000000039</v>
      </c>
      <c r="Z17" s="3">
        <f t="shared" ref="Z17:AD17" si="18">0.18*Z16</f>
        <v>648.42327000000057</v>
      </c>
      <c r="AA17" s="3">
        <f t="shared" si="18"/>
        <v>797.61779514000068</v>
      </c>
      <c r="AB17" s="3">
        <f t="shared" si="18"/>
        <v>965.13506535420095</v>
      </c>
      <c r="AC17" s="3">
        <f t="shared" si="18"/>
        <v>1153.0289913469389</v>
      </c>
      <c r="AD17" s="3">
        <f t="shared" si="18"/>
        <v>1363.5801839929541</v>
      </c>
    </row>
    <row r="18" spans="2:161" x14ac:dyDescent="0.15">
      <c r="B18" s="1" t="s">
        <v>93</v>
      </c>
      <c r="C18" s="5"/>
      <c r="D18" s="5">
        <f t="shared" ref="D18:L18" si="19">D16-D17</f>
        <v>-346</v>
      </c>
      <c r="E18" s="5">
        <f t="shared" si="19"/>
        <v>-148</v>
      </c>
      <c r="F18" s="5">
        <f t="shared" si="19"/>
        <v>-184</v>
      </c>
      <c r="G18" s="5">
        <f t="shared" si="19"/>
        <v>678</v>
      </c>
      <c r="H18" s="5">
        <f t="shared" si="19"/>
        <v>-107</v>
      </c>
      <c r="I18" s="5">
        <f t="shared" si="19"/>
        <v>1280</v>
      </c>
      <c r="J18" s="5">
        <f t="shared" si="19"/>
        <v>-100</v>
      </c>
      <c r="K18" s="5">
        <f t="shared" si="19"/>
        <v>487</v>
      </c>
      <c r="L18" s="5">
        <f t="shared" si="19"/>
        <v>265</v>
      </c>
      <c r="M18" s="5"/>
      <c r="N18" s="5"/>
      <c r="O18" s="5"/>
      <c r="Q18" s="5"/>
      <c r="R18" s="5"/>
      <c r="S18" s="5"/>
      <c r="T18" s="5"/>
      <c r="U18" s="5"/>
      <c r="V18" s="5"/>
      <c r="W18" s="5">
        <f>W16-W17</f>
        <v>0</v>
      </c>
      <c r="X18" s="5">
        <f>X16-X17</f>
        <v>1560</v>
      </c>
      <c r="Y18" s="5">
        <f>Y16-Y17</f>
        <v>2349.3082000000018</v>
      </c>
      <c r="Z18" s="5">
        <f t="shared" ref="Z18:AD18" si="20">Z16-Z17</f>
        <v>2953.9282300000027</v>
      </c>
      <c r="AA18" s="5">
        <f t="shared" si="20"/>
        <v>3633.5921778600032</v>
      </c>
      <c r="AB18" s="5">
        <f t="shared" si="20"/>
        <v>4396.7264088358042</v>
      </c>
      <c r="AC18" s="5">
        <f t="shared" si="20"/>
        <v>5252.6876272471663</v>
      </c>
      <c r="AD18" s="5">
        <f t="shared" si="20"/>
        <v>6211.8652826345697</v>
      </c>
      <c r="AE18" s="3">
        <f>+AD18*1.01</f>
        <v>6273.9839354609157</v>
      </c>
      <c r="AF18" s="3">
        <f>+AE18*1.01</f>
        <v>6336.7237748155248</v>
      </c>
      <c r="AG18" s="3">
        <f t="shared" ref="AG18:CS18" si="21">+AF18*1.01</f>
        <v>6400.0910125636801</v>
      </c>
      <c r="AH18" s="3">
        <f t="shared" si="21"/>
        <v>6464.0919226893166</v>
      </c>
      <c r="AI18" s="3">
        <f t="shared" si="21"/>
        <v>6528.7328419162095</v>
      </c>
      <c r="AJ18" s="3">
        <f t="shared" si="21"/>
        <v>6594.0201703353714</v>
      </c>
      <c r="AK18" s="3">
        <f t="shared" si="21"/>
        <v>6659.9603720387249</v>
      </c>
      <c r="AL18" s="3">
        <f t="shared" si="21"/>
        <v>6726.5599757591126</v>
      </c>
      <c r="AM18" s="3">
        <f t="shared" si="21"/>
        <v>6793.8255755167038</v>
      </c>
      <c r="AN18" s="3">
        <f t="shared" si="21"/>
        <v>6861.7638312718709</v>
      </c>
      <c r="AO18" s="3">
        <f t="shared" si="21"/>
        <v>6930.3814695845895</v>
      </c>
      <c r="AP18" s="3">
        <f t="shared" si="21"/>
        <v>6999.6852842804356</v>
      </c>
      <c r="AQ18" s="3">
        <f t="shared" si="21"/>
        <v>7069.68213712324</v>
      </c>
      <c r="AR18" s="3">
        <f t="shared" si="21"/>
        <v>7140.3789584944725</v>
      </c>
      <c r="AS18" s="3">
        <f t="shared" si="21"/>
        <v>7211.7827480794176</v>
      </c>
      <c r="AT18" s="3">
        <f t="shared" si="21"/>
        <v>7283.900575560212</v>
      </c>
      <c r="AU18" s="3">
        <f t="shared" si="21"/>
        <v>7356.7395813158146</v>
      </c>
      <c r="AV18" s="3">
        <f t="shared" si="21"/>
        <v>7430.3069771289729</v>
      </c>
      <c r="AW18" s="3">
        <f t="shared" si="21"/>
        <v>7504.6100469002631</v>
      </c>
      <c r="AX18" s="3">
        <f t="shared" si="21"/>
        <v>7579.6561473692655</v>
      </c>
      <c r="AY18" s="3">
        <f t="shared" si="21"/>
        <v>7655.4527088429586</v>
      </c>
      <c r="AZ18" s="3">
        <f t="shared" si="21"/>
        <v>7732.0072359313881</v>
      </c>
      <c r="BA18" s="3">
        <f t="shared" si="21"/>
        <v>7809.3273082907017</v>
      </c>
      <c r="BB18" s="3">
        <f t="shared" si="21"/>
        <v>7887.4205813736089</v>
      </c>
      <c r="BC18" s="3">
        <f t="shared" si="21"/>
        <v>7966.2947871873448</v>
      </c>
      <c r="BD18" s="3">
        <f t="shared" si="21"/>
        <v>8045.9577350592181</v>
      </c>
      <c r="BE18" s="3">
        <f t="shared" si="21"/>
        <v>8126.4173124098106</v>
      </c>
      <c r="BF18" s="3">
        <f t="shared" si="21"/>
        <v>8207.6814855339089</v>
      </c>
      <c r="BG18" s="3">
        <f t="shared" si="21"/>
        <v>8289.7583003892487</v>
      </c>
      <c r="BH18" s="3">
        <f t="shared" si="21"/>
        <v>8372.6558833931413</v>
      </c>
      <c r="BI18" s="3">
        <f t="shared" si="21"/>
        <v>8456.3824422270736</v>
      </c>
      <c r="BJ18" s="3">
        <f t="shared" si="21"/>
        <v>8540.9462666493437</v>
      </c>
      <c r="BK18" s="3">
        <f t="shared" si="21"/>
        <v>8626.3557293158374</v>
      </c>
      <c r="BL18" s="3">
        <f t="shared" si="21"/>
        <v>8712.619286608995</v>
      </c>
      <c r="BM18" s="3">
        <f t="shared" si="21"/>
        <v>8799.7454794750847</v>
      </c>
      <c r="BN18" s="3">
        <f t="shared" si="21"/>
        <v>8887.742934269836</v>
      </c>
      <c r="BO18" s="3">
        <f t="shared" si="21"/>
        <v>8976.6203636125338</v>
      </c>
      <c r="BP18" s="3">
        <f t="shared" si="21"/>
        <v>9066.386567248659</v>
      </c>
      <c r="BQ18" s="3">
        <f t="shared" si="21"/>
        <v>9157.0504329211453</v>
      </c>
      <c r="BR18" s="3">
        <f t="shared" si="21"/>
        <v>9248.6209372503563</v>
      </c>
      <c r="BS18" s="3">
        <f t="shared" si="21"/>
        <v>9341.1071466228605</v>
      </c>
      <c r="BT18" s="3">
        <f t="shared" si="21"/>
        <v>9434.5182180890897</v>
      </c>
      <c r="BU18" s="3">
        <f t="shared" si="21"/>
        <v>9528.86340026998</v>
      </c>
      <c r="BV18" s="3">
        <f t="shared" si="21"/>
        <v>9624.1520342726799</v>
      </c>
      <c r="BW18" s="3">
        <f t="shared" si="21"/>
        <v>9720.3935546154062</v>
      </c>
      <c r="BX18" s="3">
        <f t="shared" si="21"/>
        <v>9817.5974901615609</v>
      </c>
      <c r="BY18" s="3">
        <f t="shared" si="21"/>
        <v>9915.7734650631774</v>
      </c>
      <c r="BZ18" s="3">
        <f t="shared" si="21"/>
        <v>10014.931199713808</v>
      </c>
      <c r="CA18" s="3">
        <f t="shared" si="21"/>
        <v>10115.080511710947</v>
      </c>
      <c r="CB18" s="3">
        <f t="shared" si="21"/>
        <v>10216.231316828056</v>
      </c>
      <c r="CC18" s="3">
        <f t="shared" si="21"/>
        <v>10318.393629996337</v>
      </c>
      <c r="CD18" s="3">
        <f t="shared" si="21"/>
        <v>10421.577566296301</v>
      </c>
      <c r="CE18" s="3">
        <f t="shared" si="21"/>
        <v>10525.793341959265</v>
      </c>
      <c r="CF18" s="3">
        <f t="shared" si="21"/>
        <v>10631.051275378857</v>
      </c>
      <c r="CG18" s="3">
        <f t="shared" si="21"/>
        <v>10737.361788132646</v>
      </c>
      <c r="CH18" s="3">
        <f t="shared" si="21"/>
        <v>10844.735406013973</v>
      </c>
      <c r="CI18" s="3">
        <f t="shared" si="21"/>
        <v>10953.182760074113</v>
      </c>
      <c r="CJ18" s="3">
        <f t="shared" si="21"/>
        <v>11062.714587674855</v>
      </c>
      <c r="CK18" s="3">
        <f t="shared" si="21"/>
        <v>11173.341733551602</v>
      </c>
      <c r="CL18" s="3">
        <f t="shared" si="21"/>
        <v>11285.075150887118</v>
      </c>
      <c r="CM18" s="3">
        <f t="shared" si="21"/>
        <v>11397.925902395989</v>
      </c>
      <c r="CN18" s="3">
        <f t="shared" si="21"/>
        <v>11511.905161419949</v>
      </c>
      <c r="CO18" s="3">
        <f t="shared" si="21"/>
        <v>11627.024213034148</v>
      </c>
      <c r="CP18" s="3">
        <f t="shared" si="21"/>
        <v>11743.294455164491</v>
      </c>
      <c r="CQ18" s="3">
        <f t="shared" si="21"/>
        <v>11860.727399716136</v>
      </c>
      <c r="CR18" s="3">
        <f t="shared" si="21"/>
        <v>11979.334673713298</v>
      </c>
      <c r="CS18" s="3">
        <f t="shared" si="21"/>
        <v>12099.128020450431</v>
      </c>
      <c r="CT18" s="3">
        <f t="shared" ref="CT18:FE18" si="22">+CS18*1.01</f>
        <v>12220.119300654935</v>
      </c>
      <c r="CU18" s="3">
        <f t="shared" si="22"/>
        <v>12342.320493661484</v>
      </c>
      <c r="CV18" s="3">
        <f t="shared" si="22"/>
        <v>12465.743698598098</v>
      </c>
      <c r="CW18" s="3">
        <f t="shared" si="22"/>
        <v>12590.401135584079</v>
      </c>
      <c r="CX18" s="3">
        <f t="shared" si="22"/>
        <v>12716.30514693992</v>
      </c>
      <c r="CY18" s="3">
        <f t="shared" si="22"/>
        <v>12843.468198409319</v>
      </c>
      <c r="CZ18" s="3">
        <f t="shared" si="22"/>
        <v>12971.902880393412</v>
      </c>
      <c r="DA18" s="3">
        <f t="shared" si="22"/>
        <v>13101.621909197347</v>
      </c>
      <c r="DB18" s="3">
        <f t="shared" si="22"/>
        <v>13232.63812828932</v>
      </c>
      <c r="DC18" s="3">
        <f t="shared" si="22"/>
        <v>13364.964509572214</v>
      </c>
      <c r="DD18" s="3">
        <f t="shared" si="22"/>
        <v>13498.614154667936</v>
      </c>
      <c r="DE18" s="3">
        <f t="shared" si="22"/>
        <v>13633.600296214616</v>
      </c>
      <c r="DF18" s="3">
        <f t="shared" si="22"/>
        <v>13769.936299176763</v>
      </c>
      <c r="DG18" s="3">
        <f t="shared" si="22"/>
        <v>13907.63566216853</v>
      </c>
      <c r="DH18" s="3">
        <f t="shared" si="22"/>
        <v>14046.712018790215</v>
      </c>
      <c r="DI18" s="3">
        <f t="shared" si="22"/>
        <v>14187.179138978117</v>
      </c>
      <c r="DJ18" s="3">
        <f t="shared" si="22"/>
        <v>14329.050930367899</v>
      </c>
      <c r="DK18" s="3">
        <f t="shared" si="22"/>
        <v>14472.341439671578</v>
      </c>
      <c r="DL18" s="3">
        <f t="shared" si="22"/>
        <v>14617.064854068294</v>
      </c>
      <c r="DM18" s="3">
        <f t="shared" si="22"/>
        <v>14763.235502608977</v>
      </c>
      <c r="DN18" s="3">
        <f t="shared" si="22"/>
        <v>14910.867857635067</v>
      </c>
      <c r="DO18" s="3">
        <f t="shared" si="22"/>
        <v>15059.976536211418</v>
      </c>
      <c r="DP18" s="3">
        <f t="shared" si="22"/>
        <v>15210.576301573532</v>
      </c>
      <c r="DQ18" s="3">
        <f t="shared" si="22"/>
        <v>15362.682064589268</v>
      </c>
      <c r="DR18" s="3">
        <f t="shared" si="22"/>
        <v>15516.308885235161</v>
      </c>
      <c r="DS18" s="3">
        <f t="shared" si="22"/>
        <v>15671.471974087513</v>
      </c>
      <c r="DT18" s="3">
        <f t="shared" si="22"/>
        <v>15828.186693828389</v>
      </c>
      <c r="DU18" s="3">
        <f t="shared" si="22"/>
        <v>15986.468560766672</v>
      </c>
      <c r="DV18" s="3">
        <f t="shared" si="22"/>
        <v>16146.333246374339</v>
      </c>
      <c r="DW18" s="3">
        <f t="shared" si="22"/>
        <v>16307.796578838082</v>
      </c>
      <c r="DX18" s="3">
        <f t="shared" si="22"/>
        <v>16470.874544626462</v>
      </c>
      <c r="DY18" s="3">
        <f t="shared" si="22"/>
        <v>16635.583290072726</v>
      </c>
      <c r="DZ18" s="3">
        <f t="shared" si="22"/>
        <v>16801.939122973454</v>
      </c>
      <c r="EA18" s="3">
        <f t="shared" si="22"/>
        <v>16969.95851420319</v>
      </c>
      <c r="EB18" s="3">
        <f t="shared" si="22"/>
        <v>17139.658099345223</v>
      </c>
      <c r="EC18" s="3">
        <f t="shared" si="22"/>
        <v>17311.054680338675</v>
      </c>
      <c r="ED18" s="3">
        <f t="shared" si="22"/>
        <v>17484.165227142061</v>
      </c>
      <c r="EE18" s="3">
        <f t="shared" si="22"/>
        <v>17659.006879413482</v>
      </c>
      <c r="EF18" s="3">
        <f t="shared" si="22"/>
        <v>17835.596948207618</v>
      </c>
      <c r="EG18" s="3">
        <f t="shared" si="22"/>
        <v>18013.952917689694</v>
      </c>
      <c r="EH18" s="3">
        <f t="shared" si="22"/>
        <v>18194.092446866591</v>
      </c>
      <c r="EI18" s="3">
        <f t="shared" si="22"/>
        <v>18376.033371335256</v>
      </c>
      <c r="EJ18" s="3">
        <f t="shared" si="22"/>
        <v>18559.793705048607</v>
      </c>
      <c r="EK18" s="3">
        <f t="shared" si="22"/>
        <v>18745.391642099094</v>
      </c>
      <c r="EL18" s="3">
        <f t="shared" si="22"/>
        <v>18932.845558520086</v>
      </c>
      <c r="EM18" s="3">
        <f t="shared" si="22"/>
        <v>19122.174014105287</v>
      </c>
      <c r="EN18" s="3">
        <f t="shared" si="22"/>
        <v>19313.395754246339</v>
      </c>
      <c r="EO18" s="3">
        <f t="shared" si="22"/>
        <v>19506.529711788804</v>
      </c>
      <c r="EP18" s="3">
        <f t="shared" si="22"/>
        <v>19701.595008906694</v>
      </c>
      <c r="EQ18" s="3">
        <f t="shared" si="22"/>
        <v>19898.61095899576</v>
      </c>
      <c r="ER18" s="3">
        <f t="shared" si="22"/>
        <v>20097.597068585717</v>
      </c>
      <c r="ES18" s="3">
        <f t="shared" si="22"/>
        <v>20298.573039271574</v>
      </c>
      <c r="ET18" s="3">
        <f t="shared" si="22"/>
        <v>20501.558769664291</v>
      </c>
      <c r="EU18" s="3">
        <f t="shared" si="22"/>
        <v>20706.574357360932</v>
      </c>
      <c r="EV18" s="3">
        <f t="shared" si="22"/>
        <v>20913.640100934543</v>
      </c>
      <c r="EW18" s="3">
        <f t="shared" si="22"/>
        <v>21122.776501943888</v>
      </c>
      <c r="EX18" s="3">
        <f t="shared" si="22"/>
        <v>21334.004266963326</v>
      </c>
      <c r="EY18" s="3">
        <f t="shared" si="22"/>
        <v>21547.344309632957</v>
      </c>
      <c r="EZ18" s="3">
        <f t="shared" si="22"/>
        <v>21762.817752729286</v>
      </c>
      <c r="FA18" s="3">
        <f t="shared" si="22"/>
        <v>21980.445930256581</v>
      </c>
      <c r="FB18" s="3">
        <f t="shared" si="22"/>
        <v>22200.250389559147</v>
      </c>
      <c r="FC18" s="3">
        <f t="shared" si="22"/>
        <v>22422.252893454737</v>
      </c>
      <c r="FD18" s="3">
        <f t="shared" si="22"/>
        <v>22646.475422389285</v>
      </c>
      <c r="FE18" s="3">
        <f t="shared" si="22"/>
        <v>22872.940176613178</v>
      </c>
    </row>
    <row r="19" spans="2:161" x14ac:dyDescent="0.15">
      <c r="B19" s="1" t="s">
        <v>17</v>
      </c>
      <c r="C19" s="6"/>
      <c r="D19" s="6"/>
      <c r="E19" s="6"/>
      <c r="F19" s="6"/>
      <c r="G19" s="6"/>
      <c r="H19" s="6">
        <f>H18/H20</f>
        <v>-0.39051094890510951</v>
      </c>
      <c r="I19" s="6">
        <f>I18/I20</f>
        <v>4.6715328467153281</v>
      </c>
      <c r="J19" s="6">
        <f>J18/J20</f>
        <v>-0.36496350364963503</v>
      </c>
      <c r="K19" s="6">
        <f>K18/K20</f>
        <v>1.7773722627737227</v>
      </c>
      <c r="L19" s="6">
        <f>L18/L20</f>
        <v>0.96715328467153283</v>
      </c>
      <c r="M19" s="6"/>
      <c r="N19" s="6"/>
      <c r="O19" s="6"/>
      <c r="Q19" s="6"/>
      <c r="R19" s="6"/>
      <c r="S19" s="6"/>
      <c r="T19" s="6"/>
      <c r="U19" s="6"/>
      <c r="V19" s="6"/>
      <c r="W19" s="6">
        <f>W18/W20</f>
        <v>0</v>
      </c>
      <c r="X19" s="6">
        <f>X18/X20</f>
        <v>5.6934306569343063</v>
      </c>
      <c r="Y19" s="24">
        <f>Y18/Y20</f>
        <v>8.5741175182481815</v>
      </c>
      <c r="Z19" s="24">
        <f t="shared" ref="Z19:AD19" si="23">Z18/Z20</f>
        <v>10.780759963503659</v>
      </c>
      <c r="AA19" s="24">
        <f t="shared" si="23"/>
        <v>13.261285320656945</v>
      </c>
      <c r="AB19" s="24">
        <f t="shared" si="23"/>
        <v>16.046446747575928</v>
      </c>
      <c r="AC19" s="24">
        <f t="shared" si="23"/>
        <v>19.170392800172142</v>
      </c>
      <c r="AD19" s="24">
        <f t="shared" si="23"/>
        <v>22.671041177498431</v>
      </c>
    </row>
    <row r="20" spans="2:161" s="3" customFormat="1" x14ac:dyDescent="0.15">
      <c r="B20" s="3" t="s">
        <v>1</v>
      </c>
      <c r="C20" s="5"/>
      <c r="E20" s="5"/>
      <c r="F20" s="5"/>
      <c r="G20" s="5"/>
      <c r="H20" s="5">
        <v>274</v>
      </c>
      <c r="I20" s="5">
        <v>274</v>
      </c>
      <c r="J20" s="5">
        <v>274</v>
      </c>
      <c r="K20" s="5">
        <v>274</v>
      </c>
      <c r="L20" s="5">
        <v>274</v>
      </c>
      <c r="M20" s="5"/>
      <c r="N20" s="5"/>
      <c r="O20" s="5"/>
      <c r="P20" s="5"/>
      <c r="Q20" s="5"/>
      <c r="S20" s="5"/>
      <c r="T20" s="5"/>
      <c r="U20" s="5"/>
      <c r="V20" s="5"/>
      <c r="W20" s="3">
        <v>274</v>
      </c>
      <c r="X20" s="3">
        <v>274</v>
      </c>
      <c r="Y20" s="25">
        <v>274</v>
      </c>
      <c r="Z20" s="25">
        <v>274</v>
      </c>
      <c r="AA20" s="25">
        <v>274</v>
      </c>
      <c r="AB20" s="25">
        <v>274</v>
      </c>
      <c r="AC20" s="25">
        <v>274</v>
      </c>
      <c r="AD20" s="25">
        <v>274</v>
      </c>
    </row>
    <row r="21" spans="2:161" x14ac:dyDescent="0.15">
      <c r="B21" s="1" t="s">
        <v>18</v>
      </c>
    </row>
    <row r="23" spans="2:161" x14ac:dyDescent="0.15">
      <c r="B23" s="1" t="s">
        <v>21</v>
      </c>
      <c r="C23" s="7"/>
      <c r="D23" s="7"/>
      <c r="E23" s="7"/>
      <c r="F23" s="7"/>
      <c r="G23" s="7"/>
      <c r="H23" s="7">
        <f>H7/D7-1</f>
        <v>6.4057461155086592E-2</v>
      </c>
      <c r="I23" s="7">
        <f t="shared" ref="I23:L23" si="24">I7/E7-1</f>
        <v>1.0344827586206806E-2</v>
      </c>
      <c r="J23" s="7">
        <f t="shared" si="24"/>
        <v>8.010179350460489E-2</v>
      </c>
      <c r="K23" s="7">
        <f t="shared" si="24"/>
        <v>5.1169736187157699E-2</v>
      </c>
      <c r="L23" s="7">
        <f t="shared" si="24"/>
        <v>0.10648849703815944</v>
      </c>
      <c r="M23" s="7"/>
      <c r="N23" s="7"/>
      <c r="O23" s="7"/>
      <c r="P23" s="7"/>
      <c r="Q23" s="7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</row>
    <row r="24" spans="2:161" x14ac:dyDescent="0.15">
      <c r="B24" s="1" t="s">
        <v>83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</row>
    <row r="25" spans="2:161" x14ac:dyDescent="0.15">
      <c r="B25" s="1" t="s">
        <v>10</v>
      </c>
      <c r="C25" s="7"/>
      <c r="D25" s="7">
        <f>D9/D7</f>
        <v>0.13471122837877456</v>
      </c>
      <c r="E25" s="7">
        <f t="shared" ref="E25:K25" si="25">E9/E7</f>
        <v>0.14125615763546798</v>
      </c>
      <c r="F25" s="7">
        <f t="shared" si="25"/>
        <v>0.12736306349975762</v>
      </c>
      <c r="G25" s="7">
        <f t="shared" si="25"/>
        <v>0.16933797909407666</v>
      </c>
      <c r="H25" s="7">
        <f t="shared" si="25"/>
        <v>0.15828626532580245</v>
      </c>
      <c r="I25" s="7">
        <f t="shared" si="25"/>
        <v>0.20745977571916138</v>
      </c>
      <c r="J25" s="7">
        <f t="shared" si="25"/>
        <v>0.12442499719510827</v>
      </c>
      <c r="K25" s="7">
        <f t="shared" si="25"/>
        <v>0.20125011838242257</v>
      </c>
      <c r="L25" s="7">
        <f>L9/L7</f>
        <v>0.18301792828685259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</row>
    <row r="26" spans="2:161" x14ac:dyDescent="0.15">
      <c r="B26" s="1" t="s">
        <v>72</v>
      </c>
      <c r="C26" s="7"/>
      <c r="D26" s="7">
        <f>D13/D7</f>
        <v>-6.8748167692758724E-2</v>
      </c>
      <c r="E26" s="7">
        <f t="shared" ref="E26:L26" si="26">E13/E7</f>
        <v>-4.1995073891625614E-2</v>
      </c>
      <c r="F26" s="7">
        <f t="shared" si="26"/>
        <v>-3.7203102278235582E-2</v>
      </c>
      <c r="G26" s="7">
        <f t="shared" si="26"/>
        <v>1.9313091090094575E-2</v>
      </c>
      <c r="H26" s="7">
        <f t="shared" si="26"/>
        <v>-3.995040639206502E-2</v>
      </c>
      <c r="I26" s="7">
        <f t="shared" si="26"/>
        <v>6.4236957581667475E-2</v>
      </c>
      <c r="J26" s="7">
        <f t="shared" si="26"/>
        <v>-4.0390440928980142E-2</v>
      </c>
      <c r="K26" s="7">
        <f t="shared" si="26"/>
        <v>5.6255327209016007E-2</v>
      </c>
      <c r="L26" s="7">
        <f t="shared" si="26"/>
        <v>5.3535856573705175E-3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</row>
    <row r="27" spans="2:161" x14ac:dyDescent="0.15">
      <c r="B27" s="1" t="s">
        <v>65</v>
      </c>
      <c r="C27" s="7"/>
      <c r="D27" s="7">
        <f>D17/D16</f>
        <v>0.16626506024096385</v>
      </c>
      <c r="E27" s="7">
        <f t="shared" ref="E27:L27" si="27">E17/E16</f>
        <v>-4.6923076923076925</v>
      </c>
      <c r="F27" s="7">
        <f t="shared" si="27"/>
        <v>-11.266666666666667</v>
      </c>
      <c r="G27" s="7">
        <f t="shared" si="27"/>
        <v>-1.0797546012269938</v>
      </c>
      <c r="H27" s="7">
        <f t="shared" si="27"/>
        <v>-0.10309278350515463</v>
      </c>
      <c r="I27" s="7">
        <f t="shared" si="27"/>
        <v>0.2009987515605493</v>
      </c>
      <c r="J27" s="7">
        <f t="shared" si="27"/>
        <v>0.18699186991869918</v>
      </c>
      <c r="K27" s="7">
        <f t="shared" si="27"/>
        <v>0.56401074306177257</v>
      </c>
      <c r="L27" s="7">
        <f t="shared" si="27"/>
        <v>0.20420420420420421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</row>
    <row r="28" spans="2:161" x14ac:dyDescent="0.15">
      <c r="B28" s="1" t="s">
        <v>95</v>
      </c>
      <c r="C28" s="7"/>
      <c r="D28" s="7"/>
      <c r="E28" s="7"/>
      <c r="F28" s="7"/>
      <c r="G28" s="7"/>
      <c r="H28" s="7">
        <f>H12/D12-1</f>
        <v>3.6743515850144126E-2</v>
      </c>
      <c r="I28" s="7">
        <f>I12/E12-1</f>
        <v>-0.21034946236559138</v>
      </c>
      <c r="J28" s="7">
        <f t="shared" ref="J28:L28" si="28">J12/F12-1</f>
        <v>8.1737849779086824E-2</v>
      </c>
      <c r="K28" s="7">
        <f t="shared" si="28"/>
        <v>1.5925680159256883E-2</v>
      </c>
      <c r="L28" s="7">
        <f t="shared" si="28"/>
        <v>-8.3391243919388458E-3</v>
      </c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</row>
    <row r="30" spans="2:161" x14ac:dyDescent="0.15">
      <c r="B30" s="1" t="s">
        <v>52</v>
      </c>
      <c r="C30" s="5"/>
      <c r="D30" s="5"/>
      <c r="E30" s="5"/>
      <c r="F30" s="5"/>
      <c r="G30" s="5"/>
      <c r="H30" s="5"/>
      <c r="I30" s="5"/>
      <c r="J30" s="5"/>
      <c r="K30" s="5"/>
      <c r="L30" s="5">
        <f>L31-L40</f>
        <v>-24569</v>
      </c>
      <c r="M30" s="5"/>
      <c r="N30" s="5"/>
      <c r="O30" s="5"/>
      <c r="W30" s="3"/>
      <c r="X30" s="3"/>
      <c r="Y30" s="3"/>
      <c r="Z30" s="3"/>
      <c r="AA30" s="3"/>
      <c r="AB30" s="3"/>
      <c r="AC30" s="3"/>
      <c r="AD30" s="3"/>
      <c r="AF30" s="1" t="s">
        <v>69</v>
      </c>
      <c r="AG30" s="14">
        <v>0.01</v>
      </c>
    </row>
    <row r="31" spans="2:161" s="3" customFormat="1" x14ac:dyDescent="0.15">
      <c r="B31" s="3" t="s">
        <v>3</v>
      </c>
      <c r="C31" s="5"/>
      <c r="D31" s="5"/>
      <c r="E31" s="5"/>
      <c r="F31" s="5"/>
      <c r="G31" s="5"/>
      <c r="H31" s="5"/>
      <c r="I31" s="5"/>
      <c r="J31" s="5"/>
      <c r="K31" s="5"/>
      <c r="L31" s="5">
        <v>8107</v>
      </c>
      <c r="M31" s="5"/>
      <c r="N31" s="5"/>
      <c r="O31" s="5"/>
      <c r="P31" s="5"/>
      <c r="Q31" s="5"/>
      <c r="S31" s="5"/>
      <c r="T31" s="5"/>
      <c r="U31" s="5"/>
      <c r="V31" s="5"/>
      <c r="AF31" s="1" t="s">
        <v>66</v>
      </c>
      <c r="AG31" s="14">
        <v>0.01</v>
      </c>
    </row>
    <row r="32" spans="2:161" s="3" customFormat="1" x14ac:dyDescent="0.15">
      <c r="B32" s="3" t="s">
        <v>39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S32" s="5"/>
      <c r="T32" s="5"/>
      <c r="U32" s="5"/>
      <c r="V32" s="5"/>
      <c r="AF32" s="1" t="s">
        <v>67</v>
      </c>
      <c r="AG32" s="14">
        <v>0.06</v>
      </c>
    </row>
    <row r="33" spans="2:33" s="3" customFormat="1" x14ac:dyDescent="0.15">
      <c r="B33" s="3" t="s">
        <v>40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S33" s="5"/>
      <c r="T33" s="5"/>
      <c r="U33" s="5"/>
      <c r="V33" s="5"/>
      <c r="AF33" s="1" t="s">
        <v>68</v>
      </c>
      <c r="AG33" s="3">
        <f>NPV(AG32,Y18:DO18)-L30</f>
        <v>131510.39652800449</v>
      </c>
    </row>
    <row r="34" spans="2:33" s="3" customFormat="1" x14ac:dyDescent="0.15">
      <c r="B34" s="3" t="s">
        <v>41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S34" s="5"/>
      <c r="T34" s="5"/>
      <c r="U34" s="5"/>
      <c r="V34" s="5"/>
      <c r="AF34" s="1" t="s">
        <v>70</v>
      </c>
      <c r="AG34" s="15">
        <f>AG33/274</f>
        <v>479.96495083213318</v>
      </c>
    </row>
    <row r="35" spans="2:33" s="3" customFormat="1" x14ac:dyDescent="0.15">
      <c r="B35" s="3" t="s">
        <v>42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S35" s="5"/>
      <c r="T35" s="5"/>
      <c r="U35" s="5"/>
      <c r="V35" s="5"/>
      <c r="AF35" s="1" t="s">
        <v>71</v>
      </c>
      <c r="AG35" s="14">
        <f>AG34/574.6-1</f>
        <v>-0.16469726621626668</v>
      </c>
    </row>
    <row r="36" spans="2:33" s="3" customFormat="1" x14ac:dyDescent="0.15">
      <c r="B36" s="3" t="s">
        <v>43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S36" s="5"/>
      <c r="T36" s="5"/>
      <c r="U36" s="5"/>
      <c r="V36" s="5"/>
    </row>
    <row r="37" spans="2:33" s="3" customFormat="1" x14ac:dyDescent="0.15">
      <c r="B37" s="3" t="s">
        <v>44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S37" s="5"/>
      <c r="T37" s="5"/>
      <c r="U37" s="5"/>
      <c r="V37" s="5"/>
    </row>
    <row r="38" spans="2:33" s="3" customFormat="1" x14ac:dyDescent="0.15">
      <c r="B38" s="3" t="s">
        <v>38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S38" s="5"/>
      <c r="T38" s="5"/>
      <c r="U38" s="5"/>
      <c r="V38" s="5"/>
    </row>
    <row r="40" spans="2:33" s="3" customFormat="1" x14ac:dyDescent="0.15">
      <c r="B40" s="3" t="s">
        <v>4</v>
      </c>
      <c r="C40" s="5"/>
      <c r="D40" s="5"/>
      <c r="E40" s="5"/>
      <c r="F40" s="5"/>
      <c r="G40" s="5"/>
      <c r="H40" s="5"/>
      <c r="I40" s="5"/>
      <c r="J40" s="5"/>
      <c r="K40" s="5"/>
      <c r="L40" s="5">
        <f>8421+18708+5547</f>
        <v>32676</v>
      </c>
      <c r="M40" s="5"/>
      <c r="N40" s="5"/>
      <c r="O40" s="5"/>
      <c r="P40" s="5"/>
      <c r="Q40" s="5"/>
      <c r="S40" s="5"/>
      <c r="T40" s="5"/>
      <c r="U40" s="5"/>
      <c r="V40" s="5"/>
    </row>
    <row r="41" spans="2:33" s="3" customFormat="1" x14ac:dyDescent="0.15">
      <c r="B41" s="3" t="s">
        <v>46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S41" s="5"/>
      <c r="T41" s="5"/>
      <c r="U41" s="5"/>
      <c r="V41" s="5"/>
    </row>
    <row r="42" spans="2:33" s="3" customFormat="1" x14ac:dyDescent="0.15">
      <c r="B42" s="3" t="s">
        <v>47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S42" s="5"/>
      <c r="T42" s="5"/>
      <c r="U42" s="5"/>
      <c r="V42" s="5"/>
    </row>
    <row r="43" spans="2:33" s="3" customFormat="1" x14ac:dyDescent="0.15">
      <c r="B43" s="3" t="s">
        <v>45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S43" s="5"/>
      <c r="T43" s="5"/>
      <c r="U43" s="5"/>
      <c r="V43" s="5"/>
    </row>
    <row r="44" spans="2:33" s="3" customFormat="1" x14ac:dyDescent="0.15">
      <c r="B44" s="3" t="s">
        <v>48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S44" s="5"/>
      <c r="T44" s="5"/>
      <c r="U44" s="5"/>
      <c r="V44" s="5"/>
    </row>
    <row r="45" spans="2:33" s="3" customFormat="1" x14ac:dyDescent="0.15">
      <c r="B45" s="3" t="s">
        <v>43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S45" s="5"/>
      <c r="T45" s="5"/>
      <c r="U45" s="5"/>
      <c r="V45" s="5"/>
    </row>
    <row r="46" spans="2:33" s="3" customFormat="1" x14ac:dyDescent="0.15">
      <c r="B46" s="3" t="s">
        <v>49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S46" s="5"/>
      <c r="T46" s="5"/>
      <c r="U46" s="5"/>
      <c r="V46" s="5"/>
    </row>
    <row r="47" spans="2:33" s="3" customFormat="1" x14ac:dyDescent="0.15">
      <c r="B47" s="3" t="s">
        <v>50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S47" s="5"/>
      <c r="T47" s="5"/>
      <c r="U47" s="5"/>
      <c r="V47" s="5"/>
    </row>
    <row r="48" spans="2:33" s="3" customFormat="1" x14ac:dyDescent="0.15">
      <c r="B48" s="3" t="s">
        <v>51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S48" s="5"/>
      <c r="T48" s="5"/>
      <c r="U48" s="5"/>
      <c r="V48" s="5"/>
    </row>
    <row r="50" spans="2:22" s="3" customFormat="1" x14ac:dyDescent="0.15">
      <c r="B50" s="3" t="s">
        <v>54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S50" s="5"/>
      <c r="T50" s="5"/>
      <c r="U50" s="5"/>
      <c r="V50" s="5">
        <f>+V18</f>
        <v>0</v>
      </c>
    </row>
    <row r="51" spans="2:22" s="3" customFormat="1" x14ac:dyDescent="0.15">
      <c r="B51" s="3" t="s">
        <v>55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S51" s="5"/>
      <c r="T51" s="5"/>
      <c r="U51" s="5"/>
      <c r="V51" s="5">
        <v>6717</v>
      </c>
    </row>
    <row r="52" spans="2:22" s="3" customFormat="1" x14ac:dyDescent="0.15">
      <c r="B52" s="3" t="s">
        <v>56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S52" s="5"/>
      <c r="T52" s="5"/>
      <c r="U52" s="5"/>
      <c r="V52" s="5">
        <v>1972</v>
      </c>
    </row>
    <row r="53" spans="2:22" s="3" customFormat="1" x14ac:dyDescent="0.15">
      <c r="B53" s="3" t="s">
        <v>57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S53" s="5"/>
      <c r="T53" s="5"/>
      <c r="U53" s="5"/>
      <c r="V53" s="5">
        <v>1150</v>
      </c>
    </row>
    <row r="54" spans="2:22" s="3" customFormat="1" x14ac:dyDescent="0.15">
      <c r="B54" s="3" t="s">
        <v>43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S54" s="5"/>
      <c r="T54" s="5"/>
      <c r="U54" s="5"/>
      <c r="V54" s="5">
        <v>-1146</v>
      </c>
    </row>
    <row r="55" spans="2:22" s="3" customFormat="1" x14ac:dyDescent="0.15">
      <c r="B55" s="3" t="s">
        <v>58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S55" s="5"/>
      <c r="T55" s="5"/>
      <c r="U55" s="5"/>
      <c r="V55" s="5">
        <v>2613</v>
      </c>
    </row>
    <row r="56" spans="2:22" s="3" customFormat="1" x14ac:dyDescent="0.15">
      <c r="B56" s="3" t="s">
        <v>59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S56" s="5"/>
      <c r="T56" s="5"/>
      <c r="U56" s="5"/>
      <c r="V56" s="5">
        <v>220</v>
      </c>
    </row>
    <row r="57" spans="2:22" s="3" customFormat="1" x14ac:dyDescent="0.15">
      <c r="B57" s="3" t="s">
        <v>60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S57" s="5"/>
      <c r="T57" s="5"/>
      <c r="U57" s="5"/>
      <c r="V57" s="5">
        <f>-874+11-733-398+7</f>
        <v>-1987</v>
      </c>
    </row>
    <row r="58" spans="2:22" s="3" customFormat="1" x14ac:dyDescent="0.15">
      <c r="B58" s="3" t="s">
        <v>61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S58" s="5"/>
      <c r="T58" s="5">
        <v>13139</v>
      </c>
      <c r="U58" s="5">
        <v>15887</v>
      </c>
      <c r="V58" s="5">
        <f>SUM(V51:V57)</f>
        <v>9539</v>
      </c>
    </row>
    <row r="60" spans="2:22" s="3" customFormat="1" x14ac:dyDescent="0.15">
      <c r="B60" s="3" t="s">
        <v>62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S60" s="5"/>
      <c r="T60" s="5">
        <v>-1564</v>
      </c>
      <c r="U60" s="5">
        <v>-2135</v>
      </c>
      <c r="V60" s="5">
        <v>-4511</v>
      </c>
    </row>
    <row r="61" spans="2:22" s="3" customFormat="1" x14ac:dyDescent="0.15">
      <c r="B61" s="3" t="s">
        <v>63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S61" s="5"/>
      <c r="T61" s="5"/>
      <c r="U61" s="5"/>
      <c r="V61" s="5">
        <v>-148</v>
      </c>
    </row>
    <row r="62" spans="2:22" s="3" customFormat="1" x14ac:dyDescent="0.15">
      <c r="B62" s="3" t="s">
        <v>64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S62" s="5"/>
      <c r="T62" s="5"/>
      <c r="U62" s="5"/>
      <c r="V62" s="5"/>
    </row>
    <row r="63" spans="2:22" s="3" customFormat="1" x14ac:dyDescent="0.15">
      <c r="B63" s="3" t="s">
        <v>84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S63" s="5"/>
      <c r="T63" s="5"/>
      <c r="U63" s="5"/>
      <c r="V63" s="5"/>
    </row>
    <row r="64" spans="2:22" s="3" customFormat="1" x14ac:dyDescent="0.15"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S64" s="5"/>
      <c r="T64" s="5"/>
      <c r="U64" s="5"/>
      <c r="V64" s="5"/>
    </row>
    <row r="65" spans="2:22" s="3" customFormat="1" x14ac:dyDescent="0.15">
      <c r="B65" s="3" t="s">
        <v>64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S65" s="5"/>
      <c r="T65" s="5"/>
      <c r="U65" s="5"/>
      <c r="V65" s="5">
        <f>-10272+19788+6363</f>
        <v>15879</v>
      </c>
    </row>
    <row r="66" spans="2:22" s="3" customFormat="1" x14ac:dyDescent="0.15"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S66" s="5"/>
      <c r="T66" s="5"/>
      <c r="U66" s="5"/>
      <c r="V66" s="5">
        <f>SUM(V60:V65)</f>
        <v>11220</v>
      </c>
    </row>
    <row r="67" spans="2:22" x14ac:dyDescent="0.15">
      <c r="B67" s="1" t="s">
        <v>85</v>
      </c>
      <c r="H67" s="5"/>
      <c r="I67" s="5"/>
      <c r="J67" s="5"/>
      <c r="K67" s="5"/>
      <c r="L67" s="5"/>
    </row>
    <row r="68" spans="2:22" x14ac:dyDescent="0.15">
      <c r="B68" s="1" t="s">
        <v>86</v>
      </c>
      <c r="H68" s="5"/>
      <c r="I68" s="5"/>
      <c r="J68" s="5"/>
      <c r="K68" s="5"/>
      <c r="L68" s="5"/>
    </row>
    <row r="69" spans="2:22" x14ac:dyDescent="0.15">
      <c r="B69" s="1" t="s">
        <v>4</v>
      </c>
      <c r="H69" s="5"/>
      <c r="I69" s="5"/>
      <c r="J69" s="5"/>
      <c r="K69" s="5"/>
      <c r="L69" s="5"/>
    </row>
    <row r="70" spans="2:22" x14ac:dyDescent="0.15">
      <c r="B70" s="1" t="s">
        <v>59</v>
      </c>
      <c r="H70" s="5"/>
      <c r="I70" s="5"/>
      <c r="J70" s="5"/>
      <c r="K70" s="5"/>
      <c r="L70" s="5"/>
    </row>
    <row r="71" spans="2:22" x14ac:dyDescent="0.15">
      <c r="B71" s="1" t="s">
        <v>87</v>
      </c>
      <c r="H71" s="5"/>
      <c r="I71" s="5"/>
      <c r="J71" s="5"/>
      <c r="K71" s="5"/>
      <c r="L71" s="5"/>
    </row>
    <row r="72" spans="2:22" x14ac:dyDescent="0.15">
      <c r="B72" s="1" t="s">
        <v>88</v>
      </c>
      <c r="L72" s="5"/>
    </row>
    <row r="73" spans="2:22" x14ac:dyDescent="0.15">
      <c r="B73" s="1" t="s">
        <v>89</v>
      </c>
      <c r="H73" s="5"/>
      <c r="I73" s="5"/>
      <c r="J73" s="5"/>
      <c r="K73" s="5"/>
      <c r="L73" s="5"/>
    </row>
  </sheetData>
  <hyperlinks>
    <hyperlink ref="A1" location="Main!A1" display="Main" xr:uid="{9063304A-9B64-48AF-9309-873C7B521AD3}"/>
  </hyperlink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Zhuping Liu</cp:lastModifiedBy>
  <dcterms:created xsi:type="dcterms:W3CDTF">2022-06-26T21:24:14Z</dcterms:created>
  <dcterms:modified xsi:type="dcterms:W3CDTF">2025-07-19T04:30:44Z</dcterms:modified>
</cp:coreProperties>
</file>