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vidliu/Downloads/"/>
    </mc:Choice>
  </mc:AlternateContent>
  <xr:revisionPtr revIDLastSave="0" documentId="13_ncr:1_{5724F1E1-84E0-544D-9E85-46A3E4494D8E}" xr6:coauthVersionLast="47" xr6:coauthVersionMax="47" xr10:uidLastSave="{00000000-0000-0000-0000-000000000000}"/>
  <bookViews>
    <workbookView xWindow="0" yWindow="500" windowWidth="28800" windowHeight="15100" activeTab="1" xr2:uid="{0DF986AF-6823-4C0B-834E-29DBBC392D3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90" i="2" l="1"/>
  <c r="AB89" i="2"/>
  <c r="Z18" i="2"/>
  <c r="AA18" i="2"/>
  <c r="Y18" i="2"/>
  <c r="O17" i="2"/>
  <c r="Y17" i="2"/>
  <c r="Z90" i="2"/>
  <c r="Z89" i="2"/>
  <c r="P90" i="2"/>
  <c r="Y90" i="2"/>
  <c r="X90" i="2"/>
  <c r="Y89" i="2"/>
  <c r="K33" i="2"/>
  <c r="X18" i="2"/>
  <c r="X17" i="2"/>
  <c r="X28" i="2"/>
  <c r="X29" i="2"/>
  <c r="W33" i="2"/>
  <c r="X33" i="2"/>
  <c r="V33" i="2"/>
  <c r="Z26" i="2"/>
  <c r="AA26" i="2" s="1"/>
  <c r="Y26" i="2"/>
  <c r="H40" i="2"/>
  <c r="I40" i="2"/>
  <c r="J40" i="2"/>
  <c r="K40" i="2"/>
  <c r="L40" i="2"/>
  <c r="M40" i="2"/>
  <c r="N40" i="2"/>
  <c r="O40" i="2"/>
  <c r="G40" i="2"/>
  <c r="O11" i="2"/>
  <c r="O38" i="2"/>
  <c r="W24" i="2"/>
  <c r="X24" i="2"/>
  <c r="V24" i="2"/>
  <c r="V25" i="2" s="1"/>
  <c r="V27" i="2" s="1"/>
  <c r="V29" i="2" s="1"/>
  <c r="I24" i="2"/>
  <c r="V19" i="2"/>
  <c r="X23" i="2"/>
  <c r="X22" i="2"/>
  <c r="X21" i="2"/>
  <c r="X20" i="2"/>
  <c r="W23" i="2"/>
  <c r="W22" i="2"/>
  <c r="W21" i="2"/>
  <c r="W20" i="2"/>
  <c r="W18" i="2"/>
  <c r="R5" i="2"/>
  <c r="R17" i="2" s="1"/>
  <c r="R89" i="2" s="1"/>
  <c r="P17" i="2"/>
  <c r="P33" i="2" s="1"/>
  <c r="P89" i="2"/>
  <c r="G91" i="2"/>
  <c r="G89" i="2"/>
  <c r="I73" i="2"/>
  <c r="J73" i="2"/>
  <c r="E75" i="2"/>
  <c r="H75" i="2"/>
  <c r="H74" i="2"/>
  <c r="H76" i="2" s="1"/>
  <c r="H71" i="2"/>
  <c r="I71" i="2" s="1"/>
  <c r="D73" i="2"/>
  <c r="E73" i="2" s="1"/>
  <c r="D71" i="2"/>
  <c r="E71" i="2" s="1"/>
  <c r="C89" i="2"/>
  <c r="C74" i="2"/>
  <c r="D74" i="2" s="1"/>
  <c r="E74" i="2" s="1"/>
  <c r="G74" i="2"/>
  <c r="G76" i="2" s="1"/>
  <c r="O74" i="2"/>
  <c r="O76" i="2"/>
  <c r="L73" i="2"/>
  <c r="M73" i="2" s="1"/>
  <c r="L70" i="2"/>
  <c r="O70" i="2"/>
  <c r="O71" i="2" s="1"/>
  <c r="O89" i="2" s="1"/>
  <c r="L69" i="2"/>
  <c r="L68" i="2"/>
  <c r="L67" i="2"/>
  <c r="L66" i="2"/>
  <c r="L65" i="2"/>
  <c r="L64" i="2"/>
  <c r="L63" i="2"/>
  <c r="L62" i="2"/>
  <c r="M62" i="2" s="1"/>
  <c r="K71" i="2"/>
  <c r="K89" i="2" s="1"/>
  <c r="O84" i="2"/>
  <c r="N84" i="2"/>
  <c r="N74" i="2"/>
  <c r="N76" i="2" s="1"/>
  <c r="N70" i="2"/>
  <c r="N67" i="2"/>
  <c r="N58" i="2"/>
  <c r="N54" i="2"/>
  <c r="N53" i="2"/>
  <c r="N47" i="2"/>
  <c r="N42" i="2"/>
  <c r="N50" i="2" s="1"/>
  <c r="P31" i="2"/>
  <c r="P26" i="2"/>
  <c r="P23" i="2"/>
  <c r="P22" i="2"/>
  <c r="P21" i="2"/>
  <c r="P20" i="2"/>
  <c r="P24" i="2" s="1"/>
  <c r="M35" i="2"/>
  <c r="M37" i="2"/>
  <c r="L38" i="2"/>
  <c r="H17" i="2"/>
  <c r="H19" i="2" s="1"/>
  <c r="L17" i="2"/>
  <c r="L33" i="2" s="1"/>
  <c r="H5" i="2"/>
  <c r="K38" i="2"/>
  <c r="M38" i="2"/>
  <c r="N38" i="2"/>
  <c r="O37" i="2"/>
  <c r="O36" i="2"/>
  <c r="O35" i="2"/>
  <c r="O26" i="2"/>
  <c r="O24" i="2"/>
  <c r="O58" i="2"/>
  <c r="O54" i="2"/>
  <c r="O53" i="2"/>
  <c r="O47" i="2"/>
  <c r="O42" i="2"/>
  <c r="O50" i="2" s="1"/>
  <c r="J17" i="2"/>
  <c r="K17" i="2"/>
  <c r="K19" i="2" s="1"/>
  <c r="K39" i="2" s="1"/>
  <c r="O19" i="2"/>
  <c r="O39" i="2" s="1"/>
  <c r="N17" i="2"/>
  <c r="O5" i="2"/>
  <c r="L5" i="2"/>
  <c r="P34" i="2" s="1"/>
  <c r="K5" i="2"/>
  <c r="N37" i="2"/>
  <c r="M36" i="2"/>
  <c r="N36" i="2"/>
  <c r="N35" i="2"/>
  <c r="I5" i="2"/>
  <c r="J5" i="2"/>
  <c r="M5" i="2"/>
  <c r="N5" i="2"/>
  <c r="J26" i="2"/>
  <c r="J24" i="2"/>
  <c r="N26" i="2"/>
  <c r="N24" i="2"/>
  <c r="I17" i="2"/>
  <c r="I19" i="2" s="1"/>
  <c r="M17" i="2"/>
  <c r="K28" i="2"/>
  <c r="K26" i="2"/>
  <c r="K24" i="2"/>
  <c r="G28" i="2"/>
  <c r="G26" i="2"/>
  <c r="W26" i="2" s="1"/>
  <c r="G24" i="2"/>
  <c r="G19" i="2"/>
  <c r="H28" i="2"/>
  <c r="H26" i="2"/>
  <c r="H24" i="2"/>
  <c r="L28" i="2"/>
  <c r="L26" i="2"/>
  <c r="L24" i="2"/>
  <c r="I28" i="2"/>
  <c r="M28" i="2"/>
  <c r="M26" i="2"/>
  <c r="I26" i="2"/>
  <c r="M24" i="2"/>
  <c r="K4" i="1"/>
  <c r="K7" i="1" s="1"/>
  <c r="Z17" i="2" l="1"/>
  <c r="AA17" i="2" s="1"/>
  <c r="Y24" i="2"/>
  <c r="O92" i="2"/>
  <c r="G90" i="2"/>
  <c r="M34" i="2"/>
  <c r="N71" i="2"/>
  <c r="N89" i="2" s="1"/>
  <c r="N92" i="2" s="1"/>
  <c r="D89" i="2"/>
  <c r="W28" i="2"/>
  <c r="X26" i="2"/>
  <c r="P11" i="2"/>
  <c r="K91" i="2"/>
  <c r="G92" i="2"/>
  <c r="I89" i="2"/>
  <c r="I91" i="2"/>
  <c r="F71" i="2"/>
  <c r="E89" i="2"/>
  <c r="W19" i="2"/>
  <c r="W25" i="2" s="1"/>
  <c r="K92" i="2"/>
  <c r="O90" i="2"/>
  <c r="K90" i="2"/>
  <c r="E76" i="2"/>
  <c r="F73" i="2"/>
  <c r="C76" i="2"/>
  <c r="Q5" i="2"/>
  <c r="Q17" i="2" s="1"/>
  <c r="Q89" i="2" s="1"/>
  <c r="W17" i="2"/>
  <c r="W11" i="2" s="1"/>
  <c r="H89" i="2"/>
  <c r="L71" i="2"/>
  <c r="H91" i="2"/>
  <c r="N34" i="2"/>
  <c r="D76" i="2"/>
  <c r="O91" i="2"/>
  <c r="R33" i="2"/>
  <c r="J71" i="2"/>
  <c r="H11" i="2"/>
  <c r="M11" i="2"/>
  <c r="N86" i="2"/>
  <c r="J11" i="2"/>
  <c r="P19" i="2"/>
  <c r="P18" i="2" s="1"/>
  <c r="L11" i="2"/>
  <c r="L19" i="2"/>
  <c r="L39" i="2" s="1"/>
  <c r="K11" i="2"/>
  <c r="N11" i="2"/>
  <c r="N59" i="2"/>
  <c r="I11" i="2"/>
  <c r="O25" i="2"/>
  <c r="O27" i="2" s="1"/>
  <c r="O29" i="2" s="1"/>
  <c r="M33" i="2"/>
  <c r="O34" i="2"/>
  <c r="N19" i="2"/>
  <c r="O86" i="2"/>
  <c r="N33" i="2"/>
  <c r="O33" i="2"/>
  <c r="J19" i="2"/>
  <c r="J25" i="2" s="1"/>
  <c r="J27" i="2" s="1"/>
  <c r="J29" i="2" s="1"/>
  <c r="J30" i="2" s="1"/>
  <c r="O59" i="2"/>
  <c r="M19" i="2"/>
  <c r="G25" i="2"/>
  <c r="K25" i="2"/>
  <c r="H25" i="2"/>
  <c r="H27" i="2" s="1"/>
  <c r="H29" i="2" s="1"/>
  <c r="H30" i="2" s="1"/>
  <c r="I25" i="2"/>
  <c r="I27" i="2" s="1"/>
  <c r="I29" i="2" s="1"/>
  <c r="I30" i="2" s="1"/>
  <c r="Y33" i="2" l="1"/>
  <c r="Q33" i="2"/>
  <c r="R90" i="2"/>
  <c r="Y19" i="2"/>
  <c r="Z24" i="2"/>
  <c r="G27" i="2"/>
  <c r="L89" i="2"/>
  <c r="L91" i="2"/>
  <c r="M71" i="2"/>
  <c r="H90" i="2"/>
  <c r="H92" i="2"/>
  <c r="F89" i="2"/>
  <c r="K27" i="2"/>
  <c r="J91" i="2"/>
  <c r="J89" i="2"/>
  <c r="X11" i="2"/>
  <c r="X19" i="2"/>
  <c r="X25" i="2" s="1"/>
  <c r="N91" i="2"/>
  <c r="I92" i="2"/>
  <c r="I90" i="2"/>
  <c r="L25" i="2"/>
  <c r="L27" i="2" s="1"/>
  <c r="L29" i="2" s="1"/>
  <c r="L30" i="2" s="1"/>
  <c r="P25" i="2"/>
  <c r="P27" i="2" s="1"/>
  <c r="P28" i="2" s="1"/>
  <c r="P29" i="2" s="1"/>
  <c r="P30" i="2" s="1"/>
  <c r="M25" i="2"/>
  <c r="M27" i="2" s="1"/>
  <c r="M29" i="2" s="1"/>
  <c r="M30" i="2" s="1"/>
  <c r="M39" i="2"/>
  <c r="N25" i="2"/>
  <c r="N27" i="2" s="1"/>
  <c r="N28" i="2" s="1"/>
  <c r="N39" i="2"/>
  <c r="O61" i="2"/>
  <c r="O30" i="2"/>
  <c r="Y25" i="2" l="1"/>
  <c r="Y27" i="2" s="1"/>
  <c r="Z33" i="2"/>
  <c r="Z19" i="2"/>
  <c r="Z25" i="2" s="1"/>
  <c r="Z27" i="2" s="1"/>
  <c r="Z28" i="2" s="1"/>
  <c r="AA24" i="2"/>
  <c r="M89" i="2"/>
  <c r="X89" i="2" s="1"/>
  <c r="M91" i="2"/>
  <c r="L92" i="2"/>
  <c r="L90" i="2"/>
  <c r="J90" i="2"/>
  <c r="J92" i="2"/>
  <c r="N90" i="2"/>
  <c r="K29" i="2"/>
  <c r="X27" i="2"/>
  <c r="G29" i="2"/>
  <c r="W27" i="2"/>
  <c r="N29" i="2"/>
  <c r="N61" i="2" s="1"/>
  <c r="N30" i="2"/>
  <c r="Y28" i="2" l="1"/>
  <c r="Y29" i="2" s="1"/>
  <c r="Z29" i="2"/>
  <c r="AA33" i="2"/>
  <c r="AA19" i="2"/>
  <c r="K30" i="2"/>
  <c r="G30" i="2"/>
  <c r="W29" i="2"/>
  <c r="M92" i="2"/>
  <c r="M90" i="2"/>
  <c r="Q90" i="2"/>
  <c r="AA25" i="2" l="1"/>
  <c r="AA27" i="2" s="1"/>
  <c r="AA28" i="2" s="1"/>
  <c r="AA29" i="2" l="1"/>
  <c r="AB29" i="2" l="1"/>
  <c r="AC29" i="2" s="1"/>
  <c r="AD29" i="2" s="1"/>
  <c r="AE29" i="2" s="1"/>
  <c r="AF29" i="2" s="1"/>
  <c r="AG29" i="2" s="1"/>
  <c r="AH29" i="2" s="1"/>
  <c r="AI29" i="2" s="1"/>
  <c r="AJ29" i="2" s="1"/>
  <c r="AK29" i="2" s="1"/>
  <c r="AL29" i="2" s="1"/>
  <c r="AM29" i="2" s="1"/>
  <c r="AN29" i="2" s="1"/>
  <c r="AO29" i="2" s="1"/>
  <c r="AP29" i="2" s="1"/>
  <c r="AQ29" i="2" s="1"/>
  <c r="AR29" i="2" s="1"/>
  <c r="AS29" i="2" s="1"/>
  <c r="AT29" i="2" s="1"/>
  <c r="AU29" i="2" s="1"/>
  <c r="AV29" i="2" s="1"/>
  <c r="AW29" i="2" s="1"/>
  <c r="AX29" i="2" s="1"/>
  <c r="AY29" i="2" s="1"/>
  <c r="AZ29" i="2" s="1"/>
  <c r="BA29" i="2" s="1"/>
  <c r="BB29" i="2" s="1"/>
  <c r="BC29" i="2" s="1"/>
  <c r="BD29" i="2" s="1"/>
  <c r="BE29" i="2" s="1"/>
  <c r="BF29" i="2" s="1"/>
  <c r="BG29" i="2" s="1"/>
  <c r="BH29" i="2" s="1"/>
  <c r="BI29" i="2" s="1"/>
  <c r="BJ29" i="2" s="1"/>
  <c r="BK29" i="2" s="1"/>
  <c r="BL29" i="2" s="1"/>
  <c r="BM29" i="2" s="1"/>
  <c r="BN29" i="2" s="1"/>
  <c r="BO29" i="2" s="1"/>
  <c r="BP29" i="2" s="1"/>
  <c r="BQ29" i="2" s="1"/>
  <c r="BR29" i="2" s="1"/>
  <c r="BS29" i="2" s="1"/>
  <c r="BT29" i="2" s="1"/>
  <c r="BU29" i="2" s="1"/>
  <c r="BV29" i="2" s="1"/>
  <c r="BW29" i="2" s="1"/>
  <c r="BX29" i="2" s="1"/>
  <c r="BY29" i="2" s="1"/>
  <c r="BZ29" i="2" s="1"/>
  <c r="CA29" i="2" s="1"/>
  <c r="CB29" i="2" s="1"/>
  <c r="CC29" i="2" s="1"/>
  <c r="CD29" i="2" s="1"/>
  <c r="CE29" i="2" s="1"/>
  <c r="CF29" i="2" s="1"/>
  <c r="CG29" i="2" s="1"/>
  <c r="CH29" i="2" s="1"/>
  <c r="CI29" i="2" s="1"/>
  <c r="CJ29" i="2" s="1"/>
  <c r="CK29" i="2" s="1"/>
  <c r="CL29" i="2" s="1"/>
  <c r="CM29" i="2" s="1"/>
  <c r="CN29" i="2" s="1"/>
  <c r="CO29" i="2" s="1"/>
  <c r="CP29" i="2" s="1"/>
  <c r="CQ29" i="2" s="1"/>
  <c r="CR29" i="2" s="1"/>
  <c r="CS29" i="2" s="1"/>
  <c r="CT29" i="2" s="1"/>
  <c r="CU29" i="2" s="1"/>
  <c r="CV29" i="2" s="1"/>
  <c r="CW29" i="2" s="1"/>
  <c r="CX29" i="2" s="1"/>
  <c r="CY29" i="2" s="1"/>
  <c r="CZ29" i="2" s="1"/>
  <c r="DA29" i="2" s="1"/>
  <c r="DB29" i="2" s="1"/>
  <c r="DC29" i="2" s="1"/>
  <c r="DD29" i="2" s="1"/>
  <c r="DE29" i="2" s="1"/>
  <c r="DF29" i="2" s="1"/>
  <c r="DG29" i="2" s="1"/>
  <c r="DH29" i="2" s="1"/>
  <c r="DI29" i="2" s="1"/>
  <c r="DJ29" i="2" s="1"/>
  <c r="DK29" i="2" s="1"/>
  <c r="DL29" i="2" s="1"/>
  <c r="DM29" i="2" s="1"/>
  <c r="DN29" i="2" s="1"/>
  <c r="DO29" i="2" s="1"/>
  <c r="DP29" i="2" s="1"/>
  <c r="DQ29" i="2" s="1"/>
  <c r="DR29" i="2" s="1"/>
  <c r="DS29" i="2" s="1"/>
  <c r="DT29" i="2" s="1"/>
  <c r="DU29" i="2" s="1"/>
  <c r="AF3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tc={0B66456F-1131-4A98-9565-E98585CFE1AA}</author>
  </authors>
  <commentList>
    <comment ref="P5" authorId="0" shapeId="0" xr:uid="{0B66456F-1131-4A98-9565-E98585CFE1AA}">
      <text>
        <t>[Threaded comment]
Your version of Excel allows you to read this threaded comment; however, any edits to it will get removed if the file is opened in a newer version of Excel. Learn more: https://go.microsoft.com/fwlink/?linkid=870924
Comment:
    Q125 guidance: 45.75-47.25</t>
      </text>
    </comment>
  </commentList>
</comments>
</file>

<file path=xl/sharedStrings.xml><?xml version="1.0" encoding="utf-8"?>
<sst xmlns="http://schemas.openxmlformats.org/spreadsheetml/2006/main" count="116" uniqueCount="105">
  <si>
    <t>Price</t>
  </si>
  <si>
    <t>Shares</t>
  </si>
  <si>
    <t>MC</t>
  </si>
  <si>
    <t>Cash</t>
  </si>
  <si>
    <t>Debt</t>
  </si>
  <si>
    <t>EV</t>
  </si>
  <si>
    <t>Q324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</si>
  <si>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</si>
  <si>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</si>
  <si>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</si>
  <si>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</si>
  <si>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</si>
  <si>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</si>
  <si>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</si>
  <si>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</si>
  <si>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</si>
  <si>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</si>
  <si>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</si>
  <si>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</si>
  <si>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Q424</t>
  </si>
  <si>
    <t>Operating Income</t>
  </si>
  <si>
    <t>Operating Expenses</t>
  </si>
  <si>
    <t>G&amp;A</t>
  </si>
  <si>
    <t>S&amp;M</t>
  </si>
  <si>
    <t>Operations &amp; Support</t>
  </si>
  <si>
    <t>COGS</t>
  </si>
  <si>
    <t>Gross Profit</t>
  </si>
  <si>
    <t>R&amp;D</t>
  </si>
  <si>
    <t>Pretax Income</t>
  </si>
  <si>
    <t>Interest Income</t>
  </si>
  <si>
    <t>Taxes</t>
  </si>
  <si>
    <t>Net Income</t>
  </si>
  <si>
    <t>EPS</t>
  </si>
  <si>
    <t>Revenue y/y</t>
  </si>
  <si>
    <t>Mobility: Andrew Macdonald</t>
  </si>
  <si>
    <t>Austin - Waymo</t>
  </si>
  <si>
    <t>Atlanta - Waymo</t>
  </si>
  <si>
    <t>CEO: Dara Khosrowshahi</t>
  </si>
  <si>
    <t>Bookings</t>
  </si>
  <si>
    <t>CFO: Prashanth Mahendra-Rajah</t>
  </si>
  <si>
    <t xml:space="preserve">  Mobility</t>
  </si>
  <si>
    <t xml:space="preserve">  Delivery</t>
  </si>
  <si>
    <t>MAU</t>
  </si>
  <si>
    <t>Trips</t>
  </si>
  <si>
    <t>Freight</t>
  </si>
  <si>
    <t>Delivery</t>
  </si>
  <si>
    <t>Mobility</t>
  </si>
  <si>
    <t xml:space="preserve">  Freight</t>
  </si>
  <si>
    <t>Q125</t>
  </si>
  <si>
    <t>Q225</t>
  </si>
  <si>
    <t>Q325</t>
  </si>
  <si>
    <t>Q425</t>
  </si>
  <si>
    <t>Bookings y/y</t>
  </si>
  <si>
    <t>Trips y/y</t>
  </si>
  <si>
    <t>Mobility Bookings y/y</t>
  </si>
  <si>
    <t>Mobility Revenue y/y</t>
  </si>
  <si>
    <t>Take Rate</t>
  </si>
  <si>
    <t>AR</t>
  </si>
  <si>
    <t>Prepaids</t>
  </si>
  <si>
    <t>PP&amp;E</t>
  </si>
  <si>
    <t>Lease</t>
  </si>
  <si>
    <t>Intangibles</t>
  </si>
  <si>
    <t>DTA</t>
  </si>
  <si>
    <t>Other</t>
  </si>
  <si>
    <t>Assets</t>
  </si>
  <si>
    <t>AP</t>
  </si>
  <si>
    <t>Insurance Reserves</t>
  </si>
  <si>
    <t>Accrued</t>
  </si>
  <si>
    <t>OLTL</t>
  </si>
  <si>
    <t>SE</t>
  </si>
  <si>
    <t>L+SE</t>
  </si>
  <si>
    <t>Model NI</t>
  </si>
  <si>
    <t>Reported NI</t>
  </si>
  <si>
    <t>CFFO</t>
  </si>
  <si>
    <t>WC</t>
  </si>
  <si>
    <t>D&amp;A</t>
  </si>
  <si>
    <t>SBC</t>
  </si>
  <si>
    <t>DT</t>
  </si>
  <si>
    <t>Unrealized Gain</t>
  </si>
  <si>
    <t>Unrealized FX</t>
  </si>
  <si>
    <t>CFFI</t>
  </si>
  <si>
    <t>CapEx</t>
  </si>
  <si>
    <t>Investments</t>
  </si>
  <si>
    <t>Leases</t>
  </si>
  <si>
    <t>Buybacks</t>
  </si>
  <si>
    <t>CFFF</t>
  </si>
  <si>
    <t>CIC</t>
  </si>
  <si>
    <t>FX</t>
  </si>
  <si>
    <t>Gross Margin</t>
  </si>
  <si>
    <t>FCF</t>
  </si>
  <si>
    <t>Bad Debt</t>
  </si>
  <si>
    <t>ESOP</t>
  </si>
  <si>
    <t>NCI</t>
  </si>
  <si>
    <t>Loans</t>
  </si>
  <si>
    <t>FY2023</t>
  </si>
  <si>
    <t>FY2024</t>
  </si>
  <si>
    <t>FCF y/y</t>
  </si>
  <si>
    <t>CFFO y/y</t>
  </si>
  <si>
    <t>FCF yield</t>
  </si>
  <si>
    <t>FY2022</t>
  </si>
  <si>
    <t>FY2021</t>
  </si>
  <si>
    <t>Operating Margin</t>
  </si>
  <si>
    <t>NPV</t>
  </si>
  <si>
    <t>Discount</t>
  </si>
  <si>
    <t>Terminal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</si>
</sst>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9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0" fontId="2" fillId="0" borderId="0" xfId="1"/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9" fontId="0" fillId="0" borderId="0" xfId="0" applyNumberFormat="1"/>
    <xf numFmtId="44" fontId="0" fillId="0" borderId="0" xfId="2" applyFont="1"/>
    <xf numFmtId="9" fontId="0" fillId="0" borderId="0" xfId="3" applyFont="1"/>
    <xf numFmtId="9" fontId="1" fillId="0" borderId="0" xfId="0" applyNumberFormat="1" applyFont="1"/>
    <xf numFmtId="10" fontId="0" fillId="0" borderId="0" xfId="0" applyNumberFormat="1"/>
    <xf numFmtId="8" fontId="0" fillId="0" borderId="0" xfId="0" applyNumberFormat="1"/>
  </cellXfs>
  <cellStyles count="4">
    <cellStyle name="Currency" xfId="2" builtinId="4"/>
    <cellStyle name="Hyperlink" xfId="1" builtinId="8"/>
    <cellStyle name="Normal" xfId="0" builtinId="0"/>
    <cellStyle name="Percent" xfId="3" builtinId="5"/>
  </cellStyles>
  <dxfs count="0"/>
  <tableStyles count="1" defaultTableStyle="TableStyleMedium2" defaultPivotStyle="PivotStyleLight16">
    <tableStyle name="Invisible" pivot="0" table="0" count="0" xr9:uid="{EE3C1556-267B-451D-9BDE-540B507B2D5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16675</xdr:colOff>
      <xdr:row>0</xdr:row>
      <xdr:rowOff>19202</xdr:rowOff>
    </xdr:from>
    <xdr:to>
      <xdr:col>15</xdr:col>
      <xdr:colOff>16675</xdr:colOff>
      <xdr:row>91</xdr:row>
      <xdr:rowOff>162034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07F6E3E-A4A7-F025-A548-8D9A977D8E13}"/>
            </a:ext>
          </a:extLst>
        </xdr:cNvPr>
        <xdr:cNvCxnSpPr/>
      </xdr:nvCxnSpPr>
      <xdr:spPr>
        <a:xfrm>
          <a:off x="9554813" y="19202"/>
          <a:ext cx="0" cy="1412159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18541</xdr:colOff>
      <xdr:row>0</xdr:row>
      <xdr:rowOff>0</xdr:rowOff>
    </xdr:from>
    <xdr:to>
      <xdr:col>24</xdr:col>
      <xdr:colOff>18541</xdr:colOff>
      <xdr:row>91</xdr:row>
      <xdr:rowOff>142832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B68461AD-FD28-B147-8E0A-1FB2BDDBEDB2}"/>
            </a:ext>
          </a:extLst>
        </xdr:cNvPr>
        <xdr:cNvCxnSpPr/>
      </xdr:nvCxnSpPr>
      <xdr:spPr>
        <a:xfrm>
          <a:off x="16954964" y="0"/>
          <a:ext cx="0" cy="151603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1A54AB40-FAFB-4C4B-BC58-E9D48CF625D8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5" dT="2025-07-15T16:40:20.81" personId="{1A54AB40-FAFB-4C4B-BC58-E9D48CF625D8}" id="{0B66456F-1131-4A98-9565-E98585CFE1AA}">
    <text>Q125 guidance: 45.75-47.25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EF98D-1B39-4528-8E59-490EB52EFEAA}">
  <dimension ref="B2:M11"/>
  <sheetViews>
    <sheetView zoomScale="130" zoomScaleNormal="130" workbookViewId="0">
      <selection activeCell="K8" sqref="K8"/>
    </sheetView>
  </sheetViews>
  <sheetFormatPr baseColWidth="10" defaultColWidth="8.83203125" defaultRowHeight="13" x14ac:dyDescent="0.15"/>
  <sheetData>
    <row r="2" spans="2:13" x14ac:dyDescent="0.15">
      <c r="B2" t="s">
        <v>35</v>
      </c>
      <c r="J2" t="s">
        <v>0</v>
      </c>
      <c r="K2" s="1">
        <v>92</v>
      </c>
    </row>
    <row r="3" spans="2:13" x14ac:dyDescent="0.15">
      <c r="B3" t="s">
        <v>36</v>
      </c>
      <c r="J3" t="s">
        <v>1</v>
      </c>
      <c r="K3" s="2">
        <v>2123</v>
      </c>
      <c r="L3" s="3" t="s">
        <v>48</v>
      </c>
    </row>
    <row r="4" spans="2:13" x14ac:dyDescent="0.15">
      <c r="J4" t="s">
        <v>2</v>
      </c>
      <c r="K4" s="2">
        <f>+K2*K3</f>
        <v>195316</v>
      </c>
    </row>
    <row r="5" spans="2:13" x14ac:dyDescent="0.15">
      <c r="J5" t="s">
        <v>3</v>
      </c>
      <c r="K5" s="2">
        <v>25949</v>
      </c>
      <c r="L5" s="3" t="s">
        <v>48</v>
      </c>
    </row>
    <row r="6" spans="2:13" x14ac:dyDescent="0.15">
      <c r="J6" t="s">
        <v>4</v>
      </c>
      <c r="K6" s="2">
        <v>8350</v>
      </c>
      <c r="L6" s="3" t="s">
        <v>48</v>
      </c>
    </row>
    <row r="7" spans="2:13" x14ac:dyDescent="0.15">
      <c r="J7" t="s">
        <v>5</v>
      </c>
      <c r="K7" s="2">
        <f>+K4-K5+K6</f>
        <v>177717</v>
      </c>
    </row>
    <row r="8" spans="2:13" x14ac:dyDescent="0.15">
      <c r="M8" s="14"/>
    </row>
    <row r="9" spans="2:13" x14ac:dyDescent="0.15">
      <c r="J9" t="s">
        <v>37</v>
      </c>
    </row>
    <row r="10" spans="2:13" x14ac:dyDescent="0.15">
      <c r="J10" t="s">
        <v>39</v>
      </c>
    </row>
    <row r="11" spans="2:13" x14ac:dyDescent="0.15">
      <c r="J11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158C0-5513-48E1-8F59-B890C6B4BCDB}">
  <dimension ref="A1:DU93"/>
  <sheetViews>
    <sheetView tabSelected="1" zoomScale="137" zoomScaleNormal="145" workbookViewId="0">
      <pane xSplit="2" ySplit="2" topLeftCell="O78" activePane="bottomRight" state="frozen"/>
      <selection pane="topRight" activeCell="C1" sqref="C1"/>
      <selection pane="bottomLeft" activeCell="A3" sqref="A3"/>
      <selection pane="bottomRight" activeCell="AB95" sqref="AB95"/>
    </sheetView>
  </sheetViews>
  <sheetFormatPr baseColWidth="10" defaultColWidth="8.83203125" defaultRowHeight="13" x14ac:dyDescent="0.15"/>
  <cols>
    <col min="1" max="1" width="5" bestFit="1" customWidth="1"/>
    <col min="2" max="2" width="19.33203125" bestFit="1" customWidth="1"/>
    <col min="3" max="14" width="9.1640625" style="3"/>
    <col min="15" max="15" width="8.5" customWidth="1"/>
    <col min="32" max="32" width="11.6640625" bestFit="1" customWidth="1"/>
  </cols>
  <sheetData>
    <row r="1" spans="1:24" x14ac:dyDescent="0.15">
      <c r="A1" s="9" t="s">
        <v>7</v>
      </c>
    </row>
    <row r="2" spans="1:24" x14ac:dyDescent="0.15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18</v>
      </c>
      <c r="M2" s="3" t="s">
        <v>6</v>
      </c>
      <c r="N2" s="3" t="s">
        <v>19</v>
      </c>
      <c r="O2" s="3" t="s">
        <v>48</v>
      </c>
      <c r="P2" s="3" t="s">
        <v>49</v>
      </c>
      <c r="Q2" s="3" t="s">
        <v>50</v>
      </c>
      <c r="R2" s="3" t="s">
        <v>51</v>
      </c>
      <c r="U2" s="3" t="s">
        <v>100</v>
      </c>
      <c r="V2" s="3" t="s">
        <v>99</v>
      </c>
      <c r="W2" t="s">
        <v>94</v>
      </c>
      <c r="X2" t="s">
        <v>95</v>
      </c>
    </row>
    <row r="3" spans="1:24" s="2" customFormat="1" x14ac:dyDescent="0.15">
      <c r="B3" s="2" t="s">
        <v>42</v>
      </c>
      <c r="C3" s="4"/>
      <c r="D3" s="4"/>
      <c r="E3" s="4"/>
      <c r="F3" s="4"/>
      <c r="G3" s="4"/>
      <c r="H3" s="4">
        <v>137</v>
      </c>
      <c r="I3" s="4">
        <v>142</v>
      </c>
      <c r="J3" s="4">
        <v>150</v>
      </c>
      <c r="K3" s="4">
        <v>149</v>
      </c>
      <c r="L3" s="4">
        <v>156</v>
      </c>
      <c r="M3" s="4">
        <v>161</v>
      </c>
      <c r="N3" s="4">
        <v>171</v>
      </c>
      <c r="O3" s="2">
        <v>170</v>
      </c>
    </row>
    <row r="4" spans="1:24" s="2" customFormat="1" x14ac:dyDescent="0.1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24" x14ac:dyDescent="0.15">
      <c r="B5" t="s">
        <v>38</v>
      </c>
      <c r="H5" s="4">
        <f t="shared" ref="H5:O5" si="0">+H6+H7+H8</f>
        <v>33601</v>
      </c>
      <c r="I5" s="4">
        <f t="shared" si="0"/>
        <v>35281</v>
      </c>
      <c r="J5" s="4">
        <f t="shared" si="0"/>
        <v>37575</v>
      </c>
      <c r="K5" s="4">
        <f t="shared" si="0"/>
        <v>37651</v>
      </c>
      <c r="L5" s="4">
        <f t="shared" si="0"/>
        <v>39955</v>
      </c>
      <c r="M5" s="4">
        <f t="shared" si="0"/>
        <v>40973</v>
      </c>
      <c r="N5" s="4">
        <f t="shared" si="0"/>
        <v>44197</v>
      </c>
      <c r="O5" s="4">
        <f t="shared" si="0"/>
        <v>42818</v>
      </c>
      <c r="P5" s="2">
        <v>46500</v>
      </c>
      <c r="Q5" s="4">
        <f>M5*1.16</f>
        <v>47528.68</v>
      </c>
      <c r="R5" s="4">
        <f>N5*1.16</f>
        <v>51268.52</v>
      </c>
      <c r="U5" s="2">
        <v>90415</v>
      </c>
      <c r="V5" s="2">
        <v>115395</v>
      </c>
      <c r="W5" s="2">
        <v>137865</v>
      </c>
      <c r="X5" s="2">
        <v>162773</v>
      </c>
    </row>
    <row r="6" spans="1:24" s="2" customFormat="1" x14ac:dyDescent="0.15">
      <c r="B6" s="2" t="s">
        <v>40</v>
      </c>
      <c r="C6" s="4"/>
      <c r="D6" s="4"/>
      <c r="E6" s="4"/>
      <c r="F6" s="4"/>
      <c r="G6" s="4"/>
      <c r="H6" s="4">
        <v>16728</v>
      </c>
      <c r="I6" s="4">
        <v>17903</v>
      </c>
      <c r="J6" s="4">
        <v>19285</v>
      </c>
      <c r="K6" s="4">
        <v>18670</v>
      </c>
      <c r="L6" s="4">
        <v>20554</v>
      </c>
      <c r="M6" s="4">
        <v>21002</v>
      </c>
      <c r="N6" s="4">
        <v>22798</v>
      </c>
      <c r="O6" s="2">
        <v>21182</v>
      </c>
    </row>
    <row r="7" spans="1:24" x14ac:dyDescent="0.15">
      <c r="B7" t="s">
        <v>41</v>
      </c>
      <c r="H7" s="3">
        <v>15595</v>
      </c>
      <c r="I7" s="4">
        <v>16094</v>
      </c>
      <c r="J7" s="4">
        <v>17011</v>
      </c>
      <c r="K7" s="4">
        <v>17699</v>
      </c>
      <c r="L7" s="4">
        <v>18126</v>
      </c>
      <c r="M7" s="4">
        <v>18663</v>
      </c>
      <c r="N7" s="4">
        <v>20126</v>
      </c>
      <c r="O7" s="4">
        <v>20377</v>
      </c>
      <c r="U7" s="2"/>
      <c r="V7" s="2"/>
      <c r="W7" s="2"/>
      <c r="X7" s="2"/>
    </row>
    <row r="8" spans="1:24" x14ac:dyDescent="0.15">
      <c r="B8" s="2" t="s">
        <v>47</v>
      </c>
      <c r="H8" s="3">
        <v>1278</v>
      </c>
      <c r="I8" s="4">
        <v>1284</v>
      </c>
      <c r="J8" s="4">
        <v>1279</v>
      </c>
      <c r="K8" s="4">
        <v>1282</v>
      </c>
      <c r="L8" s="4">
        <v>1275</v>
      </c>
      <c r="M8" s="4">
        <v>1308</v>
      </c>
      <c r="N8" s="4">
        <v>1273</v>
      </c>
      <c r="O8" s="2">
        <v>1259</v>
      </c>
      <c r="U8" s="2"/>
      <c r="V8" s="2"/>
      <c r="W8" s="2"/>
      <c r="X8" s="2"/>
    </row>
    <row r="9" spans="1:24" s="2" customFormat="1" x14ac:dyDescent="0.15">
      <c r="B9" s="2" t="s">
        <v>43</v>
      </c>
      <c r="C9" s="4"/>
      <c r="D9" s="4"/>
      <c r="E9" s="4"/>
      <c r="F9" s="4"/>
      <c r="G9" s="4"/>
      <c r="H9" s="4">
        <v>2282</v>
      </c>
      <c r="I9" s="4">
        <v>2441</v>
      </c>
      <c r="J9" s="4">
        <v>2601</v>
      </c>
      <c r="K9" s="4">
        <v>2572</v>
      </c>
      <c r="L9" s="4">
        <v>2765</v>
      </c>
      <c r="M9" s="4">
        <v>2868</v>
      </c>
      <c r="N9" s="4">
        <v>3068</v>
      </c>
      <c r="O9" s="2">
        <v>3036</v>
      </c>
    </row>
    <row r="10" spans="1:24" s="2" customFormat="1" x14ac:dyDescent="0.15"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24" s="2" customFormat="1" x14ac:dyDescent="0.15">
      <c r="B11" s="2" t="s">
        <v>56</v>
      </c>
      <c r="C11" s="4"/>
      <c r="D11" s="4"/>
      <c r="E11" s="4"/>
      <c r="F11" s="4"/>
      <c r="G11" s="4"/>
      <c r="H11" s="8">
        <f>+H17/H5</f>
        <v>0.27469420552959734</v>
      </c>
      <c r="I11" s="8">
        <f t="shared" ref="I11:P11" si="1">+I17/I5</f>
        <v>0.26337121963663163</v>
      </c>
      <c r="J11" s="8">
        <f t="shared" si="1"/>
        <v>0.2644311377245509</v>
      </c>
      <c r="K11" s="8">
        <f t="shared" si="1"/>
        <v>0.26907651855196407</v>
      </c>
      <c r="L11" s="8">
        <f t="shared" si="1"/>
        <v>0.2678012764359905</v>
      </c>
      <c r="M11" s="8">
        <f t="shared" si="1"/>
        <v>0.2730578673760769</v>
      </c>
      <c r="N11" s="8">
        <f t="shared" si="1"/>
        <v>0.27058397628798336</v>
      </c>
      <c r="O11" s="8">
        <f>+O17/O5</f>
        <v>0.2693493390630109</v>
      </c>
      <c r="P11" s="8">
        <f t="shared" si="1"/>
        <v>0.27</v>
      </c>
      <c r="W11" s="15">
        <f>W17/W5</f>
        <v>0.27041671200087042</v>
      </c>
      <c r="X11" s="15">
        <f>X17/X5</f>
        <v>0.27017994384818123</v>
      </c>
    </row>
    <row r="12" spans="1:24" x14ac:dyDescent="0.15">
      <c r="U12" s="2"/>
    </row>
    <row r="13" spans="1:24" s="2" customFormat="1" x14ac:dyDescent="0.15">
      <c r="B13" s="2" t="s">
        <v>46</v>
      </c>
      <c r="C13" s="4"/>
      <c r="D13" s="4"/>
      <c r="E13" s="4"/>
      <c r="F13" s="4"/>
      <c r="G13" s="4"/>
      <c r="H13" s="4">
        <v>4894</v>
      </c>
      <c r="I13" s="4">
        <v>5071</v>
      </c>
      <c r="J13" s="4">
        <v>5537</v>
      </c>
      <c r="K13" s="4">
        <v>5633</v>
      </c>
      <c r="L13" s="4">
        <v>6134</v>
      </c>
      <c r="M13" s="4">
        <v>6409</v>
      </c>
      <c r="N13" s="4">
        <v>6911</v>
      </c>
      <c r="O13" s="2">
        <v>6496</v>
      </c>
    </row>
    <row r="14" spans="1:24" s="2" customFormat="1" x14ac:dyDescent="0.15">
      <c r="B14" s="2" t="s">
        <v>45</v>
      </c>
      <c r="C14" s="4"/>
      <c r="D14" s="4"/>
      <c r="E14" s="4"/>
      <c r="F14" s="3"/>
      <c r="G14" s="4"/>
      <c r="H14" s="4">
        <v>3057</v>
      </c>
      <c r="I14" s="4">
        <v>2935</v>
      </c>
      <c r="J14" s="4">
        <v>3119</v>
      </c>
      <c r="K14" s="4">
        <v>3214</v>
      </c>
      <c r="L14" s="4">
        <v>3293</v>
      </c>
      <c r="M14" s="4">
        <v>3470</v>
      </c>
      <c r="N14" s="4">
        <v>3773</v>
      </c>
      <c r="O14" s="2">
        <v>3777</v>
      </c>
    </row>
    <row r="15" spans="1:24" s="2" customFormat="1" x14ac:dyDescent="0.15">
      <c r="B15" s="2" t="s">
        <v>44</v>
      </c>
      <c r="C15" s="4"/>
      <c r="D15" s="4"/>
      <c r="E15" s="4"/>
      <c r="F15" s="4"/>
      <c r="G15" s="4"/>
      <c r="H15" s="4">
        <v>1279</v>
      </c>
      <c r="I15" s="4">
        <v>1286</v>
      </c>
      <c r="J15" s="4">
        <v>1280</v>
      </c>
      <c r="K15" s="4">
        <v>1284</v>
      </c>
      <c r="L15" s="4">
        <v>1273</v>
      </c>
      <c r="M15" s="4">
        <v>1309</v>
      </c>
      <c r="N15" s="4">
        <v>1275</v>
      </c>
      <c r="O15" s="2">
        <v>1260</v>
      </c>
    </row>
    <row r="16" spans="1:24" x14ac:dyDescent="0.15">
      <c r="U16" s="2"/>
    </row>
    <row r="17" spans="2:125" s="6" customFormat="1" x14ac:dyDescent="0.15">
      <c r="B17" s="6" t="s">
        <v>8</v>
      </c>
      <c r="C17" s="7"/>
      <c r="D17" s="7"/>
      <c r="E17" s="7"/>
      <c r="F17" s="7"/>
      <c r="G17" s="7">
        <v>8823</v>
      </c>
      <c r="H17" s="7">
        <f t="shared" ref="H17:O17" si="2">SUM(H13:H15)</f>
        <v>9230</v>
      </c>
      <c r="I17" s="7">
        <f t="shared" si="2"/>
        <v>9292</v>
      </c>
      <c r="J17" s="7">
        <f t="shared" si="2"/>
        <v>9936</v>
      </c>
      <c r="K17" s="7">
        <f t="shared" si="2"/>
        <v>10131</v>
      </c>
      <c r="L17" s="7">
        <f t="shared" si="2"/>
        <v>10700</v>
      </c>
      <c r="M17" s="7">
        <f t="shared" si="2"/>
        <v>11188</v>
      </c>
      <c r="N17" s="7">
        <f t="shared" si="2"/>
        <v>11959</v>
      </c>
      <c r="O17" s="7">
        <f>SUM(O13:O15)</f>
        <v>11533</v>
      </c>
      <c r="P17" s="7">
        <f>+P5*0.27</f>
        <v>12555</v>
      </c>
      <c r="Q17" s="7">
        <f t="shared" ref="Q17:R17" si="3">+Q5*0.27</f>
        <v>12832.743600000002</v>
      </c>
      <c r="R17" s="7">
        <f t="shared" si="3"/>
        <v>13842.500400000001</v>
      </c>
      <c r="U17" s="6">
        <v>17455</v>
      </c>
      <c r="V17" s="6">
        <v>31877</v>
      </c>
      <c r="W17" s="6">
        <f>SUM(G17:J17)</f>
        <v>37281</v>
      </c>
      <c r="X17" s="6">
        <f>SUM(K17:N17)</f>
        <v>43978</v>
      </c>
      <c r="Y17" s="6">
        <f>SUM(O17:R17)</f>
        <v>50763.244000000006</v>
      </c>
      <c r="Z17" s="6">
        <f t="shared" ref="Z17:AA17" si="4">+Y17*1.18</f>
        <v>59900.627920000006</v>
      </c>
      <c r="AA17" s="6">
        <f t="shared" si="4"/>
        <v>70682.740945600002</v>
      </c>
    </row>
    <row r="18" spans="2:125" s="2" customFormat="1" x14ac:dyDescent="0.15">
      <c r="B18" s="2" t="s">
        <v>25</v>
      </c>
      <c r="C18" s="4"/>
      <c r="D18" s="4"/>
      <c r="E18" s="4"/>
      <c r="F18" s="4"/>
      <c r="G18" s="4">
        <v>5259</v>
      </c>
      <c r="H18" s="4">
        <v>5515</v>
      </c>
      <c r="I18" s="4">
        <v>5626</v>
      </c>
      <c r="J18" s="4">
        <v>6057</v>
      </c>
      <c r="K18" s="4">
        <v>6168</v>
      </c>
      <c r="L18" s="4">
        <v>6488</v>
      </c>
      <c r="M18" s="4">
        <v>6761</v>
      </c>
      <c r="N18" s="4">
        <v>7234</v>
      </c>
      <c r="O18" s="2">
        <v>6937</v>
      </c>
      <c r="P18" s="2">
        <f>+P17-P19</f>
        <v>7533</v>
      </c>
      <c r="V18" s="2">
        <v>19659</v>
      </c>
      <c r="W18" s="2">
        <f>SUM(G18:J18)</f>
        <v>22457</v>
      </c>
      <c r="X18" s="2">
        <f>SUM(K18:N18)</f>
        <v>26651</v>
      </c>
      <c r="Y18" s="2">
        <f>Y17*0.59</f>
        <v>29950.313960000003</v>
      </c>
      <c r="Z18" s="2">
        <f t="shared" ref="Z18:AA18" si="5">Z17*0.59</f>
        <v>35341.370472800001</v>
      </c>
      <c r="AA18" s="2">
        <f t="shared" si="5"/>
        <v>41702.817157903999</v>
      </c>
    </row>
    <row r="19" spans="2:125" s="2" customFormat="1" x14ac:dyDescent="0.15">
      <c r="B19" s="2" t="s">
        <v>26</v>
      </c>
      <c r="C19" s="4"/>
      <c r="D19" s="4"/>
      <c r="E19" s="4"/>
      <c r="F19" s="4"/>
      <c r="G19" s="4">
        <f t="shared" ref="G19:N19" si="6">+G17-G18</f>
        <v>3564</v>
      </c>
      <c r="H19" s="4">
        <f t="shared" si="6"/>
        <v>3715</v>
      </c>
      <c r="I19" s="4">
        <f t="shared" si="6"/>
        <v>3666</v>
      </c>
      <c r="J19" s="4">
        <f t="shared" si="6"/>
        <v>3879</v>
      </c>
      <c r="K19" s="4">
        <f t="shared" si="6"/>
        <v>3963</v>
      </c>
      <c r="L19" s="4">
        <f t="shared" si="6"/>
        <v>4212</v>
      </c>
      <c r="M19" s="4">
        <f t="shared" si="6"/>
        <v>4427</v>
      </c>
      <c r="N19" s="4">
        <f t="shared" si="6"/>
        <v>4725</v>
      </c>
      <c r="O19" s="2">
        <f>+O17-O18</f>
        <v>4596</v>
      </c>
      <c r="P19" s="2">
        <f>+P17*0.4</f>
        <v>5022</v>
      </c>
      <c r="V19" s="2">
        <f>V17-V18</f>
        <v>12218</v>
      </c>
      <c r="W19" s="2">
        <f>SUM(G19:J19)</f>
        <v>14824</v>
      </c>
      <c r="X19" s="2">
        <f>X17-X18</f>
        <v>17327</v>
      </c>
      <c r="Y19" s="2">
        <f t="shared" ref="Y19:AB19" si="7">Y17-Y18</f>
        <v>20812.930040000003</v>
      </c>
      <c r="Z19" s="2">
        <f t="shared" si="7"/>
        <v>24559.257447200005</v>
      </c>
      <c r="AA19" s="2">
        <f t="shared" si="7"/>
        <v>28979.923787696003</v>
      </c>
    </row>
    <row r="20" spans="2:125" s="2" customFormat="1" x14ac:dyDescent="0.15">
      <c r="B20" s="2" t="s">
        <v>24</v>
      </c>
      <c r="C20" s="4"/>
      <c r="D20" s="4"/>
      <c r="E20" s="4"/>
      <c r="F20" s="4"/>
      <c r="G20" s="4">
        <v>640</v>
      </c>
      <c r="H20" s="4">
        <v>664</v>
      </c>
      <c r="I20" s="4">
        <v>683</v>
      </c>
      <c r="J20" s="4">
        <v>702</v>
      </c>
      <c r="K20" s="4">
        <v>685</v>
      </c>
      <c r="L20" s="4">
        <v>682</v>
      </c>
      <c r="M20" s="4">
        <v>687</v>
      </c>
      <c r="N20" s="4">
        <v>678</v>
      </c>
      <c r="O20" s="2">
        <v>668</v>
      </c>
      <c r="P20" s="2">
        <f>+L20</f>
        <v>682</v>
      </c>
      <c r="V20" s="2">
        <v>2413</v>
      </c>
      <c r="W20" s="2">
        <f>SUM(G20:J20)</f>
        <v>2689</v>
      </c>
      <c r="X20" s="2">
        <f>SUM(K20:N20)</f>
        <v>2732</v>
      </c>
    </row>
    <row r="21" spans="2:125" s="2" customFormat="1" x14ac:dyDescent="0.15">
      <c r="B21" s="2" t="s">
        <v>23</v>
      </c>
      <c r="C21" s="4"/>
      <c r="D21" s="4"/>
      <c r="E21" s="4"/>
      <c r="F21" s="4"/>
      <c r="G21" s="4">
        <v>1262</v>
      </c>
      <c r="H21" s="4">
        <v>808</v>
      </c>
      <c r="I21" s="4">
        <v>941</v>
      </c>
      <c r="J21" s="4">
        <v>935</v>
      </c>
      <c r="K21" s="4">
        <v>917</v>
      </c>
      <c r="L21" s="4">
        <v>1115</v>
      </c>
      <c r="M21" s="4">
        <v>1096</v>
      </c>
      <c r="N21" s="4">
        <v>1209</v>
      </c>
      <c r="O21" s="2">
        <v>1057</v>
      </c>
      <c r="P21" s="2">
        <f>+L21</f>
        <v>1115</v>
      </c>
      <c r="V21" s="2">
        <v>4756</v>
      </c>
      <c r="W21" s="2">
        <f>SUM(G21:J21)</f>
        <v>3946</v>
      </c>
      <c r="X21" s="2">
        <f>SUM(K21:N21)</f>
        <v>4337</v>
      </c>
    </row>
    <row r="22" spans="2:125" s="2" customFormat="1" x14ac:dyDescent="0.15">
      <c r="B22" s="2" t="s">
        <v>27</v>
      </c>
      <c r="C22" s="4"/>
      <c r="D22" s="4"/>
      <c r="E22" s="4"/>
      <c r="F22" s="4"/>
      <c r="G22" s="4">
        <v>775</v>
      </c>
      <c r="H22" s="4">
        <v>491</v>
      </c>
      <c r="I22" s="4">
        <v>797</v>
      </c>
      <c r="J22" s="4">
        <v>784</v>
      </c>
      <c r="K22" s="4">
        <v>790</v>
      </c>
      <c r="L22" s="4">
        <v>760</v>
      </c>
      <c r="M22" s="4">
        <v>774</v>
      </c>
      <c r="N22" s="4">
        <v>785</v>
      </c>
      <c r="O22" s="2">
        <v>815</v>
      </c>
      <c r="P22" s="2">
        <f>+O22</f>
        <v>815</v>
      </c>
      <c r="V22" s="2">
        <v>2798</v>
      </c>
      <c r="W22" s="2">
        <f>SUM(G22:J22)</f>
        <v>2847</v>
      </c>
      <c r="X22" s="2">
        <f>SUM(K22:N22)</f>
        <v>3109</v>
      </c>
    </row>
    <row r="23" spans="2:125" s="2" customFormat="1" x14ac:dyDescent="0.15">
      <c r="B23" s="2" t="s">
        <v>22</v>
      </c>
      <c r="C23" s="4"/>
      <c r="D23" s="4"/>
      <c r="E23" s="4"/>
      <c r="F23" s="4"/>
      <c r="G23" s="4">
        <v>942</v>
      </c>
      <c r="H23" s="4">
        <v>208</v>
      </c>
      <c r="I23" s="4">
        <v>646</v>
      </c>
      <c r="J23" s="4">
        <v>603</v>
      </c>
      <c r="K23" s="4">
        <v>1209</v>
      </c>
      <c r="L23" s="4">
        <v>686</v>
      </c>
      <c r="M23" s="4">
        <v>630</v>
      </c>
      <c r="N23" s="4">
        <v>1114</v>
      </c>
      <c r="O23" s="2">
        <v>657</v>
      </c>
      <c r="P23" s="2">
        <f>+L23</f>
        <v>686</v>
      </c>
      <c r="V23" s="2">
        <v>3136</v>
      </c>
      <c r="W23" s="2">
        <f>SUM(G23:J23)</f>
        <v>2399</v>
      </c>
      <c r="X23" s="2">
        <f>SUM(K23:N23)</f>
        <v>3639</v>
      </c>
    </row>
    <row r="24" spans="2:125" s="2" customFormat="1" x14ac:dyDescent="0.15">
      <c r="B24" s="2" t="s">
        <v>21</v>
      </c>
      <c r="C24" s="4"/>
      <c r="D24" s="4"/>
      <c r="E24" s="4"/>
      <c r="F24" s="4"/>
      <c r="G24" s="4">
        <f t="shared" ref="G24:O24" si="8">SUM(G20:G23)</f>
        <v>3619</v>
      </c>
      <c r="H24" s="4">
        <f t="shared" si="8"/>
        <v>2171</v>
      </c>
      <c r="I24" s="4">
        <f>SUM(I20:I23)</f>
        <v>3067</v>
      </c>
      <c r="J24" s="4">
        <f t="shared" si="8"/>
        <v>3024</v>
      </c>
      <c r="K24" s="4">
        <f t="shared" si="8"/>
        <v>3601</v>
      </c>
      <c r="L24" s="4">
        <f t="shared" si="8"/>
        <v>3243</v>
      </c>
      <c r="M24" s="4">
        <f t="shared" si="8"/>
        <v>3187</v>
      </c>
      <c r="N24" s="4">
        <f t="shared" si="8"/>
        <v>3786</v>
      </c>
      <c r="O24" s="4">
        <f t="shared" si="8"/>
        <v>3197</v>
      </c>
      <c r="P24" s="4">
        <f t="shared" ref="P24" si="9">SUM(P20:P23)</f>
        <v>3298</v>
      </c>
      <c r="V24" s="2">
        <f>SUM(V20:V23)</f>
        <v>13103</v>
      </c>
      <c r="W24" s="2">
        <f>SUM(W20:W23)</f>
        <v>11881</v>
      </c>
      <c r="X24" s="2">
        <f>SUM(X20:X23)</f>
        <v>13817</v>
      </c>
      <c r="Y24" s="2">
        <f>0.3*Y17</f>
        <v>15228.9732</v>
      </c>
      <c r="Z24" s="2">
        <f t="shared" ref="Z24:AA24" si="10">0.3*Z17</f>
        <v>17970.188376000002</v>
      </c>
      <c r="AA24" s="2">
        <f t="shared" si="10"/>
        <v>21204.822283680001</v>
      </c>
    </row>
    <row r="25" spans="2:125" s="2" customFormat="1" x14ac:dyDescent="0.15">
      <c r="B25" s="2" t="s">
        <v>20</v>
      </c>
      <c r="C25" s="4"/>
      <c r="D25" s="4"/>
      <c r="E25" s="4"/>
      <c r="F25" s="4"/>
      <c r="G25" s="4">
        <f t="shared" ref="G25:O25" si="11">+G19-G24</f>
        <v>-55</v>
      </c>
      <c r="H25" s="4">
        <f t="shared" si="11"/>
        <v>1544</v>
      </c>
      <c r="I25" s="4">
        <f t="shared" si="11"/>
        <v>599</v>
      </c>
      <c r="J25" s="4">
        <f t="shared" si="11"/>
        <v>855</v>
      </c>
      <c r="K25" s="4">
        <f t="shared" si="11"/>
        <v>362</v>
      </c>
      <c r="L25" s="4">
        <f t="shared" si="11"/>
        <v>969</v>
      </c>
      <c r="M25" s="4">
        <f t="shared" si="11"/>
        <v>1240</v>
      </c>
      <c r="N25" s="4">
        <f t="shared" si="11"/>
        <v>939</v>
      </c>
      <c r="O25" s="4">
        <f t="shared" si="11"/>
        <v>1399</v>
      </c>
      <c r="P25" s="4">
        <f t="shared" ref="P25" si="12">+P19-P24</f>
        <v>1724</v>
      </c>
      <c r="V25" s="2">
        <f>V19-V24</f>
        <v>-885</v>
      </c>
      <c r="W25" s="2">
        <f>W19-W24</f>
        <v>2943</v>
      </c>
      <c r="X25" s="2">
        <f>X19-X24</f>
        <v>3510</v>
      </c>
      <c r="Y25" s="2">
        <f>Y19-Y24</f>
        <v>5583.9568400000026</v>
      </c>
      <c r="Z25" s="2">
        <f t="shared" ref="Z25:AA25" si="13">Z19-Z24</f>
        <v>6589.0690712000032</v>
      </c>
      <c r="AA25" s="2">
        <f t="shared" si="13"/>
        <v>7775.1015040160019</v>
      </c>
    </row>
    <row r="26" spans="2:125" s="2" customFormat="1" x14ac:dyDescent="0.15">
      <c r="B26" s="2" t="s">
        <v>29</v>
      </c>
      <c r="C26" s="4"/>
      <c r="D26" s="4"/>
      <c r="E26" s="4"/>
      <c r="F26" s="4"/>
      <c r="G26" s="4">
        <f>-168+292</f>
        <v>124</v>
      </c>
      <c r="H26" s="4">
        <f>-144+273</f>
        <v>129</v>
      </c>
      <c r="I26" s="4">
        <f>-166-52</f>
        <v>-218</v>
      </c>
      <c r="J26" s="4">
        <f>-155+1331</f>
        <v>1176</v>
      </c>
      <c r="K26" s="4">
        <f>-124-678</f>
        <v>-802</v>
      </c>
      <c r="L26" s="4">
        <f>-136+420</f>
        <v>284</v>
      </c>
      <c r="M26" s="4">
        <f>-143+1851</f>
        <v>1708</v>
      </c>
      <c r="N26" s="4">
        <f>-117+256</f>
        <v>139</v>
      </c>
      <c r="O26" s="2">
        <f>-105+262</f>
        <v>157</v>
      </c>
      <c r="P26" s="2">
        <f>-105+262</f>
        <v>157</v>
      </c>
      <c r="V26" s="2">
        <v>-565</v>
      </c>
      <c r="W26" s="2">
        <f>SUM(G26:J26)</f>
        <v>1211</v>
      </c>
      <c r="X26" s="2">
        <f>SUM(K26:N26)</f>
        <v>1329</v>
      </c>
      <c r="Y26" s="2">
        <f>+X26*1.01</f>
        <v>1342.29</v>
      </c>
      <c r="Z26" s="2">
        <f t="shared" ref="Z26:AA26" si="14">+Y26*1.01</f>
        <v>1355.7129</v>
      </c>
      <c r="AA26" s="2">
        <f t="shared" si="14"/>
        <v>1369.270029</v>
      </c>
    </row>
    <row r="27" spans="2:125" x14ac:dyDescent="0.15">
      <c r="B27" s="2" t="s">
        <v>28</v>
      </c>
      <c r="G27" s="4">
        <f t="shared" ref="G27:P27" si="15">+G26+G25</f>
        <v>69</v>
      </c>
      <c r="H27" s="4">
        <f t="shared" si="15"/>
        <v>1673</v>
      </c>
      <c r="I27" s="4">
        <f t="shared" si="15"/>
        <v>381</v>
      </c>
      <c r="J27" s="4">
        <f t="shared" si="15"/>
        <v>2031</v>
      </c>
      <c r="K27" s="4">
        <f t="shared" si="15"/>
        <v>-440</v>
      </c>
      <c r="L27" s="4">
        <f t="shared" si="15"/>
        <v>1253</v>
      </c>
      <c r="M27" s="4">
        <f t="shared" si="15"/>
        <v>2948</v>
      </c>
      <c r="N27" s="4">
        <f t="shared" si="15"/>
        <v>1078</v>
      </c>
      <c r="O27" s="4">
        <f t="shared" si="15"/>
        <v>1556</v>
      </c>
      <c r="P27" s="4">
        <f t="shared" si="15"/>
        <v>1881</v>
      </c>
      <c r="Q27" s="2"/>
      <c r="U27" s="2"/>
      <c r="V27" s="2">
        <f>V25+V26</f>
        <v>-1450</v>
      </c>
      <c r="W27" s="2">
        <f>SUM(G27:J27)</f>
        <v>4154</v>
      </c>
      <c r="X27" s="2">
        <f>SUM(K27:N27)</f>
        <v>4839</v>
      </c>
      <c r="Y27" s="2">
        <f>Y25+Y26</f>
        <v>6926.2468400000025</v>
      </c>
      <c r="Z27" s="2">
        <f t="shared" ref="Z27:AA27" si="16">Z25+Z26</f>
        <v>7944.7819712000037</v>
      </c>
      <c r="AA27" s="2">
        <f t="shared" si="16"/>
        <v>9144.3715330160012</v>
      </c>
    </row>
    <row r="28" spans="2:125" s="2" customFormat="1" x14ac:dyDescent="0.15">
      <c r="B28" s="2" t="s">
        <v>30</v>
      </c>
      <c r="C28" s="4"/>
      <c r="D28" s="4"/>
      <c r="E28" s="4"/>
      <c r="F28" s="4"/>
      <c r="G28" s="4">
        <f>55-36</f>
        <v>19</v>
      </c>
      <c r="H28" s="4">
        <f>65-4</f>
        <v>61</v>
      </c>
      <c r="I28" s="4">
        <f>-40+3-2</f>
        <v>-39</v>
      </c>
      <c r="J28" s="4">
        <v>133</v>
      </c>
      <c r="K28" s="4">
        <f>29+4-9</f>
        <v>24</v>
      </c>
      <c r="L28" s="4">
        <f>57+12-7</f>
        <v>62</v>
      </c>
      <c r="M28" s="4">
        <f>158-12+13</f>
        <v>159</v>
      </c>
      <c r="N28" s="4">
        <f>+N27*0.2</f>
        <v>215.60000000000002</v>
      </c>
      <c r="O28" s="2">
        <v>0</v>
      </c>
      <c r="P28" s="2">
        <f>+P27*0.2</f>
        <v>376.20000000000005</v>
      </c>
      <c r="V28" s="2">
        <v>-181</v>
      </c>
      <c r="W28" s="2">
        <f>SUM(G28:J28)</f>
        <v>174</v>
      </c>
      <c r="X28" s="2">
        <f>SUM(K28:N28)</f>
        <v>460.6</v>
      </c>
      <c r="Y28" s="2">
        <f>0.1*Y27</f>
        <v>692.62468400000034</v>
      </c>
      <c r="Z28" s="2">
        <f t="shared" ref="Z28:AA28" si="17">0.1*Z27</f>
        <v>794.47819712000046</v>
      </c>
      <c r="AA28" s="2">
        <f t="shared" si="17"/>
        <v>914.43715330160012</v>
      </c>
    </row>
    <row r="29" spans="2:125" x14ac:dyDescent="0.15">
      <c r="B29" s="2" t="s">
        <v>31</v>
      </c>
      <c r="G29" s="4">
        <f t="shared" ref="G29:P29" si="18">+G27-G28</f>
        <v>50</v>
      </c>
      <c r="H29" s="4">
        <f t="shared" si="18"/>
        <v>1612</v>
      </c>
      <c r="I29" s="4">
        <f t="shared" si="18"/>
        <v>420</v>
      </c>
      <c r="J29" s="4">
        <f t="shared" si="18"/>
        <v>1898</v>
      </c>
      <c r="K29" s="4">
        <f t="shared" si="18"/>
        <v>-464</v>
      </c>
      <c r="L29" s="4">
        <f t="shared" si="18"/>
        <v>1191</v>
      </c>
      <c r="M29" s="4">
        <f t="shared" si="18"/>
        <v>2789</v>
      </c>
      <c r="N29" s="4">
        <f t="shared" si="18"/>
        <v>862.4</v>
      </c>
      <c r="O29" s="4">
        <f t="shared" si="18"/>
        <v>1556</v>
      </c>
      <c r="P29" s="4">
        <f t="shared" si="18"/>
        <v>1504.8</v>
      </c>
      <c r="U29" s="2"/>
      <c r="V29" s="2">
        <f>V27-V28</f>
        <v>-1269</v>
      </c>
      <c r="W29" s="2">
        <f>SUM(G29:J29)</f>
        <v>3980</v>
      </c>
      <c r="X29" s="2">
        <f>SUM(K29:N29)</f>
        <v>4378.3999999999996</v>
      </c>
      <c r="Y29" s="2">
        <f>Y27-Y28</f>
        <v>6233.6221560000022</v>
      </c>
      <c r="Z29" s="2">
        <f t="shared" ref="Z29:AA29" si="19">Z27-Z28</f>
        <v>7150.3037740800028</v>
      </c>
      <c r="AA29" s="2">
        <f t="shared" si="19"/>
        <v>8229.9343797144011</v>
      </c>
      <c r="AB29">
        <f>+AA29*1.01</f>
        <v>8312.2337235115447</v>
      </c>
      <c r="AC29">
        <f t="shared" ref="AC29:CN29" si="20">+AB29*1.01</f>
        <v>8395.3560607466607</v>
      </c>
      <c r="AD29">
        <f t="shared" si="20"/>
        <v>8479.3096213541266</v>
      </c>
      <c r="AE29">
        <f t="shared" si="20"/>
        <v>8564.1027175676682</v>
      </c>
      <c r="AF29">
        <f t="shared" si="20"/>
        <v>8649.7437447433458</v>
      </c>
      <c r="AG29">
        <f t="shared" si="20"/>
        <v>8736.241182190779</v>
      </c>
      <c r="AH29">
        <f t="shared" si="20"/>
        <v>8823.6035940126876</v>
      </c>
      <c r="AI29">
        <f t="shared" si="20"/>
        <v>8911.839629952814</v>
      </c>
      <c r="AJ29">
        <f t="shared" si="20"/>
        <v>9000.9580262523414</v>
      </c>
      <c r="AK29">
        <f t="shared" si="20"/>
        <v>9090.9676065148651</v>
      </c>
      <c r="AL29">
        <f t="shared" si="20"/>
        <v>9181.8772825800133</v>
      </c>
      <c r="AM29">
        <f t="shared" si="20"/>
        <v>9273.6960554058132</v>
      </c>
      <c r="AN29">
        <f t="shared" si="20"/>
        <v>9366.4330159598721</v>
      </c>
      <c r="AO29">
        <f t="shared" si="20"/>
        <v>9460.0973461194717</v>
      </c>
      <c r="AP29">
        <f t="shared" si="20"/>
        <v>9554.6983195806661</v>
      </c>
      <c r="AQ29">
        <f t="shared" si="20"/>
        <v>9650.2453027764732</v>
      </c>
      <c r="AR29">
        <f t="shared" si="20"/>
        <v>9746.7477558042374</v>
      </c>
      <c r="AS29">
        <f t="shared" si="20"/>
        <v>9844.2152333622798</v>
      </c>
      <c r="AT29">
        <f t="shared" si="20"/>
        <v>9942.6573856959021</v>
      </c>
      <c r="AU29">
        <f t="shared" si="20"/>
        <v>10042.083959552861</v>
      </c>
      <c r="AV29">
        <f t="shared" si="20"/>
        <v>10142.50479914839</v>
      </c>
      <c r="AW29">
        <f t="shared" si="20"/>
        <v>10243.929847139874</v>
      </c>
      <c r="AX29">
        <f t="shared" si="20"/>
        <v>10346.369145611274</v>
      </c>
      <c r="AY29">
        <f t="shared" si="20"/>
        <v>10449.832837067386</v>
      </c>
      <c r="AZ29">
        <f t="shared" si="20"/>
        <v>10554.33116543806</v>
      </c>
      <c r="BA29">
        <f t="shared" si="20"/>
        <v>10659.87447709244</v>
      </c>
      <c r="BB29">
        <f t="shared" si="20"/>
        <v>10766.473221863365</v>
      </c>
      <c r="BC29">
        <f t="shared" si="20"/>
        <v>10874.137954082</v>
      </c>
      <c r="BD29">
        <f t="shared" si="20"/>
        <v>10982.879333622819</v>
      </c>
      <c r="BE29">
        <f t="shared" si="20"/>
        <v>11092.708126959047</v>
      </c>
      <c r="BF29">
        <f t="shared" si="20"/>
        <v>11203.635208228638</v>
      </c>
      <c r="BG29">
        <f t="shared" si="20"/>
        <v>11315.671560310924</v>
      </c>
      <c r="BH29">
        <f t="shared" si="20"/>
        <v>11428.828275914033</v>
      </c>
      <c r="BI29">
        <f t="shared" si="20"/>
        <v>11543.116558673173</v>
      </c>
      <c r="BJ29">
        <f t="shared" si="20"/>
        <v>11658.547724259904</v>
      </c>
      <c r="BK29">
        <f t="shared" si="20"/>
        <v>11775.133201502504</v>
      </c>
      <c r="BL29">
        <f t="shared" si="20"/>
        <v>11892.884533517528</v>
      </c>
      <c r="BM29">
        <f t="shared" si="20"/>
        <v>12011.813378852703</v>
      </c>
      <c r="BN29">
        <f t="shared" si="20"/>
        <v>12131.931512641229</v>
      </c>
      <c r="BO29">
        <f t="shared" si="20"/>
        <v>12253.250827767642</v>
      </c>
      <c r="BP29">
        <f t="shared" si="20"/>
        <v>12375.783336045319</v>
      </c>
      <c r="BQ29">
        <f t="shared" si="20"/>
        <v>12499.541169405771</v>
      </c>
      <c r="BR29">
        <f t="shared" si="20"/>
        <v>12624.536581099828</v>
      </c>
      <c r="BS29">
        <f t="shared" si="20"/>
        <v>12750.781946910827</v>
      </c>
      <c r="BT29">
        <f t="shared" si="20"/>
        <v>12878.289766379936</v>
      </c>
      <c r="BU29">
        <f t="shared" si="20"/>
        <v>13007.072664043735</v>
      </c>
      <c r="BV29">
        <f t="shared" si="20"/>
        <v>13137.143390684172</v>
      </c>
      <c r="BW29">
        <f t="shared" si="20"/>
        <v>13268.514824591013</v>
      </c>
      <c r="BX29">
        <f t="shared" si="20"/>
        <v>13401.199972836923</v>
      </c>
      <c r="BY29">
        <f t="shared" si="20"/>
        <v>13535.211972565292</v>
      </c>
      <c r="BZ29">
        <f t="shared" si="20"/>
        <v>13670.564092290944</v>
      </c>
      <c r="CA29">
        <f t="shared" si="20"/>
        <v>13807.269733213854</v>
      </c>
      <c r="CB29">
        <f t="shared" si="20"/>
        <v>13945.342430545992</v>
      </c>
      <c r="CC29">
        <f t="shared" si="20"/>
        <v>14084.795854851453</v>
      </c>
      <c r="CD29">
        <f t="shared" si="20"/>
        <v>14225.643813399967</v>
      </c>
      <c r="CE29">
        <f t="shared" si="20"/>
        <v>14367.900251533967</v>
      </c>
      <c r="CF29">
        <f t="shared" si="20"/>
        <v>14511.579254049308</v>
      </c>
      <c r="CG29">
        <f t="shared" si="20"/>
        <v>14656.695046589801</v>
      </c>
      <c r="CH29">
        <f t="shared" si="20"/>
        <v>14803.261997055699</v>
      </c>
      <c r="CI29">
        <f t="shared" si="20"/>
        <v>14951.294617026257</v>
      </c>
      <c r="CJ29">
        <f t="shared" si="20"/>
        <v>15100.80756319652</v>
      </c>
      <c r="CK29">
        <f t="shared" si="20"/>
        <v>15251.815638828486</v>
      </c>
      <c r="CL29">
        <f t="shared" si="20"/>
        <v>15404.333795216771</v>
      </c>
      <c r="CM29">
        <f t="shared" si="20"/>
        <v>15558.377133168939</v>
      </c>
      <c r="CN29">
        <f t="shared" si="20"/>
        <v>15713.960904500627</v>
      </c>
      <c r="CO29">
        <f t="shared" ref="CO29:DU29" si="21">+CN29*1.01</f>
        <v>15871.100513545634</v>
      </c>
      <c r="CP29">
        <f t="shared" si="21"/>
        <v>16029.81151868109</v>
      </c>
      <c r="CQ29">
        <f t="shared" si="21"/>
        <v>16190.109633867902</v>
      </c>
      <c r="CR29">
        <f t="shared" si="21"/>
        <v>16352.010730206581</v>
      </c>
      <c r="CS29">
        <f t="shared" si="21"/>
        <v>16515.530837508646</v>
      </c>
      <c r="CT29">
        <f t="shared" si="21"/>
        <v>16680.686145883734</v>
      </c>
      <c r="CU29">
        <f t="shared" si="21"/>
        <v>16847.493007342571</v>
      </c>
      <c r="CV29">
        <f t="shared" si="21"/>
        <v>17015.967937415997</v>
      </c>
      <c r="CW29">
        <f t="shared" si="21"/>
        <v>17186.127616790156</v>
      </c>
      <c r="CX29">
        <f t="shared" si="21"/>
        <v>17357.988892958059</v>
      </c>
      <c r="CY29">
        <f t="shared" si="21"/>
        <v>17531.568781887639</v>
      </c>
      <c r="CZ29">
        <f t="shared" si="21"/>
        <v>17706.884469706518</v>
      </c>
      <c r="DA29">
        <f t="shared" si="21"/>
        <v>17883.953314403585</v>
      </c>
      <c r="DB29">
        <f t="shared" si="21"/>
        <v>18062.792847547622</v>
      </c>
      <c r="DC29">
        <f t="shared" si="21"/>
        <v>18243.420776023097</v>
      </c>
      <c r="DD29">
        <f t="shared" si="21"/>
        <v>18425.854983783327</v>
      </c>
      <c r="DE29">
        <f t="shared" si="21"/>
        <v>18610.113533621159</v>
      </c>
      <c r="DF29">
        <f t="shared" si="21"/>
        <v>18796.214668957371</v>
      </c>
      <c r="DG29">
        <f t="shared" si="21"/>
        <v>18984.176815646944</v>
      </c>
      <c r="DH29">
        <f t="shared" si="21"/>
        <v>19174.018583803412</v>
      </c>
      <c r="DI29">
        <f t="shared" si="21"/>
        <v>19365.758769641445</v>
      </c>
      <c r="DJ29">
        <f t="shared" si="21"/>
        <v>19559.416357337861</v>
      </c>
      <c r="DK29">
        <f t="shared" si="21"/>
        <v>19755.010520911241</v>
      </c>
      <c r="DL29">
        <f t="shared" si="21"/>
        <v>19952.560626120354</v>
      </c>
      <c r="DM29">
        <f t="shared" si="21"/>
        <v>20152.086232381556</v>
      </c>
      <c r="DN29">
        <f t="shared" si="21"/>
        <v>20353.60709470537</v>
      </c>
      <c r="DO29">
        <f t="shared" si="21"/>
        <v>20557.143165652426</v>
      </c>
      <c r="DP29">
        <f t="shared" si="21"/>
        <v>20762.71459730895</v>
      </c>
      <c r="DQ29">
        <f t="shared" si="21"/>
        <v>20970.341743282039</v>
      </c>
      <c r="DR29">
        <f t="shared" si="21"/>
        <v>21180.045160714861</v>
      </c>
      <c r="DS29">
        <f t="shared" si="21"/>
        <v>21391.845612322009</v>
      </c>
      <c r="DT29">
        <f t="shared" si="21"/>
        <v>21605.764068445231</v>
      </c>
      <c r="DU29">
        <f t="shared" si="21"/>
        <v>21821.821709129683</v>
      </c>
    </row>
    <row r="30" spans="2:125" x14ac:dyDescent="0.15">
      <c r="B30" s="2" t="s">
        <v>32</v>
      </c>
      <c r="G30" s="5">
        <f t="shared" ref="G30:P30" si="22">+G29/G31</f>
        <v>2.4881105636714956E-2</v>
      </c>
      <c r="H30" s="5">
        <f t="shared" si="22"/>
        <v>0.77527395497928364</v>
      </c>
      <c r="I30" s="5">
        <f t="shared" si="22"/>
        <v>0.19919572355238066</v>
      </c>
      <c r="J30" s="5">
        <f t="shared" si="22"/>
        <v>0.89446913633773795</v>
      </c>
      <c r="K30" s="5">
        <f t="shared" si="22"/>
        <v>-0.22305890678060616</v>
      </c>
      <c r="L30" s="5">
        <f t="shared" si="22"/>
        <v>0.55394859301243393</v>
      </c>
      <c r="M30" s="5">
        <f t="shared" si="22"/>
        <v>1.2945203126900124</v>
      </c>
      <c r="N30" s="5">
        <f t="shared" si="22"/>
        <v>0.40272229813217919</v>
      </c>
      <c r="O30" s="5">
        <f t="shared" si="22"/>
        <v>0.73305700790250528</v>
      </c>
      <c r="P30" s="5">
        <f t="shared" si="22"/>
        <v>0.70893585185841257</v>
      </c>
    </row>
    <row r="31" spans="2:125" x14ac:dyDescent="0.15">
      <c r="B31" s="2" t="s">
        <v>1</v>
      </c>
      <c r="G31" s="4">
        <v>2009.557</v>
      </c>
      <c r="H31" s="4">
        <v>2079.2649999999999</v>
      </c>
      <c r="I31" s="4">
        <v>2108.4789999999998</v>
      </c>
      <c r="J31" s="4">
        <v>2121.9290000000001</v>
      </c>
      <c r="K31" s="4">
        <v>2080.1680000000001</v>
      </c>
      <c r="L31" s="4">
        <v>2150.0189999999998</v>
      </c>
      <c r="M31" s="4">
        <v>2154.4659999999999</v>
      </c>
      <c r="N31" s="4">
        <v>2141.4259999999999</v>
      </c>
      <c r="O31" s="4">
        <v>2122.6179999999999</v>
      </c>
      <c r="P31" s="2">
        <f>+O31</f>
        <v>2122.6179999999999</v>
      </c>
    </row>
    <row r="32" spans="2:125" x14ac:dyDescent="0.15">
      <c r="N32" s="4"/>
    </row>
    <row r="33" spans="2:32" s="12" customFormat="1" x14ac:dyDescent="0.15">
      <c r="B33" s="6" t="s">
        <v>33</v>
      </c>
      <c r="C33" s="10"/>
      <c r="D33" s="10"/>
      <c r="E33" s="10"/>
      <c r="F33" s="10"/>
      <c r="G33" s="10"/>
      <c r="H33" s="10"/>
      <c r="I33" s="10"/>
      <c r="J33" s="10"/>
      <c r="K33" s="11">
        <f>+K17/G17-1</f>
        <v>0.14824889493369597</v>
      </c>
      <c r="L33" s="11">
        <f t="shared" ref="K33:R33" si="23">+L17/H17-1</f>
        <v>0.15926327193932832</v>
      </c>
      <c r="M33" s="11">
        <f t="shared" si="23"/>
        <v>0.20404649160568233</v>
      </c>
      <c r="N33" s="11">
        <f t="shared" si="23"/>
        <v>0.20360305958132052</v>
      </c>
      <c r="O33" s="11">
        <f t="shared" si="23"/>
        <v>0.13838712861514169</v>
      </c>
      <c r="P33" s="11">
        <f>+P17/L17-1</f>
        <v>0.17336448598130838</v>
      </c>
      <c r="Q33" s="11">
        <f t="shared" si="23"/>
        <v>0.14700961744726504</v>
      </c>
      <c r="R33" s="11">
        <f t="shared" si="23"/>
        <v>0.1574964796387659</v>
      </c>
      <c r="V33" s="16">
        <f>V17/U17-1</f>
        <v>0.8262389000286452</v>
      </c>
      <c r="W33" s="16">
        <f t="shared" ref="W33:AA33" si="24">W17/V17-1</f>
        <v>0.16952661793769797</v>
      </c>
      <c r="X33" s="16">
        <f t="shared" si="24"/>
        <v>0.17963573938467325</v>
      </c>
      <c r="Y33" s="16">
        <f t="shared" si="24"/>
        <v>0.15428723452635418</v>
      </c>
      <c r="Z33" s="16">
        <f t="shared" si="24"/>
        <v>0.17999999999999994</v>
      </c>
      <c r="AA33" s="16">
        <f t="shared" si="24"/>
        <v>0.17999999999999994</v>
      </c>
      <c r="AE33" s="12" t="s">
        <v>104</v>
      </c>
      <c r="AF33" s="16">
        <v>0.01</v>
      </c>
    </row>
    <row r="34" spans="2:32" x14ac:dyDescent="0.15">
      <c r="B34" s="2" t="s">
        <v>52</v>
      </c>
      <c r="K34" s="8"/>
      <c r="L34" s="8"/>
      <c r="M34" s="8">
        <f>+M5/I5-1</f>
        <v>0.16133329554150966</v>
      </c>
      <c r="N34" s="8">
        <f>+N5/J5-1</f>
        <v>0.17623419827012632</v>
      </c>
      <c r="O34" s="8">
        <f>+O5/K5-1</f>
        <v>0.13723407080821226</v>
      </c>
      <c r="P34" s="8">
        <f>+P5/L5-1</f>
        <v>0.16380928544612683</v>
      </c>
      <c r="AE34" t="s">
        <v>103</v>
      </c>
      <c r="AF34" s="17">
        <v>0.06</v>
      </c>
    </row>
    <row r="35" spans="2:32" x14ac:dyDescent="0.15">
      <c r="B35" s="2" t="s">
        <v>53</v>
      </c>
      <c r="M35" s="8">
        <f>+M9/I9-1</f>
        <v>0.17492830807046289</v>
      </c>
      <c r="N35" s="8">
        <f>+N9/J9-1</f>
        <v>0.17954632833525563</v>
      </c>
      <c r="O35" s="8">
        <f>+O9/K9-1</f>
        <v>0.1804043545878693</v>
      </c>
      <c r="P35" s="8"/>
      <c r="AE35" t="s">
        <v>102</v>
      </c>
      <c r="AF35" s="18">
        <f>NPV(AF34,Y29:DU29)</f>
        <v>157511.16304571333</v>
      </c>
    </row>
    <row r="36" spans="2:32" x14ac:dyDescent="0.15">
      <c r="B36" s="2" t="s">
        <v>54</v>
      </c>
      <c r="M36" s="8">
        <f>+M6/I6-1</f>
        <v>0.17309948053398871</v>
      </c>
      <c r="N36" s="8">
        <f>+N6/J6-1</f>
        <v>0.18216230230749297</v>
      </c>
      <c r="O36" s="8">
        <f>+O6/K6-1</f>
        <v>0.13454740224959827</v>
      </c>
      <c r="P36" s="8"/>
    </row>
    <row r="37" spans="2:32" x14ac:dyDescent="0.15">
      <c r="B37" s="2" t="s">
        <v>55</v>
      </c>
      <c r="M37" s="8">
        <f>+M13/I13-1</f>
        <v>0.26385328337605984</v>
      </c>
      <c r="N37" s="8">
        <f>+N13/J13-1</f>
        <v>0.24814881704894343</v>
      </c>
      <c r="O37" s="8">
        <f>+O13/K13-1</f>
        <v>0.15320433161725555</v>
      </c>
      <c r="P37" s="8"/>
    </row>
    <row r="38" spans="2:32" x14ac:dyDescent="0.15">
      <c r="B38" s="2" t="s">
        <v>56</v>
      </c>
      <c r="K38" s="8">
        <f>K13/K6</f>
        <v>0.30171397964649171</v>
      </c>
      <c r="L38" s="8">
        <f>L13/L6</f>
        <v>0.29843339495961857</v>
      </c>
      <c r="M38" s="8">
        <f>M13/M6</f>
        <v>0.30516141319874296</v>
      </c>
      <c r="N38" s="8">
        <f>N13/N6</f>
        <v>0.3031406263707343</v>
      </c>
      <c r="O38" s="8">
        <f>O13/O6</f>
        <v>0.30667547918043619</v>
      </c>
      <c r="P38" s="8"/>
    </row>
    <row r="39" spans="2:32" x14ac:dyDescent="0.15">
      <c r="B39" s="2" t="s">
        <v>88</v>
      </c>
      <c r="K39" s="13">
        <f t="shared" ref="K39:N39" si="25">K19/K17</f>
        <v>0.39117559964465504</v>
      </c>
      <c r="L39" s="13">
        <f t="shared" si="25"/>
        <v>0.39364485981308411</v>
      </c>
      <c r="M39" s="13">
        <f t="shared" si="25"/>
        <v>0.39569181265641756</v>
      </c>
      <c r="N39" s="13">
        <f t="shared" si="25"/>
        <v>0.39509992474287148</v>
      </c>
      <c r="O39" s="13">
        <f>O19/O17</f>
        <v>0.39850862741697735</v>
      </c>
    </row>
    <row r="40" spans="2:32" x14ac:dyDescent="0.15">
      <c r="B40" s="2" t="s">
        <v>101</v>
      </c>
      <c r="G40" s="8">
        <f>G24/G17</f>
        <v>0.41017794400997393</v>
      </c>
      <c r="H40" s="8">
        <f t="shared" ref="H40:O40" si="26">H24/H17</f>
        <v>0.23521126760563379</v>
      </c>
      <c r="I40" s="8">
        <f t="shared" si="26"/>
        <v>0.3300688764528627</v>
      </c>
      <c r="J40" s="8">
        <f t="shared" si="26"/>
        <v>0.30434782608695654</v>
      </c>
      <c r="K40" s="8">
        <f t="shared" si="26"/>
        <v>0.35544368769124468</v>
      </c>
      <c r="L40" s="8">
        <f t="shared" si="26"/>
        <v>0.30308411214953274</v>
      </c>
      <c r="M40" s="8">
        <f t="shared" si="26"/>
        <v>0.28485877726135145</v>
      </c>
      <c r="N40" s="8">
        <f t="shared" si="26"/>
        <v>0.31658165398444688</v>
      </c>
      <c r="O40" s="8">
        <f t="shared" si="26"/>
        <v>0.27720454348391571</v>
      </c>
      <c r="P40" s="13"/>
    </row>
    <row r="42" spans="2:32" s="2" customFormat="1" x14ac:dyDescent="0.15">
      <c r="B42" s="2" t="s">
        <v>3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2">
        <f>5893+1084+545+2172+7019+8460+302</f>
        <v>25475</v>
      </c>
      <c r="O42" s="2">
        <f>5132+894+1253+2215+7371+8746+338</f>
        <v>25949</v>
      </c>
    </row>
    <row r="43" spans="2:32" s="2" customFormat="1" x14ac:dyDescent="0.15">
      <c r="B43" s="2" t="s">
        <v>57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2">
        <v>3333</v>
      </c>
      <c r="O43" s="2">
        <v>3489</v>
      </c>
    </row>
    <row r="44" spans="2:32" s="2" customFormat="1" x14ac:dyDescent="0.15">
      <c r="B44" s="2" t="s">
        <v>58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2">
        <v>1390</v>
      </c>
      <c r="O44" s="2">
        <v>1582</v>
      </c>
    </row>
    <row r="45" spans="2:32" s="2" customFormat="1" x14ac:dyDescent="0.15">
      <c r="B45" s="2" t="s">
        <v>59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2">
        <v>1952</v>
      </c>
      <c r="O45" s="2">
        <v>1941</v>
      </c>
    </row>
    <row r="46" spans="2:32" s="2" customFormat="1" x14ac:dyDescent="0.15">
      <c r="B46" s="2" t="s">
        <v>60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2">
        <v>1158</v>
      </c>
      <c r="O46" s="2">
        <v>1162</v>
      </c>
    </row>
    <row r="47" spans="2:32" s="2" customFormat="1" x14ac:dyDescent="0.15">
      <c r="B47" s="2" t="s">
        <v>61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2">
        <f>1125+8066</f>
        <v>9191</v>
      </c>
      <c r="O47" s="2">
        <f>1065+8069</f>
        <v>9134</v>
      </c>
    </row>
    <row r="48" spans="2:32" s="2" customFormat="1" x14ac:dyDescent="0.15">
      <c r="B48" s="2" t="s">
        <v>62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2">
        <v>6171</v>
      </c>
      <c r="O48" s="2">
        <v>6592</v>
      </c>
    </row>
    <row r="49" spans="2:16" s="2" customFormat="1" x14ac:dyDescent="0.15">
      <c r="B49" s="2" t="s">
        <v>63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2">
        <v>2574</v>
      </c>
      <c r="O49" s="2">
        <v>2973</v>
      </c>
    </row>
    <row r="50" spans="2:16" s="2" customFormat="1" x14ac:dyDescent="0.15">
      <c r="B50" s="2" t="s">
        <v>64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2">
        <f>SUM(N42:N49)</f>
        <v>51244</v>
      </c>
      <c r="O50" s="2">
        <f>SUM(O42:O49)</f>
        <v>52822</v>
      </c>
    </row>
    <row r="52" spans="2:16" s="2" customFormat="1" x14ac:dyDescent="0.15">
      <c r="B52" s="2" t="s">
        <v>65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2">
        <v>858</v>
      </c>
      <c r="O52" s="2">
        <v>873</v>
      </c>
    </row>
    <row r="53" spans="2:16" s="2" customFormat="1" x14ac:dyDescent="0.15">
      <c r="B53" s="2" t="s">
        <v>66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2">
        <f>2754+7042</f>
        <v>9796</v>
      </c>
      <c r="O53" s="2">
        <f>2873+7599</f>
        <v>10472</v>
      </c>
    </row>
    <row r="54" spans="2:16" s="2" customFormat="1" x14ac:dyDescent="0.15">
      <c r="B54" s="2" t="s">
        <v>60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2">
        <f>175+1454</f>
        <v>1629</v>
      </c>
      <c r="O54" s="2">
        <f>177+1447</f>
        <v>1624</v>
      </c>
    </row>
    <row r="55" spans="2:16" s="2" customFormat="1" x14ac:dyDescent="0.15">
      <c r="B55" s="2" t="s">
        <v>67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2">
        <v>7689</v>
      </c>
      <c r="O55" s="2">
        <v>8190</v>
      </c>
    </row>
    <row r="56" spans="2:16" s="2" customFormat="1" x14ac:dyDescent="0.15">
      <c r="B56" s="2" t="s">
        <v>4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2">
        <v>8347</v>
      </c>
      <c r="O56" s="2">
        <v>8350</v>
      </c>
    </row>
    <row r="57" spans="2:16" s="2" customFormat="1" x14ac:dyDescent="0.15">
      <c r="B57" s="2" t="s">
        <v>68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2">
        <v>449</v>
      </c>
      <c r="O57" s="2">
        <v>408</v>
      </c>
    </row>
    <row r="58" spans="2:16" s="2" customFormat="1" x14ac:dyDescent="0.15">
      <c r="B58" s="2" t="s">
        <v>69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2">
        <f>93+22383</f>
        <v>22476</v>
      </c>
      <c r="O58" s="2">
        <f>22812+93</f>
        <v>22905</v>
      </c>
    </row>
    <row r="59" spans="2:16" s="2" customFormat="1" x14ac:dyDescent="0.15">
      <c r="B59" s="2" t="s">
        <v>70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2">
        <f>SUM(N52:N58)</f>
        <v>51244</v>
      </c>
      <c r="O59" s="2">
        <f>SUM(O52:O58)</f>
        <v>52822</v>
      </c>
    </row>
    <row r="61" spans="2:16" s="2" customFormat="1" x14ac:dyDescent="0.15">
      <c r="B61" s="2" t="s">
        <v>71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2">
        <f>+N29</f>
        <v>862.4</v>
      </c>
      <c r="O61" s="2">
        <f>+O29</f>
        <v>1556</v>
      </c>
    </row>
    <row r="62" spans="2:16" s="2" customFormat="1" x14ac:dyDescent="0.15">
      <c r="B62" s="2" t="s">
        <v>72</v>
      </c>
      <c r="C62" s="4"/>
      <c r="D62" s="4"/>
      <c r="E62" s="4"/>
      <c r="F62" s="4"/>
      <c r="G62" s="4"/>
      <c r="H62" s="4"/>
      <c r="I62" s="4"/>
      <c r="J62" s="4"/>
      <c r="K62" s="4">
        <v>-663</v>
      </c>
      <c r="L62" s="4">
        <f>345-K62</f>
        <v>1008</v>
      </c>
      <c r="M62" s="4">
        <f>2944-L62-K62</f>
        <v>2599</v>
      </c>
      <c r="N62" s="4">
        <v>6901</v>
      </c>
      <c r="O62" s="2">
        <v>1774</v>
      </c>
      <c r="P62" s="2">
        <v>1505</v>
      </c>
    </row>
    <row r="63" spans="2:16" s="2" customFormat="1" x14ac:dyDescent="0.15">
      <c r="B63" s="2" t="s">
        <v>75</v>
      </c>
      <c r="C63" s="4"/>
      <c r="D63" s="4"/>
      <c r="E63" s="4"/>
      <c r="F63" s="4"/>
      <c r="G63" s="4"/>
      <c r="H63" s="4"/>
      <c r="I63" s="4"/>
      <c r="J63" s="4"/>
      <c r="K63" s="4">
        <v>194</v>
      </c>
      <c r="L63" s="4">
        <f>375-K63</f>
        <v>181</v>
      </c>
      <c r="M63" s="4"/>
      <c r="N63" s="4">
        <v>176</v>
      </c>
      <c r="O63" s="2">
        <v>178</v>
      </c>
    </row>
    <row r="64" spans="2:16" s="2" customFormat="1" x14ac:dyDescent="0.15">
      <c r="B64" s="2" t="s">
        <v>90</v>
      </c>
      <c r="C64" s="4"/>
      <c r="D64" s="4"/>
      <c r="E64" s="4"/>
      <c r="F64" s="4"/>
      <c r="G64" s="4"/>
      <c r="H64" s="4"/>
      <c r="I64" s="4"/>
      <c r="J64" s="4"/>
      <c r="K64" s="4">
        <v>26</v>
      </c>
      <c r="L64" s="4">
        <f>35-K64</f>
        <v>9</v>
      </c>
      <c r="M64" s="4"/>
      <c r="N64" s="4">
        <v>14</v>
      </c>
      <c r="O64" s="2">
        <v>0</v>
      </c>
    </row>
    <row r="65" spans="2:25" s="2" customFormat="1" x14ac:dyDescent="0.15">
      <c r="B65" s="2" t="s">
        <v>76</v>
      </c>
      <c r="C65" s="4"/>
      <c r="D65" s="4"/>
      <c r="E65" s="4"/>
      <c r="F65" s="4"/>
      <c r="G65" s="4"/>
      <c r="H65" s="4"/>
      <c r="I65" s="4"/>
      <c r="J65" s="4"/>
      <c r="K65" s="4">
        <v>484</v>
      </c>
      <c r="L65" s="4">
        <f>939-K65</f>
        <v>455</v>
      </c>
      <c r="M65" s="4"/>
      <c r="N65" s="4">
        <v>419</v>
      </c>
      <c r="O65" s="2">
        <v>435</v>
      </c>
    </row>
    <row r="66" spans="2:25" s="2" customFormat="1" x14ac:dyDescent="0.15">
      <c r="B66" s="2" t="s">
        <v>77</v>
      </c>
      <c r="C66" s="4"/>
      <c r="D66" s="4"/>
      <c r="E66" s="4"/>
      <c r="F66" s="4"/>
      <c r="G66" s="4"/>
      <c r="H66" s="4"/>
      <c r="I66" s="4"/>
      <c r="J66" s="4"/>
      <c r="K66" s="4">
        <v>-16</v>
      </c>
      <c r="L66" s="4">
        <f>-23-K66</f>
        <v>-7</v>
      </c>
      <c r="M66" s="4"/>
      <c r="N66" s="4">
        <v>-6128</v>
      </c>
      <c r="O66" s="2">
        <v>-412</v>
      </c>
    </row>
    <row r="67" spans="2:25" s="2" customFormat="1" x14ac:dyDescent="0.15">
      <c r="B67" s="2" t="s">
        <v>78</v>
      </c>
      <c r="C67" s="4"/>
      <c r="D67" s="4"/>
      <c r="E67" s="4"/>
      <c r="F67" s="4"/>
      <c r="G67" s="4"/>
      <c r="H67" s="4"/>
      <c r="I67" s="4"/>
      <c r="J67" s="4"/>
      <c r="K67" s="4">
        <v>721</v>
      </c>
      <c r="L67" s="4">
        <f>388-K67</f>
        <v>-333</v>
      </c>
      <c r="M67" s="4"/>
      <c r="N67" s="4">
        <f>-62+10-556</f>
        <v>-608</v>
      </c>
      <c r="O67" s="2">
        <v>-51</v>
      </c>
    </row>
    <row r="68" spans="2:25" s="2" customFormat="1" x14ac:dyDescent="0.15">
      <c r="B68" s="2" t="s">
        <v>79</v>
      </c>
      <c r="C68" s="4"/>
      <c r="D68" s="4"/>
      <c r="E68" s="4"/>
      <c r="F68" s="4"/>
      <c r="G68" s="4"/>
      <c r="H68" s="4"/>
      <c r="I68" s="4"/>
      <c r="J68" s="4"/>
      <c r="K68" s="4">
        <v>150</v>
      </c>
      <c r="L68" s="4">
        <f>209-K68</f>
        <v>59</v>
      </c>
      <c r="M68" s="4"/>
      <c r="N68" s="4">
        <v>135</v>
      </c>
      <c r="O68" s="2">
        <v>-51</v>
      </c>
    </row>
    <row r="69" spans="2:25" s="2" customFormat="1" x14ac:dyDescent="0.15">
      <c r="B69" s="2" t="s">
        <v>63</v>
      </c>
      <c r="C69" s="4"/>
      <c r="D69" s="4"/>
      <c r="E69" s="4"/>
      <c r="F69" s="4"/>
      <c r="G69" s="4"/>
      <c r="H69" s="4"/>
      <c r="I69" s="4"/>
      <c r="J69" s="4"/>
      <c r="K69" s="4">
        <v>-59</v>
      </c>
      <c r="L69" s="4">
        <f>-138-K69</f>
        <v>-79</v>
      </c>
      <c r="M69" s="4"/>
      <c r="N69" s="4">
        <v>68</v>
      </c>
      <c r="O69" s="2">
        <v>-27</v>
      </c>
    </row>
    <row r="70" spans="2:25" s="2" customFormat="1" x14ac:dyDescent="0.15">
      <c r="B70" s="2" t="s">
        <v>74</v>
      </c>
      <c r="C70" s="4"/>
      <c r="D70" s="4"/>
      <c r="E70" s="4"/>
      <c r="F70" s="4"/>
      <c r="G70" s="4"/>
      <c r="H70" s="4"/>
      <c r="I70" s="4"/>
      <c r="J70" s="4"/>
      <c r="K70" s="4">
        <v>575</v>
      </c>
      <c r="L70" s="4">
        <f>-584-430+93-24+1385+731-81-K70</f>
        <v>515</v>
      </c>
      <c r="M70" s="4"/>
      <c r="N70" s="4">
        <f>246-30+59+62+658-158-64</f>
        <v>773</v>
      </c>
      <c r="O70" s="2">
        <f>-123-497+43+6+675+430-56</f>
        <v>478</v>
      </c>
    </row>
    <row r="71" spans="2:25" s="2" customFormat="1" x14ac:dyDescent="0.15">
      <c r="B71" s="2" t="s">
        <v>73</v>
      </c>
      <c r="C71" s="4">
        <v>15</v>
      </c>
      <c r="D71" s="4">
        <f>454-C71</f>
        <v>439</v>
      </c>
      <c r="E71" s="2">
        <f>886-D71-C71</f>
        <v>432</v>
      </c>
      <c r="F71" s="4">
        <f>642-E71-D71-C71</f>
        <v>-244</v>
      </c>
      <c r="G71" s="4">
        <v>606</v>
      </c>
      <c r="H71" s="4">
        <f>1796-G71</f>
        <v>1190</v>
      </c>
      <c r="I71" s="4">
        <f>2762-H71-G71</f>
        <v>966</v>
      </c>
      <c r="J71" s="4">
        <f>3583-I71-H71-G71</f>
        <v>821</v>
      </c>
      <c r="K71" s="4">
        <f>SUM(K62:K70)</f>
        <v>1412</v>
      </c>
      <c r="L71" s="4">
        <f>SUM(L62:L70)</f>
        <v>1808</v>
      </c>
      <c r="M71" s="4">
        <f>5387-L71-K71</f>
        <v>2167</v>
      </c>
      <c r="N71" s="2">
        <f>SUM(N62:N70)</f>
        <v>1750</v>
      </c>
      <c r="O71" s="2">
        <f>SUM(O62:O70)</f>
        <v>2324</v>
      </c>
    </row>
    <row r="72" spans="2:25" x14ac:dyDescent="0.15">
      <c r="L72" s="4"/>
    </row>
    <row r="73" spans="2:25" x14ac:dyDescent="0.15">
      <c r="B73" s="2" t="s">
        <v>81</v>
      </c>
      <c r="C73" s="3">
        <v>-62</v>
      </c>
      <c r="D73" s="3">
        <f>-119-C73</f>
        <v>-57</v>
      </c>
      <c r="E73" s="3">
        <f>-193-D73-C73</f>
        <v>-74</v>
      </c>
      <c r="F73" s="3">
        <f>-252-E73-D73-C73</f>
        <v>-59</v>
      </c>
      <c r="G73" s="3">
        <v>-57</v>
      </c>
      <c r="H73" s="3">
        <v>-50</v>
      </c>
      <c r="I73" s="3">
        <f>-168-H73-G73</f>
        <v>-61</v>
      </c>
      <c r="J73" s="3">
        <f>-223-I73-H73-G73</f>
        <v>-55</v>
      </c>
      <c r="K73" s="3">
        <v>-57</v>
      </c>
      <c r="L73" s="3">
        <f>-156-K73</f>
        <v>-99</v>
      </c>
      <c r="M73" s="3">
        <f>-198-L73-K73</f>
        <v>-42</v>
      </c>
      <c r="N73" s="3">
        <v>-44</v>
      </c>
      <c r="O73" s="2">
        <v>-74</v>
      </c>
      <c r="W73">
        <v>-233</v>
      </c>
      <c r="X73">
        <v>-242</v>
      </c>
      <c r="Y73">
        <v>-242</v>
      </c>
    </row>
    <row r="74" spans="2:25" x14ac:dyDescent="0.15">
      <c r="B74" s="2" t="s">
        <v>82</v>
      </c>
      <c r="C74" s="3">
        <f>-13-59</f>
        <v>-72</v>
      </c>
      <c r="D74" s="3">
        <f>-14-59-C74</f>
        <v>-1</v>
      </c>
      <c r="E74" s="3">
        <f>SUM(-14,376,26,-59)-D74-C74</f>
        <v>402</v>
      </c>
      <c r="G74" s="3">
        <f>-846+500</f>
        <v>-346</v>
      </c>
      <c r="H74" s="3">
        <f>SUM(-2207,1627,703)-G74</f>
        <v>469</v>
      </c>
      <c r="N74" s="3">
        <f>-1-3020+4437</f>
        <v>1416</v>
      </c>
      <c r="O74" s="2">
        <f>-179-2540+2397</f>
        <v>-322</v>
      </c>
    </row>
    <row r="75" spans="2:25" x14ac:dyDescent="0.15">
      <c r="B75" s="2" t="s">
        <v>63</v>
      </c>
      <c r="C75" s="3">
        <v>-1</v>
      </c>
      <c r="D75" s="3">
        <v>3</v>
      </c>
      <c r="E75" s="3">
        <f>-4-D75-C75</f>
        <v>-6</v>
      </c>
      <c r="G75" s="3">
        <v>4</v>
      </c>
      <c r="H75" s="3">
        <f>-7-G75</f>
        <v>-11</v>
      </c>
      <c r="N75" s="3">
        <v>61</v>
      </c>
      <c r="O75" s="2">
        <v>-146</v>
      </c>
    </row>
    <row r="76" spans="2:25" x14ac:dyDescent="0.15">
      <c r="B76" t="s">
        <v>80</v>
      </c>
      <c r="C76" s="3">
        <f>SUM(C73:C75)</f>
        <v>-135</v>
      </c>
      <c r="D76" s="3">
        <f>SUM(D73:D75)</f>
        <v>-55</v>
      </c>
      <c r="E76" s="3">
        <f>SUM(E73:E75)</f>
        <v>322</v>
      </c>
      <c r="G76" s="3">
        <f>SUM(G73:G75)</f>
        <v>-399</v>
      </c>
      <c r="H76" s="3">
        <f>SUM(H73:H75)</f>
        <v>408</v>
      </c>
      <c r="K76" s="4">
        <v>-242</v>
      </c>
      <c r="L76" s="4"/>
      <c r="N76" s="2">
        <f>SUM(N73:N75)</f>
        <v>1433</v>
      </c>
      <c r="O76" s="2">
        <f>SUM(O73:O75)</f>
        <v>-542</v>
      </c>
    </row>
    <row r="77" spans="2:25" x14ac:dyDescent="0.15">
      <c r="O77" s="2"/>
    </row>
    <row r="78" spans="2:25" x14ac:dyDescent="0.15">
      <c r="B78" s="2" t="s">
        <v>91</v>
      </c>
      <c r="N78" s="3">
        <v>53</v>
      </c>
      <c r="O78" s="2">
        <v>0</v>
      </c>
    </row>
    <row r="79" spans="2:25" x14ac:dyDescent="0.15">
      <c r="B79" s="2" t="s">
        <v>83</v>
      </c>
      <c r="N79" s="2">
        <v>-50</v>
      </c>
      <c r="O79" s="2">
        <v>-47</v>
      </c>
    </row>
    <row r="80" spans="2:25" x14ac:dyDescent="0.15">
      <c r="B80" s="2" t="s">
        <v>93</v>
      </c>
      <c r="N80" s="2">
        <v>-2000</v>
      </c>
      <c r="O80" s="2">
        <v>0</v>
      </c>
    </row>
    <row r="81" spans="2:28" x14ac:dyDescent="0.15">
      <c r="B81" s="2" t="s">
        <v>84</v>
      </c>
      <c r="N81" s="2">
        <v>-555</v>
      </c>
      <c r="O81" s="2">
        <v>-1785</v>
      </c>
    </row>
    <row r="82" spans="2:28" x14ac:dyDescent="0.15">
      <c r="B82" s="2" t="s">
        <v>92</v>
      </c>
      <c r="N82" s="2">
        <v>-851</v>
      </c>
      <c r="O82" s="2">
        <v>0</v>
      </c>
    </row>
    <row r="83" spans="2:28" x14ac:dyDescent="0.15">
      <c r="B83" s="2" t="s">
        <v>63</v>
      </c>
      <c r="N83" s="2">
        <v>6</v>
      </c>
      <c r="O83" s="2">
        <v>-30</v>
      </c>
    </row>
    <row r="84" spans="2:28" x14ac:dyDescent="0.15">
      <c r="B84" s="2" t="s">
        <v>85</v>
      </c>
      <c r="N84" s="2">
        <f>SUM(N78:N83)</f>
        <v>-3397</v>
      </c>
      <c r="O84" s="2">
        <f>SUM(O78:O83)</f>
        <v>-1862</v>
      </c>
    </row>
    <row r="85" spans="2:28" x14ac:dyDescent="0.15">
      <c r="B85" s="2" t="s">
        <v>87</v>
      </c>
      <c r="N85" s="2">
        <v>-179</v>
      </c>
      <c r="O85" s="2">
        <v>70</v>
      </c>
    </row>
    <row r="86" spans="2:28" x14ac:dyDescent="0.15">
      <c r="B86" s="2" t="s">
        <v>86</v>
      </c>
      <c r="N86" s="2">
        <f>+N85+N84+N76+N71</f>
        <v>-393</v>
      </c>
      <c r="O86" s="2">
        <f>+O85+O84+O76+O71</f>
        <v>-10</v>
      </c>
    </row>
    <row r="89" spans="2:28" x14ac:dyDescent="0.15">
      <c r="B89" s="2" t="s">
        <v>89</v>
      </c>
      <c r="C89" s="4">
        <f>C71+C73</f>
        <v>-47</v>
      </c>
      <c r="D89" s="4">
        <f>D71+D73</f>
        <v>382</v>
      </c>
      <c r="E89" s="4">
        <f>E71+E73</f>
        <v>358</v>
      </c>
      <c r="F89" s="4">
        <f>F71+F73</f>
        <v>-303</v>
      </c>
      <c r="G89" s="4">
        <f>G71+G73</f>
        <v>549</v>
      </c>
      <c r="H89" s="4">
        <f>H71+H73</f>
        <v>1140</v>
      </c>
      <c r="I89" s="4">
        <f>I71+I73</f>
        <v>905</v>
      </c>
      <c r="J89" s="4">
        <f>J71+J73</f>
        <v>766</v>
      </c>
      <c r="K89" s="4">
        <f>K71+K73</f>
        <v>1355</v>
      </c>
      <c r="L89" s="4">
        <f>L71+L73</f>
        <v>1709</v>
      </c>
      <c r="M89" s="4">
        <f>M71+M73</f>
        <v>2125</v>
      </c>
      <c r="N89" s="2">
        <f>+N71+N73</f>
        <v>1706</v>
      </c>
      <c r="O89" s="2">
        <f>+O71+O73</f>
        <v>2250</v>
      </c>
      <c r="P89" s="2">
        <f>P92*P17</f>
        <v>2385.4499999999998</v>
      </c>
      <c r="Q89" s="2">
        <f t="shared" ref="Q89:R89" si="27">Q92*Q17</f>
        <v>2566.5487200000007</v>
      </c>
      <c r="R89" s="2">
        <f t="shared" si="27"/>
        <v>2630.0750760000001</v>
      </c>
      <c r="W89" s="2">
        <v>3362</v>
      </c>
      <c r="X89" s="2">
        <f>SUM(K89:N89)</f>
        <v>6895</v>
      </c>
      <c r="Y89" s="2">
        <f>SUM(P89:R89)+Y73</f>
        <v>7340.0737960000006</v>
      </c>
      <c r="Z89" s="2">
        <f>+Y89*1.06</f>
        <v>7780.4782237600011</v>
      </c>
      <c r="AB89" s="2">
        <f>24*Z89</f>
        <v>186731.47737024003</v>
      </c>
    </row>
    <row r="90" spans="2:28" x14ac:dyDescent="0.15">
      <c r="B90" s="2" t="s">
        <v>96</v>
      </c>
      <c r="G90" s="8">
        <f>G89/C89-1</f>
        <v>-12.680851063829786</v>
      </c>
      <c r="H90" s="8">
        <f>H89/D89-1</f>
        <v>1.9842931937172774</v>
      </c>
      <c r="I90" s="8">
        <f>I89/E89-1</f>
        <v>1.5279329608938546</v>
      </c>
      <c r="J90" s="8">
        <f>J89/F89-1</f>
        <v>-3.5280528052805282</v>
      </c>
      <c r="K90" s="8">
        <f>K89/G89-1</f>
        <v>1.4681238615664847</v>
      </c>
      <c r="L90" s="8">
        <f t="shared" ref="L90:P90" si="28">L89/H89-1</f>
        <v>0.49912280701754397</v>
      </c>
      <c r="M90" s="8">
        <f t="shared" si="28"/>
        <v>1.3480662983425415</v>
      </c>
      <c r="N90" s="8">
        <f t="shared" si="28"/>
        <v>1.2271540469973892</v>
      </c>
      <c r="O90" s="8">
        <f t="shared" si="28"/>
        <v>0.6605166051660516</v>
      </c>
      <c r="P90" s="8">
        <f>P89/L89-1</f>
        <v>0.39581626682270321</v>
      </c>
      <c r="Q90" s="8">
        <f t="shared" ref="Q90" si="29">Q89/M89-1</f>
        <v>0.20778763294117675</v>
      </c>
      <c r="R90" s="8">
        <f t="shared" ref="R90" si="30">R89/N89-1</f>
        <v>0.54166182649472461</v>
      </c>
      <c r="X90" s="13">
        <f>X89/W89-1</f>
        <v>1.0508625817965496</v>
      </c>
      <c r="Y90" s="13">
        <f>Y89/X89-1</f>
        <v>6.4550224220449648E-2</v>
      </c>
      <c r="Z90" s="13">
        <f>Z89/Y89-1</f>
        <v>6.0000000000000053E-2</v>
      </c>
      <c r="AB90">
        <f>Main!K7/Model!Z89</f>
        <v>22.841398033515262</v>
      </c>
    </row>
    <row r="91" spans="2:28" x14ac:dyDescent="0.15">
      <c r="B91" s="2" t="s">
        <v>97</v>
      </c>
      <c r="G91" s="8">
        <f>G71/C71-1</f>
        <v>39.4</v>
      </c>
      <c r="H91" s="8">
        <f t="shared" ref="H91:O91" si="31">H71/D71-1</f>
        <v>1.7107061503416858</v>
      </c>
      <c r="I91" s="8">
        <f t="shared" si="31"/>
        <v>1.2361111111111112</v>
      </c>
      <c r="J91" s="8">
        <f t="shared" si="31"/>
        <v>-4.3647540983606561</v>
      </c>
      <c r="K91" s="8">
        <f t="shared" si="31"/>
        <v>1.33003300330033</v>
      </c>
      <c r="L91" s="8">
        <f t="shared" si="31"/>
        <v>0.51932773109243691</v>
      </c>
      <c r="M91" s="8">
        <f t="shared" si="31"/>
        <v>1.2432712215320909</v>
      </c>
      <c r="N91" s="8">
        <f t="shared" si="31"/>
        <v>1.1315468940316689</v>
      </c>
      <c r="O91" s="8">
        <f t="shared" si="31"/>
        <v>0.64589235127478761</v>
      </c>
    </row>
    <row r="92" spans="2:28" x14ac:dyDescent="0.15">
      <c r="B92" s="2" t="s">
        <v>98</v>
      </c>
      <c r="G92" s="8">
        <f>G89/G17</f>
        <v>6.2223733424005438E-2</v>
      </c>
      <c r="H92" s="8">
        <f t="shared" ref="H92:O92" si="32">H89/H17</f>
        <v>0.12351029252437704</v>
      </c>
      <c r="I92" s="8">
        <f t="shared" si="32"/>
        <v>9.7395609126130003E-2</v>
      </c>
      <c r="J92" s="8">
        <f t="shared" si="32"/>
        <v>7.7093397745571654E-2</v>
      </c>
      <c r="K92" s="8">
        <f t="shared" si="32"/>
        <v>0.13374790247754417</v>
      </c>
      <c r="L92" s="8">
        <f t="shared" si="32"/>
        <v>0.1597196261682243</v>
      </c>
      <c r="M92" s="8">
        <f t="shared" si="32"/>
        <v>0.18993564533428672</v>
      </c>
      <c r="N92" s="8">
        <f t="shared" si="32"/>
        <v>0.14265406806589179</v>
      </c>
      <c r="O92" s="8">
        <f t="shared" si="32"/>
        <v>0.19509234370935577</v>
      </c>
      <c r="P92" s="8">
        <v>0.19</v>
      </c>
      <c r="Q92" s="13">
        <v>0.2</v>
      </c>
      <c r="R92" s="13">
        <v>0.19</v>
      </c>
    </row>
    <row r="93" spans="2:28" x14ac:dyDescent="0.15">
      <c r="G93" s="8"/>
      <c r="H93" s="8"/>
      <c r="I93" s="8"/>
      <c r="J93" s="8"/>
      <c r="K93" s="8"/>
      <c r="L93" s="8"/>
      <c r="M93" s="8"/>
      <c r="N93" s="8"/>
      <c r="O93" s="8"/>
    </row>
  </sheetData>
  <hyperlinks>
    <hyperlink ref="A1" location="Main!A1" display="Main" xr:uid="{97C91947-3928-45E1-B0A0-1313631C12C4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Zhuping Liu</cp:lastModifiedBy>
  <dcterms:created xsi:type="dcterms:W3CDTF">2025-02-02T01:50:14Z</dcterms:created>
  <dcterms:modified xsi:type="dcterms:W3CDTF">2025-07-21T16:22:16Z</dcterms:modified>
</cp:coreProperties>
</file>