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liu/Downloads/"/>
    </mc:Choice>
  </mc:AlternateContent>
  <xr:revisionPtr revIDLastSave="0" documentId="13_ncr:1_{F8F7861C-F903-6742-AE5D-F5ACDC60D9C4}" xr6:coauthVersionLast="47" xr6:coauthVersionMax="47" xr10:uidLastSave="{00000000-0000-0000-0000-000000000000}"/>
  <bookViews>
    <workbookView xWindow="0" yWindow="500" windowWidth="28800" windowHeight="15520" activeTab="1" xr2:uid="{70329CC5-8756-4BA4-A5C1-E709DAADAB52}"/>
  </bookViews>
  <sheets>
    <sheet name="Main" sheetId="1" r:id="rId1"/>
    <sheet name="Todate Model" sheetId="3" r:id="rId2"/>
    <sheet name="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6" i="3" l="1"/>
  <c r="X9" i="3"/>
  <c r="W9" i="3"/>
  <c r="L6" i="1"/>
  <c r="X58" i="3"/>
  <c r="Y58" i="3" s="1"/>
  <c r="Z58" i="3" s="1"/>
  <c r="X59" i="3"/>
  <c r="X60" i="3"/>
  <c r="V60" i="3"/>
  <c r="U60" i="3"/>
  <c r="W60" i="3"/>
  <c r="Z62" i="3"/>
  <c r="M25" i="3"/>
  <c r="M14" i="3"/>
  <c r="M10" i="3"/>
  <c r="M11" i="3" s="1"/>
  <c r="M26" i="3" s="1"/>
  <c r="U29" i="3"/>
  <c r="W9" i="2"/>
  <c r="W10" i="2" s="1"/>
  <c r="W11" i="2" s="1"/>
  <c r="W13" i="3"/>
  <c r="W12" i="3"/>
  <c r="I57" i="3"/>
  <c r="H57" i="3"/>
  <c r="H58" i="3" s="1"/>
  <c r="J56" i="3"/>
  <c r="J55" i="3"/>
  <c r="J54" i="3"/>
  <c r="J53" i="3"/>
  <c r="J52" i="3"/>
  <c r="J51" i="3"/>
  <c r="J50" i="3"/>
  <c r="K47" i="3"/>
  <c r="H47" i="3"/>
  <c r="L43" i="3"/>
  <c r="L47" i="3" s="1"/>
  <c r="J43" i="3"/>
  <c r="J47" i="3" s="1"/>
  <c r="I43" i="3"/>
  <c r="I47" i="3" s="1"/>
  <c r="H43" i="3"/>
  <c r="K39" i="3"/>
  <c r="L37" i="3"/>
  <c r="L39" i="3" s="1"/>
  <c r="J37" i="3"/>
  <c r="J39" i="3" s="1"/>
  <c r="I37" i="3"/>
  <c r="I39" i="3" s="1"/>
  <c r="H37" i="3"/>
  <c r="H39" i="3" s="1"/>
  <c r="L25" i="3"/>
  <c r="K25" i="3"/>
  <c r="I25" i="3"/>
  <c r="H25" i="3"/>
  <c r="G25" i="3"/>
  <c r="V21" i="3"/>
  <c r="I21" i="3"/>
  <c r="W21" i="3" s="1"/>
  <c r="V18" i="3"/>
  <c r="U18" i="3"/>
  <c r="T18" i="3"/>
  <c r="L18" i="3"/>
  <c r="K18" i="3"/>
  <c r="H18" i="3"/>
  <c r="U16" i="3"/>
  <c r="T16" i="3"/>
  <c r="L16" i="3"/>
  <c r="K16" i="3"/>
  <c r="J16" i="3"/>
  <c r="I16" i="3"/>
  <c r="H16" i="3"/>
  <c r="G16" i="3"/>
  <c r="F16" i="3"/>
  <c r="E16" i="3"/>
  <c r="D16" i="3"/>
  <c r="C16" i="3"/>
  <c r="U14" i="3"/>
  <c r="T14" i="3"/>
  <c r="L14" i="3"/>
  <c r="K14" i="3"/>
  <c r="J14" i="3"/>
  <c r="I14" i="3"/>
  <c r="H14" i="3"/>
  <c r="G14" i="3"/>
  <c r="F14" i="3"/>
  <c r="E14" i="3"/>
  <c r="D14" i="3"/>
  <c r="C14" i="3"/>
  <c r="V13" i="3"/>
  <c r="V12" i="3"/>
  <c r="X12" i="3" s="1"/>
  <c r="Y12" i="3" s="1"/>
  <c r="Z12" i="3" s="1"/>
  <c r="AA12" i="3" s="1"/>
  <c r="L11" i="3"/>
  <c r="L26" i="3" s="1"/>
  <c r="K11" i="3"/>
  <c r="K26" i="3" s="1"/>
  <c r="I11" i="3"/>
  <c r="I26" i="3" s="1"/>
  <c r="H11" i="3"/>
  <c r="G11" i="3"/>
  <c r="F11" i="3"/>
  <c r="E11" i="3"/>
  <c r="E15" i="3" s="1"/>
  <c r="E27" i="3" s="1"/>
  <c r="D11" i="3"/>
  <c r="D26" i="3" s="1"/>
  <c r="C11" i="3"/>
  <c r="C26" i="3" s="1"/>
  <c r="V10" i="3"/>
  <c r="V29" i="3" s="1"/>
  <c r="J10" i="3"/>
  <c r="W10" i="3" s="1"/>
  <c r="W29" i="3" s="1"/>
  <c r="V9" i="3"/>
  <c r="U9" i="3"/>
  <c r="U11" i="3" s="1"/>
  <c r="T9" i="3"/>
  <c r="T11" i="3" s="1"/>
  <c r="J9" i="3"/>
  <c r="J25" i="3" s="1"/>
  <c r="K8" i="3"/>
  <c r="K7" i="3"/>
  <c r="K6" i="3"/>
  <c r="K5" i="3"/>
  <c r="N3" i="3"/>
  <c r="M3" i="3"/>
  <c r="L3" i="3"/>
  <c r="K3" i="3"/>
  <c r="O3" i="3" s="1"/>
  <c r="X9" i="2"/>
  <c r="Y9" i="2" s="1"/>
  <c r="Y10" i="2" s="1"/>
  <c r="Y11" i="2" s="1"/>
  <c r="Y15" i="2" s="1"/>
  <c r="X12" i="2"/>
  <c r="Y12" i="2"/>
  <c r="Z12" i="2"/>
  <c r="AA12" i="2"/>
  <c r="X13" i="2"/>
  <c r="Y13" i="2"/>
  <c r="Z13" i="2"/>
  <c r="AA13" i="2"/>
  <c r="X14" i="2"/>
  <c r="Y14" i="2"/>
  <c r="Z14" i="2"/>
  <c r="AA14" i="2"/>
  <c r="X16" i="2"/>
  <c r="Y16" i="2" s="1"/>
  <c r="Z16" i="2" s="1"/>
  <c r="AA16" i="2" s="1"/>
  <c r="W12" i="2"/>
  <c r="AC27" i="2"/>
  <c r="AC28" i="2" s="1"/>
  <c r="V9" i="2"/>
  <c r="L28" i="2"/>
  <c r="L30" i="2"/>
  <c r="L46" i="2"/>
  <c r="K46" i="2"/>
  <c r="L42" i="2"/>
  <c r="K38" i="2"/>
  <c r="L36" i="2"/>
  <c r="L38" i="2" s="1"/>
  <c r="H18" i="2"/>
  <c r="K18" i="2"/>
  <c r="L18" i="2"/>
  <c r="K16" i="2"/>
  <c r="K11" i="2"/>
  <c r="L16" i="2"/>
  <c r="L14" i="2"/>
  <c r="L11" i="2"/>
  <c r="L26" i="2" s="1"/>
  <c r="L25" i="2"/>
  <c r="K14" i="2"/>
  <c r="K8" i="2"/>
  <c r="K7" i="2"/>
  <c r="K6" i="2"/>
  <c r="K5" i="2"/>
  <c r="J42" i="2"/>
  <c r="J36" i="2"/>
  <c r="J38" i="2"/>
  <c r="J46" i="2"/>
  <c r="J55" i="2"/>
  <c r="J54" i="2"/>
  <c r="J53" i="2"/>
  <c r="J52" i="2"/>
  <c r="J51" i="2"/>
  <c r="J50" i="2"/>
  <c r="J49" i="2"/>
  <c r="J16" i="2"/>
  <c r="J10" i="2"/>
  <c r="J9" i="2"/>
  <c r="J11" i="2" s="1"/>
  <c r="J26" i="2" s="1"/>
  <c r="J14" i="2"/>
  <c r="N3" i="2"/>
  <c r="M3" i="2"/>
  <c r="L3" i="2"/>
  <c r="K3" i="2"/>
  <c r="O3" i="2" s="1"/>
  <c r="U16" i="2"/>
  <c r="U18" i="2"/>
  <c r="T18" i="2"/>
  <c r="T16" i="2"/>
  <c r="T14" i="2"/>
  <c r="T9" i="2"/>
  <c r="T11" i="2" s="1"/>
  <c r="T26" i="2" s="1"/>
  <c r="V21" i="2"/>
  <c r="V18" i="2"/>
  <c r="U14" i="2"/>
  <c r="V13" i="2"/>
  <c r="V12" i="2"/>
  <c r="V10" i="2"/>
  <c r="U9" i="2"/>
  <c r="G25" i="2"/>
  <c r="C16" i="2"/>
  <c r="C14" i="2"/>
  <c r="C11" i="2"/>
  <c r="C26" i="2" s="1"/>
  <c r="F16" i="2"/>
  <c r="F14" i="2"/>
  <c r="F11" i="2"/>
  <c r="F26" i="2" s="1"/>
  <c r="H56" i="2"/>
  <c r="H57" i="2" s="1"/>
  <c r="H42" i="2"/>
  <c r="H36" i="2"/>
  <c r="H38" i="2" s="1"/>
  <c r="H46" i="2"/>
  <c r="D16" i="2"/>
  <c r="H25" i="2"/>
  <c r="D14" i="2"/>
  <c r="D11" i="2"/>
  <c r="D26" i="2" s="1"/>
  <c r="G16" i="2"/>
  <c r="G14" i="2"/>
  <c r="G11" i="2"/>
  <c r="G26" i="2" s="1"/>
  <c r="I56" i="2"/>
  <c r="I57" i="2" s="1"/>
  <c r="I42" i="2"/>
  <c r="I46" i="2" s="1"/>
  <c r="I36" i="2"/>
  <c r="I38" i="2" s="1"/>
  <c r="I25" i="2"/>
  <c r="E16" i="2"/>
  <c r="E14" i="2"/>
  <c r="E11" i="2"/>
  <c r="E26" i="2" s="1"/>
  <c r="H16" i="2"/>
  <c r="H14" i="2"/>
  <c r="H11" i="2"/>
  <c r="H26" i="2" s="1"/>
  <c r="I21" i="2"/>
  <c r="W21" i="2" s="1"/>
  <c r="I16" i="2"/>
  <c r="I14" i="2"/>
  <c r="I11" i="2"/>
  <c r="I15" i="2" s="1"/>
  <c r="I27" i="2" s="1"/>
  <c r="J4" i="1"/>
  <c r="J7" i="1" s="1"/>
  <c r="Y54" i="3" l="1"/>
  <c r="Z55" i="3" s="1"/>
  <c r="AA55" i="3" s="1"/>
  <c r="F15" i="3"/>
  <c r="W14" i="3"/>
  <c r="W16" i="3"/>
  <c r="M15" i="3"/>
  <c r="M17" i="3" s="1"/>
  <c r="V14" i="3"/>
  <c r="V16" i="3"/>
  <c r="X16" i="3" s="1"/>
  <c r="Y16" i="3" s="1"/>
  <c r="Z16" i="3" s="1"/>
  <c r="AA16" i="3" s="1"/>
  <c r="V11" i="3"/>
  <c r="V15" i="3" s="1"/>
  <c r="H15" i="3"/>
  <c r="H27" i="3" s="1"/>
  <c r="H26" i="3"/>
  <c r="E26" i="3"/>
  <c r="F26" i="3"/>
  <c r="G15" i="3"/>
  <c r="G27" i="3" s="1"/>
  <c r="G26" i="3"/>
  <c r="J57" i="3"/>
  <c r="J58" i="3" s="1"/>
  <c r="J11" i="3"/>
  <c r="J15" i="3" s="1"/>
  <c r="J27" i="3" s="1"/>
  <c r="X10" i="2"/>
  <c r="X11" i="2" s="1"/>
  <c r="X15" i="2" s="1"/>
  <c r="X17" i="2" s="1"/>
  <c r="Z9" i="2"/>
  <c r="T26" i="3"/>
  <c r="T15" i="3"/>
  <c r="U15" i="3"/>
  <c r="U26" i="3"/>
  <c r="E17" i="3"/>
  <c r="E19" i="3" s="1"/>
  <c r="E20" i="3" s="1"/>
  <c r="F27" i="3"/>
  <c r="F17" i="3"/>
  <c r="F19" i="3" s="1"/>
  <c r="F20" i="3" s="1"/>
  <c r="I15" i="3"/>
  <c r="K15" i="3"/>
  <c r="L15" i="3"/>
  <c r="U25" i="3"/>
  <c r="V25" i="3"/>
  <c r="L31" i="3"/>
  <c r="C15" i="3"/>
  <c r="D15" i="3"/>
  <c r="I58" i="3"/>
  <c r="Y17" i="2"/>
  <c r="X18" i="2"/>
  <c r="X19" i="2" s="1"/>
  <c r="X20" i="2" s="1"/>
  <c r="L15" i="2"/>
  <c r="V11" i="2"/>
  <c r="V26" i="2" s="1"/>
  <c r="J25" i="2"/>
  <c r="J56" i="2"/>
  <c r="J57" i="2" s="1"/>
  <c r="U25" i="2"/>
  <c r="J15" i="2"/>
  <c r="V16" i="2"/>
  <c r="W16" i="2" s="1"/>
  <c r="U11" i="2"/>
  <c r="U26" i="2" s="1"/>
  <c r="V14" i="2"/>
  <c r="W13" i="2"/>
  <c r="W25" i="2"/>
  <c r="V25" i="2"/>
  <c r="T15" i="2"/>
  <c r="W14" i="2"/>
  <c r="W15" i="2" s="1"/>
  <c r="W17" i="2" s="1"/>
  <c r="W26" i="2"/>
  <c r="U15" i="2"/>
  <c r="C15" i="2"/>
  <c r="I26" i="2"/>
  <c r="F15" i="2"/>
  <c r="D15" i="2"/>
  <c r="G15" i="2"/>
  <c r="I17" i="2"/>
  <c r="I19" i="2" s="1"/>
  <c r="E15" i="2"/>
  <c r="H15" i="2"/>
  <c r="G17" i="3" l="1"/>
  <c r="G19" i="3"/>
  <c r="G20" i="3" s="1"/>
  <c r="L27" i="3"/>
  <c r="L17" i="3"/>
  <c r="L28" i="3" s="1"/>
  <c r="M19" i="3"/>
  <c r="M20" i="3" s="1"/>
  <c r="V26" i="3"/>
  <c r="J17" i="3"/>
  <c r="H17" i="3"/>
  <c r="J26" i="3"/>
  <c r="X25" i="3"/>
  <c r="Y9" i="3"/>
  <c r="AA9" i="2"/>
  <c r="AA10" i="2" s="1"/>
  <c r="AA11" i="2" s="1"/>
  <c r="AA15" i="2" s="1"/>
  <c r="AA17" i="2" s="1"/>
  <c r="AA18" i="2" s="1"/>
  <c r="AA19" i="2" s="1"/>
  <c r="AA20" i="2" s="1"/>
  <c r="Z10" i="2"/>
  <c r="Z11" i="2" s="1"/>
  <c r="Z15" i="2" s="1"/>
  <c r="Z17" i="2" s="1"/>
  <c r="T27" i="3"/>
  <c r="T17" i="3"/>
  <c r="T19" i="3" s="1"/>
  <c r="T20" i="3" s="1"/>
  <c r="X13" i="3"/>
  <c r="X14" i="3" s="1"/>
  <c r="D17" i="3"/>
  <c r="D19" i="3" s="1"/>
  <c r="D20" i="3" s="1"/>
  <c r="D27" i="3"/>
  <c r="U27" i="3"/>
  <c r="U17" i="3"/>
  <c r="U19" i="3" s="1"/>
  <c r="U20" i="3" s="1"/>
  <c r="V27" i="3"/>
  <c r="V17" i="3"/>
  <c r="V19" i="3" s="1"/>
  <c r="V20" i="3" s="1"/>
  <c r="X10" i="3"/>
  <c r="W11" i="3"/>
  <c r="W15" i="3" s="1"/>
  <c r="W25" i="3"/>
  <c r="K17" i="3"/>
  <c r="K27" i="3"/>
  <c r="C17" i="3"/>
  <c r="C19" i="3" s="1"/>
  <c r="C20" i="3" s="1"/>
  <c r="C27" i="3"/>
  <c r="I27" i="3"/>
  <c r="I17" i="3"/>
  <c r="M28" i="3" s="1"/>
  <c r="Z18" i="2"/>
  <c r="Z19" i="2" s="1"/>
  <c r="Z20" i="2" s="1"/>
  <c r="Y18" i="2"/>
  <c r="Y19" i="2" s="1"/>
  <c r="Y20" i="2" s="1"/>
  <c r="V15" i="2"/>
  <c r="L17" i="2"/>
  <c r="L19" i="2" s="1"/>
  <c r="L20" i="2" s="1"/>
  <c r="L27" i="2"/>
  <c r="K25" i="2"/>
  <c r="J17" i="2"/>
  <c r="J19" i="2" s="1"/>
  <c r="J27" i="2"/>
  <c r="U27" i="2"/>
  <c r="U17" i="2"/>
  <c r="U19" i="2" s="1"/>
  <c r="U20" i="2" s="1"/>
  <c r="T17" i="2"/>
  <c r="T19" i="2" s="1"/>
  <c r="T20" i="2" s="1"/>
  <c r="T27" i="2"/>
  <c r="V27" i="2"/>
  <c r="V17" i="2"/>
  <c r="V19" i="2" s="1"/>
  <c r="V20" i="2" s="1"/>
  <c r="W27" i="2"/>
  <c r="E17" i="2"/>
  <c r="E19" i="2" s="1"/>
  <c r="E20" i="2" s="1"/>
  <c r="E27" i="2"/>
  <c r="G17" i="2"/>
  <c r="G19" i="2" s="1"/>
  <c r="G20" i="2" s="1"/>
  <c r="G27" i="2"/>
  <c r="D17" i="2"/>
  <c r="D19" i="2" s="1"/>
  <c r="D20" i="2" s="1"/>
  <c r="D27" i="2"/>
  <c r="F17" i="2"/>
  <c r="F19" i="2" s="1"/>
  <c r="F20" i="2" s="1"/>
  <c r="F27" i="2"/>
  <c r="C17" i="2"/>
  <c r="C19" i="2" s="1"/>
  <c r="C20" i="2" s="1"/>
  <c r="C27" i="2"/>
  <c r="H17" i="2"/>
  <c r="H19" i="2" s="1"/>
  <c r="H27" i="2"/>
  <c r="I48" i="2"/>
  <c r="I20" i="2"/>
  <c r="K19" i="3" l="1"/>
  <c r="K20" i="3" s="1"/>
  <c r="K28" i="3"/>
  <c r="G28" i="3"/>
  <c r="J19" i="3"/>
  <c r="J28" i="3"/>
  <c r="I19" i="3"/>
  <c r="I49" i="3" s="1"/>
  <c r="I28" i="3"/>
  <c r="H19" i="3"/>
  <c r="H28" i="3"/>
  <c r="Y25" i="3"/>
  <c r="Z9" i="3"/>
  <c r="W26" i="3"/>
  <c r="L19" i="3"/>
  <c r="L20" i="3" s="1"/>
  <c r="L29" i="3"/>
  <c r="Y13" i="3"/>
  <c r="I20" i="3"/>
  <c r="X11" i="3"/>
  <c r="X26" i="3" s="1"/>
  <c r="Y10" i="3"/>
  <c r="K26" i="2"/>
  <c r="K15" i="2"/>
  <c r="J20" i="2"/>
  <c r="J48" i="2"/>
  <c r="W18" i="2"/>
  <c r="W19" i="2" s="1"/>
  <c r="H20" i="2"/>
  <c r="H48" i="2"/>
  <c r="H20" i="3" l="1"/>
  <c r="H49" i="3"/>
  <c r="J20" i="3"/>
  <c r="J49" i="3"/>
  <c r="Z25" i="3"/>
  <c r="AA9" i="3"/>
  <c r="AA25" i="3" s="1"/>
  <c r="Y14" i="3"/>
  <c r="Z13" i="3"/>
  <c r="Y11" i="3"/>
  <c r="Z10" i="3"/>
  <c r="X15" i="3"/>
  <c r="W27" i="3"/>
  <c r="W17" i="3"/>
  <c r="W19" i="3" s="1"/>
  <c r="W20" i="2"/>
  <c r="K17" i="2"/>
  <c r="K27" i="2"/>
  <c r="X17" i="3" l="1"/>
  <c r="X27" i="3"/>
  <c r="Y15" i="3"/>
  <c r="Y26" i="3"/>
  <c r="W20" i="3"/>
  <c r="X18" i="3"/>
  <c r="X19" i="3" s="1"/>
  <c r="AA10" i="3"/>
  <c r="Z11" i="3"/>
  <c r="Z26" i="3" s="1"/>
  <c r="AA13" i="3"/>
  <c r="AA14" i="3" s="1"/>
  <c r="Z14" i="3"/>
  <c r="K19" i="2"/>
  <c r="K20" i="2" s="1"/>
  <c r="X28" i="3" l="1"/>
  <c r="Y17" i="3"/>
  <c r="Y18" i="3" s="1"/>
  <c r="Y19" i="3" s="1"/>
  <c r="Y27" i="3"/>
  <c r="X20" i="3"/>
  <c r="Z15" i="3"/>
  <c r="AA11" i="3"/>
  <c r="Y20" i="3" l="1"/>
  <c r="Y28" i="3"/>
  <c r="Z17" i="3"/>
  <c r="Z18" i="3" s="1"/>
  <c r="Z19" i="3" s="1"/>
  <c r="Z27" i="3"/>
  <c r="AA15" i="3"/>
  <c r="AA26" i="3"/>
  <c r="AB19" i="2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Z20" i="3" l="1"/>
  <c r="Z28" i="3"/>
  <c r="AA17" i="3"/>
  <c r="AA18" i="3" s="1"/>
  <c r="AA19" i="3" s="1"/>
  <c r="AA27" i="3"/>
  <c r="AB19" i="3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BS19" i="3" s="1"/>
  <c r="BT19" i="3" s="1"/>
  <c r="BU19" i="3" s="1"/>
  <c r="BV19" i="3" s="1"/>
  <c r="BW19" i="3" s="1"/>
  <c r="BX19" i="3" s="1"/>
  <c r="BY19" i="3" s="1"/>
  <c r="BZ19" i="3" s="1"/>
  <c r="CA19" i="3" s="1"/>
  <c r="CB19" i="3" s="1"/>
  <c r="CC19" i="3" s="1"/>
  <c r="CD19" i="3" s="1"/>
  <c r="CE19" i="3" s="1"/>
  <c r="CF19" i="3" s="1"/>
  <c r="CG19" i="3" s="1"/>
  <c r="CH19" i="3" s="1"/>
  <c r="CI19" i="3" s="1"/>
  <c r="CJ19" i="3" s="1"/>
  <c r="CK19" i="3" s="1"/>
  <c r="CL19" i="3" s="1"/>
  <c r="CM19" i="3" s="1"/>
  <c r="CN19" i="3" s="1"/>
  <c r="CO19" i="3" s="1"/>
  <c r="CP19" i="3" s="1"/>
  <c r="CQ19" i="3" s="1"/>
  <c r="CR19" i="3" s="1"/>
  <c r="CS19" i="3" s="1"/>
  <c r="CT19" i="3" s="1"/>
  <c r="CU19" i="3" s="1"/>
  <c r="CV19" i="3" s="1"/>
  <c r="CW19" i="3" s="1"/>
  <c r="CX19" i="3" s="1"/>
  <c r="AA20" i="3"/>
  <c r="AA28" i="3" l="1"/>
  <c r="AB28" i="3" s="1"/>
  <c r="AC27" i="3"/>
  <c r="AC2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tc={CA916212-D5D6-4A47-BA78-F6D4A944C429}</author>
  </authors>
  <commentList>
    <comment ref="W9" authorId="0" shapeId="0" xr:uid="{CA916212-D5D6-4A47-BA78-F6D4A944C429}">
      <text>
        <t>[Threaded comment]
Your version of Excel allows you to read this threaded comment; however, any edits to it will get removed if the file is opened in a newer version of Excel. Learn more: https://go.microsoft.com/fwlink/?linkid=870924
Comment:
    12,384 million attributable to VMware acquisition</t>
      </text>
    </comment>
  </commentList>
</comments>
</file>

<file path=xl/sharedStrings.xml><?xml version="1.0" encoding="utf-8"?>
<sst xmlns="http://schemas.openxmlformats.org/spreadsheetml/2006/main" count="166" uniqueCount="91">
  <si>
    <t>Price</t>
  </si>
  <si>
    <t>Shares</t>
  </si>
  <si>
    <t>MC</t>
  </si>
  <si>
    <t>Cash</t>
  </si>
  <si>
    <t>Debt</t>
  </si>
  <si>
    <t>EV</t>
  </si>
  <si>
    <t>Main</t>
  </si>
  <si>
    <t>Revenue</t>
  </si>
  <si>
    <t>FQ224</t>
  </si>
  <si>
    <t>FQ124</t>
  </si>
  <si>
    <t>FQ423</t>
  </si>
  <si>
    <t>FQ323</t>
  </si>
  <si>
    <t>Revenue y/y</t>
  </si>
  <si>
    <t>COGS</t>
  </si>
  <si>
    <t>Gross Profit</t>
  </si>
  <si>
    <t>Gross Margin</t>
  </si>
  <si>
    <t>R&amp;D</t>
  </si>
  <si>
    <t>SG&amp;A</t>
  </si>
  <si>
    <t>Operating Expenses</t>
  </si>
  <si>
    <t>$ mil</t>
  </si>
  <si>
    <t>Operating Income</t>
  </si>
  <si>
    <t>Operating Margin</t>
  </si>
  <si>
    <t>Interest Expense</t>
  </si>
  <si>
    <t>Pretax Income</t>
  </si>
  <si>
    <t>Taxes</t>
  </si>
  <si>
    <t>Net Income</t>
  </si>
  <si>
    <t>AR</t>
  </si>
  <si>
    <t>Inventory</t>
  </si>
  <si>
    <t>OCA</t>
  </si>
  <si>
    <t>PP&amp;E</t>
  </si>
  <si>
    <t>OLTA</t>
  </si>
  <si>
    <t>Goodwill</t>
  </si>
  <si>
    <t>Assets</t>
  </si>
  <si>
    <t>AP</t>
  </si>
  <si>
    <t>Employees</t>
  </si>
  <si>
    <t>OCL</t>
  </si>
  <si>
    <t>OLTL</t>
  </si>
  <si>
    <t>S/E</t>
  </si>
  <si>
    <t>L+S/E</t>
  </si>
  <si>
    <t>Model NI</t>
  </si>
  <si>
    <t>Reported NI</t>
  </si>
  <si>
    <t>Amortization</t>
  </si>
  <si>
    <t>SBC</t>
  </si>
  <si>
    <t>Depreciation</t>
  </si>
  <si>
    <t>CFFO</t>
  </si>
  <si>
    <t>WC</t>
  </si>
  <si>
    <t>DT</t>
  </si>
  <si>
    <t>Non-cash Interest</t>
  </si>
  <si>
    <t>Other</t>
  </si>
  <si>
    <t>FQ123</t>
  </si>
  <si>
    <t>FQ223</t>
  </si>
  <si>
    <t>FQ422</t>
  </si>
  <si>
    <t>T</t>
  </si>
  <si>
    <t>HPQ</t>
  </si>
  <si>
    <t>LSI</t>
  </si>
  <si>
    <t>BRCM</t>
  </si>
  <si>
    <t>BRCD</t>
  </si>
  <si>
    <t>SYMC</t>
  </si>
  <si>
    <t>VMW</t>
  </si>
  <si>
    <t>CMOS</t>
  </si>
  <si>
    <t>networking, broadband, set top boxes</t>
  </si>
  <si>
    <t>FC SAN (fibre channel)</t>
  </si>
  <si>
    <t>hybrid cloud</t>
  </si>
  <si>
    <t>11/22/23: VMware deal closes: $86.3B.</t>
  </si>
  <si>
    <t>analog III-V - faster switching transistors, better performance for RF and optoelectronics - 3rd to 5th element groups: gallium, indium</t>
  </si>
  <si>
    <t>Headcount</t>
  </si>
  <si>
    <t>2014: LSI acquisition</t>
  </si>
  <si>
    <t>TSM made 90% of wafers used by AVGO CM's in FY2023.</t>
  </si>
  <si>
    <t>FY2021</t>
  </si>
  <si>
    <t>FY2022</t>
  </si>
  <si>
    <t>FY2023</t>
  </si>
  <si>
    <t>FY2024</t>
  </si>
  <si>
    <t>FY2025</t>
  </si>
  <si>
    <t>Products</t>
  </si>
  <si>
    <t>Subscription/Services</t>
  </si>
  <si>
    <t>EPS</t>
  </si>
  <si>
    <t>WT Microelectronics - 21% of revenue FY2023</t>
  </si>
  <si>
    <t>FQ324</t>
  </si>
  <si>
    <t>FQ424</t>
  </si>
  <si>
    <t>FQ125</t>
  </si>
  <si>
    <t>FQ225</t>
  </si>
  <si>
    <t>FQ325</t>
  </si>
  <si>
    <t>FQ425</t>
  </si>
  <si>
    <t>Semiconductors</t>
  </si>
  <si>
    <t>Infrastructure</t>
  </si>
  <si>
    <t>FY2020</t>
  </si>
  <si>
    <t>FY2019</t>
  </si>
  <si>
    <t>Net Cash</t>
  </si>
  <si>
    <t>Q424</t>
  </si>
  <si>
    <t>Tax Rate</t>
  </si>
  <si>
    <t>Pretax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</si>
</sst>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;@"/>
    <numFmt numFmtId="165" formatCode="0.0000000000000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2" fillId="0" borderId="0" xfId="1"/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8" fontId="0" fillId="0" borderId="0" xfId="0" applyNumberFormat="1"/>
    <xf numFmtId="14" fontId="0" fillId="0" borderId="0" xfId="0" applyNumberFormat="1"/>
    <xf numFmtId="9" fontId="0" fillId="0" borderId="0" xfId="2" applyFont="1" applyAlignment="1">
      <alignment horizontal="right"/>
    </xf>
    <xf numFmtId="44" fontId="0" fillId="0" borderId="0" xfId="3" applyFont="1"/>
    <xf numFmtId="165" fontId="0" fillId="0" borderId="0" xfId="0" applyNumberFormat="1"/>
    <xf numFmtId="9" fontId="0" fillId="0" borderId="0" xfId="2" applyFont="1"/>
  </cellXfs>
  <cellStyles count="4">
    <cellStyle name="Currency" xfId="3" builtinId="4"/>
    <cellStyle name="Hyperlink" xfId="1" builtinId="8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9E0F043A-EC25-4009-AA58-4BDE5C6B6B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32524</xdr:colOff>
      <xdr:row>0</xdr:row>
      <xdr:rowOff>79375</xdr:rowOff>
    </xdr:from>
    <xdr:to>
      <xdr:col>13</xdr:col>
      <xdr:colOff>32524</xdr:colOff>
      <xdr:row>71</xdr:row>
      <xdr:rowOff>38140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5830119-46D8-254F-8B3F-2A6EE0F11B3C}"/>
            </a:ext>
          </a:extLst>
        </xdr:cNvPr>
        <xdr:cNvCxnSpPr/>
      </xdr:nvCxnSpPr>
      <xdr:spPr>
        <a:xfrm>
          <a:off x="8779649" y="79375"/>
          <a:ext cx="0" cy="1162689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8711</xdr:colOff>
      <xdr:row>0</xdr:row>
      <xdr:rowOff>0</xdr:rowOff>
    </xdr:from>
    <xdr:to>
      <xdr:col>23</xdr:col>
      <xdr:colOff>8711</xdr:colOff>
      <xdr:row>70</xdr:row>
      <xdr:rowOff>125452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3164D1D-AB35-B540-ADF4-9B5107628D9F}"/>
            </a:ext>
          </a:extLst>
        </xdr:cNvPr>
        <xdr:cNvCxnSpPr/>
      </xdr:nvCxnSpPr>
      <xdr:spPr>
        <a:xfrm>
          <a:off x="15645586" y="0"/>
          <a:ext cx="0" cy="1162689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16650</xdr:colOff>
      <xdr:row>0</xdr:row>
      <xdr:rowOff>0</xdr:rowOff>
    </xdr:from>
    <xdr:to>
      <xdr:col>13</xdr:col>
      <xdr:colOff>16650</xdr:colOff>
      <xdr:row>69</xdr:row>
      <xdr:rowOff>125452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87A91EC-9E15-9529-0C0D-9DAE2C1C71FC}"/>
            </a:ext>
          </a:extLst>
        </xdr:cNvPr>
        <xdr:cNvCxnSpPr/>
      </xdr:nvCxnSpPr>
      <xdr:spPr>
        <a:xfrm>
          <a:off x="8763775" y="0"/>
          <a:ext cx="0" cy="1162689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32523</xdr:colOff>
      <xdr:row>0</xdr:row>
      <xdr:rowOff>0</xdr:rowOff>
    </xdr:from>
    <xdr:to>
      <xdr:col>22</xdr:col>
      <xdr:colOff>32523</xdr:colOff>
      <xdr:row>69</xdr:row>
      <xdr:rowOff>125452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BBB0943-FDA3-4A05-A38B-0F4FC2910BE6}"/>
            </a:ext>
          </a:extLst>
        </xdr:cNvPr>
        <xdr:cNvCxnSpPr/>
      </xdr:nvCxnSpPr>
      <xdr:spPr>
        <a:xfrm>
          <a:off x="14994711" y="0"/>
          <a:ext cx="0" cy="1162689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huping Liu" id="{D8689EC3-AAB1-FF43-8B0F-56E4F93AB80C}" userId="d297780b3146bd8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9" dT="2025-07-19T13:25:45.12" personId="{D8689EC3-AAB1-FF43-8B0F-56E4F93AB80C}" id="{CA916212-D5D6-4A47-BA78-F6D4A944C429}">
    <text>12,384 million attributable to VMware acquisition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712-1B47-42A3-A902-777D3000824F}">
  <dimension ref="B2:L17"/>
  <sheetViews>
    <sheetView zoomScale="175" zoomScaleNormal="175" workbookViewId="0">
      <selection activeCell="M3" sqref="M3"/>
    </sheetView>
  </sheetViews>
  <sheetFormatPr baseColWidth="10" defaultColWidth="8.83203125" defaultRowHeight="13" x14ac:dyDescent="0.15"/>
  <sheetData>
    <row r="2" spans="2:12" x14ac:dyDescent="0.15">
      <c r="I2" t="s">
        <v>0</v>
      </c>
      <c r="J2" s="1">
        <v>283.33999999999997</v>
      </c>
    </row>
    <row r="3" spans="2:12" x14ac:dyDescent="0.15">
      <c r="B3" t="s">
        <v>52</v>
      </c>
      <c r="I3" t="s">
        <v>1</v>
      </c>
      <c r="J3" s="2">
        <v>4830</v>
      </c>
      <c r="K3" s="3" t="s">
        <v>88</v>
      </c>
    </row>
    <row r="4" spans="2:12" x14ac:dyDescent="0.15">
      <c r="B4" t="s">
        <v>53</v>
      </c>
      <c r="I4" s="4" t="s">
        <v>2</v>
      </c>
      <c r="J4" s="5">
        <f>+J2*J3</f>
        <v>1368532.2</v>
      </c>
    </row>
    <row r="5" spans="2:12" x14ac:dyDescent="0.15">
      <c r="B5" t="s">
        <v>54</v>
      </c>
      <c r="I5" t="s">
        <v>3</v>
      </c>
      <c r="J5" s="2">
        <v>9307</v>
      </c>
      <c r="K5" s="3" t="s">
        <v>88</v>
      </c>
    </row>
    <row r="6" spans="2:12" x14ac:dyDescent="0.15">
      <c r="B6" t="s">
        <v>55</v>
      </c>
      <c r="I6" t="s">
        <v>4</v>
      </c>
      <c r="J6" s="2">
        <v>66579</v>
      </c>
      <c r="K6" s="3" t="s">
        <v>88</v>
      </c>
      <c r="L6" s="2">
        <f>J6-J5</f>
        <v>57272</v>
      </c>
    </row>
    <row r="7" spans="2:12" x14ac:dyDescent="0.15">
      <c r="B7" t="s">
        <v>56</v>
      </c>
      <c r="I7" t="s">
        <v>5</v>
      </c>
      <c r="J7" s="2">
        <f>+J4-J5+J6</f>
        <v>1425804.2</v>
      </c>
    </row>
    <row r="8" spans="2:12" x14ac:dyDescent="0.15">
      <c r="B8" t="s">
        <v>57</v>
      </c>
    </row>
    <row r="9" spans="2:12" x14ac:dyDescent="0.15">
      <c r="B9" t="s">
        <v>58</v>
      </c>
      <c r="C9" t="s">
        <v>62</v>
      </c>
    </row>
    <row r="11" spans="2:12" x14ac:dyDescent="0.15">
      <c r="B11" t="s">
        <v>59</v>
      </c>
    </row>
    <row r="12" spans="2:12" x14ac:dyDescent="0.15">
      <c r="B12" t="s">
        <v>64</v>
      </c>
    </row>
    <row r="13" spans="2:12" x14ac:dyDescent="0.15">
      <c r="B13" t="s">
        <v>60</v>
      </c>
    </row>
    <row r="14" spans="2:12" x14ac:dyDescent="0.15">
      <c r="B14" t="s">
        <v>61</v>
      </c>
      <c r="I14" t="s">
        <v>66</v>
      </c>
    </row>
    <row r="15" spans="2:12" x14ac:dyDescent="0.15">
      <c r="I15" t="s">
        <v>63</v>
      </c>
    </row>
    <row r="16" spans="2:12" x14ac:dyDescent="0.15">
      <c r="B16" t="s">
        <v>67</v>
      </c>
    </row>
    <row r="17" spans="2:2" x14ac:dyDescent="0.15">
      <c r="B17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10ED-9BD8-6248-A941-847C2987BAC8}">
  <dimension ref="A1:CX72"/>
  <sheetViews>
    <sheetView tabSelected="1" zoomScale="125" zoomScaleNormal="160" workbookViewId="0">
      <pane xSplit="2" ySplit="3" topLeftCell="U4" activePane="bottomRight" state="frozen"/>
      <selection pane="topRight" activeCell="C1" sqref="C1"/>
      <selection pane="bottomLeft" activeCell="A4" sqref="A4"/>
      <selection pane="bottomRight" activeCell="AC26" sqref="AC26"/>
    </sheetView>
  </sheetViews>
  <sheetFormatPr baseColWidth="10" defaultColWidth="8.83203125" defaultRowHeight="13" x14ac:dyDescent="0.15"/>
  <cols>
    <col min="1" max="1" width="5" bestFit="1" customWidth="1"/>
    <col min="2" max="2" width="18.1640625" bestFit="1" customWidth="1"/>
    <col min="3" max="15" width="8.33203125" style="3" customWidth="1"/>
    <col min="16" max="20" width="8.83203125" style="3"/>
    <col min="21" max="22" width="10.33203125" style="3" bestFit="1" customWidth="1"/>
    <col min="23" max="24" width="8.83203125" style="3"/>
    <col min="28" max="28" width="20.33203125" bestFit="1" customWidth="1"/>
    <col min="29" max="29" width="13.1640625" bestFit="1" customWidth="1"/>
  </cols>
  <sheetData>
    <row r="1" spans="1:27" x14ac:dyDescent="0.15">
      <c r="A1" s="6" t="s">
        <v>6</v>
      </c>
    </row>
    <row r="2" spans="1:27" x14ac:dyDescent="0.15">
      <c r="C2" s="3" t="s">
        <v>51</v>
      </c>
      <c r="D2" s="3" t="s">
        <v>49</v>
      </c>
      <c r="E2" s="3" t="s">
        <v>50</v>
      </c>
      <c r="F2" s="3" t="s">
        <v>11</v>
      </c>
      <c r="G2" s="3" t="s">
        <v>10</v>
      </c>
      <c r="H2" s="3" t="s">
        <v>9</v>
      </c>
      <c r="I2" s="3" t="s">
        <v>8</v>
      </c>
      <c r="J2" s="3" t="s">
        <v>77</v>
      </c>
      <c r="K2" s="3" t="s">
        <v>78</v>
      </c>
      <c r="L2" s="3" t="s">
        <v>79</v>
      </c>
      <c r="M2" s="3" t="s">
        <v>80</v>
      </c>
      <c r="N2" s="3" t="s">
        <v>81</v>
      </c>
      <c r="O2" s="3" t="s">
        <v>82</v>
      </c>
      <c r="R2" s="3" t="s">
        <v>86</v>
      </c>
      <c r="S2" s="3" t="s">
        <v>85</v>
      </c>
      <c r="T2" s="3" t="s">
        <v>68</v>
      </c>
      <c r="U2" s="3" t="s">
        <v>69</v>
      </c>
      <c r="V2" s="3" t="s">
        <v>70</v>
      </c>
      <c r="W2" s="3" t="s">
        <v>71</v>
      </c>
      <c r="X2" s="3" t="s">
        <v>72</v>
      </c>
    </row>
    <row r="3" spans="1:27" s="13" customFormat="1" x14ac:dyDescent="0.15">
      <c r="B3" s="13" t="s">
        <v>19</v>
      </c>
      <c r="C3" s="14">
        <v>44864</v>
      </c>
      <c r="D3" s="14">
        <v>44955</v>
      </c>
      <c r="E3" s="14">
        <v>45046</v>
      </c>
      <c r="F3" s="14">
        <v>45137</v>
      </c>
      <c r="G3" s="14">
        <v>45228</v>
      </c>
      <c r="H3" s="14">
        <v>45326</v>
      </c>
      <c r="I3" s="14">
        <v>45417</v>
      </c>
      <c r="J3" s="14">
        <v>45508</v>
      </c>
      <c r="K3" s="14">
        <f>+G3+365</f>
        <v>45593</v>
      </c>
      <c r="L3" s="14">
        <f>+H3+365</f>
        <v>45691</v>
      </c>
      <c r="M3" s="14">
        <f>+I3+365</f>
        <v>45782</v>
      </c>
      <c r="N3" s="14">
        <f>+J3+365</f>
        <v>45873</v>
      </c>
      <c r="O3" s="14">
        <f>+K3+365</f>
        <v>45958</v>
      </c>
      <c r="P3" s="14"/>
      <c r="Q3" s="14"/>
      <c r="R3" s="14"/>
      <c r="S3" s="14"/>
      <c r="T3" s="14"/>
      <c r="U3" s="14">
        <v>44864</v>
      </c>
      <c r="V3" s="14">
        <v>45228</v>
      </c>
      <c r="W3" s="14"/>
      <c r="X3" s="14"/>
    </row>
    <row r="4" spans="1:27" x14ac:dyDescent="0.15">
      <c r="C4" s="7"/>
      <c r="D4" s="7"/>
      <c r="E4" s="7"/>
      <c r="F4" s="7"/>
      <c r="G4" s="7"/>
      <c r="H4" s="7"/>
      <c r="I4" s="7"/>
      <c r="U4" s="7"/>
      <c r="V4" s="7"/>
    </row>
    <row r="5" spans="1:27" x14ac:dyDescent="0.15">
      <c r="B5" t="s">
        <v>83</v>
      </c>
      <c r="C5" s="7"/>
      <c r="D5" s="7"/>
      <c r="E5" s="7"/>
      <c r="F5" s="8">
        <v>6941</v>
      </c>
      <c r="G5" s="7"/>
      <c r="H5" s="7"/>
      <c r="I5" s="7"/>
      <c r="J5" s="8">
        <v>7274</v>
      </c>
      <c r="K5" s="8">
        <f>+J5+100</f>
        <v>7374</v>
      </c>
      <c r="U5" s="7"/>
      <c r="V5" s="7"/>
    </row>
    <row r="6" spans="1:27" x14ac:dyDescent="0.15">
      <c r="B6" t="s">
        <v>84</v>
      </c>
      <c r="C6" s="7"/>
      <c r="D6" s="7"/>
      <c r="E6" s="7"/>
      <c r="F6" s="8">
        <v>1935</v>
      </c>
      <c r="G6" s="7"/>
      <c r="H6" s="7"/>
      <c r="I6" s="7"/>
      <c r="J6" s="8">
        <v>5798</v>
      </c>
      <c r="K6" s="8">
        <f>+J6+100</f>
        <v>5898</v>
      </c>
      <c r="U6" s="7"/>
      <c r="V6" s="7"/>
    </row>
    <row r="7" spans="1:27" x14ac:dyDescent="0.15">
      <c r="B7" t="s">
        <v>73</v>
      </c>
      <c r="C7" s="7"/>
      <c r="D7" s="7"/>
      <c r="E7" s="7"/>
      <c r="F7" s="7"/>
      <c r="G7" s="7"/>
      <c r="H7" s="7"/>
      <c r="I7" s="7"/>
      <c r="J7" s="8">
        <v>7439</v>
      </c>
      <c r="K7" s="8">
        <f>+J7+500</f>
        <v>7939</v>
      </c>
      <c r="T7" s="8">
        <v>20886</v>
      </c>
      <c r="U7" s="8">
        <v>26277</v>
      </c>
      <c r="V7" s="8">
        <v>27891</v>
      </c>
      <c r="W7" s="8"/>
    </row>
    <row r="8" spans="1:27" x14ac:dyDescent="0.15">
      <c r="B8" t="s">
        <v>74</v>
      </c>
      <c r="C8" s="7"/>
      <c r="D8" s="7"/>
      <c r="E8" s="7"/>
      <c r="F8" s="7"/>
      <c r="G8" s="7"/>
      <c r="H8" s="7"/>
      <c r="I8" s="7"/>
      <c r="J8" s="8">
        <v>5633</v>
      </c>
      <c r="K8" s="8">
        <f>+J8+500</f>
        <v>6133</v>
      </c>
      <c r="T8" s="8">
        <v>6564</v>
      </c>
      <c r="U8" s="8">
        <v>6926</v>
      </c>
      <c r="V8" s="8">
        <v>7928</v>
      </c>
      <c r="W8" s="8"/>
      <c r="X8" s="8"/>
    </row>
    <row r="9" spans="1:27" s="4" customFormat="1" x14ac:dyDescent="0.15">
      <c r="B9" s="4" t="s">
        <v>7</v>
      </c>
      <c r="C9" s="10">
        <v>8930</v>
      </c>
      <c r="D9" s="10">
        <v>8915</v>
      </c>
      <c r="E9" s="10">
        <v>8733</v>
      </c>
      <c r="F9" s="10">
        <v>8876</v>
      </c>
      <c r="G9" s="10">
        <v>9295</v>
      </c>
      <c r="H9" s="10">
        <v>11961</v>
      </c>
      <c r="I9" s="10">
        <v>12487</v>
      </c>
      <c r="J9" s="10">
        <f>+J7+J8</f>
        <v>13072</v>
      </c>
      <c r="K9" s="10">
        <v>14054</v>
      </c>
      <c r="L9" s="10">
        <v>14916</v>
      </c>
      <c r="M9" s="12">
        <v>15004</v>
      </c>
      <c r="N9" s="12"/>
      <c r="O9" s="12"/>
      <c r="P9" s="12"/>
      <c r="Q9" s="12"/>
      <c r="R9" s="12"/>
      <c r="S9" s="12"/>
      <c r="T9" s="10">
        <f>+T7+T8</f>
        <v>27450</v>
      </c>
      <c r="U9" s="10">
        <f>+U7+U8</f>
        <v>33203</v>
      </c>
      <c r="V9" s="10">
        <f>SUM(D9:G9)</f>
        <v>35819</v>
      </c>
      <c r="W9" s="10">
        <f>SUM(H9:K9)</f>
        <v>51574</v>
      </c>
      <c r="X9" s="10">
        <f>+W9*1.36</f>
        <v>70140.639999999999</v>
      </c>
      <c r="Y9" s="10">
        <f>+X9*1.23</f>
        <v>86272.987200000003</v>
      </c>
      <c r="Z9" s="10">
        <f>+Y9*1.2039</f>
        <v>103864.04929008</v>
      </c>
      <c r="AA9" s="10">
        <f>+Z9*1.27</f>
        <v>131907.34259840159</v>
      </c>
    </row>
    <row r="10" spans="1:27" x14ac:dyDescent="0.15">
      <c r="B10" t="s">
        <v>13</v>
      </c>
      <c r="C10" s="8">
        <v>2298</v>
      </c>
      <c r="D10" s="8">
        <v>2374</v>
      </c>
      <c r="E10" s="8">
        <v>2177</v>
      </c>
      <c r="F10" s="8">
        <v>2272</v>
      </c>
      <c r="G10" s="8">
        <v>2449</v>
      </c>
      <c r="H10" s="8">
        <v>3114</v>
      </c>
      <c r="I10" s="8">
        <v>3142</v>
      </c>
      <c r="J10" s="8">
        <f>2434+699</f>
        <v>3133</v>
      </c>
      <c r="K10" s="8">
        <v>3399</v>
      </c>
      <c r="L10" s="8">
        <v>3273</v>
      </c>
      <c r="M10" s="3">
        <f>2720+576</f>
        <v>3296</v>
      </c>
      <c r="T10" s="8">
        <v>6555</v>
      </c>
      <c r="U10" s="8">
        <v>7629</v>
      </c>
      <c r="V10" s="8">
        <f>SUM(D10:G10)</f>
        <v>9272</v>
      </c>
      <c r="W10" s="8">
        <f>SUM(H10:K10)</f>
        <v>12788</v>
      </c>
      <c r="X10" s="8">
        <f>+X9*0.22</f>
        <v>15430.9408</v>
      </c>
      <c r="Y10" s="8">
        <f t="shared" ref="Y10:AA10" si="0">+Y9*0.22</f>
        <v>18980.057184000001</v>
      </c>
      <c r="Z10" s="8">
        <f t="shared" si="0"/>
        <v>22850.090843817601</v>
      </c>
      <c r="AA10" s="8">
        <f t="shared" si="0"/>
        <v>29019.61537164835</v>
      </c>
    </row>
    <row r="11" spans="1:27" s="2" customFormat="1" x14ac:dyDescent="0.15">
      <c r="B11" s="2" t="s">
        <v>14</v>
      </c>
      <c r="C11" s="8">
        <f t="shared" ref="C11:J11" si="1">+C9-C10</f>
        <v>6632</v>
      </c>
      <c r="D11" s="8">
        <f t="shared" si="1"/>
        <v>6541</v>
      </c>
      <c r="E11" s="8">
        <f t="shared" si="1"/>
        <v>6556</v>
      </c>
      <c r="F11" s="8">
        <f t="shared" si="1"/>
        <v>6604</v>
      </c>
      <c r="G11" s="8">
        <f t="shared" si="1"/>
        <v>6846</v>
      </c>
      <c r="H11" s="8">
        <f t="shared" si="1"/>
        <v>8847</v>
      </c>
      <c r="I11" s="8">
        <f t="shared" si="1"/>
        <v>9345</v>
      </c>
      <c r="J11" s="8">
        <f t="shared" si="1"/>
        <v>9939</v>
      </c>
      <c r="K11" s="8">
        <f>+K9-K10</f>
        <v>10655</v>
      </c>
      <c r="L11" s="8">
        <f>+L9-L10</f>
        <v>11643</v>
      </c>
      <c r="M11" s="8">
        <f>M9-M10</f>
        <v>11708</v>
      </c>
      <c r="N11" s="8"/>
      <c r="O11" s="8"/>
      <c r="P11" s="8"/>
      <c r="Q11" s="8"/>
      <c r="R11" s="8"/>
      <c r="S11" s="8"/>
      <c r="T11" s="8">
        <f>+T9-T10</f>
        <v>20895</v>
      </c>
      <c r="U11" s="8">
        <f>+U9-U10</f>
        <v>25574</v>
      </c>
      <c r="V11" s="8">
        <f>+V9-V10</f>
        <v>26547</v>
      </c>
      <c r="W11" s="8">
        <f>+W9-W10</f>
        <v>38786</v>
      </c>
      <c r="X11" s="8">
        <f t="shared" ref="X11:AA11" si="2">+X9-X10</f>
        <v>54709.699200000003</v>
      </c>
      <c r="Y11" s="8">
        <f t="shared" si="2"/>
        <v>67292.930015999998</v>
      </c>
      <c r="Z11" s="8">
        <f t="shared" si="2"/>
        <v>81013.958446262404</v>
      </c>
      <c r="AA11" s="8">
        <f t="shared" si="2"/>
        <v>102887.72722675324</v>
      </c>
    </row>
    <row r="12" spans="1:27" x14ac:dyDescent="0.15">
      <c r="B12" t="s">
        <v>16</v>
      </c>
      <c r="C12" s="8">
        <v>1197</v>
      </c>
      <c r="D12" s="8">
        <v>1195</v>
      </c>
      <c r="E12" s="8">
        <v>1312</v>
      </c>
      <c r="F12" s="8">
        <v>1358</v>
      </c>
      <c r="G12" s="8">
        <v>1388</v>
      </c>
      <c r="H12" s="8">
        <v>2308</v>
      </c>
      <c r="I12" s="8">
        <v>2415</v>
      </c>
      <c r="J12" s="8">
        <v>2353</v>
      </c>
      <c r="K12" s="8">
        <v>2234</v>
      </c>
      <c r="L12" s="8">
        <v>2253</v>
      </c>
      <c r="M12" s="3">
        <v>2639</v>
      </c>
      <c r="T12" s="8">
        <v>4854</v>
      </c>
      <c r="U12" s="8">
        <v>4919</v>
      </c>
      <c r="V12" s="8">
        <f>SUM(D12:G12)</f>
        <v>5253</v>
      </c>
      <c r="W12" s="8">
        <f>SUM(H12:K12)</f>
        <v>9310</v>
      </c>
      <c r="X12" s="8">
        <f t="shared" ref="X12:AA13" si="3">+W12*1.1</f>
        <v>10241</v>
      </c>
      <c r="Y12" s="8">
        <f t="shared" si="3"/>
        <v>11265.1</v>
      </c>
      <c r="Z12" s="8">
        <f t="shared" si="3"/>
        <v>12391.61</v>
      </c>
      <c r="AA12" s="8">
        <f t="shared" si="3"/>
        <v>13630.771000000002</v>
      </c>
    </row>
    <row r="13" spans="1:27" x14ac:dyDescent="0.15">
      <c r="B13" t="s">
        <v>17</v>
      </c>
      <c r="C13" s="8">
        <v>370</v>
      </c>
      <c r="D13" s="8">
        <v>348</v>
      </c>
      <c r="E13" s="8">
        <v>438</v>
      </c>
      <c r="F13" s="8">
        <v>388</v>
      </c>
      <c r="G13" s="8">
        <v>418</v>
      </c>
      <c r="H13" s="8">
        <v>1572</v>
      </c>
      <c r="I13" s="8">
        <v>1277</v>
      </c>
      <c r="J13" s="8">
        <v>1100</v>
      </c>
      <c r="K13" s="8">
        <v>1010</v>
      </c>
      <c r="L13" s="8">
        <v>949</v>
      </c>
      <c r="M13" s="3">
        <v>1083</v>
      </c>
      <c r="T13" s="8">
        <v>1347</v>
      </c>
      <c r="U13" s="8">
        <v>1382</v>
      </c>
      <c r="V13" s="8">
        <f>SUM(D13:G13)</f>
        <v>1592</v>
      </c>
      <c r="W13" s="8">
        <f>SUM(H13:K13)</f>
        <v>4959</v>
      </c>
      <c r="X13" s="8">
        <f t="shared" si="3"/>
        <v>5454.9000000000005</v>
      </c>
      <c r="Y13" s="8">
        <f t="shared" si="3"/>
        <v>6000.3900000000012</v>
      </c>
      <c r="Z13" s="8">
        <f t="shared" si="3"/>
        <v>6600.4290000000019</v>
      </c>
      <c r="AA13" s="8">
        <f t="shared" si="3"/>
        <v>7260.4719000000023</v>
      </c>
    </row>
    <row r="14" spans="1:27" x14ac:dyDescent="0.15">
      <c r="B14" t="s">
        <v>18</v>
      </c>
      <c r="C14" s="8">
        <f t="shared" ref="C14:L14" si="4">+C12+C13</f>
        <v>1567</v>
      </c>
      <c r="D14" s="8">
        <f t="shared" si="4"/>
        <v>1543</v>
      </c>
      <c r="E14" s="8">
        <f t="shared" si="4"/>
        <v>1750</v>
      </c>
      <c r="F14" s="8">
        <f t="shared" si="4"/>
        <v>1746</v>
      </c>
      <c r="G14" s="8">
        <f t="shared" si="4"/>
        <v>1806</v>
      </c>
      <c r="H14" s="8">
        <f t="shared" si="4"/>
        <v>3880</v>
      </c>
      <c r="I14" s="8">
        <f t="shared" si="4"/>
        <v>3692</v>
      </c>
      <c r="J14" s="8">
        <f t="shared" si="4"/>
        <v>3453</v>
      </c>
      <c r="K14" s="8">
        <f t="shared" si="4"/>
        <v>3244</v>
      </c>
      <c r="L14" s="8">
        <f t="shared" si="4"/>
        <v>3202</v>
      </c>
      <c r="M14" s="3">
        <f>SUM(M12:M13)</f>
        <v>3722</v>
      </c>
      <c r="T14" s="8">
        <f t="shared" ref="T14:U14" si="5">+T13+T12</f>
        <v>6201</v>
      </c>
      <c r="U14" s="8">
        <f t="shared" si="5"/>
        <v>6301</v>
      </c>
      <c r="V14" s="8">
        <f>+V13+V12</f>
        <v>6845</v>
      </c>
      <c r="W14" s="8">
        <f>+W13+W12</f>
        <v>14269</v>
      </c>
      <c r="X14" s="8">
        <f>+X13+X12</f>
        <v>15695.900000000001</v>
      </c>
      <c r="Y14" s="8">
        <f t="shared" ref="Y14:AA14" si="6">+Y13+Y12</f>
        <v>17265.490000000002</v>
      </c>
      <c r="Z14" s="8">
        <f t="shared" si="6"/>
        <v>18992.039000000004</v>
      </c>
      <c r="AA14" s="8">
        <f t="shared" si="6"/>
        <v>20891.242900000005</v>
      </c>
    </row>
    <row r="15" spans="1:27" x14ac:dyDescent="0.15">
      <c r="B15" t="s">
        <v>20</v>
      </c>
      <c r="C15" s="8">
        <f t="shared" ref="C15:L15" si="7">+C11-C14</f>
        <v>5065</v>
      </c>
      <c r="D15" s="8">
        <f t="shared" si="7"/>
        <v>4998</v>
      </c>
      <c r="E15" s="8">
        <f t="shared" si="7"/>
        <v>4806</v>
      </c>
      <c r="F15" s="8">
        <f t="shared" si="7"/>
        <v>4858</v>
      </c>
      <c r="G15" s="8">
        <f t="shared" si="7"/>
        <v>5040</v>
      </c>
      <c r="H15" s="8">
        <f t="shared" si="7"/>
        <v>4967</v>
      </c>
      <c r="I15" s="8">
        <f t="shared" si="7"/>
        <v>5653</v>
      </c>
      <c r="J15" s="8">
        <f t="shared" si="7"/>
        <v>6486</v>
      </c>
      <c r="K15" s="8">
        <f t="shared" si="7"/>
        <v>7411</v>
      </c>
      <c r="L15" s="8">
        <f t="shared" si="7"/>
        <v>8441</v>
      </c>
      <c r="M15" s="8">
        <f>M11-M14</f>
        <v>7986</v>
      </c>
      <c r="T15" s="8">
        <f t="shared" ref="T15:U15" si="8">+T11-T14</f>
        <v>14694</v>
      </c>
      <c r="U15" s="8">
        <f t="shared" si="8"/>
        <v>19273</v>
      </c>
      <c r="V15" s="8">
        <f>+V11-V14</f>
        <v>19702</v>
      </c>
      <c r="W15" s="8">
        <f>+W11-W14</f>
        <v>24517</v>
      </c>
      <c r="X15" s="8">
        <f t="shared" ref="X15:AA15" si="9">+X11-X14</f>
        <v>39013.799200000001</v>
      </c>
      <c r="Y15" s="8">
        <f t="shared" si="9"/>
        <v>50027.440015999993</v>
      </c>
      <c r="Z15" s="8">
        <f t="shared" si="9"/>
        <v>62021.9194462624</v>
      </c>
      <c r="AA15" s="8">
        <f t="shared" si="9"/>
        <v>81996.484326753241</v>
      </c>
    </row>
    <row r="16" spans="1:27" x14ac:dyDescent="0.15">
      <c r="B16" t="s">
        <v>22</v>
      </c>
      <c r="C16" s="8">
        <f>-406+40</f>
        <v>-366</v>
      </c>
      <c r="D16" s="8">
        <f>-406-143</f>
        <v>-549</v>
      </c>
      <c r="E16" s="8">
        <f>-405+113</f>
        <v>-292</v>
      </c>
      <c r="F16" s="8">
        <f>-406+124</f>
        <v>-282</v>
      </c>
      <c r="G16" s="8">
        <f>-405+132</f>
        <v>-273</v>
      </c>
      <c r="H16" s="8">
        <f>-926+185</f>
        <v>-741</v>
      </c>
      <c r="I16" s="8">
        <f>-1047+87</f>
        <v>-960</v>
      </c>
      <c r="J16" s="8">
        <f>-1064+82</f>
        <v>-982</v>
      </c>
      <c r="K16" s="8">
        <f>-916+52</f>
        <v>-864</v>
      </c>
      <c r="L16" s="3">
        <f>-873+103</f>
        <v>-770</v>
      </c>
      <c r="M16" s="3">
        <v>-769</v>
      </c>
      <c r="T16" s="8">
        <f>-1885+131</f>
        <v>-1754</v>
      </c>
      <c r="U16" s="8">
        <f>-1737-54</f>
        <v>-1791</v>
      </c>
      <c r="V16" s="8">
        <f>SUM(D16:G16)</f>
        <v>-1396</v>
      </c>
      <c r="W16" s="8">
        <f>SUM(H16:K16)</f>
        <v>-3547</v>
      </c>
      <c r="X16" s="8">
        <f t="shared" ref="X16:AA16" si="10">+W16</f>
        <v>-3547</v>
      </c>
      <c r="Y16" s="8">
        <f t="shared" si="10"/>
        <v>-3547</v>
      </c>
      <c r="Z16" s="8">
        <f t="shared" si="10"/>
        <v>-3547</v>
      </c>
      <c r="AA16" s="8">
        <f t="shared" si="10"/>
        <v>-3547</v>
      </c>
    </row>
    <row r="17" spans="2:102" x14ac:dyDescent="0.15">
      <c r="B17" t="s">
        <v>23</v>
      </c>
      <c r="C17" s="8">
        <f t="shared" ref="C17:K17" si="11">+C15+C16</f>
        <v>4699</v>
      </c>
      <c r="D17" s="8">
        <f t="shared" si="11"/>
        <v>4449</v>
      </c>
      <c r="E17" s="8">
        <f t="shared" si="11"/>
        <v>4514</v>
      </c>
      <c r="F17" s="8">
        <f t="shared" si="11"/>
        <v>4576</v>
      </c>
      <c r="G17" s="8">
        <f t="shared" si="11"/>
        <v>4767</v>
      </c>
      <c r="H17" s="8">
        <f t="shared" si="11"/>
        <v>4226</v>
      </c>
      <c r="I17" s="8">
        <f t="shared" si="11"/>
        <v>4693</v>
      </c>
      <c r="J17" s="8">
        <f t="shared" si="11"/>
        <v>5504</v>
      </c>
      <c r="K17" s="8">
        <f t="shared" si="11"/>
        <v>6547</v>
      </c>
      <c r="L17" s="8">
        <f>+L15+L16</f>
        <v>7671</v>
      </c>
      <c r="M17" s="8">
        <f>M15+M16</f>
        <v>7217</v>
      </c>
      <c r="T17" s="8">
        <f>+T15+T16</f>
        <v>12940</v>
      </c>
      <c r="U17" s="8">
        <f>+U15+U16</f>
        <v>17482</v>
      </c>
      <c r="V17" s="8">
        <f>+V15+V16</f>
        <v>18306</v>
      </c>
      <c r="W17" s="8">
        <f>+W15+W16</f>
        <v>20970</v>
      </c>
      <c r="X17" s="8">
        <f t="shared" ref="X17:AA17" si="12">+X15+X16</f>
        <v>35466.799200000001</v>
      </c>
      <c r="Y17" s="8">
        <f t="shared" si="12"/>
        <v>46480.440015999993</v>
      </c>
      <c r="Z17" s="8">
        <f t="shared" si="12"/>
        <v>58474.9194462624</v>
      </c>
      <c r="AA17" s="8">
        <f t="shared" si="12"/>
        <v>78449.484326753241</v>
      </c>
    </row>
    <row r="18" spans="2:102" s="2" customFormat="1" x14ac:dyDescent="0.15">
      <c r="B18" s="2" t="s">
        <v>24</v>
      </c>
      <c r="C18" s="8">
        <v>261</v>
      </c>
      <c r="D18" s="8">
        <v>66</v>
      </c>
      <c r="E18" s="8">
        <v>235</v>
      </c>
      <c r="F18" s="8">
        <v>271</v>
      </c>
      <c r="G18" s="8">
        <v>443</v>
      </c>
      <c r="H18" s="8">
        <f>68+735</f>
        <v>803</v>
      </c>
      <c r="I18" s="8">
        <v>-116</v>
      </c>
      <c r="J18" s="8">
        <v>4238</v>
      </c>
      <c r="K18" s="8">
        <f>-442+1506</f>
        <v>1064</v>
      </c>
      <c r="L18" s="8">
        <f>-12+1286</f>
        <v>1274</v>
      </c>
      <c r="M18" s="8">
        <v>120</v>
      </c>
      <c r="N18" s="8"/>
      <c r="O18" s="8"/>
      <c r="P18" s="8"/>
      <c r="Q18" s="8"/>
      <c r="R18" s="8"/>
      <c r="S18" s="8"/>
      <c r="T18" s="8">
        <f>29+299</f>
        <v>328</v>
      </c>
      <c r="U18" s="8">
        <f>939+272</f>
        <v>1211</v>
      </c>
      <c r="V18" s="8">
        <f>SUM(D18:G18)</f>
        <v>1015</v>
      </c>
      <c r="W18" s="8">
        <v>2000</v>
      </c>
      <c r="X18" s="8">
        <f>0.16*X17</f>
        <v>5674.6878720000004</v>
      </c>
      <c r="Y18" s="8">
        <f t="shared" ref="Y18:AA18" si="13">0.16*Y17</f>
        <v>7436.8704025599991</v>
      </c>
      <c r="Z18" s="8">
        <f t="shared" si="13"/>
        <v>9355.9871114019843</v>
      </c>
      <c r="AA18" s="8">
        <f t="shared" si="13"/>
        <v>12551.91749228052</v>
      </c>
    </row>
    <row r="19" spans="2:102" x14ac:dyDescent="0.15">
      <c r="B19" t="s">
        <v>25</v>
      </c>
      <c r="C19" s="8">
        <f t="shared" ref="C19:L19" si="14">+C17-C18</f>
        <v>4438</v>
      </c>
      <c r="D19" s="8">
        <f t="shared" si="14"/>
        <v>4383</v>
      </c>
      <c r="E19" s="8">
        <f t="shared" si="14"/>
        <v>4279</v>
      </c>
      <c r="F19" s="8">
        <f t="shared" si="14"/>
        <v>4305</v>
      </c>
      <c r="G19" s="8">
        <f t="shared" si="14"/>
        <v>4324</v>
      </c>
      <c r="H19" s="8">
        <f t="shared" si="14"/>
        <v>3423</v>
      </c>
      <c r="I19" s="8">
        <f t="shared" si="14"/>
        <v>4809</v>
      </c>
      <c r="J19" s="8">
        <f t="shared" si="14"/>
        <v>1266</v>
      </c>
      <c r="K19" s="8">
        <f t="shared" si="14"/>
        <v>5483</v>
      </c>
      <c r="L19" s="8">
        <f t="shared" si="14"/>
        <v>6397</v>
      </c>
      <c r="M19" s="8">
        <f>M17-M18</f>
        <v>7097</v>
      </c>
      <c r="T19" s="10">
        <f>+T17-T18</f>
        <v>12612</v>
      </c>
      <c r="U19" s="10">
        <f>+U17-U18</f>
        <v>16271</v>
      </c>
      <c r="V19" s="10">
        <f>+V17-V18</f>
        <v>17291</v>
      </c>
      <c r="W19" s="10">
        <f>+W17-W18</f>
        <v>18970</v>
      </c>
      <c r="X19" s="10">
        <f t="shared" ref="X19:AA19" si="15">+X17-X18</f>
        <v>29792.111327999999</v>
      </c>
      <c r="Y19" s="10">
        <f t="shared" si="15"/>
        <v>39043.569613439991</v>
      </c>
      <c r="Z19" s="10">
        <f t="shared" si="15"/>
        <v>49118.932334860416</v>
      </c>
      <c r="AA19" s="10">
        <f t="shared" si="15"/>
        <v>65897.566834472716</v>
      </c>
      <c r="AB19" s="10">
        <f>+AA19*1.01</f>
        <v>66556.54250281745</v>
      </c>
      <c r="AC19" s="10">
        <f t="shared" ref="AC19:CN19" si="16">+AB19*1.01</f>
        <v>67222.107927845631</v>
      </c>
      <c r="AD19" s="10">
        <f t="shared" si="16"/>
        <v>67894.329007124092</v>
      </c>
      <c r="AE19" s="10">
        <f t="shared" si="16"/>
        <v>68573.272297195334</v>
      </c>
      <c r="AF19" s="10">
        <f t="shared" si="16"/>
        <v>69259.005020167286</v>
      </c>
      <c r="AG19" s="10">
        <f t="shared" si="16"/>
        <v>69951.59507036896</v>
      </c>
      <c r="AH19" s="10">
        <f t="shared" si="16"/>
        <v>70651.111021072647</v>
      </c>
      <c r="AI19" s="10">
        <f t="shared" si="16"/>
        <v>71357.62213128338</v>
      </c>
      <c r="AJ19" s="10">
        <f t="shared" si="16"/>
        <v>72071.198352596213</v>
      </c>
      <c r="AK19" s="10">
        <f t="shared" si="16"/>
        <v>72791.910336122179</v>
      </c>
      <c r="AL19" s="10">
        <f t="shared" si="16"/>
        <v>73519.829439483408</v>
      </c>
      <c r="AM19" s="10">
        <f t="shared" si="16"/>
        <v>74255.027733878247</v>
      </c>
      <c r="AN19" s="10">
        <f t="shared" si="16"/>
        <v>74997.578011217032</v>
      </c>
      <c r="AO19" s="10">
        <f t="shared" si="16"/>
        <v>75747.553791329206</v>
      </c>
      <c r="AP19" s="10">
        <f t="shared" si="16"/>
        <v>76505.029329242505</v>
      </c>
      <c r="AQ19" s="10">
        <f t="shared" si="16"/>
        <v>77270.079622534933</v>
      </c>
      <c r="AR19" s="10">
        <f t="shared" si="16"/>
        <v>78042.780418760289</v>
      </c>
      <c r="AS19" s="10">
        <f t="shared" si="16"/>
        <v>78823.208222947898</v>
      </c>
      <c r="AT19" s="10">
        <f t="shared" si="16"/>
        <v>79611.440305177384</v>
      </c>
      <c r="AU19" s="10">
        <f t="shared" si="16"/>
        <v>80407.55470822916</v>
      </c>
      <c r="AV19" s="10">
        <f t="shared" si="16"/>
        <v>81211.630255311451</v>
      </c>
      <c r="AW19" s="10">
        <f t="shared" si="16"/>
        <v>82023.746557864564</v>
      </c>
      <c r="AX19" s="10">
        <f t="shared" si="16"/>
        <v>82843.984023443205</v>
      </c>
      <c r="AY19" s="10">
        <f t="shared" si="16"/>
        <v>83672.423863677643</v>
      </c>
      <c r="AZ19" s="10">
        <f t="shared" si="16"/>
        <v>84509.148102314415</v>
      </c>
      <c r="BA19" s="10">
        <f t="shared" si="16"/>
        <v>85354.239583337563</v>
      </c>
      <c r="BB19" s="10">
        <f t="shared" si="16"/>
        <v>86207.781979170933</v>
      </c>
      <c r="BC19" s="10">
        <f t="shared" si="16"/>
        <v>87069.859798962643</v>
      </c>
      <c r="BD19" s="10">
        <f t="shared" si="16"/>
        <v>87940.55839695227</v>
      </c>
      <c r="BE19" s="10">
        <f t="shared" si="16"/>
        <v>88819.963980921792</v>
      </c>
      <c r="BF19" s="10">
        <f t="shared" si="16"/>
        <v>89708.163620731008</v>
      </c>
      <c r="BG19" s="10">
        <f t="shared" si="16"/>
        <v>90605.245256938317</v>
      </c>
      <c r="BH19" s="10">
        <f t="shared" si="16"/>
        <v>91511.297709507708</v>
      </c>
      <c r="BI19" s="10">
        <f t="shared" si="16"/>
        <v>92426.410686602787</v>
      </c>
      <c r="BJ19" s="10">
        <f t="shared" si="16"/>
        <v>93350.674793468817</v>
      </c>
      <c r="BK19" s="10">
        <f t="shared" si="16"/>
        <v>94284.181541403508</v>
      </c>
      <c r="BL19" s="10">
        <f t="shared" si="16"/>
        <v>95227.023356817546</v>
      </c>
      <c r="BM19" s="10">
        <f t="shared" si="16"/>
        <v>96179.293590385729</v>
      </c>
      <c r="BN19" s="10">
        <f t="shared" si="16"/>
        <v>97141.086526289582</v>
      </c>
      <c r="BO19" s="10">
        <f t="shared" si="16"/>
        <v>98112.497391552475</v>
      </c>
      <c r="BP19" s="10">
        <f t="shared" si="16"/>
        <v>99093.622365468007</v>
      </c>
      <c r="BQ19" s="10">
        <f t="shared" si="16"/>
        <v>100084.55858912269</v>
      </c>
      <c r="BR19" s="10">
        <f t="shared" si="16"/>
        <v>101085.40417501393</v>
      </c>
      <c r="BS19" s="10">
        <f t="shared" si="16"/>
        <v>102096.25821676406</v>
      </c>
      <c r="BT19" s="10">
        <f t="shared" si="16"/>
        <v>103117.22079893171</v>
      </c>
      <c r="BU19" s="10">
        <f t="shared" si="16"/>
        <v>104148.39300692103</v>
      </c>
      <c r="BV19" s="10">
        <f t="shared" si="16"/>
        <v>105189.87693699024</v>
      </c>
      <c r="BW19" s="10">
        <f t="shared" si="16"/>
        <v>106241.77570636015</v>
      </c>
      <c r="BX19" s="10">
        <f t="shared" si="16"/>
        <v>107304.19346342376</v>
      </c>
      <c r="BY19" s="10">
        <f t="shared" si="16"/>
        <v>108377.23539805799</v>
      </c>
      <c r="BZ19" s="10">
        <f t="shared" si="16"/>
        <v>109461.00775203857</v>
      </c>
      <c r="CA19" s="10">
        <f t="shared" si="16"/>
        <v>110555.61782955895</v>
      </c>
      <c r="CB19" s="10">
        <f t="shared" si="16"/>
        <v>111661.17400785454</v>
      </c>
      <c r="CC19" s="10">
        <f t="shared" si="16"/>
        <v>112777.78574793309</v>
      </c>
      <c r="CD19" s="10">
        <f t="shared" si="16"/>
        <v>113905.56360541242</v>
      </c>
      <c r="CE19" s="10">
        <f t="shared" si="16"/>
        <v>115044.61924146654</v>
      </c>
      <c r="CF19" s="10">
        <f t="shared" si="16"/>
        <v>116195.0654338812</v>
      </c>
      <c r="CG19" s="10">
        <f t="shared" si="16"/>
        <v>117357.01608822001</v>
      </c>
      <c r="CH19" s="10">
        <f t="shared" si="16"/>
        <v>118530.58624910221</v>
      </c>
      <c r="CI19" s="10">
        <f t="shared" si="16"/>
        <v>119715.89211159323</v>
      </c>
      <c r="CJ19" s="10">
        <f t="shared" si="16"/>
        <v>120913.05103270916</v>
      </c>
      <c r="CK19" s="10">
        <f t="shared" si="16"/>
        <v>122122.18154303625</v>
      </c>
      <c r="CL19" s="10">
        <f t="shared" si="16"/>
        <v>123343.40335846662</v>
      </c>
      <c r="CM19" s="10">
        <f t="shared" si="16"/>
        <v>124576.83739205128</v>
      </c>
      <c r="CN19" s="10">
        <f t="shared" si="16"/>
        <v>125822.60576597179</v>
      </c>
      <c r="CO19" s="10">
        <f t="shared" ref="CO19:CX19" si="17">+CN19*1.01</f>
        <v>127080.83182363151</v>
      </c>
      <c r="CP19" s="10">
        <f t="shared" si="17"/>
        <v>128351.64014186783</v>
      </c>
      <c r="CQ19" s="10">
        <f t="shared" si="17"/>
        <v>129635.1565432865</v>
      </c>
      <c r="CR19" s="10">
        <f t="shared" si="17"/>
        <v>130931.50810871937</v>
      </c>
      <c r="CS19" s="10">
        <f t="shared" si="17"/>
        <v>132240.82318980657</v>
      </c>
      <c r="CT19" s="10">
        <f t="shared" si="17"/>
        <v>133563.23142170464</v>
      </c>
      <c r="CU19" s="10">
        <f t="shared" si="17"/>
        <v>134898.86373592168</v>
      </c>
      <c r="CV19" s="10">
        <f t="shared" si="17"/>
        <v>136247.85237328091</v>
      </c>
      <c r="CW19" s="10">
        <f t="shared" si="17"/>
        <v>137610.33089701372</v>
      </c>
      <c r="CX19" s="10">
        <f t="shared" si="17"/>
        <v>138986.43420598385</v>
      </c>
    </row>
    <row r="20" spans="2:102" x14ac:dyDescent="0.15">
      <c r="B20" t="s">
        <v>75</v>
      </c>
      <c r="C20" s="11">
        <f t="shared" ref="C20:M20" si="18">+C19/C21</f>
        <v>1.0344988344988344</v>
      </c>
      <c r="D20" s="11">
        <f t="shared" si="18"/>
        <v>1.0216783216783216</v>
      </c>
      <c r="E20" s="11">
        <f t="shared" si="18"/>
        <v>1.0021077283372366</v>
      </c>
      <c r="F20" s="11">
        <f t="shared" si="18"/>
        <v>1.0081967213114753</v>
      </c>
      <c r="G20" s="11">
        <f t="shared" si="18"/>
        <v>1.0126463700234192</v>
      </c>
      <c r="H20" s="11">
        <f t="shared" si="18"/>
        <v>0.73297644539614559</v>
      </c>
      <c r="I20" s="11">
        <f t="shared" si="18"/>
        <v>1.0018750000000001</v>
      </c>
      <c r="J20" s="11">
        <f t="shared" si="18"/>
        <v>0.27149903495603689</v>
      </c>
      <c r="K20" s="11">
        <f t="shared" si="18"/>
        <v>1.1356669428334714</v>
      </c>
      <c r="L20" s="11">
        <f t="shared" si="18"/>
        <v>1.3227874276261373</v>
      </c>
      <c r="M20" s="11">
        <f t="shared" si="18"/>
        <v>1.4675351530190239</v>
      </c>
      <c r="T20" s="11">
        <f>+T19/T21</f>
        <v>2.9398601398601398</v>
      </c>
      <c r="U20" s="11">
        <f>+U19/U21</f>
        <v>3.8465721040189127</v>
      </c>
      <c r="V20" s="11">
        <f>+V19/V21</f>
        <v>3.9567505720823797</v>
      </c>
      <c r="W20" s="11">
        <f>+W19/W21</f>
        <v>3.9520833333333334</v>
      </c>
      <c r="X20" s="11">
        <f t="shared" ref="X20:AA20" si="19">+X19/X21</f>
        <v>6.20668986</v>
      </c>
      <c r="Y20" s="11">
        <f t="shared" si="19"/>
        <v>8.134077002799998</v>
      </c>
      <c r="Z20" s="11">
        <f t="shared" si="19"/>
        <v>10.23311090309592</v>
      </c>
      <c r="AA20" s="11">
        <f t="shared" si="19"/>
        <v>13.728659757181816</v>
      </c>
    </row>
    <row r="21" spans="2:102" x14ac:dyDescent="0.15">
      <c r="B21" t="s">
        <v>1</v>
      </c>
      <c r="C21" s="8">
        <v>4290</v>
      </c>
      <c r="D21" s="8">
        <v>4290</v>
      </c>
      <c r="E21" s="8">
        <v>4270</v>
      </c>
      <c r="F21" s="8">
        <v>4270</v>
      </c>
      <c r="G21" s="8">
        <v>4270</v>
      </c>
      <c r="H21" s="8">
        <v>4670</v>
      </c>
      <c r="I21" s="8">
        <f>480*10</f>
        <v>4800</v>
      </c>
      <c r="J21" s="8">
        <v>4663</v>
      </c>
      <c r="K21" s="8">
        <v>4828</v>
      </c>
      <c r="L21" s="8">
        <v>4836</v>
      </c>
      <c r="M21" s="8">
        <v>4836</v>
      </c>
      <c r="T21" s="8">
        <v>4290</v>
      </c>
      <c r="U21" s="8">
        <v>4230</v>
      </c>
      <c r="V21" s="8">
        <f>AVERAGE(E21:H21)</f>
        <v>4370</v>
      </c>
      <c r="W21" s="8">
        <f>+I21</f>
        <v>4800</v>
      </c>
      <c r="X21" s="8">
        <v>4800</v>
      </c>
      <c r="Y21" s="8">
        <v>4800</v>
      </c>
      <c r="Z21" s="8">
        <v>4800</v>
      </c>
      <c r="AA21" s="8">
        <v>4800</v>
      </c>
    </row>
    <row r="25" spans="2:102" x14ac:dyDescent="0.15">
      <c r="B25" t="s">
        <v>12</v>
      </c>
      <c r="G25" s="9">
        <f t="shared" ref="G25:L25" si="20">+G9/C9-1</f>
        <v>4.0873460246360516E-2</v>
      </c>
      <c r="H25" s="9">
        <f t="shared" si="20"/>
        <v>0.34167134043746494</v>
      </c>
      <c r="I25" s="9">
        <f t="shared" si="20"/>
        <v>0.42986373525707089</v>
      </c>
      <c r="J25" s="9">
        <f t="shared" si="20"/>
        <v>0.47273546642631814</v>
      </c>
      <c r="K25" s="9">
        <f t="shared" si="20"/>
        <v>0.51199569661108124</v>
      </c>
      <c r="L25" s="9">
        <f t="shared" si="20"/>
        <v>0.24705292199648854</v>
      </c>
      <c r="M25" s="9">
        <f>M9/I9-1</f>
        <v>0.20156963241771453</v>
      </c>
      <c r="N25" s="9"/>
      <c r="O25" s="9"/>
      <c r="P25" s="9"/>
      <c r="Q25" s="9"/>
      <c r="R25" s="9"/>
      <c r="U25" s="9">
        <f>+U9/T9-1</f>
        <v>0.20958105646630232</v>
      </c>
      <c r="V25" s="9">
        <f>+V9/U9-1</f>
        <v>7.8788061319760239E-2</v>
      </c>
      <c r="W25" s="9">
        <f>+W9/V9-1</f>
        <v>0.43985035874815037</v>
      </c>
      <c r="X25" s="9">
        <f t="shared" ref="X25:AA25" si="21">+X9/W9-1</f>
        <v>0.3600000000000001</v>
      </c>
      <c r="Y25" s="9">
        <f t="shared" si="21"/>
        <v>0.22999999999999998</v>
      </c>
      <c r="Z25" s="9">
        <f t="shared" si="21"/>
        <v>0.20389999999999997</v>
      </c>
      <c r="AA25" s="9">
        <f t="shared" si="21"/>
        <v>0.2699999999999998</v>
      </c>
      <c r="AC25" s="20">
        <v>0.06</v>
      </c>
    </row>
    <row r="26" spans="2:102" x14ac:dyDescent="0.15">
      <c r="B26" t="s">
        <v>15</v>
      </c>
      <c r="C26" s="9">
        <f t="shared" ref="C26:G26" si="22">+C11/C9</f>
        <v>0.7426651735722285</v>
      </c>
      <c r="D26" s="9">
        <f t="shared" si="22"/>
        <v>0.7337072349971957</v>
      </c>
      <c r="E26" s="9">
        <f t="shared" si="22"/>
        <v>0.75071567617084622</v>
      </c>
      <c r="F26" s="9">
        <f t="shared" si="22"/>
        <v>0.74402884182063989</v>
      </c>
      <c r="G26" s="9">
        <f t="shared" si="22"/>
        <v>0.7365250134480904</v>
      </c>
      <c r="H26" s="9">
        <f>+H11/H9</f>
        <v>0.73965387509405567</v>
      </c>
      <c r="I26" s="9">
        <f>+I11/I9</f>
        <v>0.74837831344598382</v>
      </c>
      <c r="J26" s="9">
        <f>+J11/J9</f>
        <v>0.76032741738066101</v>
      </c>
      <c r="K26" s="9">
        <f>+K11/K9</f>
        <v>0.75814714671979511</v>
      </c>
      <c r="L26" s="9">
        <f>+L11/L9</f>
        <v>0.78057119871279168</v>
      </c>
      <c r="M26" s="17">
        <f>M11/M9</f>
        <v>0.78032524660090641</v>
      </c>
      <c r="T26" s="9">
        <f>+T11/T9</f>
        <v>0.76120218579234977</v>
      </c>
      <c r="U26" s="9">
        <f>+U11/U9</f>
        <v>0.77023160557780923</v>
      </c>
      <c r="V26" s="9">
        <f>+V11/V9</f>
        <v>0.74114296881543318</v>
      </c>
      <c r="W26" s="9">
        <f>+W11/W9</f>
        <v>0.75204560437429713</v>
      </c>
      <c r="X26" s="3">
        <f>X11/X9</f>
        <v>0.78</v>
      </c>
      <c r="Y26" s="3">
        <f t="shared" ref="Y26:AA26" si="23">Y11/Y9</f>
        <v>0.77999999999999992</v>
      </c>
      <c r="Z26" s="3">
        <f t="shared" si="23"/>
        <v>0.78</v>
      </c>
      <c r="AA26" s="3">
        <f t="shared" si="23"/>
        <v>0.78</v>
      </c>
      <c r="AC26" s="15">
        <f>NPV(AC25,X19:CX19)</f>
        <v>1182543.5652377396</v>
      </c>
    </row>
    <row r="27" spans="2:102" x14ac:dyDescent="0.15">
      <c r="B27" t="s">
        <v>21</v>
      </c>
      <c r="C27" s="9">
        <f t="shared" ref="C27:G27" si="24">+C15/C9</f>
        <v>0.56718924972004481</v>
      </c>
      <c r="D27" s="9">
        <f t="shared" si="24"/>
        <v>0.56062815479528882</v>
      </c>
      <c r="E27" s="9">
        <f t="shared" si="24"/>
        <v>0.55032634833390592</v>
      </c>
      <c r="F27" s="9">
        <f t="shared" si="24"/>
        <v>0.54731861198738174</v>
      </c>
      <c r="G27" s="9">
        <f t="shared" si="24"/>
        <v>0.54222700376546529</v>
      </c>
      <c r="H27" s="9">
        <f>+H15/H9</f>
        <v>0.41526628208343785</v>
      </c>
      <c r="I27" s="9">
        <f>+I15/I9</f>
        <v>0.45271081925202211</v>
      </c>
      <c r="J27" s="9">
        <f>+J15/J9</f>
        <v>0.49617503059975521</v>
      </c>
      <c r="K27" s="9">
        <f>+K15/K9</f>
        <v>0.52732318201223849</v>
      </c>
      <c r="L27" s="9">
        <f>+L15/L9</f>
        <v>0.56590238669884685</v>
      </c>
      <c r="T27" s="9">
        <f>+T15/T9</f>
        <v>0.53530054644808744</v>
      </c>
      <c r="U27" s="9">
        <f>+U15/U9</f>
        <v>0.58045959702436523</v>
      </c>
      <c r="V27" s="9">
        <f>+V15/V9</f>
        <v>0.55004327312320278</v>
      </c>
      <c r="W27" s="9">
        <f>+W15/W9</f>
        <v>0.47537518904874548</v>
      </c>
      <c r="X27" s="9">
        <f t="shared" ref="X27:AA27" si="25">+X15/X9</f>
        <v>0.55622245819256855</v>
      </c>
      <c r="Y27" s="9">
        <f t="shared" si="25"/>
        <v>0.57987374309904494</v>
      </c>
      <c r="Z27" s="9">
        <f t="shared" si="25"/>
        <v>0.59714520924408132</v>
      </c>
      <c r="AA27" s="9">
        <f t="shared" si="25"/>
        <v>0.62162183477833821</v>
      </c>
      <c r="AC27" s="15">
        <f>AC26+Main!J6-Main!J5</f>
        <v>1239815.5652377396</v>
      </c>
    </row>
    <row r="28" spans="2:102" x14ac:dyDescent="0.15">
      <c r="B28" t="s">
        <v>90</v>
      </c>
      <c r="C28" s="9"/>
      <c r="D28" s="9"/>
      <c r="E28" s="9"/>
      <c r="F28" s="9"/>
      <c r="G28" s="9">
        <f>G17/C17-1</f>
        <v>1.4471164077463294E-2</v>
      </c>
      <c r="H28" s="9">
        <f t="shared" ref="H28:M28" si="26">H17/D17-1</f>
        <v>-5.0123623286131735E-2</v>
      </c>
      <c r="I28" s="9">
        <f t="shared" si="26"/>
        <v>3.9654408506867522E-2</v>
      </c>
      <c r="J28" s="9">
        <f>J17/F17-1</f>
        <v>0.2027972027972027</v>
      </c>
      <c r="K28" s="9">
        <f t="shared" si="26"/>
        <v>0.37340046150618833</v>
      </c>
      <c r="L28" s="9">
        <f>L17/H17-1</f>
        <v>0.81519167061050646</v>
      </c>
      <c r="M28" s="9">
        <f t="shared" si="26"/>
        <v>0.5378222885148094</v>
      </c>
      <c r="T28" s="9"/>
      <c r="U28" s="9"/>
      <c r="V28" s="9"/>
      <c r="W28" s="9"/>
      <c r="X28" s="9">
        <f>X19/T19-1</f>
        <v>1.3622035623215982</v>
      </c>
      <c r="Y28" s="9">
        <f t="shared" ref="Y28:AA28" si="27">Y19/U19-1</f>
        <v>1.3995802110159175</v>
      </c>
      <c r="Z28" s="9">
        <f t="shared" si="27"/>
        <v>1.840722476135586</v>
      </c>
      <c r="AA28" s="9">
        <f t="shared" si="27"/>
        <v>2.473777903767671</v>
      </c>
      <c r="AB28" s="19">
        <f>AVERAGE(X28:AA28)</f>
        <v>1.7690710383101931</v>
      </c>
      <c r="AC28" s="15"/>
    </row>
    <row r="29" spans="2:102" x14ac:dyDescent="0.15">
      <c r="B29" t="s">
        <v>89</v>
      </c>
      <c r="L29" s="3">
        <f>L18/L17</f>
        <v>0.16608004171555207</v>
      </c>
      <c r="U29" s="17">
        <f>U10/T10-1</f>
        <v>0.16384439359267744</v>
      </c>
      <c r="V29" s="17">
        <f>V10/U10-1</f>
        <v>0.21536243282212619</v>
      </c>
      <c r="W29" s="17">
        <f>W10/V10-1</f>
        <v>0.37920621225194129</v>
      </c>
      <c r="AC29" s="15">
        <f>AC27/4370</f>
        <v>283.71065566080995</v>
      </c>
    </row>
    <row r="30" spans="2:102" x14ac:dyDescent="0.15">
      <c r="AC30" s="16">
        <v>45228</v>
      </c>
    </row>
    <row r="31" spans="2:102" x14ac:dyDescent="0.15">
      <c r="B31" t="s">
        <v>87</v>
      </c>
      <c r="L31" s="8">
        <f>+L32-L43</f>
        <v>-57272</v>
      </c>
    </row>
    <row r="32" spans="2:102" s="2" customFormat="1" x14ac:dyDescent="0.15">
      <c r="B32" s="2" t="s">
        <v>3</v>
      </c>
      <c r="C32" s="8"/>
      <c r="D32" s="8"/>
      <c r="E32" s="8"/>
      <c r="F32" s="8"/>
      <c r="G32" s="8"/>
      <c r="H32" s="8">
        <v>11864</v>
      </c>
      <c r="I32" s="8">
        <v>9809</v>
      </c>
      <c r="J32" s="8">
        <v>9952</v>
      </c>
      <c r="K32" s="8"/>
      <c r="L32" s="8">
        <v>9307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2:24" s="2" customFormat="1" x14ac:dyDescent="0.15">
      <c r="B33" s="2" t="s">
        <v>26</v>
      </c>
      <c r="C33" s="8"/>
      <c r="D33" s="8"/>
      <c r="E33" s="8"/>
      <c r="F33" s="8"/>
      <c r="G33" s="8"/>
      <c r="H33" s="8">
        <v>4969</v>
      </c>
      <c r="I33" s="8">
        <v>5500</v>
      </c>
      <c r="J33" s="8">
        <v>4665</v>
      </c>
      <c r="K33" s="8"/>
      <c r="L33" s="8">
        <v>4955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2:24" s="2" customFormat="1" x14ac:dyDescent="0.15">
      <c r="B34" s="2" t="s">
        <v>27</v>
      </c>
      <c r="C34" s="8"/>
      <c r="D34" s="8"/>
      <c r="E34" s="8"/>
      <c r="F34" s="8"/>
      <c r="G34" s="8"/>
      <c r="H34" s="8">
        <v>1920</v>
      </c>
      <c r="I34" s="8">
        <v>1842</v>
      </c>
      <c r="J34" s="8">
        <v>1894</v>
      </c>
      <c r="K34" s="8"/>
      <c r="L34" s="8">
        <v>1908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2:24" s="2" customFormat="1" x14ac:dyDescent="0.15">
      <c r="B35" s="2" t="s">
        <v>28</v>
      </c>
      <c r="C35" s="8"/>
      <c r="D35" s="8"/>
      <c r="E35" s="8"/>
      <c r="F35" s="8"/>
      <c r="G35" s="8"/>
      <c r="H35" s="8">
        <v>8439</v>
      </c>
      <c r="I35" s="8">
        <v>8151</v>
      </c>
      <c r="J35" s="8">
        <v>3436</v>
      </c>
      <c r="K35" s="8"/>
      <c r="L35" s="8">
        <v>4820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2:24" s="2" customFormat="1" x14ac:dyDescent="0.15">
      <c r="B36" s="2" t="s">
        <v>29</v>
      </c>
      <c r="C36" s="8"/>
      <c r="D36" s="8"/>
      <c r="E36" s="8"/>
      <c r="F36" s="8"/>
      <c r="G36" s="8"/>
      <c r="H36" s="8">
        <v>2662</v>
      </c>
      <c r="I36" s="8">
        <v>2668</v>
      </c>
      <c r="J36" s="8">
        <v>2602</v>
      </c>
      <c r="K36" s="8"/>
      <c r="L36" s="8">
        <v>2465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2:24" s="2" customFormat="1" x14ac:dyDescent="0.15">
      <c r="B37" s="2" t="s">
        <v>31</v>
      </c>
      <c r="C37" s="8"/>
      <c r="D37" s="8"/>
      <c r="E37" s="8"/>
      <c r="F37" s="8"/>
      <c r="G37" s="8"/>
      <c r="H37" s="8">
        <f>97586+47185</f>
        <v>144771</v>
      </c>
      <c r="I37" s="8">
        <f>97873+45407</f>
        <v>143280</v>
      </c>
      <c r="J37" s="8">
        <f>97873+43034</f>
        <v>140907</v>
      </c>
      <c r="K37" s="8"/>
      <c r="L37" s="8">
        <f>97871+38583</f>
        <v>136454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2:24" s="2" customFormat="1" x14ac:dyDescent="0.15">
      <c r="B38" s="2" t="s">
        <v>30</v>
      </c>
      <c r="C38" s="8"/>
      <c r="D38" s="8"/>
      <c r="E38" s="8"/>
      <c r="F38" s="8"/>
      <c r="G38" s="8"/>
      <c r="H38" s="8">
        <v>3245</v>
      </c>
      <c r="I38" s="8">
        <v>3961</v>
      </c>
      <c r="J38" s="8">
        <v>4510</v>
      </c>
      <c r="K38" s="8"/>
      <c r="L38" s="8">
        <v>5449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2:24" s="2" customFormat="1" x14ac:dyDescent="0.15">
      <c r="B39" s="2" t="s">
        <v>32</v>
      </c>
      <c r="C39" s="8"/>
      <c r="D39" s="8"/>
      <c r="E39" s="8"/>
      <c r="F39" s="8"/>
      <c r="G39" s="8"/>
      <c r="H39" s="8">
        <f>SUM(H32:H38)</f>
        <v>177870</v>
      </c>
      <c r="I39" s="8">
        <f>SUM(I32:I38)</f>
        <v>175211</v>
      </c>
      <c r="J39" s="8">
        <f>SUM(J32:J38)</f>
        <v>167966</v>
      </c>
      <c r="K39" s="8">
        <f>SUM(K32:K38)</f>
        <v>0</v>
      </c>
      <c r="L39" s="8">
        <f>SUM(L32:L38)</f>
        <v>165358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2:24" s="2" customFormat="1" x14ac:dyDescent="0.15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2:24" s="2" customFormat="1" x14ac:dyDescent="0.15">
      <c r="B41" s="2" t="s">
        <v>33</v>
      </c>
      <c r="C41" s="8"/>
      <c r="D41" s="8"/>
      <c r="E41" s="8"/>
      <c r="F41" s="8"/>
      <c r="G41" s="8"/>
      <c r="H41" s="8">
        <v>1496</v>
      </c>
      <c r="I41" s="8">
        <v>1441</v>
      </c>
      <c r="J41" s="8">
        <v>1757</v>
      </c>
      <c r="K41" s="8"/>
      <c r="L41" s="8">
        <v>1905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2:24" s="2" customFormat="1" x14ac:dyDescent="0.15">
      <c r="B42" s="2" t="s">
        <v>34</v>
      </c>
      <c r="C42" s="8"/>
      <c r="D42" s="8"/>
      <c r="E42" s="8"/>
      <c r="F42" s="8"/>
      <c r="G42" s="8"/>
      <c r="H42" s="8">
        <v>1128</v>
      </c>
      <c r="I42" s="8">
        <v>1385</v>
      </c>
      <c r="J42" s="8">
        <v>1725</v>
      </c>
      <c r="K42" s="8"/>
      <c r="L42" s="8">
        <v>922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2:24" s="2" customFormat="1" x14ac:dyDescent="0.15">
      <c r="B43" s="2" t="s">
        <v>4</v>
      </c>
      <c r="C43" s="8"/>
      <c r="D43" s="8"/>
      <c r="E43" s="8"/>
      <c r="F43" s="8"/>
      <c r="G43" s="8"/>
      <c r="H43" s="8">
        <f>2433+73468</f>
        <v>75901</v>
      </c>
      <c r="I43" s="8">
        <f>2426+71590</f>
        <v>74016</v>
      </c>
      <c r="J43" s="8">
        <f>12578+66798</f>
        <v>79376</v>
      </c>
      <c r="K43" s="8"/>
      <c r="L43" s="8">
        <f>5653+60926</f>
        <v>66579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2:24" s="2" customFormat="1" x14ac:dyDescent="0.15">
      <c r="B44" s="2" t="s">
        <v>35</v>
      </c>
      <c r="C44" s="8"/>
      <c r="D44" s="8"/>
      <c r="E44" s="8"/>
      <c r="F44" s="8"/>
      <c r="G44" s="8"/>
      <c r="H44" s="8">
        <v>15312</v>
      </c>
      <c r="I44" s="8">
        <v>14919</v>
      </c>
      <c r="J44" s="8">
        <v>3161</v>
      </c>
      <c r="K44" s="8"/>
      <c r="L44" s="8">
        <v>12430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2:24" s="2" customFormat="1" x14ac:dyDescent="0.15">
      <c r="B45" s="2" t="s">
        <v>36</v>
      </c>
      <c r="C45" s="8"/>
      <c r="D45" s="8"/>
      <c r="E45" s="8"/>
      <c r="F45" s="8"/>
      <c r="G45" s="8"/>
      <c r="H45" s="8">
        <v>13749</v>
      </c>
      <c r="I45" s="8">
        <v>13489</v>
      </c>
      <c r="J45" s="8">
        <v>16296</v>
      </c>
      <c r="K45" s="8"/>
      <c r="L45" s="8">
        <v>13733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2:24" s="2" customFormat="1" x14ac:dyDescent="0.15">
      <c r="B46" s="2" t="s">
        <v>37</v>
      </c>
      <c r="C46" s="8"/>
      <c r="D46" s="8"/>
      <c r="E46" s="8"/>
      <c r="F46" s="8"/>
      <c r="G46" s="8"/>
      <c r="H46" s="8">
        <v>70284</v>
      </c>
      <c r="I46" s="8">
        <v>69961</v>
      </c>
      <c r="J46" s="8">
        <v>65651</v>
      </c>
      <c r="K46" s="8"/>
      <c r="L46" s="8">
        <v>69789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2:24" s="2" customFormat="1" x14ac:dyDescent="0.15">
      <c r="B47" s="2" t="s">
        <v>38</v>
      </c>
      <c r="C47" s="8"/>
      <c r="D47" s="8"/>
      <c r="E47" s="8"/>
      <c r="F47" s="8"/>
      <c r="G47" s="8"/>
      <c r="H47" s="8">
        <f>SUM(H41:H46)</f>
        <v>177870</v>
      </c>
      <c r="I47" s="8">
        <f>SUM(I41:I46)</f>
        <v>175211</v>
      </c>
      <c r="J47" s="8">
        <f>SUM(J41:J46)</f>
        <v>167966</v>
      </c>
      <c r="K47" s="8">
        <f>SUM(K41:K46)</f>
        <v>0</v>
      </c>
      <c r="L47" s="8">
        <f>SUM(L41:L46)</f>
        <v>165358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9" spans="2:27" x14ac:dyDescent="0.15">
      <c r="B49" t="s">
        <v>39</v>
      </c>
      <c r="H49" s="8">
        <f>+H19</f>
        <v>3423</v>
      </c>
      <c r="I49" s="8">
        <f>+I19</f>
        <v>4809</v>
      </c>
      <c r="J49" s="8">
        <f>+J19</f>
        <v>1266</v>
      </c>
    </row>
    <row r="50" spans="2:27" x14ac:dyDescent="0.15">
      <c r="B50" t="s">
        <v>40</v>
      </c>
      <c r="H50" s="8">
        <v>1325</v>
      </c>
      <c r="I50" s="8">
        <v>2121</v>
      </c>
      <c r="J50" s="8">
        <f>1571-I50-H50</f>
        <v>-1875</v>
      </c>
    </row>
    <row r="51" spans="2:27" x14ac:dyDescent="0.15">
      <c r="B51" t="s">
        <v>41</v>
      </c>
      <c r="H51" s="8">
        <v>2206</v>
      </c>
      <c r="I51" s="8">
        <v>2381</v>
      </c>
      <c r="J51" s="8">
        <f>6962-I51-H51</f>
        <v>2375</v>
      </c>
    </row>
    <row r="52" spans="2:27" x14ac:dyDescent="0.15">
      <c r="B52" t="s">
        <v>43</v>
      </c>
      <c r="H52" s="8">
        <v>139</v>
      </c>
      <c r="I52" s="8">
        <v>149</v>
      </c>
      <c r="J52" s="8">
        <f>437-I52-H52</f>
        <v>149</v>
      </c>
    </row>
    <row r="53" spans="2:27" x14ac:dyDescent="0.15">
      <c r="B53" t="s">
        <v>42</v>
      </c>
      <c r="H53" s="8">
        <v>1582</v>
      </c>
      <c r="I53" s="8">
        <v>1457</v>
      </c>
      <c r="J53" s="8">
        <f>4427-I53-H53</f>
        <v>1388</v>
      </c>
    </row>
    <row r="54" spans="2:27" x14ac:dyDescent="0.15">
      <c r="B54" t="s">
        <v>46</v>
      </c>
      <c r="H54" s="8">
        <v>-294</v>
      </c>
      <c r="I54" s="8">
        <v>-511</v>
      </c>
      <c r="J54" s="8">
        <f>2833-I54-H54</f>
        <v>3638</v>
      </c>
      <c r="Y54">
        <f>X58*35</f>
        <v>943204.5</v>
      </c>
      <c r="Z54">
        <v>57272</v>
      </c>
    </row>
    <row r="55" spans="2:27" x14ac:dyDescent="0.15">
      <c r="B55" t="s">
        <v>47</v>
      </c>
      <c r="H55" s="8">
        <v>102</v>
      </c>
      <c r="I55" s="8">
        <v>119</v>
      </c>
      <c r="J55" s="8">
        <f>336-I55-H55</f>
        <v>115</v>
      </c>
      <c r="Z55">
        <f>Y54+Z54</f>
        <v>1000476.5</v>
      </c>
      <c r="AA55" s="18">
        <f>Z55/4830</f>
        <v>207.13799171842649</v>
      </c>
    </row>
    <row r="56" spans="2:27" x14ac:dyDescent="0.15">
      <c r="B56" t="s">
        <v>48</v>
      </c>
      <c r="H56" s="8">
        <v>38</v>
      </c>
      <c r="I56" s="8">
        <v>92</v>
      </c>
      <c r="J56" s="8">
        <f>266+105-I56-H56</f>
        <v>241</v>
      </c>
    </row>
    <row r="57" spans="2:27" x14ac:dyDescent="0.15">
      <c r="B57" t="s">
        <v>45</v>
      </c>
      <c r="H57" s="8">
        <f>1756-14-74-660-2182+891</f>
        <v>-283</v>
      </c>
      <c r="I57" s="8">
        <f>-513+82-93+251-386-569</f>
        <v>-1228</v>
      </c>
      <c r="J57" s="8">
        <f>2078+16+206-118-3913-848-I57-H57</f>
        <v>-1068</v>
      </c>
    </row>
    <row r="58" spans="2:27" x14ac:dyDescent="0.15">
      <c r="B58" t="s">
        <v>44</v>
      </c>
      <c r="H58" s="10">
        <f>SUM(H50:H57)</f>
        <v>4815</v>
      </c>
      <c r="I58" s="10">
        <f>SUM(I50:I57)</f>
        <v>4580</v>
      </c>
      <c r="J58" s="10">
        <f>SUM(J50:J57)</f>
        <v>4963</v>
      </c>
      <c r="T58" s="10">
        <v>13764</v>
      </c>
      <c r="U58" s="10">
        <v>16736</v>
      </c>
      <c r="V58" s="10">
        <v>18085</v>
      </c>
      <c r="W58" s="12">
        <v>19962</v>
      </c>
      <c r="X58" s="3">
        <f>+W58*1.35</f>
        <v>26948.7</v>
      </c>
      <c r="Y58" s="3">
        <f t="shared" ref="Y58:Z58" si="28">+X58*1.35</f>
        <v>36380.745000000003</v>
      </c>
      <c r="Z58" s="3">
        <f t="shared" si="28"/>
        <v>49114.005750000004</v>
      </c>
    </row>
    <row r="59" spans="2:27" x14ac:dyDescent="0.15">
      <c r="X59" s="3">
        <f>1.5*W58</f>
        <v>29943</v>
      </c>
    </row>
    <row r="60" spans="2:27" x14ac:dyDescent="0.15">
      <c r="U60" s="3">
        <f>U58/T58</f>
        <v>1.2159256030223773</v>
      </c>
      <c r="V60" s="3">
        <f>V58/U58</f>
        <v>1.0806046845124282</v>
      </c>
      <c r="W60" s="3">
        <f>W58/V58</f>
        <v>1.1037876693392314</v>
      </c>
      <c r="X60" s="3">
        <f>12688/9395</f>
        <v>1.3505055880787653</v>
      </c>
    </row>
    <row r="62" spans="2:27" x14ac:dyDescent="0.15">
      <c r="Z62">
        <f>1.4^3</f>
        <v>2.7439999999999993</v>
      </c>
    </row>
    <row r="72" spans="2:7" x14ac:dyDescent="0.15">
      <c r="B72" t="s">
        <v>65</v>
      </c>
      <c r="G72" s="3">
        <v>20000</v>
      </c>
    </row>
  </sheetData>
  <hyperlinks>
    <hyperlink ref="A1" location="Main!A1" display="Main" xr:uid="{91557C12-E338-194A-95C3-1E300E75FA0E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0775-30FD-4D74-BE40-C6F63DB74CF0}">
  <dimension ref="A1:CX71"/>
  <sheetViews>
    <sheetView zoomScale="160" zoomScaleNormal="160" workbookViewId="0">
      <pane xSplit="2" ySplit="3" topLeftCell="N4" activePane="bottomRight" state="frozen"/>
      <selection pane="topRight" activeCell="C1" sqref="C1"/>
      <selection pane="bottomLeft" activeCell="A4" sqref="A4"/>
      <selection pane="bottomRight" activeCell="W57" sqref="W57"/>
    </sheetView>
  </sheetViews>
  <sheetFormatPr baseColWidth="10" defaultColWidth="8.83203125" defaultRowHeight="13" x14ac:dyDescent="0.15"/>
  <cols>
    <col min="1" max="1" width="5" bestFit="1" customWidth="1"/>
    <col min="2" max="2" width="18.1640625" bestFit="1" customWidth="1"/>
    <col min="3" max="15" width="8.33203125" style="3" customWidth="1"/>
    <col min="16" max="16" width="9.1640625" style="3"/>
    <col min="17" max="19" width="8.6640625" style="3"/>
    <col min="20" max="20" width="9.1640625" style="3"/>
    <col min="21" max="22" width="10.33203125" style="3" bestFit="1" customWidth="1"/>
    <col min="23" max="24" width="9.1640625" style="3"/>
    <col min="29" max="29" width="13.1640625" bestFit="1" customWidth="1"/>
  </cols>
  <sheetData>
    <row r="1" spans="1:27" x14ac:dyDescent="0.15">
      <c r="A1" s="6" t="s">
        <v>6</v>
      </c>
    </row>
    <row r="2" spans="1:27" x14ac:dyDescent="0.15">
      <c r="C2" s="3" t="s">
        <v>51</v>
      </c>
      <c r="D2" s="3" t="s">
        <v>49</v>
      </c>
      <c r="E2" s="3" t="s">
        <v>50</v>
      </c>
      <c r="F2" s="3" t="s">
        <v>11</v>
      </c>
      <c r="G2" s="3" t="s">
        <v>10</v>
      </c>
      <c r="H2" s="3" t="s">
        <v>9</v>
      </c>
      <c r="I2" s="3" t="s">
        <v>8</v>
      </c>
      <c r="J2" s="3" t="s">
        <v>77</v>
      </c>
      <c r="K2" s="3" t="s">
        <v>78</v>
      </c>
      <c r="L2" s="3" t="s">
        <v>79</v>
      </c>
      <c r="M2" s="3" t="s">
        <v>80</v>
      </c>
      <c r="N2" s="3" t="s">
        <v>81</v>
      </c>
      <c r="O2" s="3" t="s">
        <v>82</v>
      </c>
      <c r="R2" s="3" t="s">
        <v>86</v>
      </c>
      <c r="S2" s="3" t="s">
        <v>85</v>
      </c>
      <c r="T2" s="3" t="s">
        <v>68</v>
      </c>
      <c r="U2" s="3" t="s">
        <v>69</v>
      </c>
      <c r="V2" s="3" t="s">
        <v>70</v>
      </c>
      <c r="W2" s="3" t="s">
        <v>71</v>
      </c>
      <c r="X2" s="3" t="s">
        <v>72</v>
      </c>
    </row>
    <row r="3" spans="1:27" s="13" customFormat="1" x14ac:dyDescent="0.15">
      <c r="B3" s="13" t="s">
        <v>19</v>
      </c>
      <c r="C3" s="14">
        <v>44864</v>
      </c>
      <c r="D3" s="14">
        <v>44955</v>
      </c>
      <c r="E3" s="14">
        <v>45046</v>
      </c>
      <c r="F3" s="14">
        <v>45137</v>
      </c>
      <c r="G3" s="14">
        <v>45228</v>
      </c>
      <c r="H3" s="14">
        <v>45326</v>
      </c>
      <c r="I3" s="14">
        <v>45417</v>
      </c>
      <c r="J3" s="14">
        <v>45508</v>
      </c>
      <c r="K3" s="14">
        <f>+G3+365</f>
        <v>45593</v>
      </c>
      <c r="L3" s="14">
        <f>+H3+365</f>
        <v>45691</v>
      </c>
      <c r="M3" s="14">
        <f>+I3+365</f>
        <v>45782</v>
      </c>
      <c r="N3" s="14">
        <f>+J3+365</f>
        <v>45873</v>
      </c>
      <c r="O3" s="14">
        <f>+K3+365</f>
        <v>45958</v>
      </c>
      <c r="P3" s="14"/>
      <c r="Q3" s="14"/>
      <c r="R3" s="14"/>
      <c r="S3" s="14"/>
      <c r="T3" s="14"/>
      <c r="U3" s="14">
        <v>44864</v>
      </c>
      <c r="V3" s="14">
        <v>45228</v>
      </c>
      <c r="W3" s="14"/>
      <c r="X3" s="14"/>
    </row>
    <row r="4" spans="1:27" x14ac:dyDescent="0.15">
      <c r="C4" s="7"/>
      <c r="D4" s="7"/>
      <c r="E4" s="7"/>
      <c r="F4" s="7"/>
      <c r="G4" s="7"/>
      <c r="H4" s="7"/>
      <c r="I4" s="7"/>
      <c r="U4" s="7"/>
      <c r="V4" s="7"/>
    </row>
    <row r="5" spans="1:27" x14ac:dyDescent="0.15">
      <c r="B5" t="s">
        <v>83</v>
      </c>
      <c r="C5" s="7"/>
      <c r="D5" s="7"/>
      <c r="E5" s="7"/>
      <c r="F5" s="8">
        <v>6941</v>
      </c>
      <c r="G5" s="7"/>
      <c r="H5" s="7"/>
      <c r="I5" s="7"/>
      <c r="J5" s="8">
        <v>7274</v>
      </c>
      <c r="K5" s="8">
        <f>+J5+100</f>
        <v>7374</v>
      </c>
      <c r="U5" s="7"/>
      <c r="V5" s="7"/>
    </row>
    <row r="6" spans="1:27" x14ac:dyDescent="0.15">
      <c r="B6" t="s">
        <v>84</v>
      </c>
      <c r="C6" s="7"/>
      <c r="D6" s="7"/>
      <c r="E6" s="7"/>
      <c r="F6" s="8">
        <v>1935</v>
      </c>
      <c r="G6" s="7"/>
      <c r="H6" s="7"/>
      <c r="I6" s="7"/>
      <c r="J6" s="8">
        <v>5798</v>
      </c>
      <c r="K6" s="8">
        <f>+J6+100</f>
        <v>5898</v>
      </c>
      <c r="U6" s="7"/>
      <c r="V6" s="7"/>
    </row>
    <row r="7" spans="1:27" x14ac:dyDescent="0.15">
      <c r="B7" t="s">
        <v>73</v>
      </c>
      <c r="C7" s="7"/>
      <c r="D7" s="7"/>
      <c r="E7" s="7"/>
      <c r="F7" s="7"/>
      <c r="G7" s="7"/>
      <c r="H7" s="7"/>
      <c r="I7" s="7"/>
      <c r="J7" s="8">
        <v>7439</v>
      </c>
      <c r="K7" s="8">
        <f>+J7+500</f>
        <v>7939</v>
      </c>
      <c r="T7" s="8">
        <v>20886</v>
      </c>
      <c r="U7" s="8">
        <v>26277</v>
      </c>
      <c r="V7" s="8">
        <v>27891</v>
      </c>
      <c r="W7" s="8"/>
    </row>
    <row r="8" spans="1:27" x14ac:dyDescent="0.15">
      <c r="B8" t="s">
        <v>74</v>
      </c>
      <c r="C8" s="7"/>
      <c r="D8" s="7"/>
      <c r="E8" s="7"/>
      <c r="F8" s="7"/>
      <c r="G8" s="7"/>
      <c r="H8" s="7"/>
      <c r="I8" s="7"/>
      <c r="J8" s="8">
        <v>5633</v>
      </c>
      <c r="K8" s="8">
        <f>+J8+500</f>
        <v>6133</v>
      </c>
      <c r="T8" s="8">
        <v>6564</v>
      </c>
      <c r="U8" s="8">
        <v>6926</v>
      </c>
      <c r="V8" s="8">
        <v>7928</v>
      </c>
      <c r="W8" s="8"/>
    </row>
    <row r="9" spans="1:27" s="4" customFormat="1" x14ac:dyDescent="0.15">
      <c r="B9" s="4" t="s">
        <v>7</v>
      </c>
      <c r="C9" s="10">
        <v>8930</v>
      </c>
      <c r="D9" s="10">
        <v>8915</v>
      </c>
      <c r="E9" s="10">
        <v>8733</v>
      </c>
      <c r="F9" s="10">
        <v>8876</v>
      </c>
      <c r="G9" s="10">
        <v>9295</v>
      </c>
      <c r="H9" s="10">
        <v>11961</v>
      </c>
      <c r="I9" s="10">
        <v>12487</v>
      </c>
      <c r="J9" s="10">
        <f>+J7+J8</f>
        <v>13072</v>
      </c>
      <c r="K9" s="10">
        <v>14054</v>
      </c>
      <c r="L9" s="10">
        <v>14916</v>
      </c>
      <c r="M9" s="12">
        <v>15004</v>
      </c>
      <c r="N9" s="12"/>
      <c r="O9" s="12"/>
      <c r="P9" s="12"/>
      <c r="Q9" s="12"/>
      <c r="R9" s="12"/>
      <c r="S9" s="12"/>
      <c r="T9" s="10">
        <f>+T7+T8</f>
        <v>27450</v>
      </c>
      <c r="U9" s="10">
        <f>+U7+U8</f>
        <v>33203</v>
      </c>
      <c r="V9" s="10">
        <f>SUM(D9:G9)</f>
        <v>35819</v>
      </c>
      <c r="W9" s="10">
        <f>+V9*1.3</f>
        <v>46564.700000000004</v>
      </c>
      <c r="X9" s="10">
        <f t="shared" ref="X9:AA9" si="0">+W9*1.2</f>
        <v>55877.640000000007</v>
      </c>
      <c r="Y9" s="10">
        <f t="shared" si="0"/>
        <v>67053.168000000005</v>
      </c>
      <c r="Z9" s="10">
        <f t="shared" si="0"/>
        <v>80463.801600000006</v>
      </c>
      <c r="AA9" s="10">
        <f t="shared" si="0"/>
        <v>96556.561920000007</v>
      </c>
    </row>
    <row r="10" spans="1:27" x14ac:dyDescent="0.15">
      <c r="B10" t="s">
        <v>13</v>
      </c>
      <c r="C10" s="8">
        <v>2298</v>
      </c>
      <c r="D10" s="8">
        <v>2374</v>
      </c>
      <c r="E10" s="8">
        <v>2177</v>
      </c>
      <c r="F10" s="8">
        <v>2272</v>
      </c>
      <c r="G10" s="8">
        <v>2449</v>
      </c>
      <c r="H10" s="8">
        <v>3114</v>
      </c>
      <c r="I10" s="8">
        <v>3142</v>
      </c>
      <c r="J10" s="8">
        <f>2434+699</f>
        <v>3133</v>
      </c>
      <c r="K10" s="8">
        <v>3399</v>
      </c>
      <c r="L10" s="8">
        <v>3273</v>
      </c>
      <c r="T10" s="8">
        <v>6555</v>
      </c>
      <c r="U10" s="8">
        <v>7629</v>
      </c>
      <c r="V10" s="8">
        <f>SUM(D10:G10)</f>
        <v>9272</v>
      </c>
      <c r="W10" s="8">
        <f>+W9*0.25</f>
        <v>11641.175000000001</v>
      </c>
      <c r="X10" s="8">
        <f t="shared" ref="X10:AA10" si="1">+X9*0.25</f>
        <v>13969.410000000002</v>
      </c>
      <c r="Y10" s="8">
        <f t="shared" si="1"/>
        <v>16763.292000000001</v>
      </c>
      <c r="Z10" s="8">
        <f t="shared" si="1"/>
        <v>20115.950400000002</v>
      </c>
      <c r="AA10" s="8">
        <f t="shared" si="1"/>
        <v>24139.140480000002</v>
      </c>
    </row>
    <row r="11" spans="1:27" s="2" customFormat="1" x14ac:dyDescent="0.15">
      <c r="B11" s="2" t="s">
        <v>14</v>
      </c>
      <c r="C11" s="8">
        <f t="shared" ref="C11:J11" si="2">+C9-C10</f>
        <v>6632</v>
      </c>
      <c r="D11" s="8">
        <f t="shared" si="2"/>
        <v>6541</v>
      </c>
      <c r="E11" s="8">
        <f t="shared" si="2"/>
        <v>6556</v>
      </c>
      <c r="F11" s="8">
        <f t="shared" si="2"/>
        <v>6604</v>
      </c>
      <c r="G11" s="8">
        <f t="shared" si="2"/>
        <v>6846</v>
      </c>
      <c r="H11" s="8">
        <f t="shared" si="2"/>
        <v>8847</v>
      </c>
      <c r="I11" s="8">
        <f t="shared" si="2"/>
        <v>9345</v>
      </c>
      <c r="J11" s="8">
        <f t="shared" si="2"/>
        <v>9939</v>
      </c>
      <c r="K11" s="8">
        <f>+K9-K10</f>
        <v>10655</v>
      </c>
      <c r="L11" s="8">
        <f>+L9-L10</f>
        <v>11643</v>
      </c>
      <c r="M11" s="8"/>
      <c r="N11" s="8"/>
      <c r="O11" s="8"/>
      <c r="P11" s="8"/>
      <c r="Q11" s="8"/>
      <c r="R11" s="8"/>
      <c r="S11" s="8"/>
      <c r="T11" s="8">
        <f>+T9-T10</f>
        <v>20895</v>
      </c>
      <c r="U11" s="8">
        <f>+U9-U10</f>
        <v>25574</v>
      </c>
      <c r="V11" s="8">
        <f>+V9-V10</f>
        <v>26547</v>
      </c>
      <c r="W11" s="8">
        <f>+W9-W10</f>
        <v>34923.525000000001</v>
      </c>
      <c r="X11" s="8">
        <f t="shared" ref="X11:AA11" si="3">+X9-X10</f>
        <v>41908.230000000003</v>
      </c>
      <c r="Y11" s="8">
        <f t="shared" si="3"/>
        <v>50289.876000000004</v>
      </c>
      <c r="Z11" s="8">
        <f t="shared" si="3"/>
        <v>60347.851200000005</v>
      </c>
      <c r="AA11" s="8">
        <f t="shared" si="3"/>
        <v>72417.421440000006</v>
      </c>
    </row>
    <row r="12" spans="1:27" x14ac:dyDescent="0.15">
      <c r="B12" t="s">
        <v>16</v>
      </c>
      <c r="C12" s="8">
        <v>1197</v>
      </c>
      <c r="D12" s="8">
        <v>1195</v>
      </c>
      <c r="E12" s="8">
        <v>1312</v>
      </c>
      <c r="F12" s="8">
        <v>1358</v>
      </c>
      <c r="G12" s="8">
        <v>1388</v>
      </c>
      <c r="H12" s="8">
        <v>2308</v>
      </c>
      <c r="I12" s="8">
        <v>2415</v>
      </c>
      <c r="J12" s="8">
        <v>2353</v>
      </c>
      <c r="K12" s="8">
        <v>2234</v>
      </c>
      <c r="L12" s="8">
        <v>2253</v>
      </c>
      <c r="T12" s="8">
        <v>4854</v>
      </c>
      <c r="U12" s="8">
        <v>4919</v>
      </c>
      <c r="V12" s="8">
        <f>SUM(D12:G12)</f>
        <v>5253</v>
      </c>
      <c r="W12" s="8">
        <f>+V12*1.1</f>
        <v>5778.3</v>
      </c>
      <c r="X12" s="8">
        <f t="shared" ref="X12:AA12" si="4">+W12*1.1</f>
        <v>6356.130000000001</v>
      </c>
      <c r="Y12" s="8">
        <f t="shared" si="4"/>
        <v>6991.7430000000013</v>
      </c>
      <c r="Z12" s="8">
        <f t="shared" si="4"/>
        <v>7690.9173000000019</v>
      </c>
      <c r="AA12" s="8">
        <f t="shared" si="4"/>
        <v>8460.0090300000029</v>
      </c>
    </row>
    <row r="13" spans="1:27" x14ac:dyDescent="0.15">
      <c r="B13" t="s">
        <v>17</v>
      </c>
      <c r="C13" s="8">
        <v>370</v>
      </c>
      <c r="D13" s="8">
        <v>348</v>
      </c>
      <c r="E13" s="8">
        <v>438</v>
      </c>
      <c r="F13" s="8">
        <v>388</v>
      </c>
      <c r="G13" s="8">
        <v>418</v>
      </c>
      <c r="H13" s="8">
        <v>1572</v>
      </c>
      <c r="I13" s="8">
        <v>1277</v>
      </c>
      <c r="J13" s="8">
        <v>1100</v>
      </c>
      <c r="K13" s="8">
        <v>1010</v>
      </c>
      <c r="L13" s="8">
        <v>949</v>
      </c>
      <c r="T13" s="8">
        <v>1347</v>
      </c>
      <c r="U13" s="8">
        <v>1382</v>
      </c>
      <c r="V13" s="8">
        <f>SUM(D13:G13)</f>
        <v>1592</v>
      </c>
      <c r="W13" s="8">
        <f>+V13*1.1</f>
        <v>1751.2</v>
      </c>
      <c r="X13" s="8">
        <f t="shared" ref="X13:AA13" si="5">+W13*1.1</f>
        <v>1926.3200000000002</v>
      </c>
      <c r="Y13" s="8">
        <f t="shared" si="5"/>
        <v>2118.9520000000002</v>
      </c>
      <c r="Z13" s="8">
        <f t="shared" si="5"/>
        <v>2330.8472000000006</v>
      </c>
      <c r="AA13" s="8">
        <f t="shared" si="5"/>
        <v>2563.9319200000009</v>
      </c>
    </row>
    <row r="14" spans="1:27" x14ac:dyDescent="0.15">
      <c r="B14" t="s">
        <v>18</v>
      </c>
      <c r="C14" s="8">
        <f t="shared" ref="C14:L14" si="6">+C12+C13</f>
        <v>1567</v>
      </c>
      <c r="D14" s="8">
        <f t="shared" si="6"/>
        <v>1543</v>
      </c>
      <c r="E14" s="8">
        <f t="shared" si="6"/>
        <v>1750</v>
      </c>
      <c r="F14" s="8">
        <f t="shared" si="6"/>
        <v>1746</v>
      </c>
      <c r="G14" s="8">
        <f t="shared" si="6"/>
        <v>1806</v>
      </c>
      <c r="H14" s="8">
        <f t="shared" si="6"/>
        <v>3880</v>
      </c>
      <c r="I14" s="8">
        <f t="shared" si="6"/>
        <v>3692</v>
      </c>
      <c r="J14" s="8">
        <f t="shared" si="6"/>
        <v>3453</v>
      </c>
      <c r="K14" s="8">
        <f t="shared" si="6"/>
        <v>3244</v>
      </c>
      <c r="L14" s="8">
        <f t="shared" si="6"/>
        <v>3202</v>
      </c>
      <c r="T14" s="8">
        <f t="shared" ref="T14:U14" si="7">+T13+T12</f>
        <v>6201</v>
      </c>
      <c r="U14" s="8">
        <f t="shared" si="7"/>
        <v>6301</v>
      </c>
      <c r="V14" s="8">
        <f>+V13+V12</f>
        <v>6845</v>
      </c>
      <c r="W14" s="8">
        <f>+W13+W12</f>
        <v>7529.5</v>
      </c>
      <c r="X14" s="8">
        <f t="shared" ref="X14:AA14" si="8">+X13+X12</f>
        <v>8282.4500000000007</v>
      </c>
      <c r="Y14" s="8">
        <f t="shared" si="8"/>
        <v>9110.6950000000015</v>
      </c>
      <c r="Z14" s="8">
        <f t="shared" si="8"/>
        <v>10021.764500000003</v>
      </c>
      <c r="AA14" s="8">
        <f t="shared" si="8"/>
        <v>11023.940950000004</v>
      </c>
    </row>
    <row r="15" spans="1:27" x14ac:dyDescent="0.15">
      <c r="B15" t="s">
        <v>20</v>
      </c>
      <c r="C15" s="8">
        <f t="shared" ref="C15:L15" si="9">+C11-C14</f>
        <v>5065</v>
      </c>
      <c r="D15" s="8">
        <f t="shared" si="9"/>
        <v>4998</v>
      </c>
      <c r="E15" s="8">
        <f t="shared" si="9"/>
        <v>4806</v>
      </c>
      <c r="F15" s="8">
        <f t="shared" si="9"/>
        <v>4858</v>
      </c>
      <c r="G15" s="8">
        <f t="shared" si="9"/>
        <v>5040</v>
      </c>
      <c r="H15" s="8">
        <f t="shared" si="9"/>
        <v>4967</v>
      </c>
      <c r="I15" s="8">
        <f t="shared" si="9"/>
        <v>5653</v>
      </c>
      <c r="J15" s="8">
        <f t="shared" si="9"/>
        <v>6486</v>
      </c>
      <c r="K15" s="8">
        <f t="shared" si="9"/>
        <v>7411</v>
      </c>
      <c r="L15" s="8">
        <f t="shared" si="9"/>
        <v>8441</v>
      </c>
      <c r="T15" s="8">
        <f t="shared" ref="T15:U15" si="10">+T11-T14</f>
        <v>14694</v>
      </c>
      <c r="U15" s="8">
        <f t="shared" si="10"/>
        <v>19273</v>
      </c>
      <c r="V15" s="8">
        <f>+V11-V14</f>
        <v>19702</v>
      </c>
      <c r="W15" s="8">
        <f>+W11-W14</f>
        <v>27394.025000000001</v>
      </c>
      <c r="X15" s="8">
        <f t="shared" ref="X15:AA15" si="11">+X11-X14</f>
        <v>33625.78</v>
      </c>
      <c r="Y15" s="8">
        <f t="shared" si="11"/>
        <v>41179.181000000004</v>
      </c>
      <c r="Z15" s="8">
        <f t="shared" si="11"/>
        <v>50326.0867</v>
      </c>
      <c r="AA15" s="8">
        <f t="shared" si="11"/>
        <v>61393.480490000002</v>
      </c>
    </row>
    <row r="16" spans="1:27" x14ac:dyDescent="0.15">
      <c r="B16" t="s">
        <v>22</v>
      </c>
      <c r="C16" s="8">
        <f>-406+40</f>
        <v>-366</v>
      </c>
      <c r="D16" s="8">
        <f>-406-143</f>
        <v>-549</v>
      </c>
      <c r="E16" s="8">
        <f>-405+113</f>
        <v>-292</v>
      </c>
      <c r="F16" s="8">
        <f>-406+124</f>
        <v>-282</v>
      </c>
      <c r="G16" s="8">
        <f>-405+132</f>
        <v>-273</v>
      </c>
      <c r="H16" s="8">
        <f>-926+185</f>
        <v>-741</v>
      </c>
      <c r="I16" s="8">
        <f>-1047+87</f>
        <v>-960</v>
      </c>
      <c r="J16" s="8">
        <f>-1064+82</f>
        <v>-982</v>
      </c>
      <c r="K16" s="8">
        <f>-916+52</f>
        <v>-864</v>
      </c>
      <c r="L16" s="3">
        <f>-873+103</f>
        <v>-770</v>
      </c>
      <c r="T16" s="8">
        <f>-1885+131</f>
        <v>-1754</v>
      </c>
      <c r="U16" s="8">
        <f>-1737-54</f>
        <v>-1791</v>
      </c>
      <c r="V16" s="8">
        <f>SUM(D16:G16)</f>
        <v>-1396</v>
      </c>
      <c r="W16" s="8">
        <f>+V16</f>
        <v>-1396</v>
      </c>
      <c r="X16" s="8">
        <f t="shared" ref="X16:AA16" si="12">+W16</f>
        <v>-1396</v>
      </c>
      <c r="Y16" s="8">
        <f t="shared" si="12"/>
        <v>-1396</v>
      </c>
      <c r="Z16" s="8">
        <f t="shared" si="12"/>
        <v>-1396</v>
      </c>
      <c r="AA16" s="8">
        <f t="shared" si="12"/>
        <v>-1396</v>
      </c>
    </row>
    <row r="17" spans="2:102" x14ac:dyDescent="0.15">
      <c r="B17" t="s">
        <v>23</v>
      </c>
      <c r="C17" s="8">
        <f t="shared" ref="C17:L17" si="13">+C15+C16</f>
        <v>4699</v>
      </c>
      <c r="D17" s="8">
        <f t="shared" si="13"/>
        <v>4449</v>
      </c>
      <c r="E17" s="8">
        <f t="shared" si="13"/>
        <v>4514</v>
      </c>
      <c r="F17" s="8">
        <f t="shared" si="13"/>
        <v>4576</v>
      </c>
      <c r="G17" s="8">
        <f t="shared" si="13"/>
        <v>4767</v>
      </c>
      <c r="H17" s="8">
        <f t="shared" si="13"/>
        <v>4226</v>
      </c>
      <c r="I17" s="8">
        <f t="shared" si="13"/>
        <v>4693</v>
      </c>
      <c r="J17" s="8">
        <f t="shared" si="13"/>
        <v>5504</v>
      </c>
      <c r="K17" s="8">
        <f t="shared" si="13"/>
        <v>6547</v>
      </c>
      <c r="L17" s="8">
        <f t="shared" si="13"/>
        <v>7671</v>
      </c>
      <c r="T17" s="8">
        <f>+T15+T16</f>
        <v>12940</v>
      </c>
      <c r="U17" s="8">
        <f>+U15+U16</f>
        <v>17482</v>
      </c>
      <c r="V17" s="8">
        <f>+V15+V16</f>
        <v>18306</v>
      </c>
      <c r="W17" s="8">
        <f>+W15+W16</f>
        <v>25998.025000000001</v>
      </c>
      <c r="X17" s="8">
        <f t="shared" ref="X17:AA17" si="14">+X15+X16</f>
        <v>32229.78</v>
      </c>
      <c r="Y17" s="8">
        <f t="shared" si="14"/>
        <v>39783.181000000004</v>
      </c>
      <c r="Z17" s="8">
        <f t="shared" si="14"/>
        <v>48930.0867</v>
      </c>
      <c r="AA17" s="8">
        <f t="shared" si="14"/>
        <v>59997.480490000002</v>
      </c>
    </row>
    <row r="18" spans="2:102" s="2" customFormat="1" x14ac:dyDescent="0.15">
      <c r="B18" s="2" t="s">
        <v>24</v>
      </c>
      <c r="C18" s="8">
        <v>261</v>
      </c>
      <c r="D18" s="8">
        <v>66</v>
      </c>
      <c r="E18" s="8">
        <v>235</v>
      </c>
      <c r="F18" s="8">
        <v>271</v>
      </c>
      <c r="G18" s="8">
        <v>443</v>
      </c>
      <c r="H18" s="8">
        <f>68+735</f>
        <v>803</v>
      </c>
      <c r="I18" s="8">
        <v>-116</v>
      </c>
      <c r="J18" s="8">
        <v>4238</v>
      </c>
      <c r="K18" s="8">
        <f>-442+1506</f>
        <v>1064</v>
      </c>
      <c r="L18" s="8">
        <f>-12+1286</f>
        <v>1274</v>
      </c>
      <c r="M18" s="8"/>
      <c r="N18" s="8"/>
      <c r="O18" s="8"/>
      <c r="P18" s="8"/>
      <c r="Q18" s="8"/>
      <c r="R18" s="8"/>
      <c r="S18" s="8"/>
      <c r="T18" s="8">
        <f>29+299</f>
        <v>328</v>
      </c>
      <c r="U18" s="8">
        <f>939+272</f>
        <v>1211</v>
      </c>
      <c r="V18" s="8">
        <f>SUM(D18:G18)</f>
        <v>1015</v>
      </c>
      <c r="W18" s="8">
        <f>+W17*0.1</f>
        <v>2599.8025000000002</v>
      </c>
      <c r="X18" s="8">
        <f>0.16*X17</f>
        <v>5156.7647999999999</v>
      </c>
      <c r="Y18" s="8">
        <f t="shared" ref="Y18:AA18" si="15">0.16*Y17</f>
        <v>6365.3089600000012</v>
      </c>
      <c r="Z18" s="8">
        <f t="shared" si="15"/>
        <v>7828.8138719999997</v>
      </c>
      <c r="AA18" s="8">
        <f t="shared" si="15"/>
        <v>9599.5968783999997</v>
      </c>
    </row>
    <row r="19" spans="2:102" x14ac:dyDescent="0.15">
      <c r="B19" t="s">
        <v>25</v>
      </c>
      <c r="C19" s="8">
        <f t="shared" ref="C19:L19" si="16">+C17-C18</f>
        <v>4438</v>
      </c>
      <c r="D19" s="8">
        <f t="shared" si="16"/>
        <v>4383</v>
      </c>
      <c r="E19" s="8">
        <f t="shared" si="16"/>
        <v>4279</v>
      </c>
      <c r="F19" s="8">
        <f t="shared" si="16"/>
        <v>4305</v>
      </c>
      <c r="G19" s="8">
        <f t="shared" si="16"/>
        <v>4324</v>
      </c>
      <c r="H19" s="8">
        <f t="shared" si="16"/>
        <v>3423</v>
      </c>
      <c r="I19" s="8">
        <f t="shared" si="16"/>
        <v>4809</v>
      </c>
      <c r="J19" s="8">
        <f t="shared" si="16"/>
        <v>1266</v>
      </c>
      <c r="K19" s="8">
        <f t="shared" si="16"/>
        <v>5483</v>
      </c>
      <c r="L19" s="8">
        <f t="shared" si="16"/>
        <v>6397</v>
      </c>
      <c r="T19" s="10">
        <f>+T17-T18</f>
        <v>12612</v>
      </c>
      <c r="U19" s="10">
        <f>+U17-U18</f>
        <v>16271</v>
      </c>
      <c r="V19" s="10">
        <f>+V17-V18</f>
        <v>17291</v>
      </c>
      <c r="W19" s="10">
        <f>+W17-W18</f>
        <v>23398.2225</v>
      </c>
      <c r="X19" s="10">
        <f t="shared" ref="X19:AA19" si="17">+X17-X18</f>
        <v>27073.015199999998</v>
      </c>
      <c r="Y19" s="10">
        <f t="shared" si="17"/>
        <v>33417.872040000002</v>
      </c>
      <c r="Z19" s="10">
        <f t="shared" si="17"/>
        <v>41101.272828000001</v>
      </c>
      <c r="AA19" s="10">
        <f t="shared" si="17"/>
        <v>50397.883611600002</v>
      </c>
      <c r="AB19" s="10">
        <f>+AA19*1.01</f>
        <v>50901.862447716005</v>
      </c>
      <c r="AC19" s="10">
        <f t="shared" ref="AC19:CN19" si="18">+AB19*1.01</f>
        <v>51410.881072193166</v>
      </c>
      <c r="AD19" s="10">
        <f t="shared" si="18"/>
        <v>51924.989882915099</v>
      </c>
      <c r="AE19" s="10">
        <f t="shared" si="18"/>
        <v>52444.239781744247</v>
      </c>
      <c r="AF19" s="10">
        <f t="shared" si="18"/>
        <v>52968.682179561692</v>
      </c>
      <c r="AG19" s="10">
        <f t="shared" si="18"/>
        <v>53498.369001357307</v>
      </c>
      <c r="AH19" s="10">
        <f t="shared" si="18"/>
        <v>54033.352691370877</v>
      </c>
      <c r="AI19" s="10">
        <f t="shared" si="18"/>
        <v>54573.686218284587</v>
      </c>
      <c r="AJ19" s="10">
        <f t="shared" si="18"/>
        <v>55119.42308046743</v>
      </c>
      <c r="AK19" s="10">
        <f t="shared" si="18"/>
        <v>55670.617311272108</v>
      </c>
      <c r="AL19" s="10">
        <f t="shared" si="18"/>
        <v>56227.323484384833</v>
      </c>
      <c r="AM19" s="10">
        <f t="shared" si="18"/>
        <v>56789.596719228684</v>
      </c>
      <c r="AN19" s="10">
        <f t="shared" si="18"/>
        <v>57357.49268642097</v>
      </c>
      <c r="AO19" s="10">
        <f t="shared" si="18"/>
        <v>57931.06761328518</v>
      </c>
      <c r="AP19" s="10">
        <f t="shared" si="18"/>
        <v>58510.378289418033</v>
      </c>
      <c r="AQ19" s="10">
        <f t="shared" si="18"/>
        <v>59095.482072312217</v>
      </c>
      <c r="AR19" s="10">
        <f t="shared" si="18"/>
        <v>59686.436893035338</v>
      </c>
      <c r="AS19" s="10">
        <f t="shared" si="18"/>
        <v>60283.301261965695</v>
      </c>
      <c r="AT19" s="10">
        <f t="shared" si="18"/>
        <v>60886.134274585354</v>
      </c>
      <c r="AU19" s="10">
        <f t="shared" si="18"/>
        <v>61494.995617331209</v>
      </c>
      <c r="AV19" s="10">
        <f t="shared" si="18"/>
        <v>62109.945573504519</v>
      </c>
      <c r="AW19" s="10">
        <f t="shared" si="18"/>
        <v>62731.045029239562</v>
      </c>
      <c r="AX19" s="10">
        <f t="shared" si="18"/>
        <v>63358.355479531958</v>
      </c>
      <c r="AY19" s="10">
        <f t="shared" si="18"/>
        <v>63991.939034327275</v>
      </c>
      <c r="AZ19" s="10">
        <f t="shared" si="18"/>
        <v>64631.85842467055</v>
      </c>
      <c r="BA19" s="10">
        <f t="shared" si="18"/>
        <v>65278.177008917257</v>
      </c>
      <c r="BB19" s="10">
        <f t="shared" si="18"/>
        <v>65930.958779006425</v>
      </c>
      <c r="BC19" s="10">
        <f t="shared" si="18"/>
        <v>66590.268366796488</v>
      </c>
      <c r="BD19" s="10">
        <f t="shared" si="18"/>
        <v>67256.171050464458</v>
      </c>
      <c r="BE19" s="10">
        <f t="shared" si="18"/>
        <v>67928.732760969098</v>
      </c>
      <c r="BF19" s="10">
        <f t="shared" si="18"/>
        <v>68608.020088578793</v>
      </c>
      <c r="BG19" s="10">
        <f t="shared" si="18"/>
        <v>69294.100289464579</v>
      </c>
      <c r="BH19" s="10">
        <f t="shared" si="18"/>
        <v>69987.041292359223</v>
      </c>
      <c r="BI19" s="10">
        <f t="shared" si="18"/>
        <v>70686.911705282822</v>
      </c>
      <c r="BJ19" s="10">
        <f t="shared" si="18"/>
        <v>71393.780822335655</v>
      </c>
      <c r="BK19" s="10">
        <f t="shared" si="18"/>
        <v>72107.718630559015</v>
      </c>
      <c r="BL19" s="10">
        <f t="shared" si="18"/>
        <v>72828.7958168646</v>
      </c>
      <c r="BM19" s="10">
        <f t="shared" si="18"/>
        <v>73557.083775033243</v>
      </c>
      <c r="BN19" s="10">
        <f t="shared" si="18"/>
        <v>74292.654612783575</v>
      </c>
      <c r="BO19" s="10">
        <f t="shared" si="18"/>
        <v>75035.581158911416</v>
      </c>
      <c r="BP19" s="10">
        <f t="shared" si="18"/>
        <v>75785.936970500537</v>
      </c>
      <c r="BQ19" s="10">
        <f t="shared" si="18"/>
        <v>76543.796340205547</v>
      </c>
      <c r="BR19" s="10">
        <f t="shared" si="18"/>
        <v>77309.234303607605</v>
      </c>
      <c r="BS19" s="10">
        <f t="shared" si="18"/>
        <v>78082.326646643676</v>
      </c>
      <c r="BT19" s="10">
        <f t="shared" si="18"/>
        <v>78863.149913110115</v>
      </c>
      <c r="BU19" s="10">
        <f t="shared" si="18"/>
        <v>79651.781412241224</v>
      </c>
      <c r="BV19" s="10">
        <f t="shared" si="18"/>
        <v>80448.299226363641</v>
      </c>
      <c r="BW19" s="10">
        <f t="shared" si="18"/>
        <v>81252.782218627282</v>
      </c>
      <c r="BX19" s="10">
        <f t="shared" si="18"/>
        <v>82065.310040813551</v>
      </c>
      <c r="BY19" s="10">
        <f t="shared" si="18"/>
        <v>82885.963141221684</v>
      </c>
      <c r="BZ19" s="10">
        <f t="shared" si="18"/>
        <v>83714.822772633896</v>
      </c>
      <c r="CA19" s="10">
        <f t="shared" si="18"/>
        <v>84551.971000360238</v>
      </c>
      <c r="CB19" s="10">
        <f t="shared" si="18"/>
        <v>85397.49071036384</v>
      </c>
      <c r="CC19" s="10">
        <f t="shared" si="18"/>
        <v>86251.465617467475</v>
      </c>
      <c r="CD19" s="10">
        <f t="shared" si="18"/>
        <v>87113.980273642155</v>
      </c>
      <c r="CE19" s="10">
        <f t="shared" si="18"/>
        <v>87985.120076378575</v>
      </c>
      <c r="CF19" s="10">
        <f t="shared" si="18"/>
        <v>88864.971277142366</v>
      </c>
      <c r="CG19" s="10">
        <f t="shared" si="18"/>
        <v>89753.62098991379</v>
      </c>
      <c r="CH19" s="10">
        <f t="shared" si="18"/>
        <v>90651.157199812922</v>
      </c>
      <c r="CI19" s="10">
        <f t="shared" si="18"/>
        <v>91557.668771811048</v>
      </c>
      <c r="CJ19" s="10">
        <f t="shared" si="18"/>
        <v>92473.245459529164</v>
      </c>
      <c r="CK19" s="10">
        <f t="shared" si="18"/>
        <v>93397.977914124451</v>
      </c>
      <c r="CL19" s="10">
        <f t="shared" si="18"/>
        <v>94331.957693265693</v>
      </c>
      <c r="CM19" s="10">
        <f t="shared" si="18"/>
        <v>95275.277270198349</v>
      </c>
      <c r="CN19" s="10">
        <f t="shared" si="18"/>
        <v>96228.03004290034</v>
      </c>
      <c r="CO19" s="10">
        <f t="shared" ref="CO19:CX19" si="19">+CN19*1.01</f>
        <v>97190.310343329344</v>
      </c>
      <c r="CP19" s="10">
        <f t="shared" si="19"/>
        <v>98162.213446762631</v>
      </c>
      <c r="CQ19" s="10">
        <f t="shared" si="19"/>
        <v>99143.835581230262</v>
      </c>
      <c r="CR19" s="10">
        <f t="shared" si="19"/>
        <v>100135.27393704257</v>
      </c>
      <c r="CS19" s="10">
        <f t="shared" si="19"/>
        <v>101136.626676413</v>
      </c>
      <c r="CT19" s="10">
        <f t="shared" si="19"/>
        <v>102147.99294317713</v>
      </c>
      <c r="CU19" s="10">
        <f t="shared" si="19"/>
        <v>103169.47287260891</v>
      </c>
      <c r="CV19" s="10">
        <f t="shared" si="19"/>
        <v>104201.16760133499</v>
      </c>
      <c r="CW19" s="10">
        <f t="shared" si="19"/>
        <v>105243.17927734835</v>
      </c>
      <c r="CX19" s="10">
        <f t="shared" si="19"/>
        <v>106295.61107012183</v>
      </c>
    </row>
    <row r="20" spans="2:102" x14ac:dyDescent="0.15">
      <c r="B20" t="s">
        <v>75</v>
      </c>
      <c r="C20" s="11">
        <f t="shared" ref="C20:L20" si="20">+C19/C21</f>
        <v>1.0344988344988344</v>
      </c>
      <c r="D20" s="11">
        <f t="shared" si="20"/>
        <v>1.0216783216783216</v>
      </c>
      <c r="E20" s="11">
        <f t="shared" si="20"/>
        <v>1.0021077283372366</v>
      </c>
      <c r="F20" s="11">
        <f t="shared" si="20"/>
        <v>1.0081967213114753</v>
      </c>
      <c r="G20" s="11">
        <f t="shared" si="20"/>
        <v>1.0126463700234192</v>
      </c>
      <c r="H20" s="11">
        <f t="shared" si="20"/>
        <v>0.73297644539614559</v>
      </c>
      <c r="I20" s="11">
        <f t="shared" si="20"/>
        <v>1.0018750000000001</v>
      </c>
      <c r="J20" s="11">
        <f t="shared" si="20"/>
        <v>0.27149903495603689</v>
      </c>
      <c r="K20" s="11">
        <f t="shared" si="20"/>
        <v>1.1356669428334714</v>
      </c>
      <c r="L20" s="11">
        <f t="shared" si="20"/>
        <v>1.3227874276261373</v>
      </c>
      <c r="T20" s="11">
        <f>+T19/T21</f>
        <v>2.9398601398601398</v>
      </c>
      <c r="U20" s="11">
        <f>+U19/U21</f>
        <v>3.8465721040189127</v>
      </c>
      <c r="V20" s="11">
        <f>+V19/V21</f>
        <v>3.9567505720823797</v>
      </c>
      <c r="W20" s="11">
        <f>+W19/W21</f>
        <v>4.8746296874999997</v>
      </c>
      <c r="X20" s="11">
        <f t="shared" ref="X20:AA20" si="21">+X19/X21</f>
        <v>5.6402114999999995</v>
      </c>
      <c r="Y20" s="11">
        <f t="shared" si="21"/>
        <v>6.9620566750000004</v>
      </c>
      <c r="Z20" s="11">
        <f t="shared" si="21"/>
        <v>8.5627651725000007</v>
      </c>
      <c r="AA20" s="11">
        <f t="shared" si="21"/>
        <v>10.499559085750001</v>
      </c>
    </row>
    <row r="21" spans="2:102" x14ac:dyDescent="0.15">
      <c r="B21" t="s">
        <v>1</v>
      </c>
      <c r="C21" s="8">
        <v>4290</v>
      </c>
      <c r="D21" s="8">
        <v>4290</v>
      </c>
      <c r="E21" s="8">
        <v>4270</v>
      </c>
      <c r="F21" s="8">
        <v>4270</v>
      </c>
      <c r="G21" s="8">
        <v>4270</v>
      </c>
      <c r="H21" s="8">
        <v>4670</v>
      </c>
      <c r="I21" s="8">
        <f>480*10</f>
        <v>4800</v>
      </c>
      <c r="J21" s="8">
        <v>4663</v>
      </c>
      <c r="K21" s="8">
        <v>4828</v>
      </c>
      <c r="L21" s="8">
        <v>4836</v>
      </c>
      <c r="T21" s="8">
        <v>4290</v>
      </c>
      <c r="U21" s="8">
        <v>4230</v>
      </c>
      <c r="V21" s="8">
        <f>AVERAGE(E21:H21)</f>
        <v>4370</v>
      </c>
      <c r="W21" s="8">
        <f>+I21</f>
        <v>4800</v>
      </c>
      <c r="X21" s="8">
        <v>4800</v>
      </c>
      <c r="Y21" s="8">
        <v>4800</v>
      </c>
      <c r="Z21" s="8">
        <v>4800</v>
      </c>
      <c r="AA21" s="8">
        <v>4800</v>
      </c>
    </row>
    <row r="25" spans="2:102" x14ac:dyDescent="0.15">
      <c r="B25" t="s">
        <v>12</v>
      </c>
      <c r="G25" s="9">
        <f t="shared" ref="G25:L25" si="22">+G9/C9-1</f>
        <v>4.0873460246360516E-2</v>
      </c>
      <c r="H25" s="9">
        <f t="shared" si="22"/>
        <v>0.34167134043746494</v>
      </c>
      <c r="I25" s="9">
        <f t="shared" si="22"/>
        <v>0.42986373525707089</v>
      </c>
      <c r="J25" s="9">
        <f t="shared" si="22"/>
        <v>0.47273546642631814</v>
      </c>
      <c r="K25" s="9">
        <f t="shared" si="22"/>
        <v>0.51199569661108124</v>
      </c>
      <c r="L25" s="9">
        <f t="shared" si="22"/>
        <v>0.24705292199648854</v>
      </c>
      <c r="M25" s="9"/>
      <c r="N25" s="9"/>
      <c r="O25" s="9"/>
      <c r="P25" s="9"/>
      <c r="Q25" s="9"/>
      <c r="R25" s="9"/>
      <c r="U25" s="9">
        <f>+U9/T9-1</f>
        <v>0.20958105646630232</v>
      </c>
      <c r="V25" s="9">
        <f>+V9/U9-1</f>
        <v>7.8788061319760239E-2</v>
      </c>
      <c r="W25" s="9">
        <f>+W9/V9-1</f>
        <v>0.30000000000000004</v>
      </c>
    </row>
    <row r="26" spans="2:102" x14ac:dyDescent="0.15">
      <c r="B26" t="s">
        <v>15</v>
      </c>
      <c r="C26" s="9">
        <f t="shared" ref="C26:G26" si="23">+C11/C9</f>
        <v>0.7426651735722285</v>
      </c>
      <c r="D26" s="9">
        <f t="shared" si="23"/>
        <v>0.7337072349971957</v>
      </c>
      <c r="E26" s="9">
        <f t="shared" si="23"/>
        <v>0.75071567617084622</v>
      </c>
      <c r="F26" s="9">
        <f t="shared" si="23"/>
        <v>0.74402884182063989</v>
      </c>
      <c r="G26" s="9">
        <f t="shared" si="23"/>
        <v>0.7365250134480904</v>
      </c>
      <c r="H26" s="9">
        <f>+H11/H9</f>
        <v>0.73965387509405567</v>
      </c>
      <c r="I26" s="9">
        <f>+I11/I9</f>
        <v>0.74837831344598382</v>
      </c>
      <c r="J26" s="9">
        <f>+J11/J9</f>
        <v>0.76032741738066101</v>
      </c>
      <c r="K26" s="9">
        <f>+K11/K9</f>
        <v>0.75814714671979511</v>
      </c>
      <c r="L26" s="9">
        <f>+L11/L9</f>
        <v>0.78057119871279168</v>
      </c>
      <c r="T26" s="9">
        <f>+T11/T9</f>
        <v>0.76120218579234977</v>
      </c>
      <c r="U26" s="9">
        <f>+U11/U9</f>
        <v>0.77023160557780923</v>
      </c>
      <c r="V26" s="9">
        <f>+V11/V9</f>
        <v>0.74114296881543318</v>
      </c>
      <c r="W26" s="9">
        <f>+W11/W9</f>
        <v>0.75</v>
      </c>
      <c r="AC26" s="15">
        <v>802132.33342255943</v>
      </c>
    </row>
    <row r="27" spans="2:102" x14ac:dyDescent="0.15">
      <c r="B27" t="s">
        <v>21</v>
      </c>
      <c r="C27" s="9">
        <f t="shared" ref="C27:G27" si="24">+C15/C9</f>
        <v>0.56718924972004481</v>
      </c>
      <c r="D27" s="9">
        <f t="shared" si="24"/>
        <v>0.56062815479528882</v>
      </c>
      <c r="E27" s="9">
        <f t="shared" si="24"/>
        <v>0.55032634833390592</v>
      </c>
      <c r="F27" s="9">
        <f t="shared" si="24"/>
        <v>0.54731861198738174</v>
      </c>
      <c r="G27" s="9">
        <f t="shared" si="24"/>
        <v>0.54222700376546529</v>
      </c>
      <c r="H27" s="9">
        <f>+H15/H9</f>
        <v>0.41526628208343785</v>
      </c>
      <c r="I27" s="9">
        <f>+I15/I9</f>
        <v>0.45271081925202211</v>
      </c>
      <c r="J27" s="9">
        <f>+J15/J9</f>
        <v>0.49617503059975521</v>
      </c>
      <c r="K27" s="9">
        <f>+K15/K9</f>
        <v>0.52732318201223849</v>
      </c>
      <c r="L27" s="9">
        <f>+L15/L9</f>
        <v>0.56590238669884685</v>
      </c>
      <c r="T27" s="9">
        <f>+T15/T9</f>
        <v>0.53530054644808744</v>
      </c>
      <c r="U27" s="9">
        <f>+U15/U9</f>
        <v>0.58045959702436523</v>
      </c>
      <c r="V27" s="9">
        <f>+V15/V9</f>
        <v>0.55004327312320278</v>
      </c>
      <c r="W27" s="9">
        <f>+W15/W9</f>
        <v>0.58830025749118964</v>
      </c>
      <c r="AC27" s="15">
        <f>AC26+Main!J6-Main!J5</f>
        <v>859404.33342255943</v>
      </c>
    </row>
    <row r="28" spans="2:102" x14ac:dyDescent="0.15">
      <c r="B28" t="s">
        <v>89</v>
      </c>
      <c r="L28" s="3">
        <f>L18/L17</f>
        <v>0.16608004171555207</v>
      </c>
      <c r="AC28" s="15">
        <f>AC27/4370</f>
        <v>196.66003053147813</v>
      </c>
    </row>
    <row r="29" spans="2:102" x14ac:dyDescent="0.15">
      <c r="AC29" s="16">
        <v>45228</v>
      </c>
    </row>
    <row r="30" spans="2:102" x14ac:dyDescent="0.15">
      <c r="B30" t="s">
        <v>87</v>
      </c>
      <c r="L30" s="8">
        <f>+L31-L42</f>
        <v>-57272</v>
      </c>
    </row>
    <row r="31" spans="2:102" s="2" customFormat="1" x14ac:dyDescent="0.15">
      <c r="B31" s="2" t="s">
        <v>3</v>
      </c>
      <c r="C31" s="8"/>
      <c r="D31" s="8"/>
      <c r="E31" s="8"/>
      <c r="F31" s="8"/>
      <c r="G31" s="8"/>
      <c r="H31" s="8">
        <v>11864</v>
      </c>
      <c r="I31" s="8">
        <v>9809</v>
      </c>
      <c r="J31" s="8">
        <v>9952</v>
      </c>
      <c r="K31" s="8"/>
      <c r="L31" s="8">
        <v>9307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2:102" s="2" customFormat="1" x14ac:dyDescent="0.15">
      <c r="B32" s="2" t="s">
        <v>26</v>
      </c>
      <c r="C32" s="8"/>
      <c r="D32" s="8"/>
      <c r="E32" s="8"/>
      <c r="F32" s="8"/>
      <c r="G32" s="8"/>
      <c r="H32" s="8">
        <v>4969</v>
      </c>
      <c r="I32" s="8">
        <v>5500</v>
      </c>
      <c r="J32" s="8">
        <v>4665</v>
      </c>
      <c r="K32" s="8"/>
      <c r="L32" s="8">
        <v>4955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2:24" s="2" customFormat="1" x14ac:dyDescent="0.15">
      <c r="B33" s="2" t="s">
        <v>27</v>
      </c>
      <c r="C33" s="8"/>
      <c r="D33" s="8"/>
      <c r="E33" s="8"/>
      <c r="F33" s="8"/>
      <c r="G33" s="8"/>
      <c r="H33" s="8">
        <v>1920</v>
      </c>
      <c r="I33" s="8">
        <v>1842</v>
      </c>
      <c r="J33" s="8">
        <v>1894</v>
      </c>
      <c r="K33" s="8"/>
      <c r="L33" s="8">
        <v>1908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2:24" s="2" customFormat="1" x14ac:dyDescent="0.15">
      <c r="B34" s="2" t="s">
        <v>28</v>
      </c>
      <c r="C34" s="8"/>
      <c r="D34" s="8"/>
      <c r="E34" s="8"/>
      <c r="F34" s="8"/>
      <c r="G34" s="8"/>
      <c r="H34" s="8">
        <v>8439</v>
      </c>
      <c r="I34" s="8">
        <v>8151</v>
      </c>
      <c r="J34" s="8">
        <v>3436</v>
      </c>
      <c r="K34" s="8"/>
      <c r="L34" s="8">
        <v>4820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2:24" s="2" customFormat="1" x14ac:dyDescent="0.15">
      <c r="B35" s="2" t="s">
        <v>29</v>
      </c>
      <c r="C35" s="8"/>
      <c r="D35" s="8"/>
      <c r="E35" s="8"/>
      <c r="F35" s="8"/>
      <c r="G35" s="8"/>
      <c r="H35" s="8">
        <v>2662</v>
      </c>
      <c r="I35" s="8">
        <v>2668</v>
      </c>
      <c r="J35" s="8">
        <v>2602</v>
      </c>
      <c r="K35" s="8"/>
      <c r="L35" s="8">
        <v>2465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2:24" s="2" customFormat="1" x14ac:dyDescent="0.15">
      <c r="B36" s="2" t="s">
        <v>31</v>
      </c>
      <c r="C36" s="8"/>
      <c r="D36" s="8"/>
      <c r="E36" s="8"/>
      <c r="F36" s="8"/>
      <c r="G36" s="8"/>
      <c r="H36" s="8">
        <f>97586+47185</f>
        <v>144771</v>
      </c>
      <c r="I36" s="8">
        <f>97873+45407</f>
        <v>143280</v>
      </c>
      <c r="J36" s="8">
        <f>97873+43034</f>
        <v>140907</v>
      </c>
      <c r="K36" s="8"/>
      <c r="L36" s="8">
        <f>97871+38583</f>
        <v>136454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2:24" s="2" customFormat="1" x14ac:dyDescent="0.15">
      <c r="B37" s="2" t="s">
        <v>30</v>
      </c>
      <c r="C37" s="8"/>
      <c r="D37" s="8"/>
      <c r="E37" s="8"/>
      <c r="F37" s="8"/>
      <c r="G37" s="8"/>
      <c r="H37" s="8">
        <v>3245</v>
      </c>
      <c r="I37" s="8">
        <v>3961</v>
      </c>
      <c r="J37" s="8">
        <v>4510</v>
      </c>
      <c r="K37" s="8"/>
      <c r="L37" s="8">
        <v>5449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2:24" s="2" customFormat="1" x14ac:dyDescent="0.15">
      <c r="B38" s="2" t="s">
        <v>32</v>
      </c>
      <c r="C38" s="8"/>
      <c r="D38" s="8"/>
      <c r="E38" s="8"/>
      <c r="F38" s="8"/>
      <c r="G38" s="8"/>
      <c r="H38" s="8">
        <f>SUM(H31:H37)</f>
        <v>177870</v>
      </c>
      <c r="I38" s="8">
        <f>SUM(I31:I37)</f>
        <v>175211</v>
      </c>
      <c r="J38" s="8">
        <f>SUM(J31:J37)</f>
        <v>167966</v>
      </c>
      <c r="K38" s="8">
        <f>SUM(K31:K37)</f>
        <v>0</v>
      </c>
      <c r="L38" s="8">
        <f>SUM(L31:L37)</f>
        <v>165358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2:24" s="2" customFormat="1" x14ac:dyDescent="0.1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2:24" s="2" customFormat="1" x14ac:dyDescent="0.15">
      <c r="B40" s="2" t="s">
        <v>33</v>
      </c>
      <c r="C40" s="8"/>
      <c r="D40" s="8"/>
      <c r="E40" s="8"/>
      <c r="F40" s="8"/>
      <c r="G40" s="8"/>
      <c r="H40" s="8">
        <v>1496</v>
      </c>
      <c r="I40" s="8">
        <v>1441</v>
      </c>
      <c r="J40" s="8">
        <v>1757</v>
      </c>
      <c r="K40" s="8"/>
      <c r="L40" s="8">
        <v>1905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2:24" s="2" customFormat="1" x14ac:dyDescent="0.15">
      <c r="B41" s="2" t="s">
        <v>34</v>
      </c>
      <c r="C41" s="8"/>
      <c r="D41" s="8"/>
      <c r="E41" s="8"/>
      <c r="F41" s="8"/>
      <c r="G41" s="8"/>
      <c r="H41" s="8">
        <v>1128</v>
      </c>
      <c r="I41" s="8">
        <v>1385</v>
      </c>
      <c r="J41" s="8">
        <v>1725</v>
      </c>
      <c r="K41" s="8"/>
      <c r="L41" s="8">
        <v>922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2:24" s="2" customFormat="1" x14ac:dyDescent="0.15">
      <c r="B42" s="2" t="s">
        <v>4</v>
      </c>
      <c r="C42" s="8"/>
      <c r="D42" s="8"/>
      <c r="E42" s="8"/>
      <c r="F42" s="8"/>
      <c r="G42" s="8"/>
      <c r="H42" s="8">
        <f>2433+73468</f>
        <v>75901</v>
      </c>
      <c r="I42" s="8">
        <f>2426+71590</f>
        <v>74016</v>
      </c>
      <c r="J42" s="8">
        <f>12578+66798</f>
        <v>79376</v>
      </c>
      <c r="K42" s="8"/>
      <c r="L42" s="8">
        <f>5653+60926</f>
        <v>66579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2:24" s="2" customFormat="1" x14ac:dyDescent="0.15">
      <c r="B43" s="2" t="s">
        <v>35</v>
      </c>
      <c r="C43" s="8"/>
      <c r="D43" s="8"/>
      <c r="E43" s="8"/>
      <c r="F43" s="8"/>
      <c r="G43" s="8"/>
      <c r="H43" s="8">
        <v>15312</v>
      </c>
      <c r="I43" s="8">
        <v>14919</v>
      </c>
      <c r="J43" s="8">
        <v>3161</v>
      </c>
      <c r="K43" s="8"/>
      <c r="L43" s="8">
        <v>12430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2:24" s="2" customFormat="1" x14ac:dyDescent="0.15">
      <c r="B44" s="2" t="s">
        <v>36</v>
      </c>
      <c r="C44" s="8"/>
      <c r="D44" s="8"/>
      <c r="E44" s="8"/>
      <c r="F44" s="8"/>
      <c r="G44" s="8"/>
      <c r="H44" s="8">
        <v>13749</v>
      </c>
      <c r="I44" s="8">
        <v>13489</v>
      </c>
      <c r="J44" s="8">
        <v>16296</v>
      </c>
      <c r="K44" s="8"/>
      <c r="L44" s="8">
        <v>13733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2:24" s="2" customFormat="1" x14ac:dyDescent="0.15">
      <c r="B45" s="2" t="s">
        <v>37</v>
      </c>
      <c r="C45" s="8"/>
      <c r="D45" s="8"/>
      <c r="E45" s="8"/>
      <c r="F45" s="8"/>
      <c r="G45" s="8"/>
      <c r="H45" s="8">
        <v>70284</v>
      </c>
      <c r="I45" s="8">
        <v>69961</v>
      </c>
      <c r="J45" s="8">
        <v>65651</v>
      </c>
      <c r="K45" s="8"/>
      <c r="L45" s="8">
        <v>69789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2:24" s="2" customFormat="1" x14ac:dyDescent="0.15">
      <c r="B46" s="2" t="s">
        <v>38</v>
      </c>
      <c r="C46" s="8"/>
      <c r="D46" s="8"/>
      <c r="E46" s="8"/>
      <c r="F46" s="8"/>
      <c r="G46" s="8"/>
      <c r="H46" s="8">
        <f>SUM(H40:H45)</f>
        <v>177870</v>
      </c>
      <c r="I46" s="8">
        <f>SUM(I40:I45)</f>
        <v>175211</v>
      </c>
      <c r="J46" s="8">
        <f>SUM(J40:J45)</f>
        <v>167966</v>
      </c>
      <c r="K46" s="8">
        <f>SUM(K40:K45)</f>
        <v>0</v>
      </c>
      <c r="L46" s="8">
        <f>SUM(L40:L45)</f>
        <v>165358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8" spans="2:24" x14ac:dyDescent="0.15">
      <c r="B48" t="s">
        <v>39</v>
      </c>
      <c r="H48" s="8">
        <f>+H19</f>
        <v>3423</v>
      </c>
      <c r="I48" s="8">
        <f>+I19</f>
        <v>4809</v>
      </c>
      <c r="J48" s="8">
        <f>+J19</f>
        <v>1266</v>
      </c>
    </row>
    <row r="49" spans="2:22" x14ac:dyDescent="0.15">
      <c r="B49" t="s">
        <v>40</v>
      </c>
      <c r="H49" s="8">
        <v>1325</v>
      </c>
      <c r="I49" s="8">
        <v>2121</v>
      </c>
      <c r="J49" s="8">
        <f>1571-I49-H49</f>
        <v>-1875</v>
      </c>
    </row>
    <row r="50" spans="2:22" x14ac:dyDescent="0.15">
      <c r="B50" t="s">
        <v>41</v>
      </c>
      <c r="H50" s="8">
        <v>2206</v>
      </c>
      <c r="I50" s="8">
        <v>2381</v>
      </c>
      <c r="J50" s="8">
        <f>6962-I50-H50</f>
        <v>2375</v>
      </c>
    </row>
    <row r="51" spans="2:22" x14ac:dyDescent="0.15">
      <c r="B51" t="s">
        <v>43</v>
      </c>
      <c r="H51" s="8">
        <v>139</v>
      </c>
      <c r="I51" s="8">
        <v>149</v>
      </c>
      <c r="J51" s="8">
        <f>437-I51-H51</f>
        <v>149</v>
      </c>
    </row>
    <row r="52" spans="2:22" x14ac:dyDescent="0.15">
      <c r="B52" t="s">
        <v>42</v>
      </c>
      <c r="H52" s="8">
        <v>1582</v>
      </c>
      <c r="I52" s="8">
        <v>1457</v>
      </c>
      <c r="J52" s="8">
        <f>4427-I52-H52</f>
        <v>1388</v>
      </c>
    </row>
    <row r="53" spans="2:22" x14ac:dyDescent="0.15">
      <c r="B53" t="s">
        <v>46</v>
      </c>
      <c r="H53" s="8">
        <v>-294</v>
      </c>
      <c r="I53" s="8">
        <v>-511</v>
      </c>
      <c r="J53" s="8">
        <f>2833-I53-H53</f>
        <v>3638</v>
      </c>
    </row>
    <row r="54" spans="2:22" x14ac:dyDescent="0.15">
      <c r="B54" t="s">
        <v>47</v>
      </c>
      <c r="H54" s="8">
        <v>102</v>
      </c>
      <c r="I54" s="8">
        <v>119</v>
      </c>
      <c r="J54" s="8">
        <f>336-I54-H54</f>
        <v>115</v>
      </c>
    </row>
    <row r="55" spans="2:22" x14ac:dyDescent="0.15">
      <c r="B55" t="s">
        <v>48</v>
      </c>
      <c r="H55" s="8">
        <v>38</v>
      </c>
      <c r="I55" s="8">
        <v>92</v>
      </c>
      <c r="J55" s="8">
        <f>266+105-I55-H55</f>
        <v>241</v>
      </c>
    </row>
    <row r="56" spans="2:22" x14ac:dyDescent="0.15">
      <c r="B56" t="s">
        <v>45</v>
      </c>
      <c r="H56" s="8">
        <f>1756-14-74-660-2182+891</f>
        <v>-283</v>
      </c>
      <c r="I56" s="8">
        <f>-513+82-93+251-386-569</f>
        <v>-1228</v>
      </c>
      <c r="J56" s="8">
        <f>2078+16+206-118-3913-848-I56-H56</f>
        <v>-1068</v>
      </c>
    </row>
    <row r="57" spans="2:22" x14ac:dyDescent="0.15">
      <c r="B57" t="s">
        <v>44</v>
      </c>
      <c r="H57" s="10">
        <f>SUM(H49:H56)</f>
        <v>4815</v>
      </c>
      <c r="I57" s="10">
        <f>SUM(I49:I56)</f>
        <v>4580</v>
      </c>
      <c r="J57" s="10">
        <f>SUM(J49:J56)</f>
        <v>4963</v>
      </c>
      <c r="T57" s="10">
        <v>13764</v>
      </c>
      <c r="U57" s="10">
        <v>16736</v>
      </c>
      <c r="V57" s="10">
        <v>18085</v>
      </c>
    </row>
    <row r="71" spans="2:7" x14ac:dyDescent="0.15">
      <c r="B71" t="s">
        <v>65</v>
      </c>
      <c r="G71" s="3">
        <v>20000</v>
      </c>
    </row>
  </sheetData>
  <hyperlinks>
    <hyperlink ref="A1" location="Main!A1" display="Main" xr:uid="{858460FE-A70E-435C-889B-8559D29B5B8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Todate Model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Zhuping Liu</cp:lastModifiedBy>
  <dcterms:created xsi:type="dcterms:W3CDTF">2024-07-31T16:37:40Z</dcterms:created>
  <dcterms:modified xsi:type="dcterms:W3CDTF">2025-07-19T22:14:43Z</dcterms:modified>
</cp:coreProperties>
</file>