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avidliu/Downloads/"/>
    </mc:Choice>
  </mc:AlternateContent>
  <xr:revisionPtr revIDLastSave="0" documentId="13_ncr:1_{5C077403-3B14-3D45-B886-59406CF23DDB}" xr6:coauthVersionLast="47" xr6:coauthVersionMax="47" xr10:uidLastSave="{00000000-0000-0000-0000-000000000000}"/>
  <bookViews>
    <workbookView xWindow="0" yWindow="500" windowWidth="28800" windowHeight="15520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4" i="2" l="1"/>
  <c r="AI34" i="2"/>
  <c r="AL21" i="2"/>
  <c r="AM21" i="2"/>
  <c r="AN21" i="2"/>
  <c r="AO21" i="2"/>
  <c r="AK21" i="2"/>
  <c r="AJ21" i="2"/>
  <c r="AJ39" i="2"/>
  <c r="AI21" i="2"/>
  <c r="AE39" i="2"/>
  <c r="AF39" i="2"/>
  <c r="AG39" i="2"/>
  <c r="AH39" i="2"/>
  <c r="AI39" i="2"/>
  <c r="AD39" i="2"/>
  <c r="Z19" i="2"/>
  <c r="Y19" i="2"/>
  <c r="G6" i="1"/>
  <c r="G5" i="1"/>
  <c r="Y26" i="2"/>
  <c r="Y18" i="2"/>
  <c r="X26" i="2"/>
  <c r="X19" i="2"/>
  <c r="X18" i="2"/>
  <c r="AG18" i="2"/>
  <c r="U57" i="2"/>
  <c r="U52" i="2"/>
  <c r="U60" i="2" s="1"/>
  <c r="U47" i="2"/>
  <c r="U43" i="2"/>
  <c r="T84" i="2"/>
  <c r="U84" i="2" s="1"/>
  <c r="T82" i="2"/>
  <c r="U82" i="2" s="1"/>
  <c r="V82" i="2" s="1"/>
  <c r="T80" i="2"/>
  <c r="U80" i="2" s="1"/>
  <c r="V80" i="2" s="1"/>
  <c r="T79" i="2"/>
  <c r="T73" i="2"/>
  <c r="U73" i="2" s="1"/>
  <c r="V73" i="2" s="1"/>
  <c r="T72" i="2"/>
  <c r="U72" i="2" s="1"/>
  <c r="T68" i="2"/>
  <c r="U68" i="2" s="1"/>
  <c r="V68" i="2" s="1"/>
  <c r="T67" i="2"/>
  <c r="U67" i="2" s="1"/>
  <c r="V67" i="2" s="1"/>
  <c r="T66" i="2"/>
  <c r="U66" i="2" s="1"/>
  <c r="V66" i="2" s="1"/>
  <c r="T65" i="2"/>
  <c r="U65" i="2" s="1"/>
  <c r="V65" i="2" s="1"/>
  <c r="T64" i="2"/>
  <c r="U64" i="2" s="1"/>
  <c r="V64" i="2" s="1"/>
  <c r="T63" i="2"/>
  <c r="U63" i="2" s="1"/>
  <c r="V63" i="2" s="1"/>
  <c r="T57" i="2"/>
  <c r="T52" i="2"/>
  <c r="T47" i="2"/>
  <c r="T43" i="2"/>
  <c r="S81" i="2"/>
  <c r="T81" i="2" s="1"/>
  <c r="U81" i="2" s="1"/>
  <c r="V81" i="2" s="1"/>
  <c r="S79" i="2"/>
  <c r="S83" i="2" s="1"/>
  <c r="S74" i="2"/>
  <c r="T74" i="2" s="1"/>
  <c r="S69" i="2"/>
  <c r="T69" i="2" s="1"/>
  <c r="U69" i="2" s="1"/>
  <c r="V69" i="2" s="1"/>
  <c r="S57" i="2"/>
  <c r="S52" i="2"/>
  <c r="S60" i="2" s="1"/>
  <c r="Z31" i="2"/>
  <c r="Y24" i="2"/>
  <c r="X24" i="2"/>
  <c r="R42" i="2"/>
  <c r="R50" i="2"/>
  <c r="S47" i="2"/>
  <c r="S43" i="2"/>
  <c r="T26" i="2"/>
  <c r="T24" i="2"/>
  <c r="T19" i="2"/>
  <c r="U26" i="2"/>
  <c r="U24" i="2"/>
  <c r="U19" i="2"/>
  <c r="W81" i="2"/>
  <c r="W79" i="2"/>
  <c r="W74" i="2"/>
  <c r="W75" i="2" s="1"/>
  <c r="W69" i="2"/>
  <c r="W70" i="2" s="1"/>
  <c r="S26" i="2"/>
  <c r="S24" i="2"/>
  <c r="S19" i="2"/>
  <c r="AI19" i="2" s="1"/>
  <c r="AF18" i="2"/>
  <c r="W57" i="2"/>
  <c r="W52" i="2"/>
  <c r="W47" i="2"/>
  <c r="W43" i="2"/>
  <c r="W26" i="2"/>
  <c r="W24" i="2"/>
  <c r="W19" i="2"/>
  <c r="AJ19" i="2" s="1"/>
  <c r="W18" i="2"/>
  <c r="W20" i="2" s="1"/>
  <c r="V57" i="2"/>
  <c r="V52" i="2"/>
  <c r="V47" i="2"/>
  <c r="V43" i="2"/>
  <c r="V26" i="2"/>
  <c r="V24" i="2"/>
  <c r="V19" i="2"/>
  <c r="V13" i="2"/>
  <c r="V18" i="2" s="1"/>
  <c r="U13" i="2"/>
  <c r="U18" i="2" s="1"/>
  <c r="T13" i="2"/>
  <c r="T18" i="2" s="1"/>
  <c r="S13" i="2"/>
  <c r="S18" i="2" s="1"/>
  <c r="R26" i="2"/>
  <c r="R24" i="2"/>
  <c r="R19" i="2"/>
  <c r="R13" i="2"/>
  <c r="R18" i="2" s="1"/>
  <c r="R20" i="2" s="1"/>
  <c r="Q13" i="2"/>
  <c r="Q18" i="2" s="1"/>
  <c r="P13" i="2"/>
  <c r="P18" i="2" s="1"/>
  <c r="O13" i="2"/>
  <c r="O18" i="2" s="1"/>
  <c r="AC19" i="2"/>
  <c r="AB19" i="2"/>
  <c r="AC24" i="2"/>
  <c r="AB24" i="2"/>
  <c r="AB18" i="2"/>
  <c r="Q57" i="2"/>
  <c r="Q52" i="2"/>
  <c r="Q47" i="2"/>
  <c r="Q43" i="2"/>
  <c r="Q19" i="2"/>
  <c r="P59" i="2"/>
  <c r="O60" i="2"/>
  <c r="P57" i="2"/>
  <c r="O42" i="2"/>
  <c r="P52" i="2"/>
  <c r="O50" i="2"/>
  <c r="P47" i="2"/>
  <c r="P43" i="2"/>
  <c r="P26" i="2"/>
  <c r="P19" i="2"/>
  <c r="O26" i="2"/>
  <c r="O19" i="2"/>
  <c r="AH23" i="2"/>
  <c r="AI23" i="2" s="1"/>
  <c r="AJ23" i="2" s="1"/>
  <c r="AH21" i="2"/>
  <c r="AG77" i="2"/>
  <c r="AG78" i="2" s="1"/>
  <c r="AG69" i="2"/>
  <c r="AG70" i="2" s="1"/>
  <c r="AC18" i="2"/>
  <c r="N57" i="2"/>
  <c r="N52" i="2"/>
  <c r="N47" i="2"/>
  <c r="N43" i="2"/>
  <c r="AH2" i="2"/>
  <c r="AI2" i="2" s="1"/>
  <c r="AJ2" i="2" s="1"/>
  <c r="AK2" i="2" s="1"/>
  <c r="AL2" i="2" s="1"/>
  <c r="AM2" i="2" s="1"/>
  <c r="AN2" i="2" s="1"/>
  <c r="AO2" i="2" s="1"/>
  <c r="R2" i="2"/>
  <c r="V2" i="2" s="1"/>
  <c r="Z2" i="2" s="1"/>
  <c r="Q2" i="2"/>
  <c r="U2" i="2" s="1"/>
  <c r="Y2" i="2" s="1"/>
  <c r="P2" i="2"/>
  <c r="T2" i="2" s="1"/>
  <c r="X2" i="2" s="1"/>
  <c r="O2" i="2"/>
  <c r="S2" i="2" s="1"/>
  <c r="AD24" i="2"/>
  <c r="AD19" i="2"/>
  <c r="AE24" i="2"/>
  <c r="AE19" i="2"/>
  <c r="AE18" i="2"/>
  <c r="AD18" i="2"/>
  <c r="G19" i="2"/>
  <c r="G24" i="2"/>
  <c r="G18" i="2"/>
  <c r="K19" i="2"/>
  <c r="H19" i="2"/>
  <c r="H18" i="2"/>
  <c r="L19" i="2"/>
  <c r="I19" i="2"/>
  <c r="I18" i="2"/>
  <c r="M24" i="2"/>
  <c r="L24" i="2"/>
  <c r="K24" i="2"/>
  <c r="J24" i="2"/>
  <c r="I24" i="2"/>
  <c r="H24" i="2"/>
  <c r="F24" i="2"/>
  <c r="F25" i="2" s="1"/>
  <c r="E24" i="2"/>
  <c r="E25" i="2" s="1"/>
  <c r="D24" i="2"/>
  <c r="D25" i="2" s="1"/>
  <c r="C24" i="2"/>
  <c r="C25" i="2" s="1"/>
  <c r="M19" i="2"/>
  <c r="M18" i="2"/>
  <c r="L18" i="2"/>
  <c r="K18" i="2"/>
  <c r="J18" i="2"/>
  <c r="N18" i="2"/>
  <c r="J19" i="2"/>
  <c r="N19" i="2"/>
  <c r="AF19" i="2"/>
  <c r="AF24" i="2"/>
  <c r="AG19" i="2"/>
  <c r="AG24" i="2"/>
  <c r="N24" i="2"/>
  <c r="G4" i="1"/>
  <c r="AJ18" i="2" l="1"/>
  <c r="T50" i="2"/>
  <c r="Y34" i="2"/>
  <c r="AI18" i="2"/>
  <c r="AI20" i="2" s="1"/>
  <c r="AI36" i="2" s="1"/>
  <c r="U42" i="2"/>
  <c r="Q60" i="2"/>
  <c r="T83" i="2"/>
  <c r="S50" i="2"/>
  <c r="G7" i="1"/>
  <c r="U79" i="2"/>
  <c r="T20" i="2"/>
  <c r="T25" i="2" s="1"/>
  <c r="T27" i="2" s="1"/>
  <c r="T29" i="2" s="1"/>
  <c r="T62" i="2" s="1"/>
  <c r="S75" i="2"/>
  <c r="V70" i="2"/>
  <c r="U74" i="2"/>
  <c r="V74" i="2" s="1"/>
  <c r="T75" i="2"/>
  <c r="V72" i="2"/>
  <c r="W83" i="2"/>
  <c r="W85" i="2" s="1"/>
  <c r="Y20" i="2"/>
  <c r="Y36" i="2" s="1"/>
  <c r="Z20" i="2"/>
  <c r="V84" i="2"/>
  <c r="T42" i="2"/>
  <c r="T60" i="2"/>
  <c r="S42" i="2"/>
  <c r="U50" i="2"/>
  <c r="Z34" i="2"/>
  <c r="U70" i="2"/>
  <c r="T70" i="2"/>
  <c r="U20" i="2"/>
  <c r="U36" i="2" s="1"/>
  <c r="U25" i="2"/>
  <c r="U27" i="2" s="1"/>
  <c r="U29" i="2" s="1"/>
  <c r="S70" i="2"/>
  <c r="Z24" i="2"/>
  <c r="X34" i="2"/>
  <c r="AH18" i="2"/>
  <c r="S20" i="2"/>
  <c r="S36" i="2" s="1"/>
  <c r="R25" i="2"/>
  <c r="R27" i="2" s="1"/>
  <c r="R29" i="2" s="1"/>
  <c r="R30" i="2" s="1"/>
  <c r="V50" i="2"/>
  <c r="Q42" i="2"/>
  <c r="W50" i="2"/>
  <c r="V60" i="2"/>
  <c r="W60" i="2"/>
  <c r="W36" i="2"/>
  <c r="W25" i="2"/>
  <c r="W27" i="2" s="1"/>
  <c r="N50" i="2"/>
  <c r="W34" i="2"/>
  <c r="V42" i="2"/>
  <c r="N60" i="2"/>
  <c r="W42" i="2"/>
  <c r="V20" i="2"/>
  <c r="V25" i="2" s="1"/>
  <c r="V27" i="2" s="1"/>
  <c r="V29" i="2" s="1"/>
  <c r="V34" i="2"/>
  <c r="AB20" i="2"/>
  <c r="AB25" i="2" s="1"/>
  <c r="AB27" i="2" s="1"/>
  <c r="AB29" i="2" s="1"/>
  <c r="AB30" i="2" s="1"/>
  <c r="T34" i="2"/>
  <c r="P42" i="2"/>
  <c r="S34" i="2"/>
  <c r="AC20" i="2"/>
  <c r="AC25" i="2" s="1"/>
  <c r="AC27" i="2" s="1"/>
  <c r="AC29" i="2" s="1"/>
  <c r="AC30" i="2" s="1"/>
  <c r="Q20" i="2"/>
  <c r="Q36" i="2" s="1"/>
  <c r="U34" i="2"/>
  <c r="AE20" i="2"/>
  <c r="AE36" i="2" s="1"/>
  <c r="O20" i="2"/>
  <c r="Q50" i="2"/>
  <c r="AH22" i="2"/>
  <c r="AI22" i="2" s="1"/>
  <c r="AJ22" i="2" s="1"/>
  <c r="AK22" i="2" s="1"/>
  <c r="AL22" i="2" s="1"/>
  <c r="AM22" i="2" s="1"/>
  <c r="AN22" i="2" s="1"/>
  <c r="AO22" i="2" s="1"/>
  <c r="P50" i="2"/>
  <c r="P60" i="2"/>
  <c r="AH26" i="2"/>
  <c r="H20" i="2"/>
  <c r="H36" i="2" s="1"/>
  <c r="Q24" i="2"/>
  <c r="P24" i="2"/>
  <c r="AH31" i="2"/>
  <c r="AI31" i="2" s="1"/>
  <c r="AJ31" i="2" s="1"/>
  <c r="AK31" i="2" s="1"/>
  <c r="AL31" i="2" s="1"/>
  <c r="AM31" i="2" s="1"/>
  <c r="AN31" i="2" s="1"/>
  <c r="AO31" i="2" s="1"/>
  <c r="AK23" i="2"/>
  <c r="AL23" i="2" s="1"/>
  <c r="AM23" i="2" s="1"/>
  <c r="AN23" i="2" s="1"/>
  <c r="AO23" i="2" s="1"/>
  <c r="P20" i="2"/>
  <c r="P36" i="2" s="1"/>
  <c r="R36" i="2"/>
  <c r="R34" i="2"/>
  <c r="AG34" i="2"/>
  <c r="AF34" i="2"/>
  <c r="O24" i="2"/>
  <c r="I20" i="2"/>
  <c r="I36" i="2" s="1"/>
  <c r="AE34" i="2"/>
  <c r="AD20" i="2"/>
  <c r="AD36" i="2" s="1"/>
  <c r="L34" i="2"/>
  <c r="N42" i="2"/>
  <c r="M34" i="2"/>
  <c r="N20" i="2"/>
  <c r="N36" i="2" s="1"/>
  <c r="P34" i="2"/>
  <c r="K34" i="2"/>
  <c r="Q34" i="2"/>
  <c r="N34" i="2"/>
  <c r="G20" i="2"/>
  <c r="K20" i="2"/>
  <c r="K36" i="2" s="1"/>
  <c r="L20" i="2"/>
  <c r="L36" i="2" s="1"/>
  <c r="J20" i="2"/>
  <c r="J36" i="2" s="1"/>
  <c r="M20" i="2"/>
  <c r="M36" i="2" s="1"/>
  <c r="AF20" i="2"/>
  <c r="AF36" i="2" s="1"/>
  <c r="AG20" i="2"/>
  <c r="AG36" i="2" s="1"/>
  <c r="T30" i="2" l="1"/>
  <c r="Y25" i="2"/>
  <c r="Y27" i="2" s="1"/>
  <c r="Y38" i="2" s="1"/>
  <c r="S85" i="2"/>
  <c r="AJ34" i="2"/>
  <c r="AK18" i="2"/>
  <c r="S25" i="2"/>
  <c r="S27" i="2" s="1"/>
  <c r="S29" i="2" s="1"/>
  <c r="S62" i="2" s="1"/>
  <c r="T85" i="2"/>
  <c r="V79" i="2"/>
  <c r="V83" i="2" s="1"/>
  <c r="U83" i="2"/>
  <c r="Z36" i="2"/>
  <c r="Z25" i="2"/>
  <c r="Z27" i="2" s="1"/>
  <c r="Y29" i="2"/>
  <c r="Y30" i="2" s="1"/>
  <c r="V75" i="2"/>
  <c r="U75" i="2"/>
  <c r="S30" i="2"/>
  <c r="V30" i="2"/>
  <c r="V62" i="2"/>
  <c r="X20" i="2"/>
  <c r="U30" i="2"/>
  <c r="U62" i="2"/>
  <c r="H25" i="2"/>
  <c r="H27" i="2" s="1"/>
  <c r="H29" i="2" s="1"/>
  <c r="H30" i="2" s="1"/>
  <c r="V36" i="2"/>
  <c r="N25" i="2"/>
  <c r="N27" i="2" s="1"/>
  <c r="N29" i="2" s="1"/>
  <c r="N30" i="2" s="1"/>
  <c r="W38" i="2"/>
  <c r="W29" i="2"/>
  <c r="U38" i="2"/>
  <c r="V38" i="2"/>
  <c r="T36" i="2"/>
  <c r="AE25" i="2"/>
  <c r="AE27" i="2" s="1"/>
  <c r="AE29" i="2" s="1"/>
  <c r="AE30" i="2" s="1"/>
  <c r="AH24" i="2"/>
  <c r="P25" i="2"/>
  <c r="P27" i="2" s="1"/>
  <c r="P38" i="2" s="1"/>
  <c r="O34" i="2"/>
  <c r="M25" i="2"/>
  <c r="M27" i="2" s="1"/>
  <c r="AI24" i="2"/>
  <c r="AH34" i="2"/>
  <c r="Q25" i="2"/>
  <c r="Q27" i="2" s="1"/>
  <c r="I25" i="2"/>
  <c r="I27" i="2" s="1"/>
  <c r="I29" i="2" s="1"/>
  <c r="I30" i="2" s="1"/>
  <c r="AD25" i="2"/>
  <c r="K25" i="2"/>
  <c r="K27" i="2" s="1"/>
  <c r="AF25" i="2"/>
  <c r="G25" i="2"/>
  <c r="G27" i="2" s="1"/>
  <c r="G29" i="2" s="1"/>
  <c r="G30" i="2" s="1"/>
  <c r="G36" i="2"/>
  <c r="J25" i="2"/>
  <c r="J27" i="2" s="1"/>
  <c r="J29" i="2" s="1"/>
  <c r="J30" i="2" s="1"/>
  <c r="L25" i="2"/>
  <c r="L27" i="2" s="1"/>
  <c r="AG25" i="2"/>
  <c r="S38" i="2" l="1"/>
  <c r="AE37" i="2"/>
  <c r="V85" i="2"/>
  <c r="AK19" i="2"/>
  <c r="AL18" i="2"/>
  <c r="AK34" i="2"/>
  <c r="U85" i="2"/>
  <c r="X36" i="2"/>
  <c r="X25" i="2"/>
  <c r="X27" i="2" s="1"/>
  <c r="Z29" i="2"/>
  <c r="Z30" i="2" s="1"/>
  <c r="Z38" i="2"/>
  <c r="N38" i="2"/>
  <c r="W30" i="2"/>
  <c r="W62" i="2"/>
  <c r="T38" i="2"/>
  <c r="AE38" i="2"/>
  <c r="AF27" i="2"/>
  <c r="AF29" i="2" s="1"/>
  <c r="AF30" i="2" s="1"/>
  <c r="AF37" i="2"/>
  <c r="AD27" i="2"/>
  <c r="AD29" i="2" s="1"/>
  <c r="AD30" i="2" s="1"/>
  <c r="AD37" i="2"/>
  <c r="AG27" i="2"/>
  <c r="AG38" i="2" s="1"/>
  <c r="AG37" i="2"/>
  <c r="AJ24" i="2"/>
  <c r="M29" i="2"/>
  <c r="M30" i="2" s="1"/>
  <c r="M38" i="2"/>
  <c r="AH19" i="2"/>
  <c r="AH20" i="2" s="1"/>
  <c r="L29" i="2"/>
  <c r="L30" i="2" s="1"/>
  <c r="L38" i="2"/>
  <c r="K29" i="2"/>
  <c r="K30" i="2" s="1"/>
  <c r="K38" i="2"/>
  <c r="Q38" i="2"/>
  <c r="R38" i="2"/>
  <c r="P29" i="2"/>
  <c r="P30" i="2" s="1"/>
  <c r="O36" i="2"/>
  <c r="O25" i="2"/>
  <c r="O27" i="2" s="1"/>
  <c r="AM18" i="2" l="1"/>
  <c r="AL19" i="2"/>
  <c r="AG29" i="2"/>
  <c r="AG30" i="2" s="1"/>
  <c r="AD38" i="2"/>
  <c r="X38" i="2"/>
  <c r="AF38" i="2"/>
  <c r="AG62" i="2"/>
  <c r="AI25" i="2"/>
  <c r="AI37" i="2" s="1"/>
  <c r="AK24" i="2"/>
  <c r="AH36" i="2"/>
  <c r="AH25" i="2"/>
  <c r="AJ20" i="2"/>
  <c r="AJ36" i="2" s="1"/>
  <c r="Q29" i="2"/>
  <c r="Q30" i="2" s="1"/>
  <c r="AM19" i="2" l="1"/>
  <c r="AN18" i="2"/>
  <c r="X29" i="2"/>
  <c r="X30" i="2" s="1"/>
  <c r="AH27" i="2"/>
  <c r="AH37" i="2"/>
  <c r="AJ25" i="2"/>
  <c r="AJ37" i="2" s="1"/>
  <c r="O38" i="2"/>
  <c r="AH28" i="2"/>
  <c r="AL24" i="2"/>
  <c r="AK20" i="2"/>
  <c r="AK36" i="2" s="1"/>
  <c r="O29" i="2"/>
  <c r="AO18" i="2" l="1"/>
  <c r="AO19" i="2" s="1"/>
  <c r="AN19" i="2"/>
  <c r="AH38" i="2"/>
  <c r="AH29" i="2"/>
  <c r="AH30" i="2" s="1"/>
  <c r="AK25" i="2"/>
  <c r="AL34" i="2"/>
  <c r="AL20" i="2"/>
  <c r="O30" i="2"/>
  <c r="AH42" i="2"/>
  <c r="AM24" i="2"/>
  <c r="AK37" i="2" l="1"/>
  <c r="AO24" i="2"/>
  <c r="AN24" i="2"/>
  <c r="AI26" i="2"/>
  <c r="AI27" i="2" s="1"/>
  <c r="AM34" i="2"/>
  <c r="AM20" i="2"/>
  <c r="AL36" i="2"/>
  <c r="AL25" i="2"/>
  <c r="AL37" i="2" s="1"/>
  <c r="AM36" i="2" l="1"/>
  <c r="AM25" i="2"/>
  <c r="AM37" i="2" s="1"/>
  <c r="AN34" i="2"/>
  <c r="AN20" i="2"/>
  <c r="AI28" i="2"/>
  <c r="AI38" i="2" s="1"/>
  <c r="AI29" i="2" l="1"/>
  <c r="AO20" i="2"/>
  <c r="AO34" i="2"/>
  <c r="AN25" i="2"/>
  <c r="AN37" i="2" s="1"/>
  <c r="AN36" i="2"/>
  <c r="AO36" i="2" l="1"/>
  <c r="AO25" i="2"/>
  <c r="AO37" i="2" s="1"/>
  <c r="AI30" i="2"/>
  <c r="AI42" i="2"/>
  <c r="AJ26" i="2" l="1"/>
  <c r="AJ27" i="2" s="1"/>
  <c r="AJ28" i="2" l="1"/>
  <c r="AJ38" i="2" s="1"/>
  <c r="AJ29" i="2" l="1"/>
  <c r="AJ30" i="2" s="1"/>
  <c r="AJ42" i="2" l="1"/>
  <c r="AK26" i="2" s="1"/>
  <c r="AK27" i="2" s="1"/>
  <c r="AK28" i="2" l="1"/>
  <c r="AK38" i="2" s="1"/>
  <c r="AK29" i="2" l="1"/>
  <c r="AK30" i="2"/>
  <c r="AK42" i="2"/>
  <c r="AL26" i="2" l="1"/>
  <c r="AL27" i="2" s="1"/>
  <c r="AL28" i="2" l="1"/>
  <c r="AL38" i="2" s="1"/>
  <c r="AL29" i="2" l="1"/>
  <c r="AL30" i="2" l="1"/>
  <c r="AL42" i="2"/>
  <c r="AM26" i="2" s="1"/>
  <c r="AM27" i="2" s="1"/>
  <c r="AM28" i="2" l="1"/>
  <c r="AM38" i="2" s="1"/>
  <c r="AM29" i="2" l="1"/>
  <c r="AM30" i="2" l="1"/>
  <c r="AM42" i="2"/>
  <c r="AN26" i="2" s="1"/>
  <c r="AN27" i="2" s="1"/>
  <c r="AN28" i="2" l="1"/>
  <c r="AN38" i="2" s="1"/>
  <c r="AN29" i="2" l="1"/>
  <c r="AN30" i="2" l="1"/>
  <c r="AN42" i="2"/>
  <c r="AO26" i="2" l="1"/>
  <c r="AO27" i="2" s="1"/>
  <c r="AO28" i="2" l="1"/>
  <c r="AO38" i="2" s="1"/>
  <c r="AO29" i="2" l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AR45" i="2" l="1"/>
  <c r="AR46" i="2" s="1"/>
  <c r="AR47" i="2" s="1"/>
  <c r="AO42" i="2"/>
  <c r="AO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tc={91674395-ECF1-496E-8E8E-18027BB9B0AB}</author>
    <author>tc={A4A66BCC-1D5A-42FB-AF87-0976A774FC6D}</author>
    <author>tc={DF3A69DD-1198-42A5-A83A-5484CF412A11}</author>
  </authors>
  <commentList>
    <comment ref="X34" authorId="0" shapeId="0" xr:uid="{91674395-ECF1-496E-8E8E-18027BB9B0AB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Guidance: 8-10%</t>
      </text>
    </comment>
    <comment ref="AJ34" authorId="1" shapeId="0" xr:uid="{A4A66BCC-1D5A-42FB-AF87-0976A774FC6D}">
      <text>
        <t>[Threaded comment]
Your version of Excel allows you to read this threaded comment; however, any edits to it will get removed if the file is opened in a newer version of Excel. Learn more: https://go.microsoft.com/fwlink/?linkid=870924
Comment:
    Q125 guidance: DD revenue growth</t>
      </text>
    </comment>
    <comment ref="V82" authorId="2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<sst xmlns="http://schemas.openxmlformats.org/spreadsheetml/2006/main" count="134" uniqueCount="124">
  <si>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</si>
  <si>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</si>
  <si>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</si>
  <si>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</si>
  <si>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</si>
  <si>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</si>
  <si>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</si>
  <si>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</si>
  <si>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</si>
  <si>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</si>
  <si>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</si>
  <si>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</si>
  <si>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</si>
  <si>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</si>
  <si>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</si>
  <si>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</si>
  <si>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</si>
  <si>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</si>
  <si>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</si>
  <si>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</si>
  <si>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</si>
  <si>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</si>
  <si>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</si>
  <si>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</si>
  <si>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</si>
  <si>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</si>
  <si>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</si>
  <si>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</si>
  <si>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</si>
  <si>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</si>
  <si>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</si>
  <si>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</si>
  <si>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</si>
  <si>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</si>
  <si>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</si>
  <si>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</si>
  <si>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</si>
  <si>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</si>
  <si>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</si>
  <si>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</si>
  <si>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</si>
  <si>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</si>
  <si>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</si>
  <si>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</si>
  <si>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</si>
  <si>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</si>
  <si>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</si>
  <si>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</si>
  <si>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</si>
  <si>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</si>
  <si>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</si>
  <si>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</si>
  <si>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</si>
  <si>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</si>
  <si>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</si>
  <si>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</si>
  <si>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</si>
  <si>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</si>
  <si>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</si>
  <si>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</si>
  <si>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</si>
  <si>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</si>
  <si>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</si>
  <si>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</si>
  <si>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</si>
  <si>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</si>
  <si>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</si>
  <si>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</si>
  <si>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</si>
  <si>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</si>
  <si>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</si>
  <si>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</si>
  <si>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</si>
  <si>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</si>
  <si>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</si>
  <si>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</si>
  <si>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</si>
  <si>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</si>
  <si>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</si>
  <si>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</si>
  <si>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</si>
  <si>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</si>
  <si>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</si>
  <si>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</si>
  <si>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</si>
  <si>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</si>
  <si>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</si>
  <si>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</si>
  <si>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</si>
  <si>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</si>
  <si>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</si>
  <si>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</si>
  <si>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</si>
  <si>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</si>
  <si>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</si>
  <si>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Cerner</t>
  </si>
  <si>
    <t>FY17</t>
  </si>
  <si>
    <t>FQ125</t>
  </si>
  <si>
    <t>FQ225</t>
  </si>
  <si>
    <t>FQ325</t>
  </si>
  <si>
    <t>FQ425</t>
  </si>
  <si>
    <t xml:space="preserve">  License Support</t>
  </si>
  <si>
    <t xml:space="preserve">  Cloud Services</t>
  </si>
  <si>
    <t xml:space="preserve">    NetSuite</t>
  </si>
  <si>
    <t>CEO: Safra Catz</t>
  </si>
  <si>
    <t>NetSuite</t>
  </si>
  <si>
    <t>Fusion Cloud</t>
  </si>
  <si>
    <t>Revenue CC y/y</t>
  </si>
  <si>
    <t>CFFI</t>
  </si>
  <si>
    <t>Shares/Buybacks</t>
  </si>
  <si>
    <t>Dividends</t>
  </si>
  <si>
    <t>CFFF</t>
  </si>
  <si>
    <t>FX</t>
  </si>
  <si>
    <t>CIC</t>
  </si>
  <si>
    <t xml:space="preserve">    Fusion</t>
  </si>
  <si>
    <t xml:space="preserve">    Cloud SaaS</t>
  </si>
  <si>
    <t xml:space="preserve">    Cloud IaaS</t>
  </si>
  <si>
    <t>Cloud DB: 2.1B</t>
  </si>
  <si>
    <t xml:space="preserve">  AWS, Azure, GCP collaborations</t>
  </si>
  <si>
    <t>7-9%</t>
  </si>
  <si>
    <t>RPO</t>
  </si>
  <si>
    <t>Q125</t>
  </si>
  <si>
    <t>s&amp;m %</t>
  </si>
  <si>
    <t>r&amp;d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</si>
</sst>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%"/>
    <numFmt numFmtId="165" formatCode="m/d/yy;@"/>
    <numFmt numFmtId="167" formatCode="#,##0.000"/>
    <numFmt numFmtId="168" formatCode="#,##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7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32147</xdr:colOff>
      <xdr:row>0</xdr:row>
      <xdr:rowOff>71438</xdr:rowOff>
    </xdr:from>
    <xdr:to>
      <xdr:col>25</xdr:col>
      <xdr:colOff>32147</xdr:colOff>
      <xdr:row>90</xdr:row>
      <xdr:rowOff>35719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5736491" y="71438"/>
          <a:ext cx="0" cy="14108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7350</xdr:colOff>
      <xdr:row>0</xdr:row>
      <xdr:rowOff>63738</xdr:rowOff>
    </xdr:from>
    <xdr:to>
      <xdr:col>36</xdr:col>
      <xdr:colOff>7350</xdr:colOff>
      <xdr:row>88</xdr:row>
      <xdr:rowOff>60373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5437830" y="63738"/>
          <a:ext cx="0" cy="13976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34" dT="2024-09-11T18:30:08.76" personId="{7216FEC0-B7FB-466B-9D42-622825855BC7}" id="{91674395-ECF1-496E-8E8E-18027BB9B0AB}">
    <text>Guidance: 8-10%</text>
  </threadedComment>
  <threadedComment ref="AJ34" dT="2024-09-11T18:29:26.52" personId="{7216FEC0-B7FB-466B-9D42-622825855BC7}" id="{A4A66BCC-1D5A-42FB-AF87-0976A774FC6D}">
    <text>Q125 guidance: DD revenue growth</text>
  </threadedComment>
  <threadedComment ref="V82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zoomScale="125" zoomScaleNormal="205" zoomScaleSheetLayoutView="100" workbookViewId="0">
      <selection activeCell="J14" sqref="J14"/>
    </sheetView>
  </sheetViews>
  <sheetFormatPr baseColWidth="10" defaultColWidth="8.5" defaultRowHeight="13" x14ac:dyDescent="0.15"/>
  <cols>
    <col min="1" max="6" width="8.5" style="1"/>
    <col min="7" max="7" width="8.33203125" style="1" customWidth="1"/>
    <col min="8" max="16384" width="8.5" style="1"/>
  </cols>
  <sheetData>
    <row r="2" spans="2:8" x14ac:dyDescent="0.15">
      <c r="B2" s="1" t="s">
        <v>95</v>
      </c>
      <c r="F2" s="1" t="s">
        <v>0</v>
      </c>
      <c r="G2" s="2">
        <v>245.45</v>
      </c>
    </row>
    <row r="3" spans="2:8" x14ac:dyDescent="0.15">
      <c r="B3" s="1" t="s">
        <v>105</v>
      </c>
      <c r="F3" s="1" t="s">
        <v>1</v>
      </c>
      <c r="G3" s="3">
        <v>2808.8330000000001</v>
      </c>
      <c r="H3" s="4" t="s">
        <v>121</v>
      </c>
    </row>
    <row r="4" spans="2:8" x14ac:dyDescent="0.15">
      <c r="B4" s="1" t="s">
        <v>106</v>
      </c>
      <c r="F4" s="1" t="s">
        <v>2</v>
      </c>
      <c r="G4" s="3">
        <f>G3*G2</f>
        <v>689428.05984999996</v>
      </c>
    </row>
    <row r="5" spans="2:8" x14ac:dyDescent="0.15">
      <c r="F5" s="1" t="s">
        <v>3</v>
      </c>
      <c r="G5" s="3">
        <f>10786+417</f>
        <v>11203</v>
      </c>
      <c r="H5" s="4" t="s">
        <v>121</v>
      </c>
    </row>
    <row r="6" spans="2:8" x14ac:dyDescent="0.15">
      <c r="B6" s="1" t="s">
        <v>117</v>
      </c>
      <c r="F6" s="1" t="s">
        <v>4</v>
      </c>
      <c r="G6" s="3">
        <f>7271+85297</f>
        <v>92568</v>
      </c>
      <c r="H6" s="4" t="s">
        <v>121</v>
      </c>
    </row>
    <row r="7" spans="2:8" x14ac:dyDescent="0.15">
      <c r="B7" s="1" t="s">
        <v>118</v>
      </c>
      <c r="F7" s="1" t="s">
        <v>5</v>
      </c>
      <c r="G7" s="3">
        <f>G4-G5+G6</f>
        <v>770793.05984999996</v>
      </c>
    </row>
    <row r="10" spans="2:8" x14ac:dyDescent="0.15">
      <c r="F10" s="1" t="s">
        <v>104</v>
      </c>
    </row>
    <row r="16" spans="2:8" x14ac:dyDescent="0.15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Z85"/>
  <sheetViews>
    <sheetView tabSelected="1" zoomScale="125" zoomScaleNormal="160" zoomScaleSheetLayoutView="100" workbookViewId="0">
      <pane xSplit="2" ySplit="3" topLeftCell="AF14" activePane="bottomRight" state="frozen"/>
      <selection pane="topRight" activeCell="C1" sqref="C1"/>
      <selection pane="bottomLeft" activeCell="A4" sqref="A4"/>
      <selection pane="bottomRight" activeCell="AU36" sqref="AU36"/>
    </sheetView>
  </sheetViews>
  <sheetFormatPr baseColWidth="10" defaultColWidth="8.5" defaultRowHeight="13" x14ac:dyDescent="0.15"/>
  <cols>
    <col min="1" max="1" width="5" style="1" bestFit="1" customWidth="1"/>
    <col min="2" max="2" width="17.5" style="1" customWidth="1"/>
    <col min="3" max="8" width="9" style="4" customWidth="1"/>
    <col min="9" max="16" width="9.6640625" style="4" customWidth="1"/>
    <col min="17" max="28" width="9" style="4" customWidth="1"/>
    <col min="29" max="29" width="8.5" style="1"/>
    <col min="30" max="31" width="8.5" style="4"/>
    <col min="32" max="33" width="9.5" style="4" customWidth="1"/>
    <col min="34" max="43" width="8.5" style="1"/>
    <col min="44" max="44" width="9.33203125" style="1" customWidth="1"/>
    <col min="45" max="16384" width="8.5" style="1"/>
  </cols>
  <sheetData>
    <row r="1" spans="1:41" x14ac:dyDescent="0.15">
      <c r="A1" s="10" t="s">
        <v>7</v>
      </c>
    </row>
    <row r="2" spans="1:41" s="11" customFormat="1" x14ac:dyDescent="0.15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V2" si="0">+L2+365</f>
        <v>44895</v>
      </c>
      <c r="Q2" s="12">
        <f t="shared" si="0"/>
        <v>44985</v>
      </c>
      <c r="R2" s="12">
        <f t="shared" si="0"/>
        <v>45077</v>
      </c>
      <c r="S2" s="12">
        <f t="shared" si="0"/>
        <v>45169</v>
      </c>
      <c r="T2" s="12">
        <f t="shared" si="0"/>
        <v>45260</v>
      </c>
      <c r="U2" s="12">
        <f t="shared" si="0"/>
        <v>45350</v>
      </c>
      <c r="V2" s="12">
        <f t="shared" si="0"/>
        <v>45442</v>
      </c>
      <c r="W2" s="12">
        <v>45535</v>
      </c>
      <c r="X2" s="12">
        <f>+T2+366</f>
        <v>45626</v>
      </c>
      <c r="Y2" s="12">
        <f>+U2+365</f>
        <v>45715</v>
      </c>
      <c r="Z2" s="12">
        <f>+V2+365</f>
        <v>45807</v>
      </c>
      <c r="AA2" s="12"/>
      <c r="AB2" s="12">
        <v>42886</v>
      </c>
      <c r="AC2" s="12">
        <v>43251</v>
      </c>
      <c r="AD2" s="12">
        <v>43616</v>
      </c>
      <c r="AE2" s="12">
        <v>43982</v>
      </c>
      <c r="AF2" s="12">
        <v>44347</v>
      </c>
      <c r="AG2" s="12">
        <v>44712</v>
      </c>
      <c r="AH2" s="12">
        <f>AG2+365</f>
        <v>45077</v>
      </c>
      <c r="AI2" s="12">
        <f>AH2+366</f>
        <v>45443</v>
      </c>
      <c r="AJ2" s="12">
        <f t="shared" ref="AJ2" si="1">AI2+365</f>
        <v>45808</v>
      </c>
      <c r="AK2" s="12">
        <f t="shared" ref="AK2:AL2" si="2">AJ2+365</f>
        <v>46173</v>
      </c>
      <c r="AL2" s="12">
        <f t="shared" si="2"/>
        <v>46538</v>
      </c>
      <c r="AM2" s="12">
        <f>AL2+366</f>
        <v>46904</v>
      </c>
      <c r="AN2" s="12">
        <f t="shared" ref="AN2" si="3">AM2+365</f>
        <v>47269</v>
      </c>
      <c r="AO2" s="12">
        <f>AN2+365</f>
        <v>47634</v>
      </c>
    </row>
    <row r="3" spans="1:41" x14ac:dyDescent="0.15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91</v>
      </c>
      <c r="T3" s="4" t="s">
        <v>92</v>
      </c>
      <c r="U3" s="4" t="s">
        <v>93</v>
      </c>
      <c r="V3" s="4" t="s">
        <v>94</v>
      </c>
      <c r="W3" s="4" t="s">
        <v>97</v>
      </c>
      <c r="X3" s="4" t="s">
        <v>98</v>
      </c>
      <c r="Y3" s="4" t="s">
        <v>99</v>
      </c>
      <c r="Z3" s="4" t="s">
        <v>100</v>
      </c>
      <c r="AB3" s="4" t="s">
        <v>96</v>
      </c>
      <c r="AC3" s="4" t="s">
        <v>71</v>
      </c>
      <c r="AD3" s="4" t="s">
        <v>47</v>
      </c>
      <c r="AE3" s="4" t="s">
        <v>43</v>
      </c>
      <c r="AF3" s="4" t="s">
        <v>30</v>
      </c>
      <c r="AG3" s="4" t="s">
        <v>31</v>
      </c>
      <c r="AH3" s="4" t="s">
        <v>48</v>
      </c>
      <c r="AI3" s="4" t="s">
        <v>49</v>
      </c>
      <c r="AJ3" s="4" t="s">
        <v>50</v>
      </c>
      <c r="AK3" s="4" t="s">
        <v>51</v>
      </c>
      <c r="AL3" s="4" t="s">
        <v>52</v>
      </c>
      <c r="AM3" s="4" t="s">
        <v>53</v>
      </c>
      <c r="AN3" s="4" t="s">
        <v>54</v>
      </c>
      <c r="AO3" s="4" t="s">
        <v>55</v>
      </c>
    </row>
    <row r="4" spans="1:41" x14ac:dyDescent="0.15">
      <c r="B4" s="1" t="s">
        <v>120</v>
      </c>
      <c r="U4" s="5">
        <v>80000</v>
      </c>
      <c r="V4" s="5">
        <v>98000</v>
      </c>
      <c r="W4" s="5">
        <v>99000</v>
      </c>
      <c r="X4" s="5">
        <v>97000</v>
      </c>
      <c r="Y4" s="5">
        <v>130000</v>
      </c>
      <c r="AC4" s="4"/>
      <c r="AH4" s="4"/>
      <c r="AI4" s="4"/>
      <c r="AJ4" s="4"/>
      <c r="AK4" s="4"/>
      <c r="AL4" s="4"/>
      <c r="AM4" s="4"/>
      <c r="AN4" s="4"/>
      <c r="AO4" s="4"/>
    </row>
    <row r="5" spans="1:41" x14ac:dyDescent="0.15">
      <c r="AC5" s="4"/>
      <c r="AH5" s="4"/>
      <c r="AI5" s="4"/>
      <c r="AJ5" s="4"/>
      <c r="AK5" s="4"/>
      <c r="AL5" s="4"/>
      <c r="AM5" s="4"/>
      <c r="AN5" s="4"/>
      <c r="AO5" s="4"/>
    </row>
    <row r="6" spans="1:41" x14ac:dyDescent="0.15">
      <c r="B6" s="1" t="s">
        <v>103</v>
      </c>
      <c r="P6" s="4">
        <v>600</v>
      </c>
      <c r="Q6" s="5">
        <v>700</v>
      </c>
      <c r="R6" s="5">
        <v>700</v>
      </c>
      <c r="S6" s="5">
        <v>700</v>
      </c>
      <c r="T6" s="5">
        <v>800</v>
      </c>
      <c r="U6" s="5">
        <v>800</v>
      </c>
      <c r="V6" s="5">
        <v>800</v>
      </c>
      <c r="W6" s="5">
        <v>900</v>
      </c>
      <c r="AC6" s="4"/>
      <c r="AH6" s="4"/>
      <c r="AI6" s="4"/>
      <c r="AJ6" s="4"/>
      <c r="AK6" s="4"/>
      <c r="AL6" s="4"/>
      <c r="AM6" s="4"/>
      <c r="AN6" s="4"/>
      <c r="AO6" s="4"/>
    </row>
    <row r="7" spans="1:41" x14ac:dyDescent="0.15">
      <c r="B7" s="1" t="s">
        <v>114</v>
      </c>
      <c r="P7" s="4">
        <v>600</v>
      </c>
      <c r="Q7" s="5">
        <v>700</v>
      </c>
      <c r="R7" s="5">
        <v>700</v>
      </c>
      <c r="S7" s="5">
        <v>800</v>
      </c>
      <c r="T7" s="5">
        <v>800</v>
      </c>
      <c r="U7" s="5">
        <v>800</v>
      </c>
      <c r="V7" s="5">
        <v>800</v>
      </c>
      <c r="W7" s="5"/>
      <c r="AC7" s="4"/>
      <c r="AH7" s="4"/>
      <c r="AI7" s="4"/>
      <c r="AJ7" s="4"/>
      <c r="AK7" s="4"/>
      <c r="AL7" s="4"/>
      <c r="AM7" s="4"/>
      <c r="AN7" s="4"/>
      <c r="AO7" s="4"/>
    </row>
    <row r="8" spans="1:41" x14ac:dyDescent="0.15">
      <c r="B8" s="1" t="s">
        <v>115</v>
      </c>
      <c r="O8" s="5">
        <v>2700</v>
      </c>
      <c r="P8" s="5">
        <v>2800</v>
      </c>
      <c r="Q8" s="5">
        <v>2900</v>
      </c>
      <c r="R8" s="5">
        <v>3000</v>
      </c>
      <c r="S8" s="5">
        <v>3100</v>
      </c>
      <c r="T8" s="5">
        <v>3200</v>
      </c>
      <c r="U8" s="5">
        <v>3300</v>
      </c>
      <c r="V8" s="5">
        <v>3300</v>
      </c>
      <c r="W8" s="5">
        <v>3500</v>
      </c>
      <c r="AC8" s="4"/>
      <c r="AH8" s="4"/>
      <c r="AI8" s="4"/>
      <c r="AJ8" s="4"/>
      <c r="AK8" s="4"/>
      <c r="AL8" s="4"/>
      <c r="AM8" s="4"/>
      <c r="AN8" s="4"/>
      <c r="AO8" s="4"/>
    </row>
    <row r="9" spans="1:41" x14ac:dyDescent="0.15">
      <c r="B9" s="1" t="s">
        <v>116</v>
      </c>
      <c r="O9" s="5">
        <v>900</v>
      </c>
      <c r="P9" s="5">
        <v>1000</v>
      </c>
      <c r="Q9" s="5">
        <v>1200</v>
      </c>
      <c r="R9" s="5">
        <v>1400</v>
      </c>
      <c r="S9" s="5">
        <v>1500</v>
      </c>
      <c r="T9" s="5">
        <v>1600</v>
      </c>
      <c r="U9" s="5">
        <v>1800</v>
      </c>
      <c r="V9" s="5">
        <v>2000</v>
      </c>
      <c r="W9" s="5">
        <v>2200</v>
      </c>
      <c r="AC9" s="4"/>
      <c r="AH9" s="4"/>
      <c r="AI9" s="4"/>
      <c r="AJ9" s="4"/>
      <c r="AK9" s="4"/>
      <c r="AL9" s="4"/>
      <c r="AM9" s="4"/>
      <c r="AN9" s="4"/>
      <c r="AO9" s="4"/>
    </row>
    <row r="10" spans="1:41" x14ac:dyDescent="0.15">
      <c r="AC10" s="4"/>
      <c r="AH10" s="4"/>
      <c r="AI10" s="4"/>
      <c r="AJ10" s="4"/>
      <c r="AK10" s="4"/>
      <c r="AL10" s="4"/>
      <c r="AM10" s="4"/>
      <c r="AN10" s="4"/>
      <c r="AO10" s="4"/>
    </row>
    <row r="11" spans="1:41" x14ac:dyDescent="0.15">
      <c r="B11" s="1" t="s">
        <v>102</v>
      </c>
      <c r="O11" s="5">
        <v>3579</v>
      </c>
      <c r="P11" s="5">
        <v>3813</v>
      </c>
      <c r="Q11" s="5">
        <v>4053</v>
      </c>
      <c r="R11" s="5">
        <v>4437</v>
      </c>
      <c r="S11" s="5">
        <v>4635</v>
      </c>
      <c r="T11" s="5">
        <v>4775</v>
      </c>
      <c r="U11" s="5">
        <v>5054</v>
      </c>
      <c r="V11" s="5">
        <v>5311</v>
      </c>
      <c r="W11" s="5">
        <v>5623</v>
      </c>
      <c r="X11" s="5"/>
      <c r="Y11" s="5"/>
      <c r="Z11" s="5"/>
      <c r="AC11" s="4"/>
      <c r="AH11" s="4"/>
      <c r="AI11" s="4"/>
      <c r="AJ11" s="4"/>
      <c r="AK11" s="4"/>
      <c r="AL11" s="4"/>
      <c r="AM11" s="4"/>
      <c r="AN11" s="4"/>
      <c r="AO11" s="4"/>
    </row>
    <row r="12" spans="1:41" s="16" customFormat="1" x14ac:dyDescent="0.15">
      <c r="B12" s="16" t="s">
        <v>101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>
        <v>4838</v>
      </c>
      <c r="P12" s="18">
        <v>4785</v>
      </c>
      <c r="Q12" s="18">
        <v>4870</v>
      </c>
      <c r="R12" s="18">
        <v>4933</v>
      </c>
      <c r="S12" s="18">
        <v>4912</v>
      </c>
      <c r="T12" s="18">
        <v>4864</v>
      </c>
      <c r="U12" s="18">
        <v>4909</v>
      </c>
      <c r="V12" s="18">
        <v>4923</v>
      </c>
      <c r="W12" s="18">
        <v>4896</v>
      </c>
      <c r="X12" s="18"/>
      <c r="Y12" s="18"/>
      <c r="Z12" s="18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</row>
    <row r="13" spans="1:41" s="3" customFormat="1" x14ac:dyDescent="0.15">
      <c r="B13" s="3" t="s">
        <v>33</v>
      </c>
      <c r="C13" s="5"/>
      <c r="D13" s="5"/>
      <c r="E13" s="5"/>
      <c r="F13" s="5"/>
      <c r="G13" s="5">
        <v>6947</v>
      </c>
      <c r="H13" s="5">
        <v>7112</v>
      </c>
      <c r="I13" s="5">
        <v>7252</v>
      </c>
      <c r="J13" s="5">
        <v>7389</v>
      </c>
      <c r="K13" s="5">
        <v>7371</v>
      </c>
      <c r="L13" s="5">
        <v>7554</v>
      </c>
      <c r="M13" s="5">
        <v>7637</v>
      </c>
      <c r="N13" s="5">
        <v>7612</v>
      </c>
      <c r="O13" s="5">
        <f t="shared" ref="O13:P13" si="4">+O12+O11</f>
        <v>8417</v>
      </c>
      <c r="P13" s="5">
        <f t="shared" si="4"/>
        <v>8598</v>
      </c>
      <c r="Q13" s="5">
        <f t="shared" ref="Q13" si="5">+Q12+Q11</f>
        <v>8923</v>
      </c>
      <c r="R13" s="5">
        <f>+R12+R11</f>
        <v>9370</v>
      </c>
      <c r="S13" s="5">
        <f t="shared" ref="S13" si="6">+S12+S11</f>
        <v>9547</v>
      </c>
      <c r="T13" s="5">
        <f t="shared" ref="T13" si="7">+T12+T11</f>
        <v>9639</v>
      </c>
      <c r="U13" s="5">
        <f t="shared" ref="U13" si="8">+U12+U11</f>
        <v>9963</v>
      </c>
      <c r="V13" s="5">
        <f t="shared" ref="V13" si="9">+V12+V11</f>
        <v>10234</v>
      </c>
      <c r="W13" s="5">
        <v>10519</v>
      </c>
      <c r="X13" s="5">
        <v>10806</v>
      </c>
      <c r="Y13" s="5">
        <v>11007</v>
      </c>
      <c r="Z13" s="5"/>
      <c r="AA13" s="5"/>
      <c r="AB13" s="5">
        <v>23800</v>
      </c>
      <c r="AC13" s="3">
        <v>26254</v>
      </c>
      <c r="AD13" s="5">
        <v>26707</v>
      </c>
      <c r="AE13" s="5">
        <v>27392</v>
      </c>
      <c r="AF13" s="5">
        <v>28700</v>
      </c>
      <c r="AG13" s="5">
        <v>30174</v>
      </c>
    </row>
    <row r="14" spans="1:41" s="19" customFormat="1" x14ac:dyDescent="0.15">
      <c r="B14" s="19" t="s">
        <v>34</v>
      </c>
      <c r="C14" s="20"/>
      <c r="D14" s="20"/>
      <c r="E14" s="20"/>
      <c r="F14" s="20"/>
      <c r="G14" s="20">
        <v>886</v>
      </c>
      <c r="H14" s="20">
        <v>1092</v>
      </c>
      <c r="I14" s="20">
        <v>1276</v>
      </c>
      <c r="J14" s="20">
        <v>2144</v>
      </c>
      <c r="K14" s="20">
        <v>813</v>
      </c>
      <c r="L14" s="20">
        <v>1237</v>
      </c>
      <c r="M14" s="20">
        <v>1289</v>
      </c>
      <c r="N14" s="20">
        <v>2539</v>
      </c>
      <c r="O14" s="20">
        <v>904</v>
      </c>
      <c r="P14" s="20">
        <v>1435</v>
      </c>
      <c r="Q14" s="20">
        <v>1288</v>
      </c>
      <c r="R14" s="20">
        <v>2152</v>
      </c>
      <c r="S14" s="20">
        <v>809</v>
      </c>
      <c r="T14" s="20">
        <v>1178</v>
      </c>
      <c r="U14" s="20">
        <v>1256</v>
      </c>
      <c r="V14" s="20">
        <v>1838</v>
      </c>
      <c r="W14" s="20">
        <v>870</v>
      </c>
      <c r="X14" s="20">
        <v>1195</v>
      </c>
      <c r="Y14" s="20">
        <v>1129</v>
      </c>
      <c r="Z14" s="20"/>
      <c r="AA14" s="20"/>
      <c r="AB14" s="20">
        <v>6418</v>
      </c>
      <c r="AC14" s="19">
        <v>6190</v>
      </c>
      <c r="AD14" s="20">
        <v>5855</v>
      </c>
      <c r="AE14" s="20">
        <v>5127</v>
      </c>
      <c r="AF14" s="20">
        <v>5399</v>
      </c>
      <c r="AG14" s="20">
        <v>5878</v>
      </c>
    </row>
    <row r="15" spans="1:41" s="3" customFormat="1" x14ac:dyDescent="0.15">
      <c r="B15" s="3" t="s">
        <v>35</v>
      </c>
      <c r="C15" s="5"/>
      <c r="D15" s="5"/>
      <c r="E15" s="5"/>
      <c r="F15" s="5"/>
      <c r="G15" s="5">
        <v>814</v>
      </c>
      <c r="H15" s="5">
        <v>844</v>
      </c>
      <c r="I15" s="5">
        <v>820</v>
      </c>
      <c r="J15" s="5">
        <v>882</v>
      </c>
      <c r="K15" s="5">
        <v>763</v>
      </c>
      <c r="L15" s="5">
        <v>767</v>
      </c>
      <c r="M15" s="5">
        <v>798</v>
      </c>
      <c r="N15" s="5">
        <v>856</v>
      </c>
      <c r="O15" s="5">
        <v>763</v>
      </c>
      <c r="P15" s="5">
        <v>850</v>
      </c>
      <c r="Q15" s="5">
        <v>811</v>
      </c>
      <c r="R15" s="5">
        <v>850</v>
      </c>
      <c r="S15" s="5">
        <v>714</v>
      </c>
      <c r="T15" s="5">
        <v>756</v>
      </c>
      <c r="U15" s="5">
        <v>754</v>
      </c>
      <c r="V15" s="5">
        <v>842</v>
      </c>
      <c r="W15" s="5">
        <v>655</v>
      </c>
      <c r="X15" s="5">
        <v>728</v>
      </c>
      <c r="Y15" s="5">
        <v>703</v>
      </c>
      <c r="Z15" s="5"/>
      <c r="AA15" s="5"/>
      <c r="AB15" s="5">
        <v>4152</v>
      </c>
      <c r="AC15" s="3">
        <v>3993</v>
      </c>
      <c r="AD15" s="5">
        <v>3704</v>
      </c>
      <c r="AE15" s="5">
        <v>3443</v>
      </c>
      <c r="AF15" s="5">
        <v>3359</v>
      </c>
      <c r="AG15" s="5">
        <v>3183</v>
      </c>
    </row>
    <row r="16" spans="1:41" s="3" customFormat="1" x14ac:dyDescent="0.15">
      <c r="B16" s="3" t="s">
        <v>36</v>
      </c>
      <c r="C16" s="5"/>
      <c r="D16" s="5"/>
      <c r="E16" s="5"/>
      <c r="F16" s="5"/>
      <c r="G16" s="5">
        <v>720</v>
      </c>
      <c r="H16" s="5">
        <v>752</v>
      </c>
      <c r="I16" s="5">
        <v>737</v>
      </c>
      <c r="J16" s="5">
        <v>812</v>
      </c>
      <c r="K16" s="5">
        <v>781</v>
      </c>
      <c r="L16" s="5">
        <v>802</v>
      </c>
      <c r="M16" s="5">
        <v>789</v>
      </c>
      <c r="N16" s="5">
        <v>833</v>
      </c>
      <c r="O16" s="5">
        <v>1361</v>
      </c>
      <c r="P16" s="5">
        <v>1392</v>
      </c>
      <c r="Q16" s="5">
        <v>1376</v>
      </c>
      <c r="R16" s="5">
        <v>1465</v>
      </c>
      <c r="S16" s="5">
        <v>1383</v>
      </c>
      <c r="T16" s="5">
        <v>1368</v>
      </c>
      <c r="U16" s="5">
        <v>1307</v>
      </c>
      <c r="V16" s="5">
        <v>1373</v>
      </c>
      <c r="W16" s="5">
        <v>1263</v>
      </c>
      <c r="X16" s="5">
        <v>1330</v>
      </c>
      <c r="Y16" s="5">
        <v>1291</v>
      </c>
      <c r="Z16" s="5"/>
      <c r="AA16" s="21"/>
      <c r="AB16" s="5">
        <v>3358</v>
      </c>
      <c r="AC16" s="3">
        <v>3394</v>
      </c>
      <c r="AD16" s="5">
        <v>3240</v>
      </c>
      <c r="AE16" s="5">
        <v>3106</v>
      </c>
      <c r="AF16" s="5">
        <v>3021</v>
      </c>
      <c r="AG16" s="5">
        <v>3205</v>
      </c>
      <c r="AK16" s="22"/>
    </row>
    <row r="18" spans="2:130" s="8" customFormat="1" x14ac:dyDescent="0.15">
      <c r="B18" s="8" t="s">
        <v>8</v>
      </c>
      <c r="C18" s="9"/>
      <c r="D18" s="9"/>
      <c r="E18" s="9"/>
      <c r="F18" s="9"/>
      <c r="G18" s="9">
        <f t="shared" ref="G18:Q18" si="10">SUM(G13:G16)</f>
        <v>9367</v>
      </c>
      <c r="H18" s="9">
        <f t="shared" si="10"/>
        <v>9800</v>
      </c>
      <c r="I18" s="9">
        <f t="shared" si="10"/>
        <v>10085</v>
      </c>
      <c r="J18" s="9">
        <f t="shared" si="10"/>
        <v>11227</v>
      </c>
      <c r="K18" s="9">
        <f t="shared" si="10"/>
        <v>9728</v>
      </c>
      <c r="L18" s="9">
        <f t="shared" si="10"/>
        <v>10360</v>
      </c>
      <c r="M18" s="9">
        <f t="shared" si="10"/>
        <v>10513</v>
      </c>
      <c r="N18" s="9">
        <f t="shared" si="10"/>
        <v>11840</v>
      </c>
      <c r="O18" s="9">
        <f t="shared" si="10"/>
        <v>11445</v>
      </c>
      <c r="P18" s="9">
        <f t="shared" si="10"/>
        <v>12275</v>
      </c>
      <c r="Q18" s="9">
        <f t="shared" si="10"/>
        <v>12398</v>
      </c>
      <c r="R18" s="9">
        <f t="shared" ref="R18:Y18" si="11">SUM(R13:R16)</f>
        <v>13837</v>
      </c>
      <c r="S18" s="9">
        <f t="shared" si="11"/>
        <v>12453</v>
      </c>
      <c r="T18" s="9">
        <f t="shared" si="11"/>
        <v>12941</v>
      </c>
      <c r="U18" s="9">
        <f t="shared" si="11"/>
        <v>13280</v>
      </c>
      <c r="V18" s="9">
        <f t="shared" si="11"/>
        <v>14287</v>
      </c>
      <c r="W18" s="9">
        <f t="shared" si="11"/>
        <v>13307</v>
      </c>
      <c r="X18" s="9">
        <f t="shared" si="11"/>
        <v>14059</v>
      </c>
      <c r="Y18" s="9">
        <f t="shared" si="11"/>
        <v>14130</v>
      </c>
      <c r="Z18" s="9">
        <v>15903</v>
      </c>
      <c r="AA18" s="9"/>
      <c r="AB18" s="9">
        <f t="shared" ref="AB18:AE18" si="12">SUM(AB13:AB16)</f>
        <v>37728</v>
      </c>
      <c r="AC18" s="9">
        <f t="shared" si="12"/>
        <v>39831</v>
      </c>
      <c r="AD18" s="9">
        <f t="shared" si="12"/>
        <v>39506</v>
      </c>
      <c r="AE18" s="9">
        <f t="shared" si="12"/>
        <v>39068</v>
      </c>
      <c r="AF18" s="9">
        <f>SUM(AF13:AF16)</f>
        <v>40479</v>
      </c>
      <c r="AG18" s="9">
        <f>SUM(AG13:AG16)</f>
        <v>42440</v>
      </c>
      <c r="AH18" s="9">
        <f>SUM(O18:R18)</f>
        <v>49955</v>
      </c>
      <c r="AI18" s="9">
        <f>SUM(S18:V18)</f>
        <v>52961</v>
      </c>
      <c r="AJ18" s="9">
        <f>SUM(W18:Z18)</f>
        <v>57399</v>
      </c>
      <c r="AK18" s="9">
        <f>AJ18*1.09</f>
        <v>62564.91</v>
      </c>
      <c r="AL18" s="9">
        <f t="shared" ref="AL18:AO18" si="13">AK18*1.09</f>
        <v>68195.751900000003</v>
      </c>
      <c r="AM18" s="9">
        <f t="shared" si="13"/>
        <v>74333.369571000003</v>
      </c>
      <c r="AN18" s="9">
        <f t="shared" si="13"/>
        <v>81023.372832390014</v>
      </c>
      <c r="AO18" s="9">
        <f t="shared" si="13"/>
        <v>88315.476387305127</v>
      </c>
    </row>
    <row r="19" spans="2:130" s="3" customFormat="1" x14ac:dyDescent="0.15">
      <c r="B19" s="3" t="s">
        <v>16</v>
      </c>
      <c r="C19" s="5"/>
      <c r="D19" s="5"/>
      <c r="E19" s="5"/>
      <c r="F19" s="5"/>
      <c r="G19" s="5">
        <f>1011+246+623</f>
        <v>1880</v>
      </c>
      <c r="H19" s="5">
        <f>1064+244+631</f>
        <v>1939</v>
      </c>
      <c r="I19" s="5">
        <f>1064+230+621</f>
        <v>1915</v>
      </c>
      <c r="J19" s="5">
        <f>(1214+253+655)</f>
        <v>2122</v>
      </c>
      <c r="K19" s="5">
        <f>1214+245+644</f>
        <v>2103</v>
      </c>
      <c r="L19" s="5">
        <f>1259+229+671</f>
        <v>2159</v>
      </c>
      <c r="M19" s="5">
        <f>1305+244+669</f>
        <v>2218</v>
      </c>
      <c r="N19" s="5">
        <f>1435+254+707</f>
        <v>2396</v>
      </c>
      <c r="O19" s="5">
        <f>1735+249+1053</f>
        <v>3037</v>
      </c>
      <c r="P19" s="5">
        <f>1891+286+1181</f>
        <v>3358</v>
      </c>
      <c r="Q19" s="5">
        <f>1980+244+1215</f>
        <v>3439</v>
      </c>
      <c r="R19" s="5">
        <f>2157+261+1312</f>
        <v>3730</v>
      </c>
      <c r="S19" s="5">
        <f>2179+219+1212</f>
        <v>3610</v>
      </c>
      <c r="T19" s="5">
        <f>2274+213+1253</f>
        <v>3740</v>
      </c>
      <c r="U19" s="5">
        <f>2452+217+1200</f>
        <v>3869</v>
      </c>
      <c r="V19" s="5">
        <f>2522+241+1160</f>
        <v>3923</v>
      </c>
      <c r="W19" s="5">
        <f>2597+162+1147</f>
        <v>3906</v>
      </c>
      <c r="X19" s="5">
        <f>2746+172+1167</f>
        <v>4085</v>
      </c>
      <c r="Y19" s="5">
        <f>2882+197+1116</f>
        <v>4195</v>
      </c>
      <c r="Z19" s="5">
        <f>3343+252+1145</f>
        <v>4740</v>
      </c>
      <c r="AA19" s="5"/>
      <c r="AB19" s="5">
        <f>3015+1653+2801</f>
        <v>7469</v>
      </c>
      <c r="AC19" s="3">
        <f>3612+1581+2888</f>
        <v>8081</v>
      </c>
      <c r="AD19" s="5">
        <f>3782+1360+2853</f>
        <v>7995</v>
      </c>
      <c r="AE19" s="5">
        <f>4006+1116+2816</f>
        <v>7938</v>
      </c>
      <c r="AF19" s="5">
        <f>(4353+972+2530)</f>
        <v>7855</v>
      </c>
      <c r="AG19" s="5">
        <f>(5213+972+2692)</f>
        <v>8877</v>
      </c>
      <c r="AH19" s="3">
        <f>SUM(O19:R19)</f>
        <v>13564</v>
      </c>
      <c r="AI19" s="3">
        <f>SUM(S19:V19)</f>
        <v>15142</v>
      </c>
      <c r="AJ19" s="3">
        <f>SUM(W19:Z19)</f>
        <v>16926</v>
      </c>
      <c r="AK19" s="3">
        <f>AK18*0.22</f>
        <v>13764.280200000001</v>
      </c>
      <c r="AL19" s="3">
        <f t="shared" ref="AL19:AO19" si="14">AL18*0.22</f>
        <v>15003.065418</v>
      </c>
      <c r="AM19" s="3">
        <f t="shared" si="14"/>
        <v>16353.341305620001</v>
      </c>
      <c r="AN19" s="3">
        <f t="shared" si="14"/>
        <v>17825.142023125802</v>
      </c>
      <c r="AO19" s="3">
        <f t="shared" si="14"/>
        <v>19429.404805207127</v>
      </c>
    </row>
    <row r="20" spans="2:130" s="3" customFormat="1" x14ac:dyDescent="0.15">
      <c r="B20" s="3" t="s">
        <v>17</v>
      </c>
      <c r="C20" s="5"/>
      <c r="D20" s="5"/>
      <c r="E20" s="5"/>
      <c r="F20" s="5"/>
      <c r="G20" s="5">
        <f t="shared" ref="G20" si="15">G18-G19</f>
        <v>7487</v>
      </c>
      <c r="H20" s="5">
        <f>H18-H19</f>
        <v>7861</v>
      </c>
      <c r="I20" s="5">
        <f>I18-I19</f>
        <v>8170</v>
      </c>
      <c r="J20" s="5">
        <f>J18-J19</f>
        <v>9105</v>
      </c>
      <c r="K20" s="5">
        <f t="shared" ref="K20:O20" si="16">K18-K19</f>
        <v>7625</v>
      </c>
      <c r="L20" s="5">
        <f t="shared" si="16"/>
        <v>8201</v>
      </c>
      <c r="M20" s="5">
        <f t="shared" si="16"/>
        <v>8295</v>
      </c>
      <c r="N20" s="5">
        <f t="shared" si="16"/>
        <v>9444</v>
      </c>
      <c r="O20" s="5">
        <f t="shared" si="16"/>
        <v>8408</v>
      </c>
      <c r="P20" s="5">
        <f t="shared" ref="P20" si="17">P18*0.8</f>
        <v>9820</v>
      </c>
      <c r="Q20" s="5">
        <f>Q18-Q19</f>
        <v>8959</v>
      </c>
      <c r="R20" s="5">
        <f t="shared" ref="R20:S20" si="18">+R18-R19</f>
        <v>10107</v>
      </c>
      <c r="S20" s="5">
        <f t="shared" si="18"/>
        <v>8843</v>
      </c>
      <c r="T20" s="5">
        <f t="shared" ref="T20:Z20" si="19">+T18-T19</f>
        <v>9201</v>
      </c>
      <c r="U20" s="5">
        <f t="shared" si="19"/>
        <v>9411</v>
      </c>
      <c r="V20" s="5">
        <f t="shared" si="19"/>
        <v>10364</v>
      </c>
      <c r="W20" s="5">
        <f t="shared" si="19"/>
        <v>9401</v>
      </c>
      <c r="X20" s="5">
        <f t="shared" si="19"/>
        <v>9974</v>
      </c>
      <c r="Y20" s="5">
        <f t="shared" si="19"/>
        <v>9935</v>
      </c>
      <c r="Z20" s="5">
        <f t="shared" si="19"/>
        <v>11163</v>
      </c>
      <c r="AA20" s="5"/>
      <c r="AB20" s="5">
        <f t="shared" ref="AB20:AD20" si="20">AB18-AB19</f>
        <v>30259</v>
      </c>
      <c r="AC20" s="5">
        <f t="shared" si="20"/>
        <v>31750</v>
      </c>
      <c r="AD20" s="5">
        <f t="shared" si="20"/>
        <v>31511</v>
      </c>
      <c r="AE20" s="5">
        <f t="shared" ref="AE20" si="21">AE18-AE19</f>
        <v>31130</v>
      </c>
      <c r="AF20" s="5">
        <f>AF18-AF19</f>
        <v>32624</v>
      </c>
      <c r="AG20" s="5">
        <f t="shared" ref="AG20" si="22">AG18-AG19</f>
        <v>33563</v>
      </c>
      <c r="AH20" s="3">
        <f>AH18-AH19</f>
        <v>36391</v>
      </c>
      <c r="AI20" s="3">
        <f>AI18-AI19</f>
        <v>37819</v>
      </c>
      <c r="AJ20" s="3">
        <f t="shared" ref="AJ20:AO20" si="23">AJ18-AJ19</f>
        <v>40473</v>
      </c>
      <c r="AK20" s="3">
        <f t="shared" si="23"/>
        <v>48800.629800000002</v>
      </c>
      <c r="AL20" s="3">
        <f t="shared" si="23"/>
        <v>53192.686482000005</v>
      </c>
      <c r="AM20" s="3">
        <f t="shared" si="23"/>
        <v>57980.028265380002</v>
      </c>
      <c r="AN20" s="3">
        <f t="shared" si="23"/>
        <v>63198.230809264212</v>
      </c>
      <c r="AO20" s="3">
        <f t="shared" si="23"/>
        <v>68886.071582097997</v>
      </c>
    </row>
    <row r="21" spans="2:130" s="3" customFormat="1" x14ac:dyDescent="0.15">
      <c r="B21" s="3" t="s">
        <v>19</v>
      </c>
      <c r="C21" s="5"/>
      <c r="D21" s="5"/>
      <c r="E21" s="5"/>
      <c r="F21" s="5"/>
      <c r="G21" s="5">
        <v>1854</v>
      </c>
      <c r="H21" s="5">
        <v>1836</v>
      </c>
      <c r="I21" s="5">
        <v>1915</v>
      </c>
      <c r="J21" s="5">
        <v>2077</v>
      </c>
      <c r="K21" s="5">
        <v>1854</v>
      </c>
      <c r="L21" s="5">
        <v>1954</v>
      </c>
      <c r="M21" s="5">
        <v>2004</v>
      </c>
      <c r="N21" s="5">
        <v>2238</v>
      </c>
      <c r="O21" s="5">
        <v>2177</v>
      </c>
      <c r="P21" s="5">
        <v>2216</v>
      </c>
      <c r="Q21" s="5">
        <v>2150</v>
      </c>
      <c r="R21" s="5">
        <v>2289</v>
      </c>
      <c r="S21" s="5">
        <v>2026</v>
      </c>
      <c r="T21" s="5">
        <v>2093</v>
      </c>
      <c r="U21" s="5">
        <v>2042</v>
      </c>
      <c r="V21" s="5">
        <v>2114</v>
      </c>
      <c r="W21" s="5">
        <v>2036</v>
      </c>
      <c r="X21" s="5">
        <v>2190</v>
      </c>
      <c r="Y21" s="5">
        <v>2119</v>
      </c>
      <c r="Z21" s="5">
        <v>2306</v>
      </c>
      <c r="AA21" s="5"/>
      <c r="AB21" s="5">
        <v>8197</v>
      </c>
      <c r="AC21" s="3">
        <v>8431</v>
      </c>
      <c r="AD21" s="5">
        <v>8509</v>
      </c>
      <c r="AE21" s="5">
        <v>8094</v>
      </c>
      <c r="AF21" s="5">
        <v>7682</v>
      </c>
      <c r="AG21" s="5">
        <v>8047</v>
      </c>
      <c r="AH21" s="3">
        <f t="shared" ref="AH21:AH23" si="24">SUM(O21:R21)</f>
        <v>8832</v>
      </c>
      <c r="AI21" s="3">
        <f>SUM(S21:V21)</f>
        <v>8275</v>
      </c>
      <c r="AJ21" s="3">
        <f>SUM(W21:Z21)</f>
        <v>8651</v>
      </c>
      <c r="AK21" s="3">
        <f>AJ21*1.01</f>
        <v>8737.51</v>
      </c>
      <c r="AL21" s="3">
        <f t="shared" ref="AL21:AO21" si="25">AK21*1.01</f>
        <v>8824.8850999999995</v>
      </c>
      <c r="AM21" s="3">
        <f t="shared" si="25"/>
        <v>8913.1339509999998</v>
      </c>
      <c r="AN21" s="3">
        <f t="shared" si="25"/>
        <v>9002.2652905100003</v>
      </c>
      <c r="AO21" s="3">
        <f t="shared" si="25"/>
        <v>9092.2879434151</v>
      </c>
    </row>
    <row r="22" spans="2:130" s="3" customFormat="1" x14ac:dyDescent="0.15">
      <c r="B22" s="3" t="s">
        <v>20</v>
      </c>
      <c r="C22" s="5"/>
      <c r="D22" s="5"/>
      <c r="E22" s="5"/>
      <c r="F22" s="5"/>
      <c r="G22" s="5">
        <v>1589</v>
      </c>
      <c r="H22" s="5">
        <v>1601</v>
      </c>
      <c r="I22" s="5">
        <v>1621</v>
      </c>
      <c r="J22" s="5">
        <v>1715</v>
      </c>
      <c r="K22" s="5">
        <v>1684</v>
      </c>
      <c r="L22" s="5">
        <v>1754</v>
      </c>
      <c r="M22" s="5">
        <v>1816</v>
      </c>
      <c r="N22" s="5">
        <v>1965</v>
      </c>
      <c r="O22" s="5">
        <v>2093</v>
      </c>
      <c r="P22" s="5">
        <v>2158</v>
      </c>
      <c r="Q22" s="5">
        <v>2146</v>
      </c>
      <c r="R22" s="5">
        <v>2289</v>
      </c>
      <c r="S22" s="5">
        <v>2216</v>
      </c>
      <c r="T22" s="5">
        <v>2226</v>
      </c>
      <c r="U22" s="5">
        <v>2248</v>
      </c>
      <c r="V22" s="5">
        <v>2226</v>
      </c>
      <c r="W22" s="5">
        <v>2306</v>
      </c>
      <c r="X22" s="5">
        <v>2471</v>
      </c>
      <c r="Y22" s="5">
        <v>2429</v>
      </c>
      <c r="Z22" s="5">
        <v>2654</v>
      </c>
      <c r="AA22" s="5"/>
      <c r="AB22" s="5">
        <v>6159</v>
      </c>
      <c r="AC22" s="3">
        <v>6091</v>
      </c>
      <c r="AD22" s="5">
        <v>6026</v>
      </c>
      <c r="AE22" s="5">
        <v>6067</v>
      </c>
      <c r="AF22" s="5">
        <v>6527</v>
      </c>
      <c r="AG22" s="5">
        <v>7219</v>
      </c>
      <c r="AH22" s="3">
        <f t="shared" si="24"/>
        <v>8686</v>
      </c>
      <c r="AI22" s="3">
        <f t="shared" ref="AI22:AO22" si="26">AH22*1.01</f>
        <v>8772.86</v>
      </c>
      <c r="AJ22" s="3">
        <f t="shared" si="26"/>
        <v>8860.588600000001</v>
      </c>
      <c r="AK22" s="3">
        <f t="shared" si="26"/>
        <v>8949.1944860000003</v>
      </c>
      <c r="AL22" s="3">
        <f t="shared" si="26"/>
        <v>9038.6864308599997</v>
      </c>
      <c r="AM22" s="3">
        <f t="shared" si="26"/>
        <v>9129.0732951686005</v>
      </c>
      <c r="AN22" s="3">
        <f t="shared" si="26"/>
        <v>9220.3640281202861</v>
      </c>
      <c r="AO22" s="3">
        <f t="shared" si="26"/>
        <v>9312.5676684014888</v>
      </c>
    </row>
    <row r="23" spans="2:130" s="3" customFormat="1" x14ac:dyDescent="0.15">
      <c r="B23" s="3" t="s">
        <v>21</v>
      </c>
      <c r="C23" s="5"/>
      <c r="D23" s="5"/>
      <c r="E23" s="5"/>
      <c r="F23" s="5"/>
      <c r="G23" s="5">
        <v>295</v>
      </c>
      <c r="H23" s="5">
        <v>324</v>
      </c>
      <c r="I23" s="5">
        <v>330</v>
      </c>
      <c r="J23" s="5">
        <v>306</v>
      </c>
      <c r="K23" s="5">
        <v>298</v>
      </c>
      <c r="L23" s="5">
        <v>319</v>
      </c>
      <c r="M23" s="5">
        <v>335</v>
      </c>
      <c r="N23" s="5">
        <v>364</v>
      </c>
      <c r="O23" s="5">
        <v>411</v>
      </c>
      <c r="P23" s="5">
        <v>366</v>
      </c>
      <c r="Q23" s="5">
        <v>402</v>
      </c>
      <c r="R23" s="5">
        <v>400</v>
      </c>
      <c r="S23" s="5">
        <v>393</v>
      </c>
      <c r="T23" s="5">
        <v>375</v>
      </c>
      <c r="U23" s="5">
        <v>377</v>
      </c>
      <c r="V23" s="5">
        <v>402</v>
      </c>
      <c r="W23" s="5">
        <v>358</v>
      </c>
      <c r="X23" s="5">
        <v>387</v>
      </c>
      <c r="Y23" s="5">
        <v>390</v>
      </c>
      <c r="Z23" s="5">
        <v>467</v>
      </c>
      <c r="AA23" s="5"/>
      <c r="AB23" s="5">
        <v>1176</v>
      </c>
      <c r="AC23" s="3">
        <v>1289</v>
      </c>
      <c r="AD23" s="5">
        <v>1265</v>
      </c>
      <c r="AE23" s="5">
        <v>1181</v>
      </c>
      <c r="AF23" s="5">
        <v>1254</v>
      </c>
      <c r="AG23" s="5">
        <v>1317</v>
      </c>
      <c r="AH23" s="3">
        <f t="shared" si="24"/>
        <v>1579</v>
      </c>
      <c r="AI23" s="3">
        <f t="shared" ref="AI23:AO23" si="27">AH23*1.01</f>
        <v>1594.79</v>
      </c>
      <c r="AJ23" s="3">
        <f t="shared" si="27"/>
        <v>1610.7379000000001</v>
      </c>
      <c r="AK23" s="3">
        <f t="shared" si="27"/>
        <v>1626.8452790000001</v>
      </c>
      <c r="AL23" s="3">
        <f t="shared" si="27"/>
        <v>1643.1137317900002</v>
      </c>
      <c r="AM23" s="3">
        <f t="shared" si="27"/>
        <v>1659.5448691079002</v>
      </c>
      <c r="AN23" s="3">
        <f t="shared" si="27"/>
        <v>1676.1403177989794</v>
      </c>
      <c r="AO23" s="3">
        <f t="shared" si="27"/>
        <v>1692.9017209769693</v>
      </c>
    </row>
    <row r="24" spans="2:130" s="3" customFormat="1" x14ac:dyDescent="0.15">
      <c r="B24" s="3" t="s">
        <v>22</v>
      </c>
      <c r="C24" s="5">
        <f t="shared" ref="C24:M24" si="28">SUM(C21:C23)</f>
        <v>0</v>
      </c>
      <c r="D24" s="5">
        <f t="shared" si="28"/>
        <v>0</v>
      </c>
      <c r="E24" s="5">
        <f t="shared" si="28"/>
        <v>0</v>
      </c>
      <c r="F24" s="5">
        <f t="shared" si="28"/>
        <v>0</v>
      </c>
      <c r="G24" s="5">
        <f t="shared" ref="G24" si="29">SUM(G21:G23)</f>
        <v>3738</v>
      </c>
      <c r="H24" s="5">
        <f t="shared" si="28"/>
        <v>3761</v>
      </c>
      <c r="I24" s="5">
        <f t="shared" si="28"/>
        <v>3866</v>
      </c>
      <c r="J24" s="5">
        <f t="shared" si="28"/>
        <v>4098</v>
      </c>
      <c r="K24" s="5">
        <f t="shared" si="28"/>
        <v>3836</v>
      </c>
      <c r="L24" s="5">
        <f t="shared" si="28"/>
        <v>4027</v>
      </c>
      <c r="M24" s="5">
        <f t="shared" si="28"/>
        <v>4155</v>
      </c>
      <c r="N24" s="5">
        <f>SUM(N21:N23)</f>
        <v>4567</v>
      </c>
      <c r="O24" s="5">
        <f t="shared" ref="O24:T24" si="30">SUM(O21:O23)</f>
        <v>4681</v>
      </c>
      <c r="P24" s="5">
        <f t="shared" si="30"/>
        <v>4740</v>
      </c>
      <c r="Q24" s="5">
        <f t="shared" si="30"/>
        <v>4698</v>
      </c>
      <c r="R24" s="5">
        <f t="shared" si="30"/>
        <v>4978</v>
      </c>
      <c r="S24" s="5">
        <f t="shared" si="30"/>
        <v>4635</v>
      </c>
      <c r="T24" s="5">
        <f t="shared" si="30"/>
        <v>4694</v>
      </c>
      <c r="U24" s="5">
        <f t="shared" ref="U24:Z24" si="31">SUM(U21:U23)</f>
        <v>4667</v>
      </c>
      <c r="V24" s="5">
        <f t="shared" si="31"/>
        <v>4742</v>
      </c>
      <c r="W24" s="5">
        <f t="shared" si="31"/>
        <v>4700</v>
      </c>
      <c r="X24" s="5">
        <f t="shared" si="31"/>
        <v>5048</v>
      </c>
      <c r="Y24" s="5">
        <f t="shared" si="31"/>
        <v>4938</v>
      </c>
      <c r="Z24" s="5">
        <f t="shared" si="31"/>
        <v>5427</v>
      </c>
      <c r="AA24" s="5"/>
      <c r="AB24" s="5">
        <f t="shared" ref="AB24:AD24" si="32">SUM(AB21:AB23)</f>
        <v>15532</v>
      </c>
      <c r="AC24" s="5">
        <f t="shared" si="32"/>
        <v>15811</v>
      </c>
      <c r="AD24" s="5">
        <f t="shared" si="32"/>
        <v>15800</v>
      </c>
      <c r="AE24" s="5">
        <f t="shared" ref="AE24" si="33">SUM(AE21:AE23)</f>
        <v>15342</v>
      </c>
      <c r="AF24" s="5">
        <f>SUM(AF21:AF23)</f>
        <v>15463</v>
      </c>
      <c r="AG24" s="5">
        <f>SUM(AG21:AG23)</f>
        <v>16583</v>
      </c>
      <c r="AH24" s="5">
        <f t="shared" ref="AH24" si="34">SUM(AH21:AH23)</f>
        <v>19097</v>
      </c>
      <c r="AI24" s="5">
        <f t="shared" ref="AI24" si="35">SUM(AI21:AI23)</f>
        <v>18642.650000000001</v>
      </c>
      <c r="AJ24" s="5">
        <f t="shared" ref="AJ24" si="36">SUM(AJ21:AJ23)</f>
        <v>19122.326500000003</v>
      </c>
      <c r="AK24" s="5">
        <f t="shared" ref="AK24" si="37">SUM(AK21:AK23)</f>
        <v>19313.549765000003</v>
      </c>
      <c r="AL24" s="5">
        <f t="shared" ref="AL24" si="38">SUM(AL21:AL23)</f>
        <v>19506.685262649997</v>
      </c>
      <c r="AM24" s="5">
        <f t="shared" ref="AM24" si="39">SUM(AM21:AM23)</f>
        <v>19701.7521152765</v>
      </c>
      <c r="AN24" s="5">
        <f t="shared" ref="AN24" si="40">SUM(AN21:AN23)</f>
        <v>19898.769636429264</v>
      </c>
      <c r="AO24" s="5">
        <f t="shared" ref="AO24" si="41">SUM(AO21:AO23)</f>
        <v>20097.757332793557</v>
      </c>
    </row>
    <row r="25" spans="2:130" s="3" customFormat="1" x14ac:dyDescent="0.15">
      <c r="B25" s="3" t="s">
        <v>23</v>
      </c>
      <c r="C25" s="5">
        <f t="shared" ref="C25:M25" si="42">C20-C24</f>
        <v>0</v>
      </c>
      <c r="D25" s="5">
        <f t="shared" si="42"/>
        <v>0</v>
      </c>
      <c r="E25" s="5">
        <f t="shared" si="42"/>
        <v>0</v>
      </c>
      <c r="F25" s="5">
        <f t="shared" si="42"/>
        <v>0</v>
      </c>
      <c r="G25" s="5">
        <f t="shared" ref="G25" si="43">G20-G24</f>
        <v>3749</v>
      </c>
      <c r="H25" s="5">
        <f t="shared" si="42"/>
        <v>4100</v>
      </c>
      <c r="I25" s="5">
        <f t="shared" si="42"/>
        <v>4304</v>
      </c>
      <c r="J25" s="5">
        <f t="shared" si="42"/>
        <v>5007</v>
      </c>
      <c r="K25" s="5">
        <f t="shared" si="42"/>
        <v>3789</v>
      </c>
      <c r="L25" s="5">
        <f t="shared" si="42"/>
        <v>4174</v>
      </c>
      <c r="M25" s="5">
        <f t="shared" si="42"/>
        <v>4140</v>
      </c>
      <c r="N25" s="5">
        <f>N20-N24</f>
        <v>4877</v>
      </c>
      <c r="O25" s="5">
        <f t="shared" ref="O25:T25" si="44">O20-O24</f>
        <v>3727</v>
      </c>
      <c r="P25" s="5">
        <f t="shared" si="44"/>
        <v>5080</v>
      </c>
      <c r="Q25" s="5">
        <f t="shared" si="44"/>
        <v>4261</v>
      </c>
      <c r="R25" s="5">
        <f t="shared" si="44"/>
        <v>5129</v>
      </c>
      <c r="S25" s="5">
        <f t="shared" si="44"/>
        <v>4208</v>
      </c>
      <c r="T25" s="5">
        <f t="shared" si="44"/>
        <v>4507</v>
      </c>
      <c r="U25" s="5">
        <f t="shared" ref="U25:Z25" si="45">U20-U24</f>
        <v>4744</v>
      </c>
      <c r="V25" s="5">
        <f t="shared" si="45"/>
        <v>5622</v>
      </c>
      <c r="W25" s="5">
        <f t="shared" si="45"/>
        <v>4701</v>
      </c>
      <c r="X25" s="5">
        <f t="shared" si="45"/>
        <v>4926</v>
      </c>
      <c r="Y25" s="5">
        <f t="shared" si="45"/>
        <v>4997</v>
      </c>
      <c r="Z25" s="5">
        <f t="shared" si="45"/>
        <v>5736</v>
      </c>
      <c r="AA25" s="5"/>
      <c r="AB25" s="5">
        <f t="shared" ref="AB25:AD25" si="46">AB20-AB24</f>
        <v>14727</v>
      </c>
      <c r="AC25" s="5">
        <f t="shared" si="46"/>
        <v>15939</v>
      </c>
      <c r="AD25" s="5">
        <f t="shared" si="46"/>
        <v>15711</v>
      </c>
      <c r="AE25" s="5">
        <f t="shared" ref="AE25" si="47">AE20-AE24</f>
        <v>15788</v>
      </c>
      <c r="AF25" s="5">
        <f>AF20-AF24</f>
        <v>17161</v>
      </c>
      <c r="AG25" s="5">
        <f>AG20-AG24</f>
        <v>16980</v>
      </c>
      <c r="AH25" s="5">
        <f t="shared" ref="AH25" si="48">AH20-AH24</f>
        <v>17294</v>
      </c>
      <c r="AI25" s="5">
        <f t="shared" ref="AI25" si="49">AI20-AI24</f>
        <v>19176.349999999999</v>
      </c>
      <c r="AJ25" s="5">
        <f t="shared" ref="AJ25" si="50">AJ20-AJ24</f>
        <v>21350.673499999997</v>
      </c>
      <c r="AK25" s="5">
        <f t="shared" ref="AK25" si="51">AK20-AK24</f>
        <v>29487.080034999999</v>
      </c>
      <c r="AL25" s="5">
        <f t="shared" ref="AL25" si="52">AL20-AL24</f>
        <v>33686.001219350008</v>
      </c>
      <c r="AM25" s="5">
        <f t="shared" ref="AM25" si="53">AM20-AM24</f>
        <v>38278.276150103498</v>
      </c>
      <c r="AN25" s="5">
        <f t="shared" ref="AN25" si="54">AN20-AN24</f>
        <v>43299.461172834948</v>
      </c>
      <c r="AO25" s="5">
        <f t="shared" ref="AO25" si="55">AO20-AO24</f>
        <v>48788.314249304443</v>
      </c>
    </row>
    <row r="26" spans="2:130" s="3" customFormat="1" x14ac:dyDescent="0.15">
      <c r="B26" s="3" t="s">
        <v>24</v>
      </c>
      <c r="C26" s="5"/>
      <c r="D26" s="5"/>
      <c r="E26" s="5"/>
      <c r="F26" s="5"/>
      <c r="G26" s="5">
        <v>-614</v>
      </c>
      <c r="H26" s="5">
        <v>-600</v>
      </c>
      <c r="I26" s="5">
        <v>-585</v>
      </c>
      <c r="J26" s="5">
        <v>-697</v>
      </c>
      <c r="K26" s="5">
        <v>-705</v>
      </c>
      <c r="L26" s="5">
        <v>-679</v>
      </c>
      <c r="M26" s="5">
        <v>-667</v>
      </c>
      <c r="N26" s="5">
        <v>-704</v>
      </c>
      <c r="O26" s="5">
        <f>-787-180</f>
        <v>-967</v>
      </c>
      <c r="P26" s="5">
        <f>-856-71</f>
        <v>-927</v>
      </c>
      <c r="Q26" s="5">
        <v>-908</v>
      </c>
      <c r="R26" s="5">
        <f>-955-76</f>
        <v>-1031</v>
      </c>
      <c r="S26" s="5">
        <f>-872-49</f>
        <v>-921</v>
      </c>
      <c r="T26" s="5">
        <f>-888-14</f>
        <v>-902</v>
      </c>
      <c r="U26" s="5">
        <f>-876-9</f>
        <v>-885</v>
      </c>
      <c r="V26" s="5">
        <f>-876-26</f>
        <v>-902</v>
      </c>
      <c r="W26" s="5">
        <f>-842+20</f>
        <v>-822</v>
      </c>
      <c r="X26" s="5">
        <f>-866+36</f>
        <v>-830</v>
      </c>
      <c r="Y26" s="5">
        <f>-892-18</f>
        <v>-910</v>
      </c>
      <c r="Z26" s="5">
        <v>-978</v>
      </c>
      <c r="AA26" s="5"/>
      <c r="AB26" s="5">
        <v>-1798</v>
      </c>
      <c r="AC26" s="5">
        <v>-2025</v>
      </c>
      <c r="AD26" s="5">
        <v>-2082</v>
      </c>
      <c r="AE26" s="5">
        <v>-1995</v>
      </c>
      <c r="AF26" s="5">
        <v>-2496</v>
      </c>
      <c r="AG26" s="5">
        <v>-2755</v>
      </c>
      <c r="AH26" s="3">
        <f t="shared" ref="AH26:AH28" si="56">SUM(O26:R26)</f>
        <v>-3833</v>
      </c>
      <c r="AI26" s="3">
        <f t="shared" ref="AI26:AO26" si="57">AH42*$AR$43</f>
        <v>0</v>
      </c>
      <c r="AJ26" s="3">
        <f t="shared" si="57"/>
        <v>162.998975</v>
      </c>
      <c r="AK26" s="3">
        <f t="shared" si="57"/>
        <v>345.86519103749998</v>
      </c>
      <c r="AL26" s="3">
        <f t="shared" si="57"/>
        <v>599.44522545881875</v>
      </c>
      <c r="AM26" s="3">
        <f t="shared" si="57"/>
        <v>890.87152023969384</v>
      </c>
      <c r="AN26" s="3">
        <f t="shared" si="57"/>
        <v>1223.8092754376109</v>
      </c>
      <c r="AO26" s="3">
        <f t="shared" si="57"/>
        <v>1602.2570742479274</v>
      </c>
    </row>
    <row r="27" spans="2:130" x14ac:dyDescent="0.15">
      <c r="B27" s="1" t="s">
        <v>25</v>
      </c>
      <c r="G27" s="5">
        <f t="shared" ref="G27" si="58">+G25+G26</f>
        <v>3135</v>
      </c>
      <c r="H27" s="5">
        <f t="shared" ref="H27:J27" si="59">+H25+H26</f>
        <v>3500</v>
      </c>
      <c r="I27" s="5">
        <f t="shared" si="59"/>
        <v>3719</v>
      </c>
      <c r="J27" s="5">
        <f t="shared" si="59"/>
        <v>4310</v>
      </c>
      <c r="K27" s="5">
        <f t="shared" ref="K27" si="60">+K25+K26</f>
        <v>3084</v>
      </c>
      <c r="L27" s="5">
        <f t="shared" ref="L27" si="61">+L25+L26</f>
        <v>3495</v>
      </c>
      <c r="M27" s="5">
        <f t="shared" ref="M27" si="62">+M25+M26</f>
        <v>3473</v>
      </c>
      <c r="N27" s="5">
        <f>+N25+N26</f>
        <v>4173</v>
      </c>
      <c r="O27" s="5">
        <f t="shared" ref="O27:T27" si="63">+O25+O26</f>
        <v>2760</v>
      </c>
      <c r="P27" s="5">
        <f t="shared" si="63"/>
        <v>4153</v>
      </c>
      <c r="Q27" s="5">
        <f t="shared" si="63"/>
        <v>3353</v>
      </c>
      <c r="R27" s="5">
        <f t="shared" si="63"/>
        <v>4098</v>
      </c>
      <c r="S27" s="5">
        <f t="shared" si="63"/>
        <v>3287</v>
      </c>
      <c r="T27" s="5">
        <f t="shared" si="63"/>
        <v>3605</v>
      </c>
      <c r="U27" s="5">
        <f t="shared" ref="U27:Z27" si="64">+U25+U26</f>
        <v>3859</v>
      </c>
      <c r="V27" s="5">
        <f t="shared" si="64"/>
        <v>4720</v>
      </c>
      <c r="W27" s="5">
        <f t="shared" si="64"/>
        <v>3879</v>
      </c>
      <c r="X27" s="5">
        <f t="shared" si="64"/>
        <v>4096</v>
      </c>
      <c r="Y27" s="5">
        <f t="shared" si="64"/>
        <v>4087</v>
      </c>
      <c r="Z27" s="5">
        <f t="shared" si="64"/>
        <v>4758</v>
      </c>
      <c r="AA27" s="5"/>
      <c r="AB27" s="5">
        <f t="shared" ref="AB27:AD27" si="65">+AB25+AB26</f>
        <v>12929</v>
      </c>
      <c r="AC27" s="5">
        <f t="shared" si="65"/>
        <v>13914</v>
      </c>
      <c r="AD27" s="5">
        <f t="shared" si="65"/>
        <v>13629</v>
      </c>
      <c r="AE27" s="5">
        <f t="shared" ref="AE27:AF27" si="66">+AE25+AE26</f>
        <v>13793</v>
      </c>
      <c r="AF27" s="5">
        <f t="shared" si="66"/>
        <v>14665</v>
      </c>
      <c r="AG27" s="5">
        <f>+AG25+AG26</f>
        <v>14225</v>
      </c>
      <c r="AH27" s="5">
        <f t="shared" ref="AH27" si="67">+AH25+AH26</f>
        <v>13461</v>
      </c>
      <c r="AI27" s="5">
        <f t="shared" ref="AI27" si="68">+AI25+AI26</f>
        <v>19176.349999999999</v>
      </c>
      <c r="AJ27" s="5">
        <f t="shared" ref="AJ27" si="69">+AJ25+AJ26</f>
        <v>21513.672474999996</v>
      </c>
      <c r="AK27" s="5">
        <f>+AK25+AK26</f>
        <v>29832.9452260375</v>
      </c>
      <c r="AL27" s="5">
        <f t="shared" ref="AL27" si="70">+AL25+AL26</f>
        <v>34285.446444808826</v>
      </c>
      <c r="AM27" s="5">
        <f t="shared" ref="AM27" si="71">+AM25+AM26</f>
        <v>39169.147670343191</v>
      </c>
      <c r="AN27" s="5">
        <f t="shared" ref="AN27" si="72">+AN25+AN26</f>
        <v>44523.27044827256</v>
      </c>
      <c r="AO27" s="5">
        <f t="shared" ref="AO27" si="73">+AO25+AO26</f>
        <v>50390.571323552373</v>
      </c>
    </row>
    <row r="28" spans="2:130" x14ac:dyDescent="0.15">
      <c r="B28" s="1" t="s">
        <v>26</v>
      </c>
      <c r="G28" s="4">
        <v>344</v>
      </c>
      <c r="H28" s="4">
        <v>530</v>
      </c>
      <c r="I28" s="4">
        <v>0</v>
      </c>
      <c r="J28" s="5">
        <v>124</v>
      </c>
      <c r="K28" s="5">
        <v>224</v>
      </c>
      <c r="L28" s="5">
        <v>0</v>
      </c>
      <c r="M28" s="5">
        <v>521</v>
      </c>
      <c r="N28" s="5">
        <v>435</v>
      </c>
      <c r="O28" s="5">
        <v>108</v>
      </c>
      <c r="P28" s="5">
        <v>403</v>
      </c>
      <c r="Q28" s="5">
        <v>322</v>
      </c>
      <c r="R28" s="5">
        <v>-210</v>
      </c>
      <c r="S28" s="5">
        <v>778</v>
      </c>
      <c r="T28" s="5">
        <v>872</v>
      </c>
      <c r="U28" s="5">
        <v>925</v>
      </c>
      <c r="V28" s="5">
        <v>1158</v>
      </c>
      <c r="W28" s="5">
        <v>922</v>
      </c>
      <c r="X28" s="5">
        <v>239</v>
      </c>
      <c r="Y28" s="5">
        <v>512</v>
      </c>
      <c r="Z28" s="5">
        <v>724</v>
      </c>
      <c r="AB28" s="5">
        <v>2182</v>
      </c>
      <c r="AC28" s="3">
        <v>9066</v>
      </c>
      <c r="AD28" s="5">
        <v>1185</v>
      </c>
      <c r="AE28" s="5">
        <v>1928</v>
      </c>
      <c r="AF28" s="5">
        <v>0</v>
      </c>
      <c r="AG28" s="5">
        <v>932</v>
      </c>
      <c r="AH28" s="3">
        <f t="shared" si="56"/>
        <v>623</v>
      </c>
      <c r="AI28" s="3">
        <f>AI27*0.15</f>
        <v>2876.4524999999999</v>
      </c>
      <c r="AJ28" s="3">
        <f>AJ27*0.15</f>
        <v>3227.0508712499991</v>
      </c>
      <c r="AK28" s="3">
        <f>AK27*0.15</f>
        <v>4474.941783905625</v>
      </c>
      <c r="AL28" s="3">
        <f t="shared" ref="AL28:AO28" si="74">AL27*0.15</f>
        <v>5142.8169667213233</v>
      </c>
      <c r="AM28" s="3">
        <f>AM27*0.15</f>
        <v>5875.3721505514786</v>
      </c>
      <c r="AN28" s="3">
        <f t="shared" si="74"/>
        <v>6678.490567240884</v>
      </c>
      <c r="AO28" s="3">
        <f t="shared" si="74"/>
        <v>7558.5856985328555</v>
      </c>
    </row>
    <row r="29" spans="2:130" x14ac:dyDescent="0.15">
      <c r="B29" s="1" t="s">
        <v>27</v>
      </c>
      <c r="G29" s="5">
        <f t="shared" ref="G29" si="75">G27-G28</f>
        <v>2791</v>
      </c>
      <c r="H29" s="5">
        <f>H27-H28</f>
        <v>2970</v>
      </c>
      <c r="I29" s="5">
        <f>I27-I28</f>
        <v>3719</v>
      </c>
      <c r="J29" s="5">
        <f>J27-J28</f>
        <v>4186</v>
      </c>
      <c r="K29" s="5">
        <f t="shared" ref="K29:M29" si="76">K27-K28</f>
        <v>2860</v>
      </c>
      <c r="L29" s="5">
        <f t="shared" si="76"/>
        <v>3495</v>
      </c>
      <c r="M29" s="5">
        <f t="shared" si="76"/>
        <v>2952</v>
      </c>
      <c r="N29" s="5">
        <f>N27-N28</f>
        <v>3738</v>
      </c>
      <c r="O29" s="5">
        <f t="shared" ref="O29:T29" si="77">O27-O28</f>
        <v>2652</v>
      </c>
      <c r="P29" s="5">
        <f t="shared" si="77"/>
        <v>3750</v>
      </c>
      <c r="Q29" s="5">
        <f t="shared" si="77"/>
        <v>3031</v>
      </c>
      <c r="R29" s="5">
        <f t="shared" si="77"/>
        <v>4308</v>
      </c>
      <c r="S29" s="5">
        <f t="shared" si="77"/>
        <v>2509</v>
      </c>
      <c r="T29" s="5">
        <f t="shared" si="77"/>
        <v>2733</v>
      </c>
      <c r="U29" s="5">
        <f t="shared" ref="U29:Z29" si="78">U27-U28</f>
        <v>2934</v>
      </c>
      <c r="V29" s="5">
        <f t="shared" si="78"/>
        <v>3562</v>
      </c>
      <c r="W29" s="5">
        <f t="shared" si="78"/>
        <v>2957</v>
      </c>
      <c r="X29" s="5">
        <f t="shared" si="78"/>
        <v>3857</v>
      </c>
      <c r="Y29" s="5">
        <f t="shared" si="78"/>
        <v>3575</v>
      </c>
      <c r="Z29" s="5">
        <f t="shared" si="78"/>
        <v>4034</v>
      </c>
      <c r="AB29" s="5">
        <f t="shared" ref="AB29:AD29" si="79">AB27-AB28</f>
        <v>10747</v>
      </c>
      <c r="AC29" s="5">
        <f t="shared" si="79"/>
        <v>4848</v>
      </c>
      <c r="AD29" s="5">
        <f t="shared" si="79"/>
        <v>12444</v>
      </c>
      <c r="AE29" s="5">
        <f t="shared" ref="AE29" si="80">AE27-AE28</f>
        <v>11865</v>
      </c>
      <c r="AF29" s="5">
        <f>AF27-AF28</f>
        <v>14665</v>
      </c>
      <c r="AG29" s="5">
        <f>AG27-AG28</f>
        <v>13293</v>
      </c>
      <c r="AH29" s="5">
        <f t="shared" ref="AH29" si="81">AH27-AH28</f>
        <v>12838</v>
      </c>
      <c r="AI29" s="5">
        <f t="shared" ref="AI29" si="82">AI27-AI28</f>
        <v>16299.897499999999</v>
      </c>
      <c r="AJ29" s="5">
        <f t="shared" ref="AJ29" si="83">AJ27-AJ28</f>
        <v>18286.621603749998</v>
      </c>
      <c r="AK29" s="5">
        <f>AK27-AK28</f>
        <v>25358.003442131874</v>
      </c>
      <c r="AL29" s="5">
        <f t="shared" ref="AL29" si="84">AL27-AL28</f>
        <v>29142.629478087503</v>
      </c>
      <c r="AM29" s="5">
        <f t="shared" ref="AM29" si="85">AM27-AM28</f>
        <v>33293.775519791714</v>
      </c>
      <c r="AN29" s="5">
        <f t="shared" ref="AN29" si="86">AN27-AN28</f>
        <v>37844.779881031674</v>
      </c>
      <c r="AO29" s="5">
        <f t="shared" ref="AO29" si="87">AO27-AO28</f>
        <v>42831.985625019515</v>
      </c>
      <c r="AP29" s="3">
        <f t="shared" ref="AP29:BU29" si="88">AO29*(1+$AR$42)</f>
        <v>43260.305481269708</v>
      </c>
      <c r="AQ29" s="3">
        <f t="shared" si="88"/>
        <v>43692.908536082403</v>
      </c>
      <c r="AR29" s="3">
        <f t="shared" si="88"/>
        <v>44129.837621443228</v>
      </c>
      <c r="AS29" s="3">
        <f t="shared" si="88"/>
        <v>44571.135997657664</v>
      </c>
      <c r="AT29" s="3">
        <f t="shared" si="88"/>
        <v>45016.847357634244</v>
      </c>
      <c r="AU29" s="3">
        <f t="shared" si="88"/>
        <v>45467.015831210585</v>
      </c>
      <c r="AV29" s="3">
        <f t="shared" si="88"/>
        <v>45921.685989522688</v>
      </c>
      <c r="AW29" s="3">
        <f t="shared" si="88"/>
        <v>46380.902849417915</v>
      </c>
      <c r="AX29" s="3">
        <f t="shared" si="88"/>
        <v>46844.711877912094</v>
      </c>
      <c r="AY29" s="3">
        <f t="shared" si="88"/>
        <v>47313.158996691214</v>
      </c>
      <c r="AZ29" s="3">
        <f t="shared" si="88"/>
        <v>47786.290586658128</v>
      </c>
      <c r="BA29" s="3">
        <f t="shared" si="88"/>
        <v>48264.153492524711</v>
      </c>
      <c r="BB29" s="3">
        <f t="shared" si="88"/>
        <v>48746.79502744996</v>
      </c>
      <c r="BC29" s="3">
        <f t="shared" si="88"/>
        <v>49234.262977724458</v>
      </c>
      <c r="BD29" s="3">
        <f t="shared" si="88"/>
        <v>49726.605607501704</v>
      </c>
      <c r="BE29" s="3">
        <f t="shared" si="88"/>
        <v>50223.87166357672</v>
      </c>
      <c r="BF29" s="3">
        <f t="shared" si="88"/>
        <v>50726.110380212485</v>
      </c>
      <c r="BG29" s="3">
        <f t="shared" si="88"/>
        <v>51233.371484014613</v>
      </c>
      <c r="BH29" s="3">
        <f t="shared" si="88"/>
        <v>51745.705198854761</v>
      </c>
      <c r="BI29" s="3">
        <f t="shared" si="88"/>
        <v>52263.162250843307</v>
      </c>
      <c r="BJ29" s="3">
        <f t="shared" si="88"/>
        <v>52785.793873351737</v>
      </c>
      <c r="BK29" s="3">
        <f t="shared" si="88"/>
        <v>53313.651812085256</v>
      </c>
      <c r="BL29" s="3">
        <f t="shared" si="88"/>
        <v>53846.788330206109</v>
      </c>
      <c r="BM29" s="3">
        <f t="shared" si="88"/>
        <v>54385.256213508168</v>
      </c>
      <c r="BN29" s="3">
        <f t="shared" si="88"/>
        <v>54929.108775643253</v>
      </c>
      <c r="BO29" s="3">
        <f t="shared" si="88"/>
        <v>55478.399863399689</v>
      </c>
      <c r="BP29" s="3">
        <f t="shared" si="88"/>
        <v>56033.183862033686</v>
      </c>
      <c r="BQ29" s="3">
        <f t="shared" si="88"/>
        <v>56593.515700654025</v>
      </c>
      <c r="BR29" s="3">
        <f t="shared" si="88"/>
        <v>57159.450857660566</v>
      </c>
      <c r="BS29" s="3">
        <f t="shared" si="88"/>
        <v>57731.045366237173</v>
      </c>
      <c r="BT29" s="3">
        <f t="shared" si="88"/>
        <v>58308.355819899545</v>
      </c>
      <c r="BU29" s="3">
        <f t="shared" si="88"/>
        <v>58891.439378098541</v>
      </c>
      <c r="BV29" s="3">
        <f t="shared" ref="BV29:DA29" si="89">BU29*(1+$AR$42)</f>
        <v>59480.353771879527</v>
      </c>
      <c r="BW29" s="3">
        <f t="shared" si="89"/>
        <v>60075.157309598326</v>
      </c>
      <c r="BX29" s="3">
        <f t="shared" si="89"/>
        <v>60675.908882694312</v>
      </c>
      <c r="BY29" s="3">
        <f t="shared" si="89"/>
        <v>61282.667971521252</v>
      </c>
      <c r="BZ29" s="3">
        <f t="shared" si="89"/>
        <v>61895.494651236462</v>
      </c>
      <c r="CA29" s="3">
        <f t="shared" si="89"/>
        <v>62514.449597748826</v>
      </c>
      <c r="CB29" s="3">
        <f t="shared" si="89"/>
        <v>63139.594093726315</v>
      </c>
      <c r="CC29" s="3">
        <f t="shared" si="89"/>
        <v>63770.990034663577</v>
      </c>
      <c r="CD29" s="3">
        <f t="shared" si="89"/>
        <v>64408.699935010212</v>
      </c>
      <c r="CE29" s="3">
        <f t="shared" si="89"/>
        <v>65052.786934360316</v>
      </c>
      <c r="CF29" s="3">
        <f t="shared" si="89"/>
        <v>65703.314803703921</v>
      </c>
      <c r="CG29" s="3">
        <f t="shared" si="89"/>
        <v>66360.347951740958</v>
      </c>
      <c r="CH29" s="3">
        <f t="shared" si="89"/>
        <v>67023.951431258363</v>
      </c>
      <c r="CI29" s="3">
        <f t="shared" si="89"/>
        <v>67694.190945570954</v>
      </c>
      <c r="CJ29" s="3">
        <f t="shared" si="89"/>
        <v>68371.132855026663</v>
      </c>
      <c r="CK29" s="3">
        <f t="shared" si="89"/>
        <v>69054.844183576934</v>
      </c>
      <c r="CL29" s="3">
        <f t="shared" si="89"/>
        <v>69745.3926254127</v>
      </c>
      <c r="CM29" s="3">
        <f t="shared" si="89"/>
        <v>70442.846551666822</v>
      </c>
      <c r="CN29" s="3">
        <f t="shared" si="89"/>
        <v>71147.275017183492</v>
      </c>
      <c r="CO29" s="3">
        <f t="shared" si="89"/>
        <v>71858.747767355322</v>
      </c>
      <c r="CP29" s="3">
        <f t="shared" si="89"/>
        <v>72577.33524502888</v>
      </c>
      <c r="CQ29" s="3">
        <f t="shared" si="89"/>
        <v>73303.108597479164</v>
      </c>
      <c r="CR29" s="3">
        <f t="shared" si="89"/>
        <v>74036.139683453963</v>
      </c>
      <c r="CS29" s="3">
        <f t="shared" si="89"/>
        <v>74776.501080288508</v>
      </c>
      <c r="CT29" s="3">
        <f t="shared" si="89"/>
        <v>75524.266091091398</v>
      </c>
      <c r="CU29" s="3">
        <f t="shared" si="89"/>
        <v>76279.508752002308</v>
      </c>
      <c r="CV29" s="3">
        <f t="shared" si="89"/>
        <v>77042.303839522327</v>
      </c>
      <c r="CW29" s="3">
        <f t="shared" si="89"/>
        <v>77812.72687791755</v>
      </c>
      <c r="CX29" s="3">
        <f t="shared" si="89"/>
        <v>78590.854146696729</v>
      </c>
      <c r="CY29" s="3">
        <f t="shared" si="89"/>
        <v>79376.762688163697</v>
      </c>
      <c r="CZ29" s="3">
        <f t="shared" si="89"/>
        <v>80170.53031504534</v>
      </c>
      <c r="DA29" s="3">
        <f t="shared" si="89"/>
        <v>80972.235618195788</v>
      </c>
      <c r="DB29" s="3">
        <f t="shared" ref="DB29:DZ29" si="90">DA29*(1+$AR$42)</f>
        <v>81781.957974377743</v>
      </c>
      <c r="DC29" s="3">
        <f t="shared" si="90"/>
        <v>82599.777554121523</v>
      </c>
      <c r="DD29" s="3">
        <f t="shared" si="90"/>
        <v>83425.775329662734</v>
      </c>
      <c r="DE29" s="3">
        <f t="shared" si="90"/>
        <v>84260.033082959359</v>
      </c>
      <c r="DF29" s="3">
        <f t="shared" si="90"/>
        <v>85102.63341378895</v>
      </c>
      <c r="DG29" s="3">
        <f t="shared" si="90"/>
        <v>85953.659747926838</v>
      </c>
      <c r="DH29" s="3">
        <f t="shared" si="90"/>
        <v>86813.196345406104</v>
      </c>
      <c r="DI29" s="3">
        <f t="shared" si="90"/>
        <v>87681.32830886016</v>
      </c>
      <c r="DJ29" s="3">
        <f t="shared" si="90"/>
        <v>88558.141591948763</v>
      </c>
      <c r="DK29" s="3">
        <f t="shared" si="90"/>
        <v>89443.723007868248</v>
      </c>
      <c r="DL29" s="3">
        <f t="shared" si="90"/>
        <v>90338.160237946926</v>
      </c>
      <c r="DM29" s="3">
        <f t="shared" si="90"/>
        <v>91241.54184032639</v>
      </c>
      <c r="DN29" s="3">
        <f t="shared" si="90"/>
        <v>92153.957258729657</v>
      </c>
      <c r="DO29" s="3">
        <f t="shared" si="90"/>
        <v>93075.496831316952</v>
      </c>
      <c r="DP29" s="3">
        <f t="shared" si="90"/>
        <v>94006.251799630118</v>
      </c>
      <c r="DQ29" s="3">
        <f t="shared" si="90"/>
        <v>94946.314317626413</v>
      </c>
      <c r="DR29" s="3">
        <f t="shared" si="90"/>
        <v>95895.777460802681</v>
      </c>
      <c r="DS29" s="3">
        <f t="shared" si="90"/>
        <v>96854.735235410713</v>
      </c>
      <c r="DT29" s="3">
        <f t="shared" si="90"/>
        <v>97823.282587764828</v>
      </c>
      <c r="DU29" s="3">
        <f t="shared" si="90"/>
        <v>98801.515413642483</v>
      </c>
      <c r="DV29" s="3">
        <f t="shared" si="90"/>
        <v>99789.530567778915</v>
      </c>
      <c r="DW29" s="3">
        <f t="shared" si="90"/>
        <v>100787.42587345671</v>
      </c>
      <c r="DX29" s="3">
        <f t="shared" si="90"/>
        <v>101795.30013219127</v>
      </c>
      <c r="DY29" s="3">
        <f t="shared" si="90"/>
        <v>102813.25313351319</v>
      </c>
      <c r="DZ29" s="3">
        <f t="shared" si="90"/>
        <v>103841.38566484832</v>
      </c>
    </row>
    <row r="30" spans="2:130" x14ac:dyDescent="0.15">
      <c r="B30" s="1" t="s">
        <v>28</v>
      </c>
      <c r="G30" s="6">
        <f t="shared" ref="G30" si="91">G29/G31</f>
        <v>0.89829417444480208</v>
      </c>
      <c r="H30" s="6">
        <f>H29/H31</f>
        <v>0.97504924491135914</v>
      </c>
      <c r="I30" s="6">
        <f>I29/I31</f>
        <v>1.2421509686038743</v>
      </c>
      <c r="J30" s="6">
        <f>J29/J31</f>
        <v>1.4223581379544683</v>
      </c>
      <c r="K30" s="6">
        <f t="shared" ref="K30:T30" si="92">K29/K31</f>
        <v>0.99965047186298495</v>
      </c>
      <c r="L30" s="6">
        <f t="shared" si="92"/>
        <v>1.2973273942093542</v>
      </c>
      <c r="M30" s="6">
        <f t="shared" si="92"/>
        <v>1.0718954248366013</v>
      </c>
      <c r="N30" s="6">
        <f t="shared" si="92"/>
        <v>1.363238512035011</v>
      </c>
      <c r="O30" s="6">
        <f t="shared" si="92"/>
        <v>0.96541681834728799</v>
      </c>
      <c r="P30" s="6">
        <f t="shared" si="92"/>
        <v>1.3656227239621268</v>
      </c>
      <c r="Q30" s="6">
        <f t="shared" si="92"/>
        <v>1.0918587896253602</v>
      </c>
      <c r="R30" s="6">
        <f t="shared" si="92"/>
        <v>1.5407725321888412</v>
      </c>
      <c r="S30" s="6">
        <f t="shared" si="92"/>
        <v>0.88877081119376555</v>
      </c>
      <c r="T30" s="6">
        <f t="shared" si="92"/>
        <v>0.9701810436634718</v>
      </c>
      <c r="U30" s="6">
        <f t="shared" ref="U30:Z30" si="93">U29/U31</f>
        <v>1.0407946080170274</v>
      </c>
      <c r="V30" s="6">
        <f t="shared" si="93"/>
        <v>1.2568807339449541</v>
      </c>
      <c r="W30" s="6">
        <f t="shared" si="93"/>
        <v>1.0371799368642582</v>
      </c>
      <c r="X30" s="6">
        <f t="shared" si="93"/>
        <v>1.3443708609271523</v>
      </c>
      <c r="Y30" s="6">
        <f t="shared" si="93"/>
        <v>1.2439109255393179</v>
      </c>
      <c r="Z30" s="6">
        <f t="shared" si="93"/>
        <v>1.4036186499652052</v>
      </c>
      <c r="AB30" s="6">
        <f t="shared" ref="AB30:AD30" si="94">AB29/AB31</f>
        <v>2.5484941901825944</v>
      </c>
      <c r="AC30" s="6">
        <f t="shared" si="94"/>
        <v>1.1439358187824447</v>
      </c>
      <c r="AD30" s="6">
        <f t="shared" si="94"/>
        <v>3.334405144694534</v>
      </c>
      <c r="AE30" s="6">
        <f t="shared" ref="AE30" si="95">AE29/AE31</f>
        <v>3.6020036429872495</v>
      </c>
      <c r="AF30" s="6">
        <f>AF29/AF31</f>
        <v>4.852746525479815</v>
      </c>
      <c r="AG30" s="6">
        <f t="shared" ref="AG30:AH30" si="96">AG29/AG31</f>
        <v>4.7713567839195976</v>
      </c>
      <c r="AH30" s="6">
        <f t="shared" si="96"/>
        <v>4.6409399005874379</v>
      </c>
      <c r="AI30" s="6">
        <f t="shared" ref="AI30:AO30" si="97">AI29/AI31</f>
        <v>5.892416629010393</v>
      </c>
      <c r="AJ30" s="6">
        <f t="shared" si="97"/>
        <v>6.6106178413917753</v>
      </c>
      <c r="AK30" s="6">
        <f t="shared" si="97"/>
        <v>9.1669239736581556</v>
      </c>
      <c r="AL30" s="6">
        <f t="shared" si="97"/>
        <v>10.535067140745596</v>
      </c>
      <c r="AM30" s="6">
        <f t="shared" si="97"/>
        <v>12.035707372721813</v>
      </c>
      <c r="AN30" s="6">
        <f t="shared" si="97"/>
        <v>13.680896477553249</v>
      </c>
      <c r="AO30" s="6">
        <f t="shared" si="97"/>
        <v>15.483772480802354</v>
      </c>
    </row>
    <row r="31" spans="2:130" s="3" customFormat="1" x14ac:dyDescent="0.15">
      <c r="B31" s="3" t="s">
        <v>1</v>
      </c>
      <c r="C31" s="5"/>
      <c r="D31" s="5"/>
      <c r="E31" s="5"/>
      <c r="F31" s="5"/>
      <c r="G31" s="5">
        <v>3107</v>
      </c>
      <c r="H31" s="5">
        <v>3046</v>
      </c>
      <c r="I31" s="5">
        <v>2994</v>
      </c>
      <c r="J31" s="5">
        <v>2943</v>
      </c>
      <c r="K31" s="5">
        <v>2861</v>
      </c>
      <c r="L31" s="5">
        <v>2694</v>
      </c>
      <c r="M31" s="5">
        <v>2754</v>
      </c>
      <c r="N31" s="5">
        <v>2742</v>
      </c>
      <c r="O31" s="5">
        <v>2747</v>
      </c>
      <c r="P31" s="5">
        <v>2746</v>
      </c>
      <c r="Q31" s="5">
        <v>2776</v>
      </c>
      <c r="R31" s="5">
        <v>2796</v>
      </c>
      <c r="S31" s="5">
        <v>2823</v>
      </c>
      <c r="T31" s="5">
        <v>2817</v>
      </c>
      <c r="U31" s="5">
        <v>2819</v>
      </c>
      <c r="V31" s="5">
        <v>2834</v>
      </c>
      <c r="W31" s="5">
        <v>2851</v>
      </c>
      <c r="X31" s="5">
        <v>2869</v>
      </c>
      <c r="Y31" s="5">
        <v>2874</v>
      </c>
      <c r="Z31" s="5">
        <f>+Y31</f>
        <v>2874</v>
      </c>
      <c r="AA31" s="5"/>
      <c r="AB31" s="5">
        <v>4217</v>
      </c>
      <c r="AC31" s="3">
        <v>4238</v>
      </c>
      <c r="AD31" s="5">
        <v>3732</v>
      </c>
      <c r="AE31" s="5">
        <v>3294</v>
      </c>
      <c r="AF31" s="5">
        <v>3022</v>
      </c>
      <c r="AG31" s="5">
        <v>2786</v>
      </c>
      <c r="AH31" s="3">
        <f>AVERAGE(O31:R31)</f>
        <v>2766.25</v>
      </c>
      <c r="AI31" s="3">
        <f>AH31</f>
        <v>2766.25</v>
      </c>
      <c r="AJ31" s="3">
        <f t="shared" ref="AJ31:AO31" si="98">AI31</f>
        <v>2766.25</v>
      </c>
      <c r="AK31" s="3">
        <f t="shared" si="98"/>
        <v>2766.25</v>
      </c>
      <c r="AL31" s="3">
        <f t="shared" si="98"/>
        <v>2766.25</v>
      </c>
      <c r="AM31" s="3">
        <f t="shared" si="98"/>
        <v>2766.25</v>
      </c>
      <c r="AN31" s="3">
        <f t="shared" si="98"/>
        <v>2766.25</v>
      </c>
      <c r="AO31" s="3">
        <f t="shared" si="98"/>
        <v>2766.25</v>
      </c>
    </row>
    <row r="32" spans="2:130" x14ac:dyDescent="0.15">
      <c r="B32" s="1" t="s">
        <v>29</v>
      </c>
      <c r="N32" s="4">
        <v>1.54</v>
      </c>
      <c r="O32" s="4">
        <v>1.03</v>
      </c>
      <c r="P32" s="4">
        <v>1.21</v>
      </c>
      <c r="AG32" s="4">
        <v>1.54</v>
      </c>
    </row>
    <row r="34" spans="2:44" x14ac:dyDescent="0.15">
      <c r="B34" s="1" t="s">
        <v>32</v>
      </c>
      <c r="K34" s="7">
        <f>K18/G18-1</f>
        <v>3.8539553752535483E-2</v>
      </c>
      <c r="L34" s="7">
        <f>L18/H18-1</f>
        <v>5.7142857142857162E-2</v>
      </c>
      <c r="M34" s="7">
        <f>M18/I18-1</f>
        <v>4.2439266236985684E-2</v>
      </c>
      <c r="N34" s="7">
        <f>N18/J18-1</f>
        <v>5.4600516611739591E-2</v>
      </c>
      <c r="O34" s="7">
        <f t="shared" ref="O34:R34" si="99">O18/K18-1</f>
        <v>0.17650082236842102</v>
      </c>
      <c r="P34" s="7">
        <f t="shared" si="99"/>
        <v>0.18484555984555984</v>
      </c>
      <c r="Q34" s="7">
        <f t="shared" si="99"/>
        <v>0.17930181679824986</v>
      </c>
      <c r="R34" s="7">
        <f t="shared" si="99"/>
        <v>0.16866554054054061</v>
      </c>
      <c r="S34" s="7">
        <f t="shared" ref="S34" si="100">S18/O18-1</f>
        <v>8.8073394495412849E-2</v>
      </c>
      <c r="T34" s="7">
        <f t="shared" ref="T34" si="101">T18/P18-1</f>
        <v>5.425661914460278E-2</v>
      </c>
      <c r="U34" s="7">
        <f t="shared" ref="U34" si="102">U18/Q18-1</f>
        <v>7.114050653331172E-2</v>
      </c>
      <c r="V34" s="7">
        <f t="shared" ref="V34:Z34" si="103">V18/R18-1</f>
        <v>3.2521500325215058E-2</v>
      </c>
      <c r="W34" s="7">
        <f t="shared" si="103"/>
        <v>6.857785272625061E-2</v>
      </c>
      <c r="X34" s="7">
        <f t="shared" si="103"/>
        <v>8.6392087164824938E-2</v>
      </c>
      <c r="Y34" s="7">
        <f>Y18/U18-1</f>
        <v>6.4006024096385561E-2</v>
      </c>
      <c r="Z34" s="7">
        <f t="shared" si="103"/>
        <v>0.11310982011618953</v>
      </c>
      <c r="AA34" s="7"/>
      <c r="AB34" s="7"/>
      <c r="AC34" s="14"/>
      <c r="AD34" s="13">
        <f>AD18/AC18-1</f>
        <v>-8.1594737767065606E-3</v>
      </c>
      <c r="AE34" s="13">
        <f t="shared" ref="AE34:AF34" si="104">AE18/AD18-1</f>
        <v>-1.108692350529028E-2</v>
      </c>
      <c r="AF34" s="13">
        <f t="shared" si="104"/>
        <v>3.6116514794716892E-2</v>
      </c>
      <c r="AG34" s="13">
        <f>AG18/AF18-1</f>
        <v>4.8444872650015958E-2</v>
      </c>
      <c r="AH34" s="13">
        <f t="shared" ref="AH34:AO34" si="105">AH18/AG18-1</f>
        <v>0.17707351555136674</v>
      </c>
      <c r="AI34" s="13">
        <f>AI18/AH18-1</f>
        <v>6.0174156741066964E-2</v>
      </c>
      <c r="AJ34" s="13">
        <f>AJ18/AI18-1</f>
        <v>8.3797511376295875E-2</v>
      </c>
      <c r="AK34" s="13">
        <f>AK18/AJ18-1</f>
        <v>9.000000000000008E-2</v>
      </c>
      <c r="AL34" s="13">
        <f t="shared" si="105"/>
        <v>9.000000000000008E-2</v>
      </c>
      <c r="AM34" s="13">
        <f t="shared" si="105"/>
        <v>9.000000000000008E-2</v>
      </c>
      <c r="AN34" s="13">
        <f t="shared" si="105"/>
        <v>9.000000000000008E-2</v>
      </c>
      <c r="AO34" s="13">
        <f t="shared" si="105"/>
        <v>9.000000000000008E-2</v>
      </c>
    </row>
    <row r="35" spans="2:44" x14ac:dyDescent="0.15">
      <c r="B35" s="1" t="s">
        <v>107</v>
      </c>
      <c r="K35" s="7"/>
      <c r="L35" s="7"/>
      <c r="M35" s="7"/>
      <c r="N35" s="7"/>
      <c r="O35" s="7"/>
      <c r="P35" s="7"/>
      <c r="Q35" s="7"/>
      <c r="R35" s="7"/>
      <c r="S35" s="7">
        <v>0.08</v>
      </c>
      <c r="T35" s="7"/>
      <c r="U35" s="7"/>
      <c r="V35" s="7"/>
      <c r="W35" s="7">
        <v>0.08</v>
      </c>
      <c r="X35" s="7" t="s">
        <v>119</v>
      </c>
      <c r="Y35" s="7"/>
      <c r="Z35" s="7"/>
      <c r="AA35" s="7"/>
      <c r="AB35" s="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2:44" x14ac:dyDescent="0.15">
      <c r="B36" s="1" t="s">
        <v>18</v>
      </c>
      <c r="G36" s="7">
        <f t="shared" ref="G36:M36" si="106">G20/G18</f>
        <v>0.79929539874025834</v>
      </c>
      <c r="H36" s="7">
        <f t="shared" si="106"/>
        <v>0.80214285714285716</v>
      </c>
      <c r="I36" s="7">
        <f t="shared" si="106"/>
        <v>0.8101140307387209</v>
      </c>
      <c r="J36" s="7">
        <f t="shared" si="106"/>
        <v>0.81099136011401085</v>
      </c>
      <c r="K36" s="7">
        <f t="shared" si="106"/>
        <v>0.78381990131578949</v>
      </c>
      <c r="L36" s="7">
        <f t="shared" si="106"/>
        <v>0.79160231660231661</v>
      </c>
      <c r="M36" s="7">
        <f t="shared" si="106"/>
        <v>0.78902311423951299</v>
      </c>
      <c r="N36" s="7">
        <f>N20/N18</f>
        <v>0.79763513513513518</v>
      </c>
      <c r="O36" s="7">
        <f t="shared" ref="O36:Z36" si="107">O20/O18</f>
        <v>0.73464394932284838</v>
      </c>
      <c r="P36" s="7">
        <f t="shared" si="107"/>
        <v>0.8</v>
      </c>
      <c r="Q36" s="7">
        <f t="shared" si="107"/>
        <v>0.72261655105662204</v>
      </c>
      <c r="R36" s="7">
        <f t="shared" si="107"/>
        <v>0.73043289730432892</v>
      </c>
      <c r="S36" s="7">
        <f t="shared" si="107"/>
        <v>0.71011001365132898</v>
      </c>
      <c r="T36" s="7">
        <f t="shared" si="107"/>
        <v>0.71099605903716867</v>
      </c>
      <c r="U36" s="7">
        <f t="shared" si="107"/>
        <v>0.70865963855421688</v>
      </c>
      <c r="V36" s="7">
        <f t="shared" si="107"/>
        <v>0.72541471267585922</v>
      </c>
      <c r="W36" s="7">
        <f t="shared" si="107"/>
        <v>0.70647027880063129</v>
      </c>
      <c r="X36" s="7">
        <f t="shared" si="107"/>
        <v>0.70943879365530982</v>
      </c>
      <c r="Y36" s="7">
        <f t="shared" si="107"/>
        <v>0.70311394196744514</v>
      </c>
      <c r="Z36" s="7">
        <f t="shared" si="107"/>
        <v>0.70194302961705335</v>
      </c>
      <c r="AA36" s="7"/>
      <c r="AB36" s="7"/>
      <c r="AC36" s="7"/>
      <c r="AD36" s="7">
        <f t="shared" ref="AD36:AF36" si="108">AD20/AD18</f>
        <v>0.79762567711233734</v>
      </c>
      <c r="AE36" s="7">
        <f t="shared" si="108"/>
        <v>0.79681580833418653</v>
      </c>
      <c r="AF36" s="7">
        <f t="shared" si="108"/>
        <v>0.80594876355641198</v>
      </c>
      <c r="AG36" s="7">
        <f>AG20/AG18</f>
        <v>0.79083411875589071</v>
      </c>
      <c r="AH36" s="7">
        <f t="shared" ref="AH36:AO36" si="109">AH20/AH18</f>
        <v>0.72847562806525878</v>
      </c>
      <c r="AI36" s="7">
        <f>AI20/AI18</f>
        <v>0.7140915012934046</v>
      </c>
      <c r="AJ36" s="7">
        <f>AJ20/AJ18</f>
        <v>0.70511681388177494</v>
      </c>
      <c r="AK36" s="7">
        <f>AK20/AK18</f>
        <v>0.78</v>
      </c>
      <c r="AL36" s="7">
        <f t="shared" si="109"/>
        <v>0.78</v>
      </c>
      <c r="AM36" s="7">
        <f t="shared" si="109"/>
        <v>0.78</v>
      </c>
      <c r="AN36" s="7">
        <f t="shared" si="109"/>
        <v>0.78</v>
      </c>
      <c r="AO36" s="7">
        <f t="shared" si="109"/>
        <v>0.78</v>
      </c>
    </row>
    <row r="37" spans="2:44" x14ac:dyDescent="0.15">
      <c r="B37" s="1" t="s">
        <v>90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f t="shared" ref="AD37:AF37" si="110">AD25/AD18</f>
        <v>0.39768642737811977</v>
      </c>
      <c r="AE37" s="7">
        <f t="shared" si="110"/>
        <v>0.40411590048121226</v>
      </c>
      <c r="AF37" s="7">
        <f t="shared" si="110"/>
        <v>0.42394822006472493</v>
      </c>
      <c r="AG37" s="7">
        <f>AG25/AG18</f>
        <v>0.40009425070688032</v>
      </c>
      <c r="AH37" s="7">
        <f t="shared" ref="AH37:AO37" si="111">AH25/AH18</f>
        <v>0.34619157241517368</v>
      </c>
      <c r="AI37" s="7">
        <f t="shared" si="111"/>
        <v>0.36208436396593718</v>
      </c>
      <c r="AJ37" s="7">
        <f t="shared" si="111"/>
        <v>0.37196943326538784</v>
      </c>
      <c r="AK37" s="7">
        <f t="shared" si="111"/>
        <v>0.47130380328206334</v>
      </c>
      <c r="AL37" s="7">
        <f t="shared" si="111"/>
        <v>0.49396040487604048</v>
      </c>
      <c r="AM37" s="7">
        <f t="shared" si="111"/>
        <v>0.51495413662825751</v>
      </c>
      <c r="AN37" s="7">
        <f t="shared" si="111"/>
        <v>0.53440704403168826</v>
      </c>
      <c r="AO37" s="7">
        <f t="shared" si="111"/>
        <v>0.55243221511193141</v>
      </c>
    </row>
    <row r="38" spans="2:44" x14ac:dyDescent="0.15">
      <c r="B38" s="1" t="s">
        <v>83</v>
      </c>
      <c r="G38" s="7"/>
      <c r="H38" s="7"/>
      <c r="I38" s="7"/>
      <c r="J38" s="7"/>
      <c r="K38" s="7">
        <f t="shared" ref="K38:N38" si="112">K28/K27</f>
        <v>7.2632944228274973E-2</v>
      </c>
      <c r="L38" s="7">
        <f t="shared" si="112"/>
        <v>0</v>
      </c>
      <c r="M38" s="7">
        <f t="shared" si="112"/>
        <v>0.15001439677512238</v>
      </c>
      <c r="N38" s="7">
        <f t="shared" si="112"/>
        <v>0.10424155283968368</v>
      </c>
      <c r="O38" s="7">
        <f>O28/O27</f>
        <v>3.9130434782608699E-2</v>
      </c>
      <c r="P38" s="7">
        <f t="shared" ref="P38:Z38" si="113">P28/P27</f>
        <v>9.7038285576691544E-2</v>
      </c>
      <c r="Q38" s="7">
        <f t="shared" si="113"/>
        <v>9.6033402922755737E-2</v>
      </c>
      <c r="R38" s="7">
        <f t="shared" si="113"/>
        <v>-5.1244509516837483E-2</v>
      </c>
      <c r="S38" s="7">
        <f t="shared" si="113"/>
        <v>0.23668999087313661</v>
      </c>
      <c r="T38" s="7">
        <f t="shared" si="113"/>
        <v>0.2418862690707351</v>
      </c>
      <c r="U38" s="7">
        <f t="shared" si="113"/>
        <v>0.23969940399067116</v>
      </c>
      <c r="V38" s="7">
        <f t="shared" si="113"/>
        <v>0.24533898305084745</v>
      </c>
      <c r="W38" s="7">
        <f t="shared" si="113"/>
        <v>0.2376901263212168</v>
      </c>
      <c r="X38" s="7">
        <f t="shared" si="113"/>
        <v>5.8349609375E-2</v>
      </c>
      <c r="Y38" s="7">
        <f t="shared" si="113"/>
        <v>0.12527526302911671</v>
      </c>
      <c r="Z38" s="7">
        <f t="shared" si="113"/>
        <v>0.15216477511559479</v>
      </c>
      <c r="AA38" s="7"/>
      <c r="AB38" s="7"/>
      <c r="AC38" s="7"/>
      <c r="AD38" s="7">
        <f t="shared" ref="AD38:AO38" si="114">AD28/AD27</f>
        <v>8.6946951353731011E-2</v>
      </c>
      <c r="AE38" s="7">
        <f t="shared" si="114"/>
        <v>0.13978104835786268</v>
      </c>
      <c r="AF38" s="7">
        <f t="shared" si="114"/>
        <v>0</v>
      </c>
      <c r="AG38" s="7">
        <f t="shared" si="114"/>
        <v>6.5518453427065027E-2</v>
      </c>
      <c r="AH38" s="7">
        <f t="shared" si="114"/>
        <v>4.6281851274050961E-2</v>
      </c>
      <c r="AI38" s="7">
        <f t="shared" si="114"/>
        <v>0.15</v>
      </c>
      <c r="AJ38" s="7">
        <f t="shared" si="114"/>
        <v>0.15</v>
      </c>
      <c r="AK38" s="7">
        <f t="shared" si="114"/>
        <v>0.15</v>
      </c>
      <c r="AL38" s="7">
        <f t="shared" si="114"/>
        <v>0.15</v>
      </c>
      <c r="AM38" s="7">
        <f t="shared" si="114"/>
        <v>0.15</v>
      </c>
      <c r="AN38" s="7">
        <f t="shared" si="114"/>
        <v>0.15</v>
      </c>
      <c r="AO38" s="7">
        <f t="shared" si="114"/>
        <v>0.15</v>
      </c>
    </row>
    <row r="39" spans="2:44" x14ac:dyDescent="0.15">
      <c r="B39" s="1" t="s">
        <v>122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f>AD21/AC21-1</f>
        <v>9.2515715810699284E-3</v>
      </c>
      <c r="AE39" s="7">
        <f t="shared" ref="AE39:AJ39" si="115">AE21/AD21-1</f>
        <v>-4.8771888588553303E-2</v>
      </c>
      <c r="AF39" s="7">
        <f t="shared" si="115"/>
        <v>-5.0901902643933794E-2</v>
      </c>
      <c r="AG39" s="7">
        <f t="shared" si="115"/>
        <v>4.7513668315542823E-2</v>
      </c>
      <c r="AH39" s="7">
        <f t="shared" si="115"/>
        <v>9.7551882689201008E-2</v>
      </c>
      <c r="AI39" s="7">
        <f t="shared" si="115"/>
        <v>-6.3066123188405765E-2</v>
      </c>
      <c r="AJ39" s="7">
        <f t="shared" si="115"/>
        <v>4.5438066465256721E-2</v>
      </c>
      <c r="AK39" s="7"/>
      <c r="AL39" s="7"/>
      <c r="AM39" s="7"/>
      <c r="AN39" s="7"/>
      <c r="AO39" s="7"/>
    </row>
    <row r="40" spans="2:44" x14ac:dyDescent="0.15">
      <c r="B40" s="1" t="s">
        <v>123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2" spans="2:44" x14ac:dyDescent="0.15">
      <c r="B42" s="1" t="s">
        <v>70</v>
      </c>
      <c r="N42" s="5">
        <f t="shared" ref="N42:U42" si="116">N43-N52</f>
        <v>-53957</v>
      </c>
      <c r="O42" s="5">
        <f t="shared" si="116"/>
        <v>0</v>
      </c>
      <c r="P42" s="5">
        <f t="shared" si="116"/>
        <v>-83569</v>
      </c>
      <c r="Q42" s="5">
        <f t="shared" si="116"/>
        <v>-83042</v>
      </c>
      <c r="R42" s="5">
        <f t="shared" si="116"/>
        <v>0</v>
      </c>
      <c r="S42" s="5">
        <f t="shared" si="116"/>
        <v>-76858</v>
      </c>
      <c r="T42" s="5">
        <f t="shared" si="116"/>
        <v>-80099</v>
      </c>
      <c r="U42" s="5">
        <f t="shared" si="116"/>
        <v>-78076</v>
      </c>
      <c r="V42" s="5">
        <f>+V43-V52</f>
        <v>-76208</v>
      </c>
      <c r="W42" s="5">
        <f>+W43-W52</f>
        <v>-73604</v>
      </c>
      <c r="X42" s="5"/>
      <c r="Y42" s="5"/>
      <c r="Z42" s="5"/>
      <c r="AH42" s="3">
        <f>R42</f>
        <v>0</v>
      </c>
      <c r="AI42" s="3">
        <f>AH42+AI29</f>
        <v>16299.897499999999</v>
      </c>
      <c r="AJ42" s="3">
        <f t="shared" ref="AJ42:AO42" si="117">AI42+AJ29</f>
        <v>34586.519103749997</v>
      </c>
      <c r="AK42" s="3">
        <f t="shared" si="117"/>
        <v>59944.522545881875</v>
      </c>
      <c r="AL42" s="3">
        <f t="shared" si="117"/>
        <v>89087.152023969378</v>
      </c>
      <c r="AM42" s="3">
        <f t="shared" si="117"/>
        <v>122380.92754376109</v>
      </c>
      <c r="AN42" s="3">
        <f t="shared" si="117"/>
        <v>160225.70742479275</v>
      </c>
      <c r="AO42" s="3">
        <f t="shared" si="117"/>
        <v>203057.69304981228</v>
      </c>
      <c r="AQ42" s="1" t="s">
        <v>87</v>
      </c>
      <c r="AR42" s="14">
        <v>0.01</v>
      </c>
    </row>
    <row r="43" spans="2:44" s="3" customFormat="1" x14ac:dyDescent="0.15">
      <c r="B43" s="3" t="s">
        <v>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f>21383+519</f>
        <v>21902</v>
      </c>
      <c r="O43" s="5"/>
      <c r="P43" s="5">
        <f>6813+537</f>
        <v>7350</v>
      </c>
      <c r="Q43" s="5">
        <f>8219+550</f>
        <v>8769</v>
      </c>
      <c r="R43" s="5"/>
      <c r="S43" s="5">
        <f>11613+470</f>
        <v>12083</v>
      </c>
      <c r="T43" s="5">
        <f>8244+446</f>
        <v>8690</v>
      </c>
      <c r="U43" s="5">
        <f>9481+423</f>
        <v>9904</v>
      </c>
      <c r="V43" s="5">
        <f>10454+207</f>
        <v>10661</v>
      </c>
      <c r="W43" s="5">
        <f>10616+295</f>
        <v>10911</v>
      </c>
      <c r="X43" s="5"/>
      <c r="Y43" s="5"/>
      <c r="Z43" s="5"/>
      <c r="AA43" s="5"/>
      <c r="AB43" s="5"/>
      <c r="AD43" s="5"/>
      <c r="AE43" s="5"/>
      <c r="AF43" s="5"/>
      <c r="AG43" s="5"/>
      <c r="AQ43" s="1" t="s">
        <v>84</v>
      </c>
      <c r="AR43" s="14">
        <v>0.01</v>
      </c>
    </row>
    <row r="44" spans="2:44" s="3" customFormat="1" x14ac:dyDescent="0.15">
      <c r="B44" s="3" t="s">
        <v>57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5953</v>
      </c>
      <c r="O44" s="5"/>
      <c r="P44" s="5">
        <v>6197</v>
      </c>
      <c r="Q44" s="5">
        <v>6213</v>
      </c>
      <c r="R44" s="5"/>
      <c r="S44" s="5">
        <v>6519</v>
      </c>
      <c r="T44" s="5">
        <v>6804</v>
      </c>
      <c r="U44" s="5">
        <v>7297</v>
      </c>
      <c r="V44" s="5">
        <v>7874</v>
      </c>
      <c r="W44" s="5">
        <v>8021</v>
      </c>
      <c r="X44" s="5"/>
      <c r="Y44" s="5"/>
      <c r="Z44" s="5"/>
      <c r="AA44" s="5"/>
      <c r="AB44" s="5"/>
      <c r="AD44" s="5"/>
      <c r="AE44" s="5"/>
      <c r="AF44" s="5"/>
      <c r="AG44" s="5"/>
      <c r="AQ44" s="1" t="s">
        <v>85</v>
      </c>
      <c r="AR44" s="14">
        <v>0.06</v>
      </c>
    </row>
    <row r="45" spans="2:44" s="3" customFormat="1" x14ac:dyDescent="0.15">
      <c r="B45" s="3" t="s">
        <v>58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v>3778</v>
      </c>
      <c r="O45" s="5"/>
      <c r="P45" s="5">
        <v>4014</v>
      </c>
      <c r="Q45" s="5">
        <v>3714</v>
      </c>
      <c r="R45" s="5"/>
      <c r="S45" s="5">
        <v>3564</v>
      </c>
      <c r="T45" s="5">
        <v>3795</v>
      </c>
      <c r="U45" s="5">
        <v>3862</v>
      </c>
      <c r="V45" s="5">
        <v>4019</v>
      </c>
      <c r="W45" s="5">
        <v>4140</v>
      </c>
      <c r="X45" s="5"/>
      <c r="Y45" s="5"/>
      <c r="Z45" s="5"/>
      <c r="AA45" s="5"/>
      <c r="AB45" s="5"/>
      <c r="AD45" s="5"/>
      <c r="AE45" s="5"/>
      <c r="AF45" s="5"/>
      <c r="AG45" s="5"/>
      <c r="AQ45" s="1" t="s">
        <v>86</v>
      </c>
      <c r="AR45" s="3">
        <f>NPV(AR44,AK29:DZ29)+N42</f>
        <v>723602.66275062435</v>
      </c>
    </row>
    <row r="46" spans="2:44" s="3" customFormat="1" x14ac:dyDescent="0.15">
      <c r="B46" s="3" t="s">
        <v>59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9716</v>
      </c>
      <c r="O46" s="5"/>
      <c r="P46" s="5">
        <v>14351</v>
      </c>
      <c r="Q46" s="5">
        <v>16345</v>
      </c>
      <c r="R46" s="5"/>
      <c r="S46" s="5">
        <v>17644</v>
      </c>
      <c r="T46" s="5">
        <v>18009</v>
      </c>
      <c r="U46" s="5">
        <v>19117</v>
      </c>
      <c r="V46" s="5">
        <v>21536</v>
      </c>
      <c r="W46" s="5">
        <v>23094</v>
      </c>
      <c r="X46" s="5"/>
      <c r="Y46" s="5"/>
      <c r="Z46" s="5"/>
      <c r="AA46" s="5"/>
      <c r="AB46" s="5"/>
      <c r="AD46" s="5"/>
      <c r="AE46" s="5"/>
      <c r="AF46" s="5"/>
      <c r="AG46" s="5"/>
      <c r="AQ46" s="1" t="s">
        <v>88</v>
      </c>
      <c r="AR46" s="15">
        <f>AR45/O31</f>
        <v>263.41560347674715</v>
      </c>
    </row>
    <row r="47" spans="2:44" s="3" customFormat="1" x14ac:dyDescent="0.15">
      <c r="B47" s="3" t="s">
        <v>60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f>1440+43811</f>
        <v>45251</v>
      </c>
      <c r="O47" s="5"/>
      <c r="P47" s="5">
        <f>11593+61513</f>
        <v>73106</v>
      </c>
      <c r="Q47" s="5">
        <f>10707+61499</f>
        <v>72206</v>
      </c>
      <c r="R47" s="5"/>
      <c r="S47" s="5">
        <f>9074+62206</f>
        <v>71280</v>
      </c>
      <c r="T47" s="5">
        <f>8378+62231</f>
        <v>70609</v>
      </c>
      <c r="U47" s="5">
        <f>7629+62222</f>
        <v>69851</v>
      </c>
      <c r="V47" s="5">
        <f>6890+62230</f>
        <v>69120</v>
      </c>
      <c r="W47" s="5">
        <f>62249+6270</f>
        <v>68519</v>
      </c>
      <c r="X47" s="5"/>
      <c r="Y47" s="5"/>
      <c r="Z47" s="5"/>
      <c r="AA47" s="5"/>
      <c r="AB47" s="5"/>
      <c r="AD47" s="5"/>
      <c r="AE47" s="5"/>
      <c r="AF47" s="5"/>
      <c r="AG47" s="5"/>
      <c r="AQ47" s="1" t="s">
        <v>89</v>
      </c>
      <c r="AR47" s="14">
        <f>AR46/Main!G2-1</f>
        <v>7.3194554804429268E-2</v>
      </c>
    </row>
    <row r="48" spans="2:44" s="3" customFormat="1" x14ac:dyDescent="0.15">
      <c r="B48" s="3" t="s">
        <v>61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v>12782</v>
      </c>
      <c r="O48" s="5"/>
      <c r="P48" s="5">
        <v>12091</v>
      </c>
      <c r="Q48" s="5">
        <v>12153</v>
      </c>
      <c r="R48" s="5"/>
      <c r="S48" s="5">
        <v>12243</v>
      </c>
      <c r="T48" s="5">
        <v>12758</v>
      </c>
      <c r="U48" s="5">
        <v>12688</v>
      </c>
      <c r="V48" s="5">
        <v>12273</v>
      </c>
      <c r="W48" s="5">
        <v>12219</v>
      </c>
      <c r="X48" s="5"/>
      <c r="Y48" s="5"/>
      <c r="Z48" s="5"/>
      <c r="AA48" s="5"/>
      <c r="AB48" s="5"/>
      <c r="AD48" s="5"/>
      <c r="AE48" s="5"/>
      <c r="AF48" s="5"/>
      <c r="AG48" s="5"/>
    </row>
    <row r="49" spans="2:33" s="3" customFormat="1" x14ac:dyDescent="0.15">
      <c r="B49" s="3" t="s">
        <v>62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9915</v>
      </c>
      <c r="O49" s="5"/>
      <c r="P49" s="5">
        <v>11360</v>
      </c>
      <c r="Q49" s="5">
        <v>12220</v>
      </c>
      <c r="R49" s="5"/>
      <c r="S49" s="5">
        <v>13329</v>
      </c>
      <c r="T49" s="5">
        <v>13659</v>
      </c>
      <c r="U49" s="5">
        <v>14363</v>
      </c>
      <c r="V49" s="5">
        <v>15493</v>
      </c>
      <c r="W49" s="5">
        <v>17310</v>
      </c>
      <c r="X49" s="5"/>
      <c r="Y49" s="5"/>
      <c r="Z49" s="5"/>
      <c r="AA49" s="5"/>
      <c r="AB49" s="5"/>
      <c r="AD49" s="5"/>
      <c r="AE49" s="5"/>
      <c r="AF49" s="5"/>
      <c r="AG49" s="5"/>
    </row>
    <row r="50" spans="2:33" s="3" customFormat="1" x14ac:dyDescent="0.15">
      <c r="B50" s="3" t="s">
        <v>56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f t="shared" ref="N50:W50" si="118">SUM(N43:N49)</f>
        <v>109297</v>
      </c>
      <c r="O50" s="5">
        <f t="shared" si="118"/>
        <v>0</v>
      </c>
      <c r="P50" s="5">
        <f t="shared" si="118"/>
        <v>128469</v>
      </c>
      <c r="Q50" s="5">
        <f t="shared" si="118"/>
        <v>131620</v>
      </c>
      <c r="R50" s="5">
        <f t="shared" si="118"/>
        <v>0</v>
      </c>
      <c r="S50" s="5">
        <f t="shared" si="118"/>
        <v>136662</v>
      </c>
      <c r="T50" s="5">
        <f t="shared" si="118"/>
        <v>134324</v>
      </c>
      <c r="U50" s="5">
        <f t="shared" si="118"/>
        <v>137082</v>
      </c>
      <c r="V50" s="5">
        <f t="shared" si="118"/>
        <v>140976</v>
      </c>
      <c r="W50" s="5">
        <f t="shared" si="118"/>
        <v>144214</v>
      </c>
      <c r="X50" s="5"/>
      <c r="Y50" s="5"/>
      <c r="Z50" s="5"/>
      <c r="AA50" s="5"/>
      <c r="AB50" s="5"/>
      <c r="AD50" s="5"/>
      <c r="AE50" s="5"/>
      <c r="AF50" s="5"/>
      <c r="AG50" s="5"/>
    </row>
    <row r="52" spans="2:33" s="3" customFormat="1" x14ac:dyDescent="0.15">
      <c r="B52" s="3" t="s">
        <v>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f>3749+72110</f>
        <v>75859</v>
      </c>
      <c r="O52" s="5"/>
      <c r="P52" s="5">
        <f>81173+9746</f>
        <v>90919</v>
      </c>
      <c r="Q52" s="5">
        <f>5415+86396</f>
        <v>91811</v>
      </c>
      <c r="R52" s="5"/>
      <c r="S52" s="5">
        <f>84442+4499</f>
        <v>88941</v>
      </c>
      <c r="T52" s="5">
        <f>82468+6321</f>
        <v>88789</v>
      </c>
      <c r="U52" s="5">
        <f>5510+82470</f>
        <v>87980</v>
      </c>
      <c r="V52" s="5">
        <f>10605+76264</f>
        <v>86869</v>
      </c>
      <c r="W52" s="5">
        <f>9201+75314</f>
        <v>84515</v>
      </c>
      <c r="X52" s="5"/>
      <c r="Y52" s="5"/>
      <c r="Z52" s="5"/>
      <c r="AA52" s="5"/>
      <c r="AB52" s="5"/>
      <c r="AD52" s="5"/>
      <c r="AE52" s="5"/>
      <c r="AF52" s="5"/>
      <c r="AG52" s="5"/>
    </row>
    <row r="53" spans="2:33" s="3" customFormat="1" x14ac:dyDescent="0.15">
      <c r="B53" s="3" t="s">
        <v>64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v>1317</v>
      </c>
      <c r="O53" s="5"/>
      <c r="P53" s="5">
        <v>1647</v>
      </c>
      <c r="Q53" s="5">
        <v>1610</v>
      </c>
      <c r="R53" s="5"/>
      <c r="S53" s="5">
        <v>1034</v>
      </c>
      <c r="T53" s="5">
        <v>1107</v>
      </c>
      <c r="U53" s="5">
        <v>1658</v>
      </c>
      <c r="V53" s="5">
        <v>2357</v>
      </c>
      <c r="W53" s="5">
        <v>2207</v>
      </c>
      <c r="X53" s="5"/>
      <c r="Y53" s="5"/>
      <c r="Z53" s="5"/>
      <c r="AA53" s="5"/>
      <c r="AB53" s="5"/>
      <c r="AD53" s="5"/>
      <c r="AE53" s="5"/>
      <c r="AF53" s="5"/>
      <c r="AG53" s="5"/>
    </row>
    <row r="54" spans="2:33" s="3" customFormat="1" x14ac:dyDescent="0.15">
      <c r="B54" s="3" t="s">
        <v>65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1944</v>
      </c>
      <c r="O54" s="5"/>
      <c r="P54" s="5">
        <v>1780</v>
      </c>
      <c r="Q54" s="5">
        <v>1736</v>
      </c>
      <c r="R54" s="5"/>
      <c r="S54" s="5">
        <v>1818</v>
      </c>
      <c r="T54" s="5">
        <v>1706</v>
      </c>
      <c r="U54" s="5">
        <v>1796</v>
      </c>
      <c r="V54" s="5">
        <v>1916</v>
      </c>
      <c r="W54" s="5">
        <v>1772</v>
      </c>
      <c r="X54" s="5"/>
      <c r="Y54" s="5"/>
      <c r="Z54" s="5"/>
      <c r="AA54" s="5"/>
      <c r="AB54" s="5"/>
      <c r="AD54" s="5"/>
      <c r="AE54" s="5"/>
      <c r="AF54" s="5"/>
      <c r="AG54" s="5"/>
    </row>
    <row r="55" spans="2:33" s="3" customFormat="1" x14ac:dyDescent="0.15">
      <c r="B55" s="3" t="s">
        <v>63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>
        <v>8357</v>
      </c>
      <c r="O55" s="5"/>
      <c r="P55" s="5">
        <v>8705</v>
      </c>
      <c r="Q55" s="5">
        <v>8598</v>
      </c>
      <c r="R55" s="5"/>
      <c r="S55" s="5">
        <v>11120</v>
      </c>
      <c r="T55" s="5">
        <v>8878</v>
      </c>
      <c r="U55" s="5">
        <v>8931</v>
      </c>
      <c r="V55" s="5">
        <v>9313</v>
      </c>
      <c r="W55" s="5">
        <v>11455</v>
      </c>
      <c r="X55" s="5"/>
      <c r="Y55" s="5"/>
      <c r="Z55" s="5"/>
      <c r="AA55" s="5"/>
      <c r="AB55" s="5"/>
      <c r="AD55" s="5"/>
      <c r="AE55" s="5"/>
      <c r="AF55" s="5"/>
      <c r="AG55" s="5"/>
    </row>
    <row r="56" spans="2:33" s="3" customFormat="1" x14ac:dyDescent="0.15">
      <c r="B56" s="3" t="s">
        <v>66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v>4144</v>
      </c>
      <c r="O56" s="5"/>
      <c r="P56" s="5">
        <v>5228</v>
      </c>
      <c r="Q56" s="5">
        <v>5521</v>
      </c>
      <c r="R56" s="5"/>
      <c r="S56" s="5">
        <v>6886</v>
      </c>
      <c r="T56" s="5">
        <v>6395</v>
      </c>
      <c r="U56" s="5">
        <v>6990</v>
      </c>
      <c r="V56" s="5">
        <v>7353</v>
      </c>
      <c r="W56" s="5">
        <v>7410</v>
      </c>
      <c r="X56" s="5"/>
      <c r="Y56" s="5"/>
      <c r="Z56" s="5"/>
      <c r="AA56" s="5"/>
      <c r="AB56" s="5"/>
      <c r="AD56" s="5"/>
      <c r="AE56" s="5"/>
      <c r="AF56" s="5"/>
      <c r="AG56" s="5"/>
    </row>
    <row r="57" spans="2:33" s="3" customFormat="1" x14ac:dyDescent="0.15">
      <c r="B57" s="3" t="s">
        <v>61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f>12210+6031</f>
        <v>18241</v>
      </c>
      <c r="O57" s="5"/>
      <c r="P57" s="5">
        <f>11128+7165</f>
        <v>18293</v>
      </c>
      <c r="Q57" s="5">
        <f>11335+6814</f>
        <v>18149</v>
      </c>
      <c r="R57" s="5"/>
      <c r="S57" s="5">
        <f>5281+11201</f>
        <v>16482</v>
      </c>
      <c r="T57" s="5">
        <f>10046+5244</f>
        <v>15290</v>
      </c>
      <c r="U57" s="5">
        <f>10451+4483</f>
        <v>14934</v>
      </c>
      <c r="V57" s="5">
        <f>10817+3692</f>
        <v>14509</v>
      </c>
      <c r="W57" s="5">
        <f>3442+11038</f>
        <v>14480</v>
      </c>
      <c r="X57" s="5"/>
      <c r="Y57" s="5"/>
      <c r="Z57" s="5"/>
      <c r="AA57" s="5"/>
      <c r="AB57" s="5"/>
      <c r="AD57" s="5"/>
      <c r="AE57" s="5"/>
      <c r="AF57" s="5"/>
      <c r="AG57" s="5"/>
    </row>
    <row r="58" spans="2:33" s="3" customFormat="1" x14ac:dyDescent="0.15">
      <c r="B58" s="3" t="s">
        <v>67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v>5203</v>
      </c>
      <c r="O58" s="5"/>
      <c r="P58" s="5">
        <v>5673</v>
      </c>
      <c r="Q58" s="5">
        <v>6107</v>
      </c>
      <c r="R58" s="5"/>
      <c r="S58" s="5">
        <v>7540</v>
      </c>
      <c r="T58" s="5">
        <v>7781</v>
      </c>
      <c r="U58" s="5">
        <v>8611</v>
      </c>
      <c r="V58" s="5">
        <v>9420</v>
      </c>
      <c r="W58" s="5">
        <v>11106</v>
      </c>
      <c r="X58" s="5"/>
      <c r="Y58" s="5"/>
      <c r="Z58" s="5"/>
      <c r="AA58" s="5"/>
      <c r="AB58" s="5"/>
      <c r="AD58" s="5"/>
      <c r="AE58" s="5"/>
      <c r="AF58" s="5"/>
      <c r="AG58" s="5"/>
    </row>
    <row r="59" spans="2:33" s="3" customFormat="1" x14ac:dyDescent="0.15">
      <c r="B59" s="3" t="s">
        <v>68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>
        <v>-5768</v>
      </c>
      <c r="O59" s="5"/>
      <c r="P59" s="5">
        <f>-4246+470</f>
        <v>-3776</v>
      </c>
      <c r="Q59" s="5">
        <v>-1912</v>
      </c>
      <c r="R59" s="5"/>
      <c r="S59" s="5">
        <v>2841</v>
      </c>
      <c r="T59" s="5">
        <v>4378</v>
      </c>
      <c r="U59" s="5">
        <v>6182</v>
      </c>
      <c r="V59" s="5">
        <v>9239</v>
      </c>
      <c r="W59" s="5">
        <v>11269</v>
      </c>
      <c r="X59" s="5"/>
      <c r="Y59" s="5"/>
      <c r="Z59" s="5"/>
      <c r="AA59" s="5"/>
      <c r="AB59" s="5"/>
      <c r="AD59" s="5"/>
      <c r="AE59" s="5"/>
      <c r="AF59" s="5"/>
      <c r="AG59" s="5"/>
    </row>
    <row r="60" spans="2:33" s="3" customFormat="1" x14ac:dyDescent="0.15">
      <c r="B60" s="3" t="s">
        <v>69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>
        <f>SUM(N52:N59)</f>
        <v>109297</v>
      </c>
      <c r="O60" s="5">
        <f>SUM(O52:O59)</f>
        <v>0</v>
      </c>
      <c r="P60" s="5">
        <f>SUM(P52:P59)</f>
        <v>128469</v>
      </c>
      <c r="Q60" s="5">
        <f>SUM(Q52:Q59)</f>
        <v>131620</v>
      </c>
      <c r="R60" s="5"/>
      <c r="S60" s="5">
        <f>SUM(S52:S59)</f>
        <v>136662</v>
      </c>
      <c r="T60" s="5">
        <f>SUM(T52:T59)</f>
        <v>134324</v>
      </c>
      <c r="U60" s="5">
        <f>SUM(U52:U59)</f>
        <v>137082</v>
      </c>
      <c r="V60" s="5">
        <f>SUM(V52:V59)</f>
        <v>140976</v>
      </c>
      <c r="W60" s="5">
        <f>SUM(W52:W59)</f>
        <v>144214</v>
      </c>
      <c r="X60" s="5"/>
      <c r="Y60" s="5"/>
      <c r="Z60" s="5"/>
      <c r="AA60" s="5"/>
      <c r="AB60" s="5"/>
      <c r="AD60" s="5"/>
      <c r="AE60" s="5"/>
      <c r="AF60" s="5"/>
      <c r="AG60" s="5"/>
    </row>
    <row r="62" spans="2:33" s="3" customFormat="1" x14ac:dyDescent="0.15">
      <c r="B62" s="3" t="s">
        <v>72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>
        <f t="shared" ref="S62:V62" si="119">+S29</f>
        <v>2509</v>
      </c>
      <c r="T62" s="5">
        <f t="shared" si="119"/>
        <v>2733</v>
      </c>
      <c r="U62" s="5">
        <f t="shared" si="119"/>
        <v>2934</v>
      </c>
      <c r="V62" s="5">
        <f t="shared" si="119"/>
        <v>3562</v>
      </c>
      <c r="W62" s="5">
        <f>+W29</f>
        <v>2957</v>
      </c>
      <c r="X62" s="5"/>
      <c r="Y62" s="5"/>
      <c r="Z62" s="5"/>
      <c r="AA62" s="5"/>
      <c r="AB62" s="5"/>
      <c r="AD62" s="5"/>
      <c r="AE62" s="5"/>
      <c r="AF62" s="5"/>
      <c r="AG62" s="5">
        <f>+AG29</f>
        <v>13293</v>
      </c>
    </row>
    <row r="63" spans="2:33" s="3" customFormat="1" x14ac:dyDescent="0.15">
      <c r="B63" s="3" t="s">
        <v>73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>
        <v>2420</v>
      </c>
      <c r="T63" s="5">
        <f>4923-S63</f>
        <v>2503</v>
      </c>
      <c r="U63" s="5">
        <f>7323-T63-S63</f>
        <v>2400</v>
      </c>
      <c r="V63" s="5">
        <f>10467-U63-T63-S63</f>
        <v>3144</v>
      </c>
      <c r="W63" s="5">
        <v>2929</v>
      </c>
      <c r="X63" s="5"/>
      <c r="Y63" s="5"/>
      <c r="Z63" s="5"/>
      <c r="AA63" s="5"/>
      <c r="AB63" s="5"/>
      <c r="AD63" s="5"/>
      <c r="AE63" s="5"/>
      <c r="AF63" s="5"/>
      <c r="AG63" s="5">
        <v>6717</v>
      </c>
    </row>
    <row r="64" spans="2:33" s="3" customFormat="1" x14ac:dyDescent="0.15">
      <c r="B64" s="3" t="s">
        <v>74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712</v>
      </c>
      <c r="T64" s="5">
        <f>1510-S64</f>
        <v>798</v>
      </c>
      <c r="U64" s="5">
        <f>2318-T64-S64</f>
        <v>808</v>
      </c>
      <c r="V64" s="5">
        <f>3129-U64-T64-S64</f>
        <v>811</v>
      </c>
      <c r="W64" s="5">
        <v>804</v>
      </c>
      <c r="X64" s="5"/>
      <c r="Y64" s="5"/>
      <c r="Z64" s="5"/>
      <c r="AA64" s="5"/>
      <c r="AB64" s="5"/>
      <c r="AD64" s="5"/>
      <c r="AE64" s="5"/>
      <c r="AF64" s="5"/>
      <c r="AG64" s="5">
        <v>1972</v>
      </c>
    </row>
    <row r="65" spans="2:33" s="3" customFormat="1" x14ac:dyDescent="0.15">
      <c r="B65" s="3" t="s">
        <v>75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v>763</v>
      </c>
      <c r="T65" s="5">
        <f>1518-S65</f>
        <v>755</v>
      </c>
      <c r="U65" s="5">
        <f>2267-T65-S65</f>
        <v>749</v>
      </c>
      <c r="V65" s="5">
        <f>3010-U65-T65-S65</f>
        <v>743</v>
      </c>
      <c r="W65" s="5">
        <v>624</v>
      </c>
      <c r="X65" s="5"/>
      <c r="Y65" s="5"/>
      <c r="Z65" s="5"/>
      <c r="AA65" s="5"/>
      <c r="AB65" s="5"/>
      <c r="AD65" s="5"/>
      <c r="AE65" s="5"/>
      <c r="AF65" s="5"/>
      <c r="AG65" s="5">
        <v>1150</v>
      </c>
    </row>
    <row r="66" spans="2:33" s="3" customFormat="1" x14ac:dyDescent="0.15">
      <c r="B66" s="3" t="s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>
        <v>-517</v>
      </c>
      <c r="T66" s="5">
        <f>-1049-S66</f>
        <v>-532</v>
      </c>
      <c r="U66" s="5">
        <f>-1755-T66-S66</f>
        <v>-706</v>
      </c>
      <c r="V66" s="5">
        <f>-2139-U66-T66-S66</f>
        <v>-384</v>
      </c>
      <c r="W66" s="5">
        <v>-151</v>
      </c>
      <c r="X66" s="5"/>
      <c r="Y66" s="5"/>
      <c r="Z66" s="5"/>
      <c r="AA66" s="5"/>
      <c r="AB66" s="5"/>
      <c r="AD66" s="5"/>
      <c r="AE66" s="5"/>
      <c r="AF66" s="5"/>
      <c r="AG66" s="5">
        <v>-1146</v>
      </c>
    </row>
    <row r="67" spans="2:33" s="3" customFormat="1" x14ac:dyDescent="0.15">
      <c r="B67" s="3" t="s">
        <v>76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>
        <v>849</v>
      </c>
      <c r="T67" s="5">
        <f>1878-S67</f>
        <v>1029</v>
      </c>
      <c r="U67" s="5">
        <f>2927-T67-S67</f>
        <v>1049</v>
      </c>
      <c r="V67" s="5">
        <f>3974-U67-T67-S67</f>
        <v>1047</v>
      </c>
      <c r="W67" s="5">
        <v>1007</v>
      </c>
      <c r="X67" s="5"/>
      <c r="Y67" s="5"/>
      <c r="Z67" s="5"/>
      <c r="AA67" s="5"/>
      <c r="AB67" s="5"/>
      <c r="AD67" s="5"/>
      <c r="AE67" s="5"/>
      <c r="AF67" s="5"/>
      <c r="AG67" s="5">
        <v>2613</v>
      </c>
    </row>
    <row r="68" spans="2:33" s="3" customFormat="1" x14ac:dyDescent="0.15">
      <c r="B68" s="3" t="s">
        <v>77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>
        <v>169</v>
      </c>
      <c r="T68" s="5">
        <f>331-S68</f>
        <v>162</v>
      </c>
      <c r="U68" s="5">
        <f>631-T68-S68</f>
        <v>300</v>
      </c>
      <c r="V68" s="5">
        <f>720-U68-T68-S68</f>
        <v>89</v>
      </c>
      <c r="W68" s="5">
        <v>130</v>
      </c>
      <c r="X68" s="5"/>
      <c r="Y68" s="5"/>
      <c r="Z68" s="5"/>
      <c r="AA68" s="5"/>
      <c r="AB68" s="5"/>
      <c r="AD68" s="5"/>
      <c r="AE68" s="5"/>
      <c r="AF68" s="5"/>
      <c r="AG68" s="5">
        <v>220</v>
      </c>
    </row>
    <row r="69" spans="2:33" s="3" customFormat="1" x14ac:dyDescent="0.15">
      <c r="B69" s="3" t="s">
        <v>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>
        <f>380+269-457+69+2317</f>
        <v>2578</v>
      </c>
      <c r="T69" s="5">
        <f>145+301-1048-1541+149-S69</f>
        <v>-4572</v>
      </c>
      <c r="U69" s="5">
        <f>-409+457-682-788+303-T69-S69</f>
        <v>875</v>
      </c>
      <c r="V69" s="5">
        <f>-965+542-594-127+656-U69-T69-S69</f>
        <v>631</v>
      </c>
      <c r="W69" s="5">
        <f>-81+367-531+24+2305</f>
        <v>2084</v>
      </c>
      <c r="X69" s="5"/>
      <c r="Y69" s="5"/>
      <c r="Z69" s="5"/>
      <c r="AA69" s="5"/>
      <c r="AB69" s="5"/>
      <c r="AD69" s="5"/>
      <c r="AE69" s="5"/>
      <c r="AF69" s="5"/>
      <c r="AG69" s="5">
        <f>-874+11-733-398+7</f>
        <v>-1987</v>
      </c>
    </row>
    <row r="70" spans="2:33" s="3" customFormat="1" x14ac:dyDescent="0.15">
      <c r="B70" s="3" t="s">
        <v>79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>
        <f t="shared" ref="S70:V70" si="120">SUM(S63:S69)</f>
        <v>6974</v>
      </c>
      <c r="T70" s="5">
        <f t="shared" si="120"/>
        <v>143</v>
      </c>
      <c r="U70" s="5">
        <f t="shared" si="120"/>
        <v>5475</v>
      </c>
      <c r="V70" s="5">
        <f t="shared" si="120"/>
        <v>6081</v>
      </c>
      <c r="W70" s="5">
        <f>SUM(W63:W69)</f>
        <v>7427</v>
      </c>
      <c r="X70" s="5"/>
      <c r="Y70" s="5"/>
      <c r="Z70" s="5"/>
      <c r="AA70" s="5"/>
      <c r="AB70" s="5"/>
      <c r="AD70" s="5"/>
      <c r="AE70" s="5">
        <v>13139</v>
      </c>
      <c r="AF70" s="5">
        <v>15887</v>
      </c>
      <c r="AG70" s="5">
        <f>SUM(AG63:AG69)</f>
        <v>9539</v>
      </c>
    </row>
    <row r="72" spans="2:33" s="3" customFormat="1" x14ac:dyDescent="0.15">
      <c r="B72" s="3" t="s">
        <v>80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>
        <v>-1314</v>
      </c>
      <c r="T72" s="5">
        <f>-2394-S72</f>
        <v>-1080</v>
      </c>
      <c r="U72" s="5">
        <f>-4068-T72-S72</f>
        <v>-1674</v>
      </c>
      <c r="V72" s="5">
        <f>-6866-U72-T72-S72</f>
        <v>-2798</v>
      </c>
      <c r="W72" s="5">
        <v>-2303</v>
      </c>
      <c r="X72" s="5"/>
      <c r="Y72" s="5"/>
      <c r="Z72" s="5"/>
      <c r="AA72" s="5"/>
      <c r="AB72" s="5"/>
      <c r="AD72" s="5"/>
      <c r="AE72" s="5">
        <v>-1564</v>
      </c>
      <c r="AF72" s="5">
        <v>-2135</v>
      </c>
      <c r="AG72" s="5">
        <v>-4511</v>
      </c>
    </row>
    <row r="73" spans="2:33" s="3" customFormat="1" x14ac:dyDescent="0.15">
      <c r="B73" s="3" t="s">
        <v>81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>
        <v>0</v>
      </c>
      <c r="T73" s="5">
        <f>-59-S73</f>
        <v>-59</v>
      </c>
      <c r="U73" s="5">
        <f>-59-T73-S73</f>
        <v>0</v>
      </c>
      <c r="V73" s="5">
        <f>-63-U73-T73-S73</f>
        <v>-4</v>
      </c>
      <c r="W73" s="5">
        <v>0</v>
      </c>
      <c r="X73" s="5"/>
      <c r="Y73" s="5"/>
      <c r="Z73" s="5"/>
      <c r="AA73" s="5"/>
      <c r="AB73" s="5"/>
      <c r="AD73" s="5"/>
      <c r="AE73" s="5"/>
      <c r="AF73" s="5"/>
      <c r="AG73" s="5">
        <v>-148</v>
      </c>
    </row>
    <row r="74" spans="2:33" s="3" customFormat="1" x14ac:dyDescent="0.15">
      <c r="B74" s="3" t="s">
        <v>82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>
        <f>-333+85</f>
        <v>-248</v>
      </c>
      <c r="T74" s="5">
        <f>-515+157-S74</f>
        <v>-110</v>
      </c>
      <c r="U74" s="5">
        <f>-674+207-T74-S74</f>
        <v>-109</v>
      </c>
      <c r="V74" s="5">
        <f>-1003+572-U74-T74-S74</f>
        <v>36</v>
      </c>
      <c r="W74" s="5">
        <f>15-477</f>
        <v>-462</v>
      </c>
      <c r="X74" s="5"/>
      <c r="Y74" s="5"/>
      <c r="Z74" s="5"/>
      <c r="AA74" s="5"/>
      <c r="AB74" s="5"/>
      <c r="AD74" s="5"/>
      <c r="AE74" s="5"/>
      <c r="AF74" s="5"/>
      <c r="AG74" s="5"/>
    </row>
    <row r="75" spans="2:33" s="3" customFormat="1" x14ac:dyDescent="0.15">
      <c r="B75" s="3" t="s">
        <v>108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>
        <f>SUM(S72:S74)</f>
        <v>-1562</v>
      </c>
      <c r="T75" s="5">
        <f>SUM(T72:T74)</f>
        <v>-1249</v>
      </c>
      <c r="U75" s="5">
        <f>SUM(U72:U74)</f>
        <v>-1783</v>
      </c>
      <c r="V75" s="5">
        <f>SUM(V72:V74)</f>
        <v>-2766</v>
      </c>
      <c r="W75" s="5">
        <f>SUM(W72:W74)</f>
        <v>-2765</v>
      </c>
      <c r="X75" s="5"/>
      <c r="Y75" s="5"/>
      <c r="Z75" s="5"/>
      <c r="AA75" s="5"/>
      <c r="AB75" s="5"/>
      <c r="AD75" s="5"/>
      <c r="AE75" s="5"/>
      <c r="AF75" s="5"/>
      <c r="AG75" s="5"/>
    </row>
    <row r="76" spans="2:33" s="3" customFormat="1" x14ac:dyDescent="0.1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D76" s="5"/>
      <c r="AE76" s="5"/>
      <c r="AF76" s="5"/>
      <c r="AG76" s="5"/>
    </row>
    <row r="77" spans="2:33" s="3" customFormat="1" x14ac:dyDescent="0.15">
      <c r="B77" s="3" t="s">
        <v>82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D77" s="5"/>
      <c r="AE77" s="5"/>
      <c r="AF77" s="5"/>
      <c r="AG77" s="5">
        <f>-10272+19788+6363</f>
        <v>15879</v>
      </c>
    </row>
    <row r="78" spans="2:33" s="3" customFormat="1" x14ac:dyDescent="0.1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D78" s="5"/>
      <c r="AE78" s="5"/>
      <c r="AF78" s="5"/>
      <c r="AG78" s="5">
        <f>SUM(AG72:AG77)</f>
        <v>11220</v>
      </c>
    </row>
    <row r="79" spans="2:33" x14ac:dyDescent="0.15">
      <c r="B79" s="1" t="s">
        <v>109</v>
      </c>
      <c r="S79" s="5">
        <f>-150+308-1060</f>
        <v>-902</v>
      </c>
      <c r="T79" s="5">
        <f>-600+426-1733-S79</f>
        <v>-1005</v>
      </c>
      <c r="U79" s="5">
        <f>-1050+454-1865-T79-S79</f>
        <v>-554</v>
      </c>
      <c r="V79" s="5">
        <f>-1202+742-2040-U79-T79-S79</f>
        <v>-39</v>
      </c>
      <c r="W79" s="5">
        <f>-150+179-851</f>
        <v>-822</v>
      </c>
    </row>
    <row r="80" spans="2:33" x14ac:dyDescent="0.15">
      <c r="B80" s="1" t="s">
        <v>110</v>
      </c>
      <c r="S80" s="5">
        <v>-1091</v>
      </c>
      <c r="T80" s="5">
        <f>-2190-S80</f>
        <v>-1099</v>
      </c>
      <c r="U80" s="5">
        <f>-3289-T80-S80</f>
        <v>-1099</v>
      </c>
      <c r="V80" s="5">
        <f>-4391-U80-T80-S80</f>
        <v>-1102</v>
      </c>
      <c r="W80" s="5">
        <v>-1103</v>
      </c>
    </row>
    <row r="81" spans="2:23" x14ac:dyDescent="0.15">
      <c r="B81" s="1" t="s">
        <v>4</v>
      </c>
      <c r="S81" s="5">
        <f>-562-1000</f>
        <v>-1562</v>
      </c>
      <c r="T81" s="5">
        <f>1749-3500-S81</f>
        <v>-189</v>
      </c>
      <c r="U81" s="5">
        <f>936-3500-T81-S81</f>
        <v>-813</v>
      </c>
      <c r="V81" s="5">
        <f>-167-3500+4-U81-T81-S81</f>
        <v>-1099</v>
      </c>
      <c r="W81" s="5">
        <f>-396+5627-7630</f>
        <v>-2399</v>
      </c>
    </row>
    <row r="82" spans="2:23" x14ac:dyDescent="0.15">
      <c r="B82" s="1" t="s">
        <v>77</v>
      </c>
      <c r="S82" s="5">
        <v>27</v>
      </c>
      <c r="T82" s="5">
        <f>31-S82</f>
        <v>4</v>
      </c>
      <c r="U82" s="5">
        <f>34-T82-S82</f>
        <v>3</v>
      </c>
      <c r="V82" s="5">
        <f>0-U82-T82-S82</f>
        <v>-34</v>
      </c>
      <c r="W82" s="5">
        <v>-261</v>
      </c>
    </row>
    <row r="83" spans="2:23" x14ac:dyDescent="0.15">
      <c r="B83" s="1" t="s">
        <v>111</v>
      </c>
      <c r="S83" s="5">
        <f>SUM(S79:S82)</f>
        <v>-3528</v>
      </c>
      <c r="T83" s="5">
        <f>SUM(T79:T82)</f>
        <v>-2289</v>
      </c>
      <c r="U83" s="5">
        <f>SUM(U79:U82)</f>
        <v>-2463</v>
      </c>
      <c r="V83" s="5">
        <f>SUM(V79:V82)</f>
        <v>-2274</v>
      </c>
      <c r="W83" s="5">
        <f>SUM(W79:W82)</f>
        <v>-4585</v>
      </c>
    </row>
    <row r="84" spans="2:23" x14ac:dyDescent="0.15">
      <c r="B84" s="1" t="s">
        <v>112</v>
      </c>
      <c r="S84" s="4">
        <v>-36</v>
      </c>
      <c r="T84" s="4">
        <f>-10-S84</f>
        <v>26</v>
      </c>
      <c r="U84" s="4">
        <f>-2-T84-S84</f>
        <v>8</v>
      </c>
      <c r="V84" s="4">
        <f>-70-U84-T84-S84</f>
        <v>-68</v>
      </c>
      <c r="W84" s="5">
        <v>85</v>
      </c>
    </row>
    <row r="85" spans="2:23" x14ac:dyDescent="0.15">
      <c r="B85" s="1" t="s">
        <v>113</v>
      </c>
      <c r="S85" s="5">
        <f>+S83+S84+S75+S70</f>
        <v>1848</v>
      </c>
      <c r="T85" s="5">
        <f>+T83+T84+T75+T70</f>
        <v>-3369</v>
      </c>
      <c r="U85" s="5">
        <f>+U83+U84+U75+U70</f>
        <v>1237</v>
      </c>
      <c r="V85" s="5">
        <f>+V83+V84+V75+V70</f>
        <v>973</v>
      </c>
      <c r="W85" s="5">
        <f>+W83+W84+W75+W70</f>
        <v>162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Zhuping Liu</cp:lastModifiedBy>
  <dcterms:created xsi:type="dcterms:W3CDTF">2022-06-26T21:24:14Z</dcterms:created>
  <dcterms:modified xsi:type="dcterms:W3CDTF">2025-07-18T20:32:13Z</dcterms:modified>
</cp:coreProperties>
</file>