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Y:\Jedermann\TMCTechAccessPack\Chips\TMC2208\"/>
    </mc:Choice>
  </mc:AlternateContent>
  <xr:revisionPtr revIDLastSave="0" documentId="13_ncr:1_{302463BF-C0F8-4C63-87F7-26CEE9584FD4}" xr6:coauthVersionLast="44" xr6:coauthVersionMax="44" xr10:uidLastSave="{00000000-0000-0000-0000-000000000000}"/>
  <bookViews>
    <workbookView xWindow="-108" yWindow="-108" windowWidth="30936" windowHeight="17496" firstSheet="1" activeTab="5" xr2:uid="{00000000-000D-0000-FFFF-FFFF00000000}"/>
  </bookViews>
  <sheets>
    <sheet name="Velocity Calculation" sheetId="1" r:id="rId1"/>
    <sheet name="Chopper Parameters" sheetId="2" r:id="rId2"/>
    <sheet name="Power Dissipation" sheetId="5" r:id="rId3"/>
    <sheet name="Rsense" sheetId="7" r:id="rId4"/>
    <sheet name="RDSonSense" sheetId="6" r:id="rId5"/>
    <sheet name="Datagram CRC calculation" sheetId="8" r:id="rId6"/>
    <sheet name="Revision History" sheetId="4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8" l="1"/>
  <c r="F24" i="8" s="1"/>
  <c r="F25" i="8" s="1"/>
  <c r="F26" i="8" s="1"/>
  <c r="F27" i="8" s="1"/>
  <c r="F28" i="8" s="1"/>
  <c r="F29" i="8" s="1"/>
  <c r="F30" i="8" s="1"/>
  <c r="F31" i="8" s="1"/>
  <c r="F32" i="8" s="1"/>
  <c r="C21" i="8"/>
  <c r="D24" i="8" s="1"/>
  <c r="D25" i="8" s="1"/>
  <c r="D26" i="8" s="1"/>
  <c r="D27" i="8" s="1"/>
  <c r="D28" i="8" s="1"/>
  <c r="D29" i="8" s="1"/>
  <c r="D30" i="8" s="1"/>
  <c r="D31" i="8" s="1"/>
  <c r="D32" i="8" s="1"/>
  <c r="B21" i="8"/>
  <c r="B24" i="8" s="1"/>
  <c r="B25" i="8" s="1"/>
  <c r="H5" i="8"/>
  <c r="N8" i="8" s="1"/>
  <c r="N9" i="8" s="1"/>
  <c r="N10" i="8" s="1"/>
  <c r="N11" i="8" s="1"/>
  <c r="N12" i="8" s="1"/>
  <c r="N13" i="8" s="1"/>
  <c r="N14" i="8" s="1"/>
  <c r="N15" i="8" s="1"/>
  <c r="N16" i="8" s="1"/>
  <c r="G5" i="8"/>
  <c r="L8" i="8" s="1"/>
  <c r="L9" i="8" s="1"/>
  <c r="L10" i="8" s="1"/>
  <c r="L11" i="8" s="1"/>
  <c r="L12" i="8" s="1"/>
  <c r="L13" i="8" s="1"/>
  <c r="L14" i="8" s="1"/>
  <c r="L15" i="8" s="1"/>
  <c r="L16" i="8" s="1"/>
  <c r="F5" i="8"/>
  <c r="J8" i="8" s="1"/>
  <c r="J9" i="8" s="1"/>
  <c r="J10" i="8" s="1"/>
  <c r="J11" i="8" s="1"/>
  <c r="J12" i="8" s="1"/>
  <c r="J13" i="8" s="1"/>
  <c r="J14" i="8" s="1"/>
  <c r="J15" i="8" s="1"/>
  <c r="J16" i="8" s="1"/>
  <c r="E5" i="8"/>
  <c r="H8" i="8" s="1"/>
  <c r="H9" i="8" s="1"/>
  <c r="H10" i="8" s="1"/>
  <c r="H11" i="8" s="1"/>
  <c r="H12" i="8" s="1"/>
  <c r="H13" i="8" s="1"/>
  <c r="H14" i="8" s="1"/>
  <c r="H15" i="8" s="1"/>
  <c r="H16" i="8" s="1"/>
  <c r="D5" i="8"/>
  <c r="F8" i="8" s="1"/>
  <c r="F9" i="8" s="1"/>
  <c r="F10" i="8" s="1"/>
  <c r="F11" i="8" s="1"/>
  <c r="F12" i="8" s="1"/>
  <c r="F13" i="8" s="1"/>
  <c r="F14" i="8" s="1"/>
  <c r="F15" i="8" s="1"/>
  <c r="F16" i="8" s="1"/>
  <c r="C5" i="8"/>
  <c r="D8" i="8" s="1"/>
  <c r="D9" i="8" s="1"/>
  <c r="D10" i="8" s="1"/>
  <c r="D11" i="8" s="1"/>
  <c r="D12" i="8" s="1"/>
  <c r="D13" i="8" s="1"/>
  <c r="D14" i="8" s="1"/>
  <c r="D15" i="8" s="1"/>
  <c r="D16" i="8" s="1"/>
  <c r="B5" i="8"/>
  <c r="B8" i="8" s="1"/>
  <c r="B9" i="8" s="1"/>
  <c r="C9" i="8" l="1"/>
  <c r="B10" i="8"/>
  <c r="B11" i="8" s="1"/>
  <c r="B12" i="8" s="1"/>
  <c r="B13" i="8" s="1"/>
  <c r="B14" i="8" s="1"/>
  <c r="B15" i="8" s="1"/>
  <c r="B16" i="8" s="1"/>
  <c r="C25" i="8"/>
  <c r="B26" i="8"/>
  <c r="B27" i="8" s="1"/>
  <c r="B28" i="8" s="1"/>
  <c r="B29" i="8" s="1"/>
  <c r="B30" i="8" s="1"/>
  <c r="B31" i="8" s="1"/>
  <c r="B32" i="8" s="1"/>
  <c r="B36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22" i="7"/>
  <c r="B7" i="7"/>
  <c r="B8" i="7"/>
  <c r="B9" i="7"/>
  <c r="B10" i="7"/>
  <c r="B11" i="7"/>
  <c r="B12" i="7"/>
  <c r="B13" i="7"/>
  <c r="B14" i="7"/>
  <c r="B15" i="7"/>
  <c r="B16" i="7"/>
  <c r="B17" i="7"/>
  <c r="B6" i="7"/>
  <c r="C26" i="8" l="1"/>
  <c r="C27" i="8" s="1"/>
  <c r="C28" i="8" s="1"/>
  <c r="C29" i="8" s="1"/>
  <c r="C30" i="8" s="1"/>
  <c r="C31" i="8" s="1"/>
  <c r="C32" i="8" s="1"/>
  <c r="E24" i="8" s="1"/>
  <c r="E25" i="8" s="1"/>
  <c r="E26" i="8" s="1"/>
  <c r="E27" i="8" s="1"/>
  <c r="E28" i="8" s="1"/>
  <c r="E29" i="8" s="1"/>
  <c r="E30" i="8" s="1"/>
  <c r="E31" i="8" s="1"/>
  <c r="E32" i="8" s="1"/>
  <c r="G24" i="8" s="1"/>
  <c r="G25" i="8" s="1"/>
  <c r="G26" i="8" s="1"/>
  <c r="G27" i="8" s="1"/>
  <c r="G28" i="8" s="1"/>
  <c r="G29" i="8" s="1"/>
  <c r="G30" i="8" s="1"/>
  <c r="G31" i="8" s="1"/>
  <c r="G32" i="8" s="1"/>
  <c r="E20" i="8" s="1"/>
  <c r="C10" i="8"/>
  <c r="C11" i="8" s="1"/>
  <c r="C12" i="8" s="1"/>
  <c r="C13" i="8" s="1"/>
  <c r="C14" i="8" s="1"/>
  <c r="C15" i="8" s="1"/>
  <c r="C16" i="8" s="1"/>
  <c r="E8" i="8" s="1"/>
  <c r="E9" i="8" s="1"/>
  <c r="E10" i="8" s="1"/>
  <c r="E11" i="8" s="1"/>
  <c r="E12" i="8" s="1"/>
  <c r="E13" i="8" s="1"/>
  <c r="E14" i="8" s="1"/>
  <c r="E15" i="8" s="1"/>
  <c r="E16" i="8" s="1"/>
  <c r="G8" i="8" s="1"/>
  <c r="G9" i="8" s="1"/>
  <c r="G10" i="8" s="1"/>
  <c r="G11" i="8" s="1"/>
  <c r="G12" i="8" s="1"/>
  <c r="G13" i="8" s="1"/>
  <c r="G14" i="8" s="1"/>
  <c r="G15" i="8" s="1"/>
  <c r="G16" i="8" s="1"/>
  <c r="I8" i="8" s="1"/>
  <c r="I9" i="8" s="1"/>
  <c r="I10" i="8" s="1"/>
  <c r="I11" i="8" s="1"/>
  <c r="I12" i="8" s="1"/>
  <c r="I13" i="8" s="1"/>
  <c r="I14" i="8" s="1"/>
  <c r="I15" i="8" s="1"/>
  <c r="I16" i="8" s="1"/>
  <c r="K8" i="8" s="1"/>
  <c r="K9" i="8" s="1"/>
  <c r="K10" i="8" s="1"/>
  <c r="K11" i="8" s="1"/>
  <c r="K12" i="8" s="1"/>
  <c r="K13" i="8" s="1"/>
  <c r="K14" i="8" s="1"/>
  <c r="K15" i="8" s="1"/>
  <c r="K16" i="8" s="1"/>
  <c r="M8" i="8" s="1"/>
  <c r="M9" i="8" s="1"/>
  <c r="M10" i="8" s="1"/>
  <c r="M11" i="8" s="1"/>
  <c r="M12" i="8" s="1"/>
  <c r="M13" i="8" s="1"/>
  <c r="M14" i="8" s="1"/>
  <c r="M15" i="8" s="1"/>
  <c r="M16" i="8" s="1"/>
  <c r="O8" i="8" s="1"/>
  <c r="O9" i="8" s="1"/>
  <c r="O10" i="8" s="1"/>
  <c r="O11" i="8" s="1"/>
  <c r="O12" i="8" s="1"/>
  <c r="O13" i="8" s="1"/>
  <c r="O14" i="8" s="1"/>
  <c r="O15" i="8" s="1"/>
  <c r="O16" i="8" s="1"/>
  <c r="I4" i="8" s="1"/>
  <c r="C23" i="2"/>
  <c r="C20" i="5" l="1"/>
  <c r="C45" i="5"/>
  <c r="C28" i="5"/>
  <c r="C29" i="5"/>
  <c r="B23" i="1" l="1"/>
  <c r="C51" i="5" l="1"/>
  <c r="C52" i="5"/>
  <c r="C13" i="5"/>
  <c r="C36" i="7" l="1"/>
  <c r="D36" i="7" s="1"/>
  <c r="C35" i="7"/>
  <c r="D35" i="7" s="1"/>
  <c r="C34" i="7"/>
  <c r="D34" i="7" s="1"/>
  <c r="C23" i="7"/>
  <c r="D23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22" i="7"/>
  <c r="D22" i="7" s="1"/>
  <c r="C7" i="7"/>
  <c r="D7" i="7" s="1"/>
  <c r="C8" i="7"/>
  <c r="D8" i="7" s="1"/>
  <c r="C9" i="7"/>
  <c r="D9" i="7" s="1"/>
  <c r="C10" i="7"/>
  <c r="D10" i="7" s="1"/>
  <c r="C11" i="7"/>
  <c r="D11" i="7" s="1"/>
  <c r="C12" i="7"/>
  <c r="D12" i="7" s="1"/>
  <c r="C13" i="7"/>
  <c r="D13" i="7" s="1"/>
  <c r="C14" i="7"/>
  <c r="D14" i="7" s="1"/>
  <c r="C15" i="7"/>
  <c r="D15" i="7" s="1"/>
  <c r="C16" i="7"/>
  <c r="D16" i="7" s="1"/>
  <c r="C17" i="7"/>
  <c r="D17" i="7" s="1"/>
  <c r="C6" i="7"/>
  <c r="D6" i="7" s="1"/>
  <c r="B4" i="6" l="1"/>
  <c r="C4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E6" i="6" l="1"/>
  <c r="F6" i="6" s="1"/>
  <c r="D6" i="6"/>
  <c r="E8" i="6"/>
  <c r="F8" i="6" s="1"/>
  <c r="D8" i="6"/>
  <c r="E5" i="6"/>
  <c r="F5" i="6" s="1"/>
  <c r="D5" i="6"/>
  <c r="E13" i="6"/>
  <c r="F13" i="6" s="1"/>
  <c r="D13" i="6"/>
  <c r="E7" i="6"/>
  <c r="F7" i="6" s="1"/>
  <c r="D7" i="6"/>
  <c r="E10" i="6"/>
  <c r="F10" i="6" s="1"/>
  <c r="D10" i="6"/>
  <c r="E15" i="6"/>
  <c r="F15" i="6" s="1"/>
  <c r="D15" i="6"/>
  <c r="E11" i="6"/>
  <c r="F11" i="6" s="1"/>
  <c r="D11" i="6"/>
  <c r="E16" i="6"/>
  <c r="F16" i="6" s="1"/>
  <c r="D16" i="6"/>
  <c r="E9" i="6"/>
  <c r="F9" i="6" s="1"/>
  <c r="D9" i="6"/>
  <c r="E12" i="6"/>
  <c r="F12" i="6" s="1"/>
  <c r="D12" i="6"/>
  <c r="E14" i="6"/>
  <c r="F14" i="6" s="1"/>
  <c r="D14" i="6"/>
  <c r="E17" i="6"/>
  <c r="F17" i="6" s="1"/>
  <c r="D17" i="6"/>
  <c r="E4" i="6"/>
  <c r="F4" i="6" s="1"/>
  <c r="D4" i="6"/>
  <c r="C48" i="2"/>
  <c r="C47" i="2"/>
  <c r="C9" i="5" l="1"/>
  <c r="C41" i="2"/>
  <c r="C44" i="2" s="1"/>
  <c r="C28" i="2"/>
  <c r="C18" i="2"/>
  <c r="C10" i="2"/>
  <c r="C13" i="2" l="1"/>
  <c r="C24" i="2" s="1"/>
  <c r="C18" i="5"/>
  <c r="C19" i="5" s="1"/>
  <c r="C36" i="5"/>
  <c r="C39" i="5"/>
  <c r="C43" i="2"/>
  <c r="C21" i="2"/>
  <c r="B28" i="1"/>
  <c r="C25" i="2" l="1"/>
  <c r="C38" i="2"/>
  <c r="C39" i="2" s="1"/>
  <c r="B30" i="1"/>
  <c r="J7" i="1"/>
  <c r="B29" i="1"/>
  <c r="B24" i="1"/>
  <c r="B10" i="1"/>
  <c r="B11" i="1" s="1"/>
  <c r="C30" i="2" l="1"/>
  <c r="C33" i="2" s="1"/>
  <c r="F33" i="2" s="1"/>
  <c r="B25" i="1"/>
  <c r="B15" i="1" s="1"/>
  <c r="B19" i="1" s="1"/>
  <c r="B31" i="1"/>
  <c r="B32" i="1"/>
  <c r="C36" i="2" l="1"/>
  <c r="C34" i="2"/>
  <c r="F34" i="2" s="1"/>
  <c r="B35" i="1" l="1"/>
  <c r="B36" i="1" s="1"/>
  <c r="B16" i="1"/>
  <c r="B17" i="1" s="1"/>
  <c r="B18" i="1" s="1"/>
  <c r="B20" i="1" s="1"/>
  <c r="C37" i="5" l="1"/>
  <c r="C38" i="5" s="1"/>
  <c r="C40" i="5"/>
  <c r="C41" i="5" s="1"/>
  <c r="C43" i="5" l="1"/>
  <c r="C44" i="5" s="1"/>
  <c r="C47" i="5" s="1"/>
</calcChain>
</file>

<file path=xl/sharedStrings.xml><?xml version="1.0" encoding="utf-8"?>
<sst xmlns="http://schemas.openxmlformats.org/spreadsheetml/2006/main" count="297" uniqueCount="232">
  <si>
    <t>RPS</t>
  </si>
  <si>
    <t>°</t>
  </si>
  <si>
    <t>µS/FS</t>
  </si>
  <si>
    <t>FS/360°</t>
  </si>
  <si>
    <t>Fullstep angel</t>
  </si>
  <si>
    <t>µS/360°</t>
  </si>
  <si>
    <t>µSteps per revolution</t>
  </si>
  <si>
    <t>Fullsteps per revolution</t>
  </si>
  <si>
    <t>t</t>
  </si>
  <si>
    <t>=</t>
  </si>
  <si>
    <t>VMAX</t>
  </si>
  <si>
    <t>[µS/t]</t>
  </si>
  <si>
    <t>deg/sec</t>
  </si>
  <si>
    <t>:1</t>
  </si>
  <si>
    <t>gear ratio</t>
  </si>
  <si>
    <t>gear box out</t>
  </si>
  <si>
    <t>motor shaft</t>
  </si>
  <si>
    <t>1. VMAX to real world units</t>
  </si>
  <si>
    <t>3. real world units (gearbox) to VMAX</t>
  </si>
  <si>
    <t>[sec]</t>
  </si>
  <si>
    <t>0 … 2^23-512</t>
  </si>
  <si>
    <t>Hz</t>
  </si>
  <si>
    <t>fCLK</t>
  </si>
  <si>
    <t>Parameters and settings</t>
  </si>
  <si>
    <t xml:space="preserve"> 2^24/fCLK</t>
  </si>
  <si>
    <t>µStepresolution (256)</t>
  </si>
  <si>
    <t>Usage:</t>
  </si>
  <si>
    <t>File :</t>
  </si>
  <si>
    <t>Date</t>
  </si>
  <si>
    <t>Comment</t>
  </si>
  <si>
    <t>THIS CODE AND INFORMATION IS PROVIDED "AS IS" WITHOUT WARRANTY OF ANY  KIND, EITHER EXPRESSED OR IMPLIED.</t>
  </si>
  <si>
    <t>fCLK[MHz] :=</t>
  </si>
  <si>
    <t>tCLK[s] =</t>
  </si>
  <si>
    <t>VM[V] :=</t>
  </si>
  <si>
    <t>TBL :=</t>
  </si>
  <si>
    <t>L[H] :=</t>
  </si>
  <si>
    <t>Rcoil[Ohm] :=</t>
  </si>
  <si>
    <t>Icoil (peak)[A] :=</t>
  </si>
  <si>
    <t>determined by Rsense, CurrentScale (CS), Vsense</t>
  </si>
  <si>
    <t>Icoil (RMS)[A] =</t>
  </si>
  <si>
    <t>toff setting :=</t>
  </si>
  <si>
    <t>tSD[s] =</t>
  </si>
  <si>
    <t>dIcoilblank[A] =</t>
  </si>
  <si>
    <t>dIcoilsd[A] =</t>
  </si>
  <si>
    <t>CS :=</t>
  </si>
  <si>
    <t>HystStart_MIN =</t>
  </si>
  <si>
    <t>((HSTR + HEND) &gt; HystStart_MIN)</t>
  </si>
  <si>
    <t>HEND = 0 or larger, if HystStart_MIN  &gt; 7</t>
  </si>
  <si>
    <t>Desired Value</t>
  </si>
  <si>
    <t>Register value for CHOPCONF register bits</t>
  </si>
  <si>
    <t>(1...8)</t>
  </si>
  <si>
    <t>(-3...12)</t>
  </si>
  <si>
    <t xml:space="preserve">Hint: </t>
  </si>
  <si>
    <t>Umotnom[V] =</t>
  </si>
  <si>
    <t xml:space="preserve">Nominal motor voltage </t>
  </si>
  <si>
    <t>VM_upper_limit[V] =</t>
  </si>
  <si>
    <t>Maximum supply voltage for motor driver (in order to avoid excess heating of the motor by chopping)</t>
  </si>
  <si>
    <t>VM_lower_limit[V] =</t>
  </si>
  <si>
    <t>Minimum supply voltage for motor driver (in order to allow full motor current with microstepping)</t>
  </si>
  <si>
    <t>Ohm</t>
  </si>
  <si>
    <t>Author</t>
  </si>
  <si>
    <t>BD</t>
  </si>
  <si>
    <t>Please enter Values higlighted according to your settings</t>
  </si>
  <si>
    <t>Driver supply voltage</t>
  </si>
  <si>
    <t>Motor current</t>
  </si>
  <si>
    <t>determined by Rsense, CurrentScale (CS), Vsense, this is typically the RMS motor coil current  *1.41</t>
  </si>
  <si>
    <t>Icoil (RMS)[A] :=</t>
  </si>
  <si>
    <t>Chopper parameters</t>
  </si>
  <si>
    <t>fCHOP[kHz]=</t>
  </si>
  <si>
    <t>The chopper frequency depends on the toff setting and on the duty cycle, which is determined by many factors</t>
  </si>
  <si>
    <t>The duty cycle describes the time of a chopper period, where a high side MOSFET is on: 0.3=30% of the time, 70% slow decay portion)</t>
  </si>
  <si>
    <t>MOSFET data for 25°C</t>
  </si>
  <si>
    <t>RON_highside[Ohm]:=</t>
  </si>
  <si>
    <t>you may want to use worst case values</t>
  </si>
  <si>
    <t>RON_lowside[Ohm]:=</t>
  </si>
  <si>
    <t>Assume maximum die temperature in your application within the device limits</t>
  </si>
  <si>
    <t>RON_highside_th[Ohm]=</t>
  </si>
  <si>
    <t>RON_lowside_th[Ohm]=</t>
  </si>
  <si>
    <t>Reverse recovery time tRR of body diode</t>
  </si>
  <si>
    <t>tRR_highside [ns]:=</t>
  </si>
  <si>
    <t>The reverse recovery time adds power dissipation to the complementary MOSFET, however, the impact is low</t>
  </si>
  <si>
    <t>tRR_lowside [ns]:=</t>
  </si>
  <si>
    <t>Slope time rise [ns]=</t>
  </si>
  <si>
    <t>Slope time fall [ns]=</t>
  </si>
  <si>
    <t>Resulting MOSFET Power Dissipation</t>
  </si>
  <si>
    <t>P_highside(static)[W]=</t>
  </si>
  <si>
    <t>per MOSFET (using RMS current)</t>
  </si>
  <si>
    <t>P_highside(dynamic)[W]=</t>
  </si>
  <si>
    <t>Maximum dissipation per MOSFET</t>
  </si>
  <si>
    <t>P_highside(sum)[W]=</t>
  </si>
  <si>
    <t>P_lowside(static)[W]=</t>
  </si>
  <si>
    <t>P_lowside(dynamic)[W]=</t>
  </si>
  <si>
    <t>P_lowside(sum)[W]=</t>
  </si>
  <si>
    <t>for one fullbridge</t>
  </si>
  <si>
    <t>Pfullbrige[W]=</t>
  </si>
  <si>
    <t>PMOSFETs[W]=</t>
  </si>
  <si>
    <t>Sense resistor [Ohm]:=</t>
  </si>
  <si>
    <t>2. Now you can use one of the calculations (1. - 4.) by entering the known parameters (green)</t>
  </si>
  <si>
    <t>Driver power supply voltage</t>
  </si>
  <si>
    <t>System clock frequency</t>
  </si>
  <si>
    <t>Coil current drop during blank time</t>
  </si>
  <si>
    <t>Coil current drop during slow decay time</t>
  </si>
  <si>
    <t>Settings for HSTART and HEND</t>
  </si>
  <si>
    <t>HSTRT setting</t>
  </si>
  <si>
    <t>HEND setting</t>
  </si>
  <si>
    <t>Sample values HSTRT</t>
  </si>
  <si>
    <t>Sample values HEND</t>
  </si>
  <si>
    <t>Blank time setting (0-3; default: 2)</t>
  </si>
  <si>
    <t>This spreadsheet allows the calculation of spreadCycle chopper parameter settings and sense resistor values</t>
  </si>
  <si>
    <t>for complete two fullbridges (per motor)</t>
  </si>
  <si>
    <t>Power consumption from VSA at VS voltage</t>
  </si>
  <si>
    <t>P for this chip [W]</t>
  </si>
  <si>
    <t>Power dissipation for complete Chip</t>
  </si>
  <si>
    <t>1. First enter the highlighted values in Parameters and settings</t>
  </si>
  <si>
    <t>2. Now you can read out the power dissipation for the IC and for the sense resistors</t>
  </si>
  <si>
    <t>Power dissipation for each sense resistor</t>
  </si>
  <si>
    <t>Motor parameters</t>
  </si>
  <si>
    <t>1. Enter the highlighted system parameters and settings like clock frequency and supply voltage as well as motor parameters.</t>
  </si>
  <si>
    <t>tBLANK[s] =</t>
  </si>
  <si>
    <t>Additional settings</t>
  </si>
  <si>
    <t>Results</t>
  </si>
  <si>
    <t>Derived motor specific limits for the supply voltage</t>
  </si>
  <si>
    <t>Automatic calculation of sense resistor values (based on CS and Icoil Peak)</t>
  </si>
  <si>
    <t>Modify the current scale setting if a value near to this result (e.g. within a +/-3% range) is not available</t>
  </si>
  <si>
    <t>Current Scale Setting (0 to 31)</t>
  </si>
  <si>
    <t>Duration of slow decay phase (twice per chopper cycle)</t>
  </si>
  <si>
    <t>1. Enter the system values like clock frequency and supply voltage as well as motor parameters into the fields highlighted yellow.</t>
  </si>
  <si>
    <t>Calculationof power dissipation</t>
  </si>
  <si>
    <t>Chip Temperature [°C] :=</t>
  </si>
  <si>
    <t>chopper frequency limit [kHz]</t>
  </si>
  <si>
    <t>Theoretical maximum value - the actual chopper frequency will be 90% to 50% of this value depending on operation conditions or when higher hysteresis values are used</t>
  </si>
  <si>
    <t>Driver IC</t>
  </si>
  <si>
    <t>Motor data</t>
  </si>
  <si>
    <t>IREF [A]</t>
  </si>
  <si>
    <t>0 ... 5 fits for most stepper motor types as initial value</t>
  </si>
  <si>
    <t>&lt;-- This is the minimum value which should be considered for HSTRT, larger values can be used to yield lower chopper frequency</t>
  </si>
  <si>
    <t>&lt;-- This is the minimum value which should be considered for HEND, larger values can be used to yield lower chopper frequency</t>
  </si>
  <si>
    <t>RREF [kOhm]</t>
  </si>
  <si>
    <t>IPEAK [A] (VSENSE=0)</t>
  </si>
  <si>
    <t>IPEAK [A] (VSENSE=1)</t>
  </si>
  <si>
    <t>This spreadsheet allows looking up the fitting Reference Resistor for a given maximum motor peak current</t>
  </si>
  <si>
    <t>VSRTL</t>
  </si>
  <si>
    <t>VSRTH</t>
  </si>
  <si>
    <t>mV</t>
  </si>
  <si>
    <t>(CS=31, i.e. max. current setting)</t>
  </si>
  <si>
    <t>Low sensitivity (standard setting, VSENSE=0)</t>
  </si>
  <si>
    <r>
      <t>Sense Resistor value [</t>
    </r>
    <r>
      <rPr>
        <b/>
        <sz val="11"/>
        <color theme="1"/>
        <rFont val="Calibri"/>
        <family val="2"/>
      </rPr>
      <t>Ω]</t>
    </r>
  </si>
  <si>
    <t>Peak current [A]</t>
  </si>
  <si>
    <t>RMS current [A]</t>
  </si>
  <si>
    <t>High sensitivity (standard setting, VSENSE=1)</t>
  </si>
  <si>
    <t>&lt;0,1W: 0603 resistor is OK</t>
  </si>
  <si>
    <t>&lt;0,25W: 0805 resistor is OK</t>
  </si>
  <si>
    <t>&lt;0,5W: 1206 resistor is OK</t>
  </si>
  <si>
    <t>Max. RMS sense resistor power dissipation [W]</t>
  </si>
  <si>
    <t>2. Check the resulting sense resistor value (C46 or C47) and modify the current scale setting (CS in C26) if you want to use a different sense resistor value</t>
  </si>
  <si>
    <t>4. Use the resulting hysteresis values (F32, F33) as a start value for parameter optimization</t>
  </si>
  <si>
    <t>Typical values are in the range 3 to 8</t>
  </si>
  <si>
    <t>3. Check that all hints fileds show OK and modify toff setting (C20) if desired.</t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</si>
  <si>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VSENSE=0</t>
    </r>
  </si>
  <si>
    <r>
      <rPr>
        <b/>
        <sz val="11"/>
        <color rgb="FF0070C0"/>
        <rFont val="Calibri"/>
        <family val="2"/>
      </rPr>
      <t>Rsense</t>
    </r>
    <r>
      <rPr>
        <sz val="11"/>
        <color rgb="FF0070C0"/>
        <rFont val="Calibri"/>
        <family val="2"/>
        <scheme val="minor"/>
      </rPr>
      <t xml:space="preserve"> using VSENSE=1</t>
    </r>
  </si>
  <si>
    <t>Assumed die temperatur under worst case</t>
  </si>
  <si>
    <t>RMS current required by motor</t>
  </si>
  <si>
    <t>Use the sense resistor value selected or use Chopper Parameter Tab for calculation</t>
  </si>
  <si>
    <t>&lt;-- The power dissipation is during motion at RMS current. It might vary up to +100% depending on chopper settings especially at high motor velocity</t>
  </si>
  <si>
    <t>Typical Rsense power dissipation[W]=</t>
  </si>
  <si>
    <t>Maximum Rsense power dissipation[W]=</t>
  </si>
  <si>
    <t>&lt;-- Assumed worst case power dissipation for seletion of resistor type</t>
  </si>
  <si>
    <t>Motor coil resistance</t>
  </si>
  <si>
    <t>Rcoil[Ohms] :=</t>
  </si>
  <si>
    <t>Duty cycle assumed for typical operating condition using spreadCycle</t>
  </si>
  <si>
    <t>This spreadsheet allows the calculation of the power dissipation of the driver IC and sense resistors</t>
  </si>
  <si>
    <t>DC coil resistance</t>
  </si>
  <si>
    <t>Dutycycle Highside=</t>
  </si>
  <si>
    <t>Slow decay time</t>
  </si>
  <si>
    <t>The calculation sheet assumes operation with spread cycle chopper at medium motor velocity, which is a typical worst case scenario.</t>
  </si>
  <si>
    <t>2. real world units to VMAX</t>
  </si>
  <si>
    <t>TSTEP</t>
  </si>
  <si>
    <t>TSTEP compare value for TPWMTHRS, TCOOLTHRS or THIGH</t>
  </si>
  <si>
    <t>&lt;--Entry desired rotations per second here!</t>
  </si>
  <si>
    <t>Desired Velocity</t>
  </si>
  <si>
    <t>RPM</t>
  </si>
  <si>
    <t>&lt;--Entry desired VMAX setting here!</t>
  </si>
  <si>
    <t>[µSteps/s]</t>
  </si>
  <si>
    <t>P_LinRegulator[W]=</t>
  </si>
  <si>
    <t>This spreadsheet allows the calculation of target velocity and TSTEP time for the internal pulse generator of the TMC220x/TMC222x</t>
  </si>
  <si>
    <t>4. VMAX to TSTEP</t>
  </si>
  <si>
    <t>duration of blank time as set by TBL (=0, 1, 2, 3) &lt;=&gt; 16, 24, 32, 40 tCLK</t>
  </si>
  <si>
    <t>dIcoilBBM[A] =</t>
  </si>
  <si>
    <t>Motor coil inductivity (1mH = 0.001H)</t>
  </si>
  <si>
    <t>Coil current drop during power stage BBM time (appr. 200ns)</t>
  </si>
  <si>
    <t>IRMS [A] (VSENSE=0)</t>
  </si>
  <si>
    <t>IRMS [A] (VSENSE=1)</t>
  </si>
  <si>
    <t>TMC220x_TMC222x_Calculations.xlsx</t>
  </si>
  <si>
    <t>2016-SEP-30</t>
  </si>
  <si>
    <t>Initial version based on TMC5130_2130_2100_Calculations.xls, Adapted</t>
  </si>
  <si>
    <r>
      <t xml:space="preserve">Chopper frequency calculated for lowest good hysteresis setting using </t>
    </r>
    <r>
      <rPr>
        <i/>
        <sz val="11"/>
        <color theme="1"/>
        <rFont val="Calibri"/>
        <family val="2"/>
        <scheme val="minor"/>
      </rPr>
      <t>spreadCycle</t>
    </r>
  </si>
  <si>
    <t>2019-FEB-05</t>
  </si>
  <si>
    <t>Corrected calculation of sense resistor with 30mOhm internal resistance rather than 20mOhm</t>
  </si>
  <si>
    <t>2019-SEP-23</t>
  </si>
  <si>
    <t>Added CRC calculation</t>
  </si>
  <si>
    <t>Calculation of the CRC Byte</t>
  </si>
  <si>
    <t>Write Access</t>
  </si>
  <si>
    <t>Sync byte (fix)</t>
  </si>
  <si>
    <t>Register for Write</t>
  </si>
  <si>
    <t>data 3</t>
  </si>
  <si>
    <t>data 2</t>
  </si>
  <si>
    <t>data 1</t>
  </si>
  <si>
    <t>data 0</t>
  </si>
  <si>
    <t>CRC</t>
  </si>
  <si>
    <t xml:space="preserve">Write Datagram Hex with CRC: </t>
  </si>
  <si>
    <t>00</t>
  </si>
  <si>
    <t>01</t>
  </si>
  <si>
    <t>14</t>
  </si>
  <si>
    <t>05</t>
  </si>
  <si>
    <t>Write Datagram Dec:</t>
  </si>
  <si>
    <t>Input</t>
  </si>
  <si>
    <t>Acc. CRC</t>
  </si>
  <si>
    <t>CRC Byte Bit 0</t>
  </si>
  <si>
    <t>Bit 1</t>
  </si>
  <si>
    <t>Bit 2</t>
  </si>
  <si>
    <t>Bit 3</t>
  </si>
  <si>
    <t>Bit 4</t>
  </si>
  <si>
    <t>Bit 5</t>
  </si>
  <si>
    <t>Bit 6</t>
  </si>
  <si>
    <t>Bit 7</t>
  </si>
  <si>
    <t>Read Access</t>
  </si>
  <si>
    <t>Register for Read</t>
  </si>
  <si>
    <t xml:space="preserve">Read Datagram Hex with CRC: </t>
  </si>
  <si>
    <t>0</t>
  </si>
  <si>
    <t>6</t>
  </si>
  <si>
    <t>Read Datagram Dec:</t>
  </si>
  <si>
    <t>Address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</si>
</sst>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164" fontId="0" fillId="0" borderId="0" xfId="0" applyNumberFormat="1"/>
    <xf numFmtId="0" fontId="0" fillId="0" borderId="0" xfId="0" quotePrefix="1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8" fillId="0" borderId="0" xfId="0" applyFont="1"/>
    <xf numFmtId="0" fontId="1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2" borderId="0" xfId="0" applyFill="1"/>
    <xf numFmtId="11" fontId="0" fillId="0" borderId="0" xfId="0" applyNumberFormat="1"/>
    <xf numFmtId="166" fontId="0" fillId="0" borderId="0" xfId="0" applyNumberFormat="1"/>
    <xf numFmtId="0" fontId="12" fillId="0" borderId="0" xfId="0" applyFont="1"/>
    <xf numFmtId="0" fontId="9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9" fillId="2" borderId="0" xfId="0" applyFont="1" applyFill="1"/>
    <xf numFmtId="2" fontId="0" fillId="0" borderId="0" xfId="0" applyNumberFormat="1" applyFill="1"/>
    <xf numFmtId="49" fontId="0" fillId="0" borderId="0" xfId="0" applyNumberFormat="1" applyAlignment="1">
      <alignment wrapText="1"/>
    </xf>
    <xf numFmtId="0" fontId="4" fillId="0" borderId="0" xfId="0" applyFont="1" applyFill="1"/>
    <xf numFmtId="1" fontId="0" fillId="0" borderId="0" xfId="0" applyNumberFormat="1" applyFill="1"/>
    <xf numFmtId="0" fontId="10" fillId="0" borderId="0" xfId="0" applyFont="1"/>
    <xf numFmtId="2" fontId="7" fillId="0" borderId="0" xfId="0" applyNumberFormat="1" applyFont="1"/>
    <xf numFmtId="0" fontId="0" fillId="0" borderId="0" xfId="0" applyFill="1"/>
    <xf numFmtId="0" fontId="0" fillId="0" borderId="0" xfId="0" quotePrefix="1" applyFill="1"/>
    <xf numFmtId="167" fontId="1" fillId="0" borderId="0" xfId="0" applyNumberFormat="1" applyFont="1"/>
    <xf numFmtId="0" fontId="4" fillId="0" borderId="0" xfId="0" applyFont="1" applyAlignment="1">
      <alignment horizontal="right"/>
    </xf>
    <xf numFmtId="0" fontId="1" fillId="0" borderId="0" xfId="0" applyFont="1" applyFill="1"/>
    <xf numFmtId="2" fontId="0" fillId="0" borderId="0" xfId="0" applyNumberFormat="1" applyFont="1"/>
    <xf numFmtId="2" fontId="1" fillId="3" borderId="0" xfId="0" applyNumberFormat="1" applyFont="1" applyFill="1"/>
    <xf numFmtId="1" fontId="13" fillId="0" borderId="0" xfId="0" applyNumberFormat="1" applyFont="1" applyFill="1"/>
    <xf numFmtId="0" fontId="1" fillId="4" borderId="0" xfId="0" applyFont="1" applyFill="1"/>
    <xf numFmtId="0" fontId="0" fillId="4" borderId="0" xfId="0" applyFill="1" applyAlignment="1">
      <alignment horizontal="right"/>
    </xf>
    <xf numFmtId="0" fontId="12" fillId="4" borderId="0" xfId="0" applyFont="1" applyFill="1"/>
    <xf numFmtId="0" fontId="0" fillId="4" borderId="0" xfId="0" applyFill="1"/>
    <xf numFmtId="166" fontId="0" fillId="0" borderId="0" xfId="0" applyNumberFormat="1" applyFill="1"/>
    <xf numFmtId="0" fontId="0" fillId="0" borderId="0" xfId="0" applyFont="1" applyFill="1"/>
    <xf numFmtId="2" fontId="1" fillId="0" borderId="0" xfId="0" applyNumberFormat="1" applyFont="1" applyFill="1"/>
    <xf numFmtId="166" fontId="4" fillId="0" borderId="0" xfId="0" applyNumberFormat="1" applyFon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164" fontId="0" fillId="0" borderId="4" xfId="0" applyNumberFormat="1" applyBorder="1"/>
    <xf numFmtId="2" fontId="0" fillId="0" borderId="4" xfId="0" applyNumberFormat="1" applyBorder="1"/>
    <xf numFmtId="2" fontId="10" fillId="0" borderId="0" xfId="0" applyNumberFormat="1" applyFont="1"/>
    <xf numFmtId="2" fontId="4" fillId="0" borderId="0" xfId="0" applyNumberFormat="1" applyFont="1"/>
    <xf numFmtId="0" fontId="8" fillId="0" borderId="0" xfId="0" applyFont="1" applyBorder="1"/>
    <xf numFmtId="0" fontId="6" fillId="2" borderId="0" xfId="0" applyFont="1" applyFill="1"/>
    <xf numFmtId="0" fontId="3" fillId="2" borderId="0" xfId="0" applyFont="1" applyFill="1"/>
    <xf numFmtId="0" fontId="6" fillId="5" borderId="0" xfId="0" applyFont="1" applyFill="1"/>
    <xf numFmtId="0" fontId="3" fillId="5" borderId="0" xfId="0" applyFont="1" applyFill="1"/>
    <xf numFmtId="0" fontId="0" fillId="5" borderId="0" xfId="0" applyFill="1"/>
    <xf numFmtId="0" fontId="0" fillId="6" borderId="0" xfId="0" applyFill="1" applyBorder="1"/>
    <xf numFmtId="0" fontId="0" fillId="2" borderId="7" xfId="0" applyFill="1" applyBorder="1"/>
    <xf numFmtId="0" fontId="0" fillId="2" borderId="6" xfId="0" applyFill="1" applyBorder="1"/>
    <xf numFmtId="0" fontId="0" fillId="2" borderId="5" xfId="0" applyFill="1" applyBorder="1"/>
    <xf numFmtId="165" fontId="0" fillId="2" borderId="6" xfId="0" applyNumberFormat="1" applyFill="1" applyBorder="1"/>
    <xf numFmtId="0" fontId="0" fillId="2" borderId="4" xfId="0" applyFill="1" applyBorder="1"/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1" fontId="14" fillId="0" borderId="11" xfId="0" applyNumberFormat="1" applyFont="1" applyBorder="1"/>
    <xf numFmtId="0" fontId="0" fillId="0" borderId="12" xfId="0" applyBorder="1"/>
    <xf numFmtId="1" fontId="14" fillId="0" borderId="13" xfId="0" applyNumberFormat="1" applyFont="1" applyBorder="1"/>
    <xf numFmtId="0" fontId="8" fillId="0" borderId="14" xfId="0" applyFont="1" applyBorder="1"/>
    <xf numFmtId="0" fontId="0" fillId="0" borderId="15" xfId="0" applyBorder="1"/>
    <xf numFmtId="48" fontId="0" fillId="0" borderId="0" xfId="0" applyNumberFormat="1"/>
    <xf numFmtId="166" fontId="14" fillId="0" borderId="9" xfId="0" applyNumberFormat="1" applyFont="1" applyFill="1" applyBorder="1"/>
    <xf numFmtId="166" fontId="14" fillId="0" borderId="14" xfId="0" applyNumberFormat="1" applyFont="1" applyFill="1" applyBorder="1"/>
    <xf numFmtId="0" fontId="8" fillId="0" borderId="8" xfId="0" applyFont="1" applyBorder="1"/>
    <xf numFmtId="0" fontId="8" fillId="0" borderId="10" xfId="0" applyFont="1" applyBorder="1"/>
    <xf numFmtId="0" fontId="8" fillId="0" borderId="13" xfId="0" applyFont="1" applyBorder="1"/>
    <xf numFmtId="0" fontId="8" fillId="0" borderId="15" xfId="0" applyFont="1" applyBorder="1"/>
    <xf numFmtId="0" fontId="0" fillId="5" borderId="7" xfId="0" applyFont="1" applyFill="1" applyBorder="1"/>
    <xf numFmtId="2" fontId="0" fillId="5" borderId="7" xfId="0" applyNumberFormat="1" applyFont="1" applyFill="1" applyBorder="1"/>
    <xf numFmtId="1" fontId="0" fillId="5" borderId="7" xfId="0" applyNumberFormat="1" applyFont="1" applyFill="1" applyBorder="1"/>
    <xf numFmtId="0" fontId="4" fillId="2" borderId="7" xfId="0" applyFont="1" applyFill="1" applyBorder="1"/>
    <xf numFmtId="2" fontId="0" fillId="2" borderId="7" xfId="0" applyNumberFormat="1" applyFill="1" applyBorder="1"/>
    <xf numFmtId="1" fontId="4" fillId="2" borderId="7" xfId="0" applyNumberFormat="1" applyFont="1" applyFill="1" applyBorder="1"/>
    <xf numFmtId="166" fontId="4" fillId="2" borderId="7" xfId="0" applyNumberFormat="1" applyFont="1" applyFill="1" applyBorder="1"/>
    <xf numFmtId="0" fontId="8" fillId="0" borderId="0" xfId="0" applyFont="1" applyAlignment="1">
      <alignment horizontal="right"/>
    </xf>
    <xf numFmtId="2" fontId="8" fillId="0" borderId="0" xfId="0" applyNumberFormat="1" applyFont="1"/>
    <xf numFmtId="0" fontId="14" fillId="0" borderId="0" xfId="0" applyFont="1" applyAlignment="1">
      <alignment horizontal="right"/>
    </xf>
    <xf numFmtId="2" fontId="14" fillId="0" borderId="0" xfId="0" applyNumberFormat="1" applyFont="1" applyFill="1"/>
    <xf numFmtId="0" fontId="0" fillId="0" borderId="0" xfId="0" applyFill="1" applyBorder="1"/>
    <xf numFmtId="2" fontId="4" fillId="0" borderId="0" xfId="0" applyNumberFormat="1" applyFont="1" applyFill="1" applyBorder="1"/>
    <xf numFmtId="2" fontId="0" fillId="0" borderId="16" xfId="0" applyNumberFormat="1" applyBorder="1"/>
    <xf numFmtId="2" fontId="0" fillId="0" borderId="2" xfId="0" applyNumberFormat="1" applyBorder="1"/>
    <xf numFmtId="2" fontId="10" fillId="0" borderId="6" xfId="0" applyNumberFormat="1" applyFont="1" applyBorder="1"/>
    <xf numFmtId="2" fontId="10" fillId="0" borderId="16" xfId="0" applyNumberFormat="1" applyFont="1" applyBorder="1"/>
    <xf numFmtId="0" fontId="18" fillId="0" borderId="0" xfId="0" applyFont="1"/>
    <xf numFmtId="49" fontId="0" fillId="2" borderId="6" xfId="0" applyNumberFormat="1" applyFill="1" applyBorder="1"/>
    <xf numFmtId="49" fontId="0" fillId="2" borderId="17" xfId="0" applyNumberFormat="1" applyFill="1" applyBorder="1"/>
    <xf numFmtId="0" fontId="0" fillId="7" borderId="7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8" borderId="0" xfId="0" applyFill="1"/>
    <xf numFmtId="1" fontId="0" fillId="8" borderId="0" xfId="0" applyNumberFormat="1" applyFill="1"/>
  </cellXfs>
  <cellStyles count="1">
    <cellStyle name="Standard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selection activeCell="A41" sqref="A41"/>
    </sheetView>
  </sheetViews>
  <sheetFormatPr baseColWidth="10" defaultRowHeight="14.4" x14ac:dyDescent="0.3"/>
  <cols>
    <col min="1" max="1" width="34.6640625" bestFit="1" customWidth="1"/>
    <col min="2" max="2" width="9.77734375" customWidth="1"/>
    <col min="3" max="3" width="8.5546875" bestFit="1" customWidth="1"/>
    <col min="4" max="4" width="22.44140625" bestFit="1" customWidth="1"/>
    <col min="5" max="5" width="6.88671875" customWidth="1"/>
    <col min="6" max="6" width="6.44140625" bestFit="1" customWidth="1"/>
    <col min="7" max="7" width="2" bestFit="1" customWidth="1"/>
    <col min="8" max="8" width="14.33203125" bestFit="1" customWidth="1"/>
    <col min="9" max="9" width="2" bestFit="1" customWidth="1"/>
    <col min="10" max="10" width="8.5546875" bestFit="1" customWidth="1"/>
  </cols>
  <sheetData>
    <row r="1" spans="1:11" ht="18" x14ac:dyDescent="0.35">
      <c r="A1" s="5" t="s">
        <v>184</v>
      </c>
      <c r="B1" s="6"/>
      <c r="C1" s="6"/>
      <c r="D1" s="6"/>
      <c r="E1" s="6"/>
      <c r="F1" s="6"/>
      <c r="G1" s="6"/>
      <c r="H1" s="6"/>
    </row>
    <row r="2" spans="1:11" ht="18" x14ac:dyDescent="0.35">
      <c r="A2" s="5"/>
      <c r="B2" s="6"/>
      <c r="C2" s="6"/>
      <c r="D2" s="6"/>
      <c r="E2" s="6"/>
      <c r="F2" s="6"/>
      <c r="G2" s="6"/>
      <c r="H2" s="6"/>
    </row>
    <row r="3" spans="1:11" ht="18" x14ac:dyDescent="0.35">
      <c r="A3" s="10" t="s">
        <v>26</v>
      </c>
      <c r="B3" s="59" t="s">
        <v>113</v>
      </c>
      <c r="C3" s="60"/>
      <c r="D3" s="60"/>
      <c r="E3" s="60"/>
      <c r="F3" s="60"/>
      <c r="G3" s="60"/>
      <c r="H3" s="60"/>
      <c r="I3" s="20"/>
      <c r="J3" s="20"/>
      <c r="K3" s="20"/>
    </row>
    <row r="4" spans="1:11" ht="18" x14ac:dyDescent="0.35">
      <c r="A4" s="10"/>
      <c r="B4" s="61" t="s">
        <v>97</v>
      </c>
      <c r="C4" s="62"/>
      <c r="D4" s="62"/>
      <c r="E4" s="62"/>
      <c r="F4" s="62"/>
      <c r="G4" s="62"/>
      <c r="H4" s="62"/>
      <c r="I4" s="63"/>
      <c r="J4" s="63"/>
      <c r="K4" s="63"/>
    </row>
    <row r="6" spans="1:11" x14ac:dyDescent="0.3">
      <c r="A6" s="4" t="s">
        <v>23</v>
      </c>
    </row>
    <row r="7" spans="1:11" x14ac:dyDescent="0.3">
      <c r="B7" s="65">
        <v>60</v>
      </c>
      <c r="C7" t="s">
        <v>180</v>
      </c>
      <c r="D7" t="s">
        <v>179</v>
      </c>
      <c r="F7" t="s">
        <v>8</v>
      </c>
      <c r="G7" s="2" t="s">
        <v>9</v>
      </c>
      <c r="H7" t="s">
        <v>24</v>
      </c>
      <c r="I7" s="2" t="s">
        <v>9</v>
      </c>
      <c r="J7" s="1">
        <f>2^24/H9</f>
        <v>1.3981013333333334</v>
      </c>
      <c r="K7" t="s">
        <v>19</v>
      </c>
    </row>
    <row r="8" spans="1:11" x14ac:dyDescent="0.3">
      <c r="B8" s="9">
        <v>256</v>
      </c>
      <c r="C8" t="s">
        <v>2</v>
      </c>
      <c r="D8" t="s">
        <v>25</v>
      </c>
      <c r="F8" t="s">
        <v>10</v>
      </c>
      <c r="G8" s="2" t="s">
        <v>9</v>
      </c>
      <c r="H8" t="s">
        <v>20</v>
      </c>
      <c r="J8" t="s">
        <v>11</v>
      </c>
    </row>
    <row r="9" spans="1:11" x14ac:dyDescent="0.3">
      <c r="B9" s="88">
        <v>1.8</v>
      </c>
      <c r="C9" s="34" t="s">
        <v>1</v>
      </c>
      <c r="D9" s="34" t="s">
        <v>4</v>
      </c>
      <c r="F9" s="34" t="s">
        <v>22</v>
      </c>
      <c r="G9" s="35" t="s">
        <v>9</v>
      </c>
      <c r="H9" s="88">
        <v>12000000</v>
      </c>
      <c r="I9" s="34"/>
      <c r="J9" s="34" t="s">
        <v>21</v>
      </c>
    </row>
    <row r="10" spans="1:11" x14ac:dyDescent="0.3">
      <c r="B10">
        <f>360/B9</f>
        <v>200</v>
      </c>
      <c r="C10" t="s">
        <v>3</v>
      </c>
      <c r="D10" t="s">
        <v>7</v>
      </c>
    </row>
    <row r="11" spans="1:11" x14ac:dyDescent="0.3">
      <c r="B11">
        <f>B10*B8</f>
        <v>51200</v>
      </c>
      <c r="C11" t="s">
        <v>5</v>
      </c>
      <c r="D11" t="s">
        <v>6</v>
      </c>
    </row>
    <row r="12" spans="1:11" x14ac:dyDescent="0.3">
      <c r="B12" s="88">
        <v>1</v>
      </c>
      <c r="C12" s="35" t="s">
        <v>13</v>
      </c>
      <c r="D12" s="34" t="s">
        <v>14</v>
      </c>
    </row>
    <row r="14" spans="1:11" x14ac:dyDescent="0.3">
      <c r="A14" s="4" t="s">
        <v>17</v>
      </c>
      <c r="C14" s="4"/>
      <c r="D14" s="4"/>
    </row>
    <row r="15" spans="1:11" x14ac:dyDescent="0.3">
      <c r="B15" s="87">
        <f>B25</f>
        <v>71582.78826666667</v>
      </c>
      <c r="C15" t="s">
        <v>10</v>
      </c>
      <c r="D15" t="s">
        <v>11</v>
      </c>
      <c r="F15" t="s">
        <v>181</v>
      </c>
    </row>
    <row r="16" spans="1:11" x14ac:dyDescent="0.3">
      <c r="B16" s="3">
        <f>B15/$J$7/$B$11</f>
        <v>1</v>
      </c>
      <c r="C16" t="s">
        <v>0</v>
      </c>
      <c r="D16" t="s">
        <v>16</v>
      </c>
    </row>
    <row r="17" spans="1:6" x14ac:dyDescent="0.3">
      <c r="B17" s="3">
        <f>B16*360</f>
        <v>360</v>
      </c>
      <c r="C17" t="s">
        <v>12</v>
      </c>
      <c r="D17" t="s">
        <v>16</v>
      </c>
    </row>
    <row r="18" spans="1:6" x14ac:dyDescent="0.3">
      <c r="B18" s="3">
        <f>B17/$B$12</f>
        <v>360</v>
      </c>
      <c r="C18" t="s">
        <v>12</v>
      </c>
      <c r="D18" t="s">
        <v>15</v>
      </c>
    </row>
    <row r="19" spans="1:6" x14ac:dyDescent="0.3">
      <c r="B19" s="3">
        <f>B15*H9/2^24</f>
        <v>51200</v>
      </c>
      <c r="C19" t="s">
        <v>21</v>
      </c>
      <c r="D19" t="s">
        <v>182</v>
      </c>
    </row>
    <row r="20" spans="1:6" x14ac:dyDescent="0.3">
      <c r="B20" s="8">
        <f>B18/360</f>
        <v>1</v>
      </c>
      <c r="C20" s="4" t="s">
        <v>0</v>
      </c>
      <c r="D20" s="4" t="s">
        <v>15</v>
      </c>
    </row>
    <row r="21" spans="1:6" x14ac:dyDescent="0.3">
      <c r="B21" s="8"/>
      <c r="C21" s="4"/>
      <c r="D21" s="4"/>
    </row>
    <row r="22" spans="1:6" x14ac:dyDescent="0.3">
      <c r="A22" s="4" t="s">
        <v>175</v>
      </c>
      <c r="C22" s="4"/>
      <c r="D22" s="4"/>
    </row>
    <row r="23" spans="1:6" x14ac:dyDescent="0.3">
      <c r="B23" s="86">
        <f>B7/60</f>
        <v>1</v>
      </c>
      <c r="C23" t="s">
        <v>0</v>
      </c>
      <c r="D23" t="s">
        <v>16</v>
      </c>
      <c r="F23" t="s">
        <v>178</v>
      </c>
    </row>
    <row r="24" spans="1:6" x14ac:dyDescent="0.3">
      <c r="B24" s="3">
        <f>B23*360</f>
        <v>360</v>
      </c>
      <c r="C24" t="s">
        <v>12</v>
      </c>
      <c r="D24" t="s">
        <v>16</v>
      </c>
    </row>
    <row r="25" spans="1:6" x14ac:dyDescent="0.3">
      <c r="B25" s="7">
        <f>B23*$B$11*$J$7</f>
        <v>71582.78826666667</v>
      </c>
      <c r="C25" s="4" t="s">
        <v>10</v>
      </c>
      <c r="D25" t="s">
        <v>11</v>
      </c>
    </row>
    <row r="26" spans="1:6" x14ac:dyDescent="0.3">
      <c r="B26" s="7"/>
      <c r="C26" s="4"/>
    </row>
    <row r="27" spans="1:6" x14ac:dyDescent="0.3">
      <c r="A27" s="4" t="s">
        <v>18</v>
      </c>
      <c r="C27" s="4"/>
      <c r="D27" s="4"/>
    </row>
    <row r="28" spans="1:6" x14ac:dyDescent="0.3">
      <c r="A28" s="4"/>
      <c r="B28" s="86">
        <f>B23</f>
        <v>1</v>
      </c>
      <c r="C28" t="s">
        <v>0</v>
      </c>
      <c r="D28" t="s">
        <v>15</v>
      </c>
    </row>
    <row r="29" spans="1:6" x14ac:dyDescent="0.3">
      <c r="B29" s="3">
        <f>B28*360</f>
        <v>360</v>
      </c>
      <c r="C29" t="s">
        <v>12</v>
      </c>
      <c r="D29" t="s">
        <v>15</v>
      </c>
    </row>
    <row r="30" spans="1:6" x14ac:dyDescent="0.3">
      <c r="B30" s="3">
        <f>B28*B12</f>
        <v>1</v>
      </c>
      <c r="C30" t="s">
        <v>0</v>
      </c>
      <c r="D30" t="s">
        <v>16</v>
      </c>
    </row>
    <row r="31" spans="1:6" x14ac:dyDescent="0.3">
      <c r="B31" s="3">
        <f>B30*360</f>
        <v>360</v>
      </c>
      <c r="C31" t="s">
        <v>12</v>
      </c>
      <c r="D31" t="s">
        <v>16</v>
      </c>
    </row>
    <row r="32" spans="1:6" x14ac:dyDescent="0.3">
      <c r="B32" s="7">
        <f>B30*$B$11*$J$7</f>
        <v>71582.78826666667</v>
      </c>
      <c r="C32" s="4" t="s">
        <v>10</v>
      </c>
      <c r="D32" s="4" t="s">
        <v>11</v>
      </c>
    </row>
    <row r="34" spans="1:4" x14ac:dyDescent="0.3">
      <c r="A34" s="4" t="s">
        <v>185</v>
      </c>
      <c r="C34" s="4"/>
      <c r="D34" s="4"/>
    </row>
    <row r="35" spans="1:4" x14ac:dyDescent="0.3">
      <c r="B35" s="87">
        <f>B15</f>
        <v>71582.78826666667</v>
      </c>
      <c r="C35" t="s">
        <v>10</v>
      </c>
      <c r="D35" t="s">
        <v>11</v>
      </c>
    </row>
    <row r="36" spans="1:4" x14ac:dyDescent="0.3">
      <c r="B36" s="7">
        <f>MIN((2^20-1),2^24/B35*B8/256)</f>
        <v>234.375</v>
      </c>
      <c r="C36" s="4" t="s">
        <v>176</v>
      </c>
      <c r="D36" t="s">
        <v>177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8"/>
  <sheetViews>
    <sheetView workbookViewId="0">
      <selection activeCell="E50" sqref="E50"/>
    </sheetView>
  </sheetViews>
  <sheetFormatPr baseColWidth="10" defaultRowHeight="14.4" x14ac:dyDescent="0.3"/>
  <cols>
    <col min="1" max="1" width="17" customWidth="1"/>
    <col min="2" max="2" width="22.88671875" style="18" customWidth="1"/>
    <col min="4" max="4" width="5.5546875" customWidth="1"/>
    <col min="5" max="5" width="14.44140625" customWidth="1"/>
    <col min="8" max="8" width="12.77734375" customWidth="1"/>
    <col min="258" max="258" width="22.88671875" customWidth="1"/>
    <col min="260" max="260" width="5.5546875" customWidth="1"/>
    <col min="261" max="261" width="14.44140625" customWidth="1"/>
    <col min="514" max="514" width="22.88671875" customWidth="1"/>
    <col min="516" max="516" width="5.5546875" customWidth="1"/>
    <col min="517" max="517" width="14.44140625" customWidth="1"/>
    <col min="770" max="770" width="22.88671875" customWidth="1"/>
    <col min="772" max="772" width="5.5546875" customWidth="1"/>
    <col min="773" max="773" width="14.44140625" customWidth="1"/>
    <col min="1026" max="1026" width="22.88671875" customWidth="1"/>
    <col min="1028" max="1028" width="5.5546875" customWidth="1"/>
    <col min="1029" max="1029" width="14.44140625" customWidth="1"/>
    <col min="1282" max="1282" width="22.88671875" customWidth="1"/>
    <col min="1284" max="1284" width="5.5546875" customWidth="1"/>
    <col min="1285" max="1285" width="14.44140625" customWidth="1"/>
    <col min="1538" max="1538" width="22.88671875" customWidth="1"/>
    <col min="1540" max="1540" width="5.5546875" customWidth="1"/>
    <col min="1541" max="1541" width="14.44140625" customWidth="1"/>
    <col min="1794" max="1794" width="22.88671875" customWidth="1"/>
    <col min="1796" max="1796" width="5.5546875" customWidth="1"/>
    <col min="1797" max="1797" width="14.44140625" customWidth="1"/>
    <col min="2050" max="2050" width="22.88671875" customWidth="1"/>
    <col min="2052" max="2052" width="5.5546875" customWidth="1"/>
    <col min="2053" max="2053" width="14.44140625" customWidth="1"/>
    <col min="2306" max="2306" width="22.88671875" customWidth="1"/>
    <col min="2308" max="2308" width="5.5546875" customWidth="1"/>
    <col min="2309" max="2309" width="14.44140625" customWidth="1"/>
    <col min="2562" max="2562" width="22.88671875" customWidth="1"/>
    <col min="2564" max="2564" width="5.5546875" customWidth="1"/>
    <col min="2565" max="2565" width="14.44140625" customWidth="1"/>
    <col min="2818" max="2818" width="22.88671875" customWidth="1"/>
    <col min="2820" max="2820" width="5.5546875" customWidth="1"/>
    <col min="2821" max="2821" width="14.44140625" customWidth="1"/>
    <col min="3074" max="3074" width="22.88671875" customWidth="1"/>
    <col min="3076" max="3076" width="5.5546875" customWidth="1"/>
    <col min="3077" max="3077" width="14.44140625" customWidth="1"/>
    <col min="3330" max="3330" width="22.88671875" customWidth="1"/>
    <col min="3332" max="3332" width="5.5546875" customWidth="1"/>
    <col min="3333" max="3333" width="14.44140625" customWidth="1"/>
    <col min="3586" max="3586" width="22.88671875" customWidth="1"/>
    <col min="3588" max="3588" width="5.5546875" customWidth="1"/>
    <col min="3589" max="3589" width="14.44140625" customWidth="1"/>
    <col min="3842" max="3842" width="22.88671875" customWidth="1"/>
    <col min="3844" max="3844" width="5.5546875" customWidth="1"/>
    <col min="3845" max="3845" width="14.44140625" customWidth="1"/>
    <col min="4098" max="4098" width="22.88671875" customWidth="1"/>
    <col min="4100" max="4100" width="5.5546875" customWidth="1"/>
    <col min="4101" max="4101" width="14.44140625" customWidth="1"/>
    <col min="4354" max="4354" width="22.88671875" customWidth="1"/>
    <col min="4356" max="4356" width="5.5546875" customWidth="1"/>
    <col min="4357" max="4357" width="14.44140625" customWidth="1"/>
    <col min="4610" max="4610" width="22.88671875" customWidth="1"/>
    <col min="4612" max="4612" width="5.5546875" customWidth="1"/>
    <col min="4613" max="4613" width="14.44140625" customWidth="1"/>
    <col min="4866" max="4866" width="22.88671875" customWidth="1"/>
    <col min="4868" max="4868" width="5.5546875" customWidth="1"/>
    <col min="4869" max="4869" width="14.44140625" customWidth="1"/>
    <col min="5122" max="5122" width="22.88671875" customWidth="1"/>
    <col min="5124" max="5124" width="5.5546875" customWidth="1"/>
    <col min="5125" max="5125" width="14.44140625" customWidth="1"/>
    <col min="5378" max="5378" width="22.88671875" customWidth="1"/>
    <col min="5380" max="5380" width="5.5546875" customWidth="1"/>
    <col min="5381" max="5381" width="14.44140625" customWidth="1"/>
    <col min="5634" max="5634" width="22.88671875" customWidth="1"/>
    <col min="5636" max="5636" width="5.5546875" customWidth="1"/>
    <col min="5637" max="5637" width="14.44140625" customWidth="1"/>
    <col min="5890" max="5890" width="22.88671875" customWidth="1"/>
    <col min="5892" max="5892" width="5.5546875" customWidth="1"/>
    <col min="5893" max="5893" width="14.44140625" customWidth="1"/>
    <col min="6146" max="6146" width="22.88671875" customWidth="1"/>
    <col min="6148" max="6148" width="5.5546875" customWidth="1"/>
    <col min="6149" max="6149" width="14.44140625" customWidth="1"/>
    <col min="6402" max="6402" width="22.88671875" customWidth="1"/>
    <col min="6404" max="6404" width="5.5546875" customWidth="1"/>
    <col min="6405" max="6405" width="14.44140625" customWidth="1"/>
    <col min="6658" max="6658" width="22.88671875" customWidth="1"/>
    <col min="6660" max="6660" width="5.5546875" customWidth="1"/>
    <col min="6661" max="6661" width="14.44140625" customWidth="1"/>
    <col min="6914" max="6914" width="22.88671875" customWidth="1"/>
    <col min="6916" max="6916" width="5.5546875" customWidth="1"/>
    <col min="6917" max="6917" width="14.44140625" customWidth="1"/>
    <col min="7170" max="7170" width="22.88671875" customWidth="1"/>
    <col min="7172" max="7172" width="5.5546875" customWidth="1"/>
    <col min="7173" max="7173" width="14.44140625" customWidth="1"/>
    <col min="7426" max="7426" width="22.88671875" customWidth="1"/>
    <col min="7428" max="7428" width="5.5546875" customWidth="1"/>
    <col min="7429" max="7429" width="14.44140625" customWidth="1"/>
    <col min="7682" max="7682" width="22.88671875" customWidth="1"/>
    <col min="7684" max="7684" width="5.5546875" customWidth="1"/>
    <col min="7685" max="7685" width="14.44140625" customWidth="1"/>
    <col min="7938" max="7938" width="22.88671875" customWidth="1"/>
    <col min="7940" max="7940" width="5.5546875" customWidth="1"/>
    <col min="7941" max="7941" width="14.44140625" customWidth="1"/>
    <col min="8194" max="8194" width="22.88671875" customWidth="1"/>
    <col min="8196" max="8196" width="5.5546875" customWidth="1"/>
    <col min="8197" max="8197" width="14.44140625" customWidth="1"/>
    <col min="8450" max="8450" width="22.88671875" customWidth="1"/>
    <col min="8452" max="8452" width="5.5546875" customWidth="1"/>
    <col min="8453" max="8453" width="14.44140625" customWidth="1"/>
    <col min="8706" max="8706" width="22.88671875" customWidth="1"/>
    <col min="8708" max="8708" width="5.5546875" customWidth="1"/>
    <col min="8709" max="8709" width="14.44140625" customWidth="1"/>
    <col min="8962" max="8962" width="22.88671875" customWidth="1"/>
    <col min="8964" max="8964" width="5.5546875" customWidth="1"/>
    <col min="8965" max="8965" width="14.44140625" customWidth="1"/>
    <col min="9218" max="9218" width="22.88671875" customWidth="1"/>
    <col min="9220" max="9220" width="5.5546875" customWidth="1"/>
    <col min="9221" max="9221" width="14.44140625" customWidth="1"/>
    <col min="9474" max="9474" width="22.88671875" customWidth="1"/>
    <col min="9476" max="9476" width="5.5546875" customWidth="1"/>
    <col min="9477" max="9477" width="14.44140625" customWidth="1"/>
    <col min="9730" max="9730" width="22.88671875" customWidth="1"/>
    <col min="9732" max="9732" width="5.5546875" customWidth="1"/>
    <col min="9733" max="9733" width="14.44140625" customWidth="1"/>
    <col min="9986" max="9986" width="22.88671875" customWidth="1"/>
    <col min="9988" max="9988" width="5.5546875" customWidth="1"/>
    <col min="9989" max="9989" width="14.44140625" customWidth="1"/>
    <col min="10242" max="10242" width="22.88671875" customWidth="1"/>
    <col min="10244" max="10244" width="5.5546875" customWidth="1"/>
    <col min="10245" max="10245" width="14.44140625" customWidth="1"/>
    <col min="10498" max="10498" width="22.88671875" customWidth="1"/>
    <col min="10500" max="10500" width="5.5546875" customWidth="1"/>
    <col min="10501" max="10501" width="14.44140625" customWidth="1"/>
    <col min="10754" max="10754" width="22.88671875" customWidth="1"/>
    <col min="10756" max="10756" width="5.5546875" customWidth="1"/>
    <col min="10757" max="10757" width="14.44140625" customWidth="1"/>
    <col min="11010" max="11010" width="22.88671875" customWidth="1"/>
    <col min="11012" max="11012" width="5.5546875" customWidth="1"/>
    <col min="11013" max="11013" width="14.44140625" customWidth="1"/>
    <col min="11266" max="11266" width="22.88671875" customWidth="1"/>
    <col min="11268" max="11268" width="5.5546875" customWidth="1"/>
    <col min="11269" max="11269" width="14.44140625" customWidth="1"/>
    <col min="11522" max="11522" width="22.88671875" customWidth="1"/>
    <col min="11524" max="11524" width="5.5546875" customWidth="1"/>
    <col min="11525" max="11525" width="14.44140625" customWidth="1"/>
    <col min="11778" max="11778" width="22.88671875" customWidth="1"/>
    <col min="11780" max="11780" width="5.5546875" customWidth="1"/>
    <col min="11781" max="11781" width="14.44140625" customWidth="1"/>
    <col min="12034" max="12034" width="22.88671875" customWidth="1"/>
    <col min="12036" max="12036" width="5.5546875" customWidth="1"/>
    <col min="12037" max="12037" width="14.44140625" customWidth="1"/>
    <col min="12290" max="12290" width="22.88671875" customWidth="1"/>
    <col min="12292" max="12292" width="5.5546875" customWidth="1"/>
    <col min="12293" max="12293" width="14.44140625" customWidth="1"/>
    <col min="12546" max="12546" width="22.88671875" customWidth="1"/>
    <col min="12548" max="12548" width="5.5546875" customWidth="1"/>
    <col min="12549" max="12549" width="14.44140625" customWidth="1"/>
    <col min="12802" max="12802" width="22.88671875" customWidth="1"/>
    <col min="12804" max="12804" width="5.5546875" customWidth="1"/>
    <col min="12805" max="12805" width="14.44140625" customWidth="1"/>
    <col min="13058" max="13058" width="22.88671875" customWidth="1"/>
    <col min="13060" max="13060" width="5.5546875" customWidth="1"/>
    <col min="13061" max="13061" width="14.44140625" customWidth="1"/>
    <col min="13314" max="13314" width="22.88671875" customWidth="1"/>
    <col min="13316" max="13316" width="5.5546875" customWidth="1"/>
    <col min="13317" max="13317" width="14.44140625" customWidth="1"/>
    <col min="13570" max="13570" width="22.88671875" customWidth="1"/>
    <col min="13572" max="13572" width="5.5546875" customWidth="1"/>
    <col min="13573" max="13573" width="14.44140625" customWidth="1"/>
    <col min="13826" max="13826" width="22.88671875" customWidth="1"/>
    <col min="13828" max="13828" width="5.5546875" customWidth="1"/>
    <col min="13829" max="13829" width="14.44140625" customWidth="1"/>
    <col min="14082" max="14082" width="22.88671875" customWidth="1"/>
    <col min="14084" max="14084" width="5.5546875" customWidth="1"/>
    <col min="14085" max="14085" width="14.44140625" customWidth="1"/>
    <col min="14338" max="14338" width="22.88671875" customWidth="1"/>
    <col min="14340" max="14340" width="5.5546875" customWidth="1"/>
    <col min="14341" max="14341" width="14.44140625" customWidth="1"/>
    <col min="14594" max="14594" width="22.88671875" customWidth="1"/>
    <col min="14596" max="14596" width="5.5546875" customWidth="1"/>
    <col min="14597" max="14597" width="14.44140625" customWidth="1"/>
    <col min="14850" max="14850" width="22.88671875" customWidth="1"/>
    <col min="14852" max="14852" width="5.5546875" customWidth="1"/>
    <col min="14853" max="14853" width="14.44140625" customWidth="1"/>
    <col min="15106" max="15106" width="22.88671875" customWidth="1"/>
    <col min="15108" max="15108" width="5.5546875" customWidth="1"/>
    <col min="15109" max="15109" width="14.44140625" customWidth="1"/>
    <col min="15362" max="15362" width="22.88671875" customWidth="1"/>
    <col min="15364" max="15364" width="5.5546875" customWidth="1"/>
    <col min="15365" max="15365" width="14.44140625" customWidth="1"/>
    <col min="15618" max="15618" width="22.88671875" customWidth="1"/>
    <col min="15620" max="15620" width="5.5546875" customWidth="1"/>
    <col min="15621" max="15621" width="14.44140625" customWidth="1"/>
    <col min="15874" max="15874" width="22.88671875" customWidth="1"/>
    <col min="15876" max="15876" width="5.5546875" customWidth="1"/>
    <col min="15877" max="15877" width="14.44140625" customWidth="1"/>
    <col min="16130" max="16130" width="22.88671875" customWidth="1"/>
    <col min="16132" max="16132" width="5.5546875" customWidth="1"/>
    <col min="16133" max="16133" width="14.44140625" customWidth="1"/>
  </cols>
  <sheetData>
    <row r="1" spans="1:11" ht="18" x14ac:dyDescent="0.35">
      <c r="A1" s="5" t="s">
        <v>108</v>
      </c>
    </row>
    <row r="3" spans="1:11" x14ac:dyDescent="0.3">
      <c r="A3" s="4" t="s">
        <v>26</v>
      </c>
      <c r="B3" s="20" t="s">
        <v>117</v>
      </c>
      <c r="C3" s="20"/>
      <c r="D3" s="20"/>
      <c r="E3" s="20"/>
      <c r="F3" s="20"/>
      <c r="G3" s="20"/>
      <c r="H3" s="20"/>
      <c r="I3" s="20"/>
      <c r="J3" s="20"/>
      <c r="K3" s="20"/>
    </row>
    <row r="4" spans="1:11" x14ac:dyDescent="0.3">
      <c r="A4" s="4"/>
      <c r="B4" s="63" t="s">
        <v>154</v>
      </c>
      <c r="C4" s="63"/>
      <c r="D4" s="63"/>
      <c r="E4" s="63"/>
      <c r="F4" s="63"/>
      <c r="G4" s="63"/>
      <c r="H4" s="63"/>
      <c r="I4" s="63"/>
      <c r="J4" s="63"/>
      <c r="K4" s="63"/>
    </row>
    <row r="5" spans="1:11" x14ac:dyDescent="0.3">
      <c r="A5" s="4"/>
      <c r="B5" s="63" t="s">
        <v>157</v>
      </c>
      <c r="C5" s="63"/>
      <c r="D5" s="63"/>
      <c r="E5" s="63"/>
      <c r="F5" s="63"/>
      <c r="G5" s="63"/>
      <c r="H5" s="63"/>
      <c r="I5" s="63"/>
      <c r="J5" s="63"/>
      <c r="K5" s="63"/>
    </row>
    <row r="6" spans="1:11" x14ac:dyDescent="0.3">
      <c r="A6" s="4"/>
      <c r="B6" s="64" t="s">
        <v>155</v>
      </c>
      <c r="C6" s="64"/>
      <c r="D6" s="64"/>
      <c r="E6" s="64"/>
      <c r="F6" s="64"/>
      <c r="G6" s="64"/>
      <c r="H6" s="64"/>
      <c r="I6" s="64"/>
      <c r="J6" s="64"/>
      <c r="K6" s="64"/>
    </row>
    <row r="8" spans="1:11" x14ac:dyDescent="0.3">
      <c r="A8" s="4" t="s">
        <v>23</v>
      </c>
    </row>
    <row r="9" spans="1:11" x14ac:dyDescent="0.3">
      <c r="A9" s="4"/>
      <c r="B9" s="18" t="s">
        <v>31</v>
      </c>
      <c r="C9" s="65">
        <v>12</v>
      </c>
      <c r="E9" s="34" t="s">
        <v>99</v>
      </c>
    </row>
    <row r="10" spans="1:11" x14ac:dyDescent="0.3">
      <c r="B10" s="18" t="s">
        <v>32</v>
      </c>
      <c r="C10">
        <f>1/(1000000*C9)</f>
        <v>8.3333333333333338E-8</v>
      </c>
    </row>
    <row r="11" spans="1:11" x14ac:dyDescent="0.3">
      <c r="B11" s="18" t="s">
        <v>33</v>
      </c>
      <c r="C11" s="66">
        <v>24</v>
      </c>
      <c r="E11" t="s">
        <v>98</v>
      </c>
    </row>
    <row r="12" spans="1:11" x14ac:dyDescent="0.3">
      <c r="B12" s="18" t="s">
        <v>34</v>
      </c>
      <c r="C12" s="67">
        <v>2</v>
      </c>
      <c r="E12" t="s">
        <v>107</v>
      </c>
    </row>
    <row r="13" spans="1:11" x14ac:dyDescent="0.3">
      <c r="B13" s="18" t="s">
        <v>118</v>
      </c>
      <c r="C13" s="78">
        <f>C10*(16+8*C12)</f>
        <v>2.6666666666666668E-6</v>
      </c>
      <c r="E13" t="s">
        <v>186</v>
      </c>
    </row>
    <row r="14" spans="1:11" x14ac:dyDescent="0.3">
      <c r="A14" s="4" t="s">
        <v>116</v>
      </c>
      <c r="C14" s="21"/>
    </row>
    <row r="15" spans="1:11" x14ac:dyDescent="0.3">
      <c r="B15" s="18" t="s">
        <v>35</v>
      </c>
      <c r="C15" s="68">
        <v>7.4999999999999997E-3</v>
      </c>
      <c r="D15" s="21"/>
      <c r="E15" t="s">
        <v>188</v>
      </c>
    </row>
    <row r="16" spans="1:11" x14ac:dyDescent="0.3">
      <c r="B16" s="18" t="s">
        <v>36</v>
      </c>
      <c r="C16" s="69">
        <v>4.5</v>
      </c>
    </row>
    <row r="17" spans="1:10" x14ac:dyDescent="0.3">
      <c r="B17" s="18" t="s">
        <v>37</v>
      </c>
      <c r="C17" s="67">
        <v>1.4139999999999999</v>
      </c>
      <c r="E17" t="s">
        <v>38</v>
      </c>
    </row>
    <row r="18" spans="1:10" x14ac:dyDescent="0.3">
      <c r="B18" s="18" t="s">
        <v>39</v>
      </c>
      <c r="C18" s="46">
        <f>C17/SQRT(2)</f>
        <v>0.99984898859777804</v>
      </c>
    </row>
    <row r="19" spans="1:10" x14ac:dyDescent="0.3">
      <c r="A19" s="4" t="s">
        <v>119</v>
      </c>
      <c r="C19" s="46"/>
    </row>
    <row r="20" spans="1:10" x14ac:dyDescent="0.3">
      <c r="B20" s="18" t="s">
        <v>40</v>
      </c>
      <c r="C20" s="85">
        <v>3</v>
      </c>
      <c r="E20" t="s">
        <v>156</v>
      </c>
    </row>
    <row r="21" spans="1:10" x14ac:dyDescent="0.3">
      <c r="B21" s="18" t="s">
        <v>41</v>
      </c>
      <c r="C21" s="78">
        <f>(12+32*C20)*C10</f>
        <v>9.0000000000000002E-6</v>
      </c>
      <c r="E21" t="s">
        <v>125</v>
      </c>
    </row>
    <row r="23" spans="1:10" x14ac:dyDescent="0.3">
      <c r="B23" s="18" t="s">
        <v>187</v>
      </c>
      <c r="C23" s="22">
        <f>C11*0.0000002/C15</f>
        <v>6.3999999999999994E-4</v>
      </c>
      <c r="E23" t="s">
        <v>189</v>
      </c>
    </row>
    <row r="24" spans="1:10" x14ac:dyDescent="0.3">
      <c r="B24" s="18" t="s">
        <v>42</v>
      </c>
      <c r="C24" s="22">
        <f>C11*C13/C15</f>
        <v>8.5333333333333355E-3</v>
      </c>
      <c r="E24" t="s">
        <v>100</v>
      </c>
    </row>
    <row r="25" spans="1:10" x14ac:dyDescent="0.3">
      <c r="B25" s="18" t="s">
        <v>43</v>
      </c>
      <c r="C25" s="22">
        <f>C16*C17*2*C21/C15</f>
        <v>1.52712E-2</v>
      </c>
      <c r="E25" t="s">
        <v>101</v>
      </c>
    </row>
    <row r="27" spans="1:10" x14ac:dyDescent="0.3">
      <c r="B27" s="18" t="s">
        <v>44</v>
      </c>
      <c r="C27" s="85">
        <v>31</v>
      </c>
      <c r="E27" t="s">
        <v>124</v>
      </c>
    </row>
    <row r="28" spans="1:10" x14ac:dyDescent="0.3">
      <c r="B28" s="18" t="s">
        <v>52</v>
      </c>
      <c r="C28" s="23" t="str">
        <f>IF(C27&lt;16,"Current scaler is quite small - values above 16 are best for good microstepping","OK")</f>
        <v>OK</v>
      </c>
    </row>
    <row r="29" spans="1:10" x14ac:dyDescent="0.3">
      <c r="A29" s="42" t="s">
        <v>120</v>
      </c>
      <c r="B29" s="43"/>
      <c r="C29" s="44"/>
      <c r="D29" s="45"/>
      <c r="E29" s="45"/>
      <c r="F29" s="45"/>
      <c r="G29" s="45"/>
      <c r="H29" s="45"/>
    </row>
    <row r="30" spans="1:10" x14ac:dyDescent="0.3">
      <c r="B30" s="14" t="s">
        <v>45</v>
      </c>
      <c r="C30" s="41">
        <f>MAX(0.5+(C23+C24+C25)*2*248*(C27+1)/C17/32-8,-2)</f>
        <v>1.0746029231494596</v>
      </c>
      <c r="E30" t="s">
        <v>134</v>
      </c>
      <c r="J30" t="s">
        <v>46</v>
      </c>
    </row>
    <row r="31" spans="1:10" ht="15" thickBot="1" x14ac:dyDescent="0.35">
      <c r="J31" t="s">
        <v>47</v>
      </c>
    </row>
    <row r="32" spans="1:10" x14ac:dyDescent="0.3">
      <c r="A32" s="19" t="s">
        <v>102</v>
      </c>
      <c r="C32" s="24" t="s">
        <v>48</v>
      </c>
      <c r="F32" s="70" t="s">
        <v>49</v>
      </c>
      <c r="G32" s="71"/>
      <c r="H32" s="72"/>
    </row>
    <row r="33" spans="1:9" x14ac:dyDescent="0.3">
      <c r="B33" s="37" t="s">
        <v>105</v>
      </c>
      <c r="C33" s="25">
        <f>MAX(MIN(C30,8),1)</f>
        <v>1.0746029231494596</v>
      </c>
      <c r="E33" t="s">
        <v>50</v>
      </c>
      <c r="F33" s="73">
        <f>C33-1</f>
        <v>7.4602923149459599E-2</v>
      </c>
      <c r="G33" s="58" t="s">
        <v>103</v>
      </c>
      <c r="H33" s="74"/>
      <c r="I33" t="s">
        <v>135</v>
      </c>
    </row>
    <row r="34" spans="1:9" ht="15" thickBot="1" x14ac:dyDescent="0.35">
      <c r="B34" s="37" t="s">
        <v>106</v>
      </c>
      <c r="C34" s="25">
        <f>MIN(C30-C33,12)</f>
        <v>0</v>
      </c>
      <c r="E34" t="s">
        <v>51</v>
      </c>
      <c r="F34" s="75">
        <f>C34+3</f>
        <v>3</v>
      </c>
      <c r="G34" s="76" t="s">
        <v>104</v>
      </c>
      <c r="H34" s="77"/>
      <c r="I34" t="s">
        <v>136</v>
      </c>
    </row>
    <row r="36" spans="1:9" x14ac:dyDescent="0.3">
      <c r="B36" s="18" t="s">
        <v>52</v>
      </c>
      <c r="C36" s="23" t="str">
        <f>IF(C30&gt;20,"Attention: Motor requires very high Hysteresis setting  - try with reduced setting, reduce tBLANK, reduce sense resistor valule, increase fCLK, decrease VM or use classic const_toff_chopper mode", IF(C30&gt;15, "Attention: Result is large, use with CS reduced to maximum 30, or try smaller value of 16","OK"))</f>
        <v>OK</v>
      </c>
    </row>
    <row r="37" spans="1:9" x14ac:dyDescent="0.3">
      <c r="C37" s="23"/>
    </row>
    <row r="38" spans="1:9" x14ac:dyDescent="0.3">
      <c r="B38" s="18" t="s">
        <v>129</v>
      </c>
      <c r="C38" s="36">
        <f>1/(2*C21+2*C13)/1000</f>
        <v>42.857142857142854</v>
      </c>
      <c r="E38" t="s">
        <v>130</v>
      </c>
    </row>
    <row r="39" spans="1:9" x14ac:dyDescent="0.3">
      <c r="B39" s="18" t="s">
        <v>52</v>
      </c>
      <c r="C39" s="23" t="str">
        <f>IF(C38&gt;50,"Attention: Motor frequency might get quite high - work with increased hysteresis setting and measure actual frequency, or use ChopSync",IF(C38&lt;20,"The chopper frequency is low and might become audible - increase slow decay time tOFF","OK"))</f>
        <v>OK</v>
      </c>
      <c r="H39" s="16"/>
    </row>
    <row r="41" spans="1:9" x14ac:dyDescent="0.3">
      <c r="B41" s="18" t="s">
        <v>53</v>
      </c>
      <c r="C41" s="3">
        <f>C16*C17/SQRT(2)</f>
        <v>4.4993204486900016</v>
      </c>
      <c r="E41" t="s">
        <v>54</v>
      </c>
    </row>
    <row r="42" spans="1:9" x14ac:dyDescent="0.3">
      <c r="A42" s="4" t="s">
        <v>121</v>
      </c>
      <c r="C42" s="3"/>
    </row>
    <row r="43" spans="1:9" x14ac:dyDescent="0.3">
      <c r="B43" s="18" t="s">
        <v>55</v>
      </c>
      <c r="C43" s="7">
        <f>20*C41</f>
        <v>89.986408973800025</v>
      </c>
      <c r="E43" s="26" t="s">
        <v>56</v>
      </c>
    </row>
    <row r="44" spans="1:9" x14ac:dyDescent="0.3">
      <c r="B44" s="18" t="s">
        <v>57</v>
      </c>
      <c r="C44" s="7">
        <f>C41*2</f>
        <v>8.9986408973800032</v>
      </c>
      <c r="E44" t="s">
        <v>58</v>
      </c>
    </row>
    <row r="45" spans="1:9" x14ac:dyDescent="0.3">
      <c r="B45"/>
    </row>
    <row r="46" spans="1:9" ht="15" thickBot="1" x14ac:dyDescent="0.35">
      <c r="A46" s="4" t="s">
        <v>122</v>
      </c>
    </row>
    <row r="47" spans="1:9" x14ac:dyDescent="0.3">
      <c r="B47" s="81" t="s">
        <v>158</v>
      </c>
      <c r="C47" s="79">
        <f>(C27+1)/32/C17*0.32-0.02</f>
        <v>0.20630834512022633</v>
      </c>
      <c r="D47" s="82" t="s">
        <v>59</v>
      </c>
      <c r="E47" t="s">
        <v>123</v>
      </c>
    </row>
    <row r="48" spans="1:9" ht="15" thickBot="1" x14ac:dyDescent="0.35">
      <c r="B48" s="83" t="s">
        <v>159</v>
      </c>
      <c r="C48" s="80">
        <f>(C27+1)/32/C17*0.18-0.02</f>
        <v>0.10729844413012728</v>
      </c>
      <c r="D48" s="84" t="s">
        <v>59</v>
      </c>
    </row>
  </sheetData>
  <conditionalFormatting sqref="C43">
    <cfRule type="cellIs" dxfId="1" priority="2" stopIfTrue="1" operator="lessThan">
      <formula>$C$11</formula>
    </cfRule>
  </conditionalFormatting>
  <conditionalFormatting sqref="C44">
    <cfRule type="cellIs" dxfId="0" priority="1" stopIfTrue="1" operator="greaterThan">
      <formula>$C$11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6"/>
  <sheetViews>
    <sheetView workbookViewId="0">
      <selection activeCell="C33" sqref="C33"/>
    </sheetView>
  </sheetViews>
  <sheetFormatPr baseColWidth="10" defaultRowHeight="14.4" x14ac:dyDescent="0.3"/>
  <cols>
    <col min="1" max="1" width="39.88671875" customWidth="1"/>
    <col min="2" max="2" width="23.109375" customWidth="1"/>
    <col min="3" max="3" width="16.88671875" customWidth="1"/>
    <col min="4" max="4" width="17.44140625" customWidth="1"/>
    <col min="5" max="5" width="17.109375" customWidth="1"/>
    <col min="257" max="257" width="39.88671875" customWidth="1"/>
    <col min="258" max="258" width="23.109375" customWidth="1"/>
    <col min="259" max="259" width="16.88671875" customWidth="1"/>
    <col min="260" max="260" width="17.44140625" customWidth="1"/>
    <col min="261" max="261" width="17.109375" customWidth="1"/>
    <col min="513" max="513" width="39.88671875" customWidth="1"/>
    <col min="514" max="514" width="23.109375" customWidth="1"/>
    <col min="515" max="515" width="16.88671875" customWidth="1"/>
    <col min="516" max="516" width="17.44140625" customWidth="1"/>
    <col min="517" max="517" width="17.109375" customWidth="1"/>
    <col min="769" max="769" width="39.88671875" customWidth="1"/>
    <col min="770" max="770" width="23.109375" customWidth="1"/>
    <col min="771" max="771" width="16.88671875" customWidth="1"/>
    <col min="772" max="772" width="17.44140625" customWidth="1"/>
    <col min="773" max="773" width="17.109375" customWidth="1"/>
    <col min="1025" max="1025" width="39.88671875" customWidth="1"/>
    <col min="1026" max="1026" width="23.109375" customWidth="1"/>
    <col min="1027" max="1027" width="16.88671875" customWidth="1"/>
    <col min="1028" max="1028" width="17.44140625" customWidth="1"/>
    <col min="1029" max="1029" width="17.109375" customWidth="1"/>
    <col min="1281" max="1281" width="39.88671875" customWidth="1"/>
    <col min="1282" max="1282" width="23.109375" customWidth="1"/>
    <col min="1283" max="1283" width="16.88671875" customWidth="1"/>
    <col min="1284" max="1284" width="17.44140625" customWidth="1"/>
    <col min="1285" max="1285" width="17.109375" customWidth="1"/>
    <col min="1537" max="1537" width="39.88671875" customWidth="1"/>
    <col min="1538" max="1538" width="23.109375" customWidth="1"/>
    <col min="1539" max="1539" width="16.88671875" customWidth="1"/>
    <col min="1540" max="1540" width="17.44140625" customWidth="1"/>
    <col min="1541" max="1541" width="17.109375" customWidth="1"/>
    <col min="1793" max="1793" width="39.88671875" customWidth="1"/>
    <col min="1794" max="1794" width="23.109375" customWidth="1"/>
    <col min="1795" max="1795" width="16.88671875" customWidth="1"/>
    <col min="1796" max="1796" width="17.44140625" customWidth="1"/>
    <col min="1797" max="1797" width="17.109375" customWidth="1"/>
    <col min="2049" max="2049" width="39.88671875" customWidth="1"/>
    <col min="2050" max="2050" width="23.109375" customWidth="1"/>
    <col min="2051" max="2051" width="16.88671875" customWidth="1"/>
    <col min="2052" max="2052" width="17.44140625" customWidth="1"/>
    <col min="2053" max="2053" width="17.109375" customWidth="1"/>
    <col min="2305" max="2305" width="39.88671875" customWidth="1"/>
    <col min="2306" max="2306" width="23.109375" customWidth="1"/>
    <col min="2307" max="2307" width="16.88671875" customWidth="1"/>
    <col min="2308" max="2308" width="17.44140625" customWidth="1"/>
    <col min="2309" max="2309" width="17.109375" customWidth="1"/>
    <col min="2561" max="2561" width="39.88671875" customWidth="1"/>
    <col min="2562" max="2562" width="23.109375" customWidth="1"/>
    <col min="2563" max="2563" width="16.88671875" customWidth="1"/>
    <col min="2564" max="2564" width="17.44140625" customWidth="1"/>
    <col min="2565" max="2565" width="17.109375" customWidth="1"/>
    <col min="2817" max="2817" width="39.88671875" customWidth="1"/>
    <col min="2818" max="2818" width="23.109375" customWidth="1"/>
    <col min="2819" max="2819" width="16.88671875" customWidth="1"/>
    <col min="2820" max="2820" width="17.44140625" customWidth="1"/>
    <col min="2821" max="2821" width="17.109375" customWidth="1"/>
    <col min="3073" max="3073" width="39.88671875" customWidth="1"/>
    <col min="3074" max="3074" width="23.109375" customWidth="1"/>
    <col min="3075" max="3075" width="16.88671875" customWidth="1"/>
    <col min="3076" max="3076" width="17.44140625" customWidth="1"/>
    <col min="3077" max="3077" width="17.109375" customWidth="1"/>
    <col min="3329" max="3329" width="39.88671875" customWidth="1"/>
    <col min="3330" max="3330" width="23.109375" customWidth="1"/>
    <col min="3331" max="3331" width="16.88671875" customWidth="1"/>
    <col min="3332" max="3332" width="17.44140625" customWidth="1"/>
    <col min="3333" max="3333" width="17.109375" customWidth="1"/>
    <col min="3585" max="3585" width="39.88671875" customWidth="1"/>
    <col min="3586" max="3586" width="23.109375" customWidth="1"/>
    <col min="3587" max="3587" width="16.88671875" customWidth="1"/>
    <col min="3588" max="3588" width="17.44140625" customWidth="1"/>
    <col min="3589" max="3589" width="17.109375" customWidth="1"/>
    <col min="3841" max="3841" width="39.88671875" customWidth="1"/>
    <col min="3842" max="3842" width="23.109375" customWidth="1"/>
    <col min="3843" max="3843" width="16.88671875" customWidth="1"/>
    <col min="3844" max="3844" width="17.44140625" customWidth="1"/>
    <col min="3845" max="3845" width="17.109375" customWidth="1"/>
    <col min="4097" max="4097" width="39.88671875" customWidth="1"/>
    <col min="4098" max="4098" width="23.109375" customWidth="1"/>
    <col min="4099" max="4099" width="16.88671875" customWidth="1"/>
    <col min="4100" max="4100" width="17.44140625" customWidth="1"/>
    <col min="4101" max="4101" width="17.109375" customWidth="1"/>
    <col min="4353" max="4353" width="39.88671875" customWidth="1"/>
    <col min="4354" max="4354" width="23.109375" customWidth="1"/>
    <col min="4355" max="4355" width="16.88671875" customWidth="1"/>
    <col min="4356" max="4356" width="17.44140625" customWidth="1"/>
    <col min="4357" max="4357" width="17.109375" customWidth="1"/>
    <col min="4609" max="4609" width="39.88671875" customWidth="1"/>
    <col min="4610" max="4610" width="23.109375" customWidth="1"/>
    <col min="4611" max="4611" width="16.88671875" customWidth="1"/>
    <col min="4612" max="4612" width="17.44140625" customWidth="1"/>
    <col min="4613" max="4613" width="17.109375" customWidth="1"/>
    <col min="4865" max="4865" width="39.88671875" customWidth="1"/>
    <col min="4866" max="4866" width="23.109375" customWidth="1"/>
    <col min="4867" max="4867" width="16.88671875" customWidth="1"/>
    <col min="4868" max="4868" width="17.44140625" customWidth="1"/>
    <col min="4869" max="4869" width="17.109375" customWidth="1"/>
    <col min="5121" max="5121" width="39.88671875" customWidth="1"/>
    <col min="5122" max="5122" width="23.109375" customWidth="1"/>
    <col min="5123" max="5123" width="16.88671875" customWidth="1"/>
    <col min="5124" max="5124" width="17.44140625" customWidth="1"/>
    <col min="5125" max="5125" width="17.109375" customWidth="1"/>
    <col min="5377" max="5377" width="39.88671875" customWidth="1"/>
    <col min="5378" max="5378" width="23.109375" customWidth="1"/>
    <col min="5379" max="5379" width="16.88671875" customWidth="1"/>
    <col min="5380" max="5380" width="17.44140625" customWidth="1"/>
    <col min="5381" max="5381" width="17.109375" customWidth="1"/>
    <col min="5633" max="5633" width="39.88671875" customWidth="1"/>
    <col min="5634" max="5634" width="23.109375" customWidth="1"/>
    <col min="5635" max="5635" width="16.88671875" customWidth="1"/>
    <col min="5636" max="5636" width="17.44140625" customWidth="1"/>
    <col min="5637" max="5637" width="17.109375" customWidth="1"/>
    <col min="5889" max="5889" width="39.88671875" customWidth="1"/>
    <col min="5890" max="5890" width="23.109375" customWidth="1"/>
    <col min="5891" max="5891" width="16.88671875" customWidth="1"/>
    <col min="5892" max="5892" width="17.44140625" customWidth="1"/>
    <col min="5893" max="5893" width="17.109375" customWidth="1"/>
    <col min="6145" max="6145" width="39.88671875" customWidth="1"/>
    <col min="6146" max="6146" width="23.109375" customWidth="1"/>
    <col min="6147" max="6147" width="16.88671875" customWidth="1"/>
    <col min="6148" max="6148" width="17.44140625" customWidth="1"/>
    <col min="6149" max="6149" width="17.109375" customWidth="1"/>
    <col min="6401" max="6401" width="39.88671875" customWidth="1"/>
    <col min="6402" max="6402" width="23.109375" customWidth="1"/>
    <col min="6403" max="6403" width="16.88671875" customWidth="1"/>
    <col min="6404" max="6404" width="17.44140625" customWidth="1"/>
    <col min="6405" max="6405" width="17.109375" customWidth="1"/>
    <col min="6657" max="6657" width="39.88671875" customWidth="1"/>
    <col min="6658" max="6658" width="23.109375" customWidth="1"/>
    <col min="6659" max="6659" width="16.88671875" customWidth="1"/>
    <col min="6660" max="6660" width="17.44140625" customWidth="1"/>
    <col min="6661" max="6661" width="17.109375" customWidth="1"/>
    <col min="6913" max="6913" width="39.88671875" customWidth="1"/>
    <col min="6914" max="6914" width="23.109375" customWidth="1"/>
    <col min="6915" max="6915" width="16.88671875" customWidth="1"/>
    <col min="6916" max="6916" width="17.44140625" customWidth="1"/>
    <col min="6917" max="6917" width="17.109375" customWidth="1"/>
    <col min="7169" max="7169" width="39.88671875" customWidth="1"/>
    <col min="7170" max="7170" width="23.109375" customWidth="1"/>
    <col min="7171" max="7171" width="16.88671875" customWidth="1"/>
    <col min="7172" max="7172" width="17.44140625" customWidth="1"/>
    <col min="7173" max="7173" width="17.109375" customWidth="1"/>
    <col min="7425" max="7425" width="39.88671875" customWidth="1"/>
    <col min="7426" max="7426" width="23.109375" customWidth="1"/>
    <col min="7427" max="7427" width="16.88671875" customWidth="1"/>
    <col min="7428" max="7428" width="17.44140625" customWidth="1"/>
    <col min="7429" max="7429" width="17.109375" customWidth="1"/>
    <col min="7681" max="7681" width="39.88671875" customWidth="1"/>
    <col min="7682" max="7682" width="23.109375" customWidth="1"/>
    <col min="7683" max="7683" width="16.88671875" customWidth="1"/>
    <col min="7684" max="7684" width="17.44140625" customWidth="1"/>
    <col min="7685" max="7685" width="17.109375" customWidth="1"/>
    <col min="7937" max="7937" width="39.88671875" customWidth="1"/>
    <col min="7938" max="7938" width="23.109375" customWidth="1"/>
    <col min="7939" max="7939" width="16.88671875" customWidth="1"/>
    <col min="7940" max="7940" width="17.44140625" customWidth="1"/>
    <col min="7941" max="7941" width="17.109375" customWidth="1"/>
    <col min="8193" max="8193" width="39.88671875" customWidth="1"/>
    <col min="8194" max="8194" width="23.109375" customWidth="1"/>
    <col min="8195" max="8195" width="16.88671875" customWidth="1"/>
    <col min="8196" max="8196" width="17.44140625" customWidth="1"/>
    <col min="8197" max="8197" width="17.109375" customWidth="1"/>
    <col min="8449" max="8449" width="39.88671875" customWidth="1"/>
    <col min="8450" max="8450" width="23.109375" customWidth="1"/>
    <col min="8451" max="8451" width="16.88671875" customWidth="1"/>
    <col min="8452" max="8452" width="17.44140625" customWidth="1"/>
    <col min="8453" max="8453" width="17.109375" customWidth="1"/>
    <col min="8705" max="8705" width="39.88671875" customWidth="1"/>
    <col min="8706" max="8706" width="23.109375" customWidth="1"/>
    <col min="8707" max="8707" width="16.88671875" customWidth="1"/>
    <col min="8708" max="8708" width="17.44140625" customWidth="1"/>
    <col min="8709" max="8709" width="17.109375" customWidth="1"/>
    <col min="8961" max="8961" width="39.88671875" customWidth="1"/>
    <col min="8962" max="8962" width="23.109375" customWidth="1"/>
    <col min="8963" max="8963" width="16.88671875" customWidth="1"/>
    <col min="8964" max="8964" width="17.44140625" customWidth="1"/>
    <col min="8965" max="8965" width="17.109375" customWidth="1"/>
    <col min="9217" max="9217" width="39.88671875" customWidth="1"/>
    <col min="9218" max="9218" width="23.109375" customWidth="1"/>
    <col min="9219" max="9219" width="16.88671875" customWidth="1"/>
    <col min="9220" max="9220" width="17.44140625" customWidth="1"/>
    <col min="9221" max="9221" width="17.109375" customWidth="1"/>
    <col min="9473" max="9473" width="39.88671875" customWidth="1"/>
    <col min="9474" max="9474" width="23.109375" customWidth="1"/>
    <col min="9475" max="9475" width="16.88671875" customWidth="1"/>
    <col min="9476" max="9476" width="17.44140625" customWidth="1"/>
    <col min="9477" max="9477" width="17.109375" customWidth="1"/>
    <col min="9729" max="9729" width="39.88671875" customWidth="1"/>
    <col min="9730" max="9730" width="23.109375" customWidth="1"/>
    <col min="9731" max="9731" width="16.88671875" customWidth="1"/>
    <col min="9732" max="9732" width="17.44140625" customWidth="1"/>
    <col min="9733" max="9733" width="17.109375" customWidth="1"/>
    <col min="9985" max="9985" width="39.88671875" customWidth="1"/>
    <col min="9986" max="9986" width="23.109375" customWidth="1"/>
    <col min="9987" max="9987" width="16.88671875" customWidth="1"/>
    <col min="9988" max="9988" width="17.44140625" customWidth="1"/>
    <col min="9989" max="9989" width="17.109375" customWidth="1"/>
    <col min="10241" max="10241" width="39.88671875" customWidth="1"/>
    <col min="10242" max="10242" width="23.109375" customWidth="1"/>
    <col min="10243" max="10243" width="16.88671875" customWidth="1"/>
    <col min="10244" max="10244" width="17.44140625" customWidth="1"/>
    <col min="10245" max="10245" width="17.109375" customWidth="1"/>
    <col min="10497" max="10497" width="39.88671875" customWidth="1"/>
    <col min="10498" max="10498" width="23.109375" customWidth="1"/>
    <col min="10499" max="10499" width="16.88671875" customWidth="1"/>
    <col min="10500" max="10500" width="17.44140625" customWidth="1"/>
    <col min="10501" max="10501" width="17.109375" customWidth="1"/>
    <col min="10753" max="10753" width="39.88671875" customWidth="1"/>
    <col min="10754" max="10754" width="23.109375" customWidth="1"/>
    <col min="10755" max="10755" width="16.88671875" customWidth="1"/>
    <col min="10756" max="10756" width="17.44140625" customWidth="1"/>
    <col min="10757" max="10757" width="17.109375" customWidth="1"/>
    <col min="11009" max="11009" width="39.88671875" customWidth="1"/>
    <col min="11010" max="11010" width="23.109375" customWidth="1"/>
    <col min="11011" max="11011" width="16.88671875" customWidth="1"/>
    <col min="11012" max="11012" width="17.44140625" customWidth="1"/>
    <col min="11013" max="11013" width="17.109375" customWidth="1"/>
    <col min="11265" max="11265" width="39.88671875" customWidth="1"/>
    <col min="11266" max="11266" width="23.109375" customWidth="1"/>
    <col min="11267" max="11267" width="16.88671875" customWidth="1"/>
    <col min="11268" max="11268" width="17.44140625" customWidth="1"/>
    <col min="11269" max="11269" width="17.109375" customWidth="1"/>
    <col min="11521" max="11521" width="39.88671875" customWidth="1"/>
    <col min="11522" max="11522" width="23.109375" customWidth="1"/>
    <col min="11523" max="11523" width="16.88671875" customWidth="1"/>
    <col min="11524" max="11524" width="17.44140625" customWidth="1"/>
    <col min="11525" max="11525" width="17.109375" customWidth="1"/>
    <col min="11777" max="11777" width="39.88671875" customWidth="1"/>
    <col min="11778" max="11778" width="23.109375" customWidth="1"/>
    <col min="11779" max="11779" width="16.88671875" customWidth="1"/>
    <col min="11780" max="11780" width="17.44140625" customWidth="1"/>
    <col min="11781" max="11781" width="17.109375" customWidth="1"/>
    <col min="12033" max="12033" width="39.88671875" customWidth="1"/>
    <col min="12034" max="12034" width="23.109375" customWidth="1"/>
    <col min="12035" max="12035" width="16.88671875" customWidth="1"/>
    <col min="12036" max="12036" width="17.44140625" customWidth="1"/>
    <col min="12037" max="12037" width="17.109375" customWidth="1"/>
    <col min="12289" max="12289" width="39.88671875" customWidth="1"/>
    <col min="12290" max="12290" width="23.109375" customWidth="1"/>
    <col min="12291" max="12291" width="16.88671875" customWidth="1"/>
    <col min="12292" max="12292" width="17.44140625" customWidth="1"/>
    <col min="12293" max="12293" width="17.109375" customWidth="1"/>
    <col min="12545" max="12545" width="39.88671875" customWidth="1"/>
    <col min="12546" max="12546" width="23.109375" customWidth="1"/>
    <col min="12547" max="12547" width="16.88671875" customWidth="1"/>
    <col min="12548" max="12548" width="17.44140625" customWidth="1"/>
    <col min="12549" max="12549" width="17.109375" customWidth="1"/>
    <col min="12801" max="12801" width="39.88671875" customWidth="1"/>
    <col min="12802" max="12802" width="23.109375" customWidth="1"/>
    <col min="12803" max="12803" width="16.88671875" customWidth="1"/>
    <col min="12804" max="12804" width="17.44140625" customWidth="1"/>
    <col min="12805" max="12805" width="17.109375" customWidth="1"/>
    <col min="13057" max="13057" width="39.88671875" customWidth="1"/>
    <col min="13058" max="13058" width="23.109375" customWidth="1"/>
    <col min="13059" max="13059" width="16.88671875" customWidth="1"/>
    <col min="13060" max="13060" width="17.44140625" customWidth="1"/>
    <col min="13061" max="13061" width="17.109375" customWidth="1"/>
    <col min="13313" max="13313" width="39.88671875" customWidth="1"/>
    <col min="13314" max="13314" width="23.109375" customWidth="1"/>
    <col min="13315" max="13315" width="16.88671875" customWidth="1"/>
    <col min="13316" max="13316" width="17.44140625" customWidth="1"/>
    <col min="13317" max="13317" width="17.109375" customWidth="1"/>
    <col min="13569" max="13569" width="39.88671875" customWidth="1"/>
    <col min="13570" max="13570" width="23.109375" customWidth="1"/>
    <col min="13571" max="13571" width="16.88671875" customWidth="1"/>
    <col min="13572" max="13572" width="17.44140625" customWidth="1"/>
    <col min="13573" max="13573" width="17.109375" customWidth="1"/>
    <col min="13825" max="13825" width="39.88671875" customWidth="1"/>
    <col min="13826" max="13826" width="23.109375" customWidth="1"/>
    <col min="13827" max="13827" width="16.88671875" customWidth="1"/>
    <col min="13828" max="13828" width="17.44140625" customWidth="1"/>
    <col min="13829" max="13829" width="17.109375" customWidth="1"/>
    <col min="14081" max="14081" width="39.88671875" customWidth="1"/>
    <col min="14082" max="14082" width="23.109375" customWidth="1"/>
    <col min="14083" max="14083" width="16.88671875" customWidth="1"/>
    <col min="14084" max="14084" width="17.44140625" customWidth="1"/>
    <col min="14085" max="14085" width="17.109375" customWidth="1"/>
    <col min="14337" max="14337" width="39.88671875" customWidth="1"/>
    <col min="14338" max="14338" width="23.109375" customWidth="1"/>
    <col min="14339" max="14339" width="16.88671875" customWidth="1"/>
    <col min="14340" max="14340" width="17.44140625" customWidth="1"/>
    <col min="14341" max="14341" width="17.109375" customWidth="1"/>
    <col min="14593" max="14593" width="39.88671875" customWidth="1"/>
    <col min="14594" max="14594" width="23.109375" customWidth="1"/>
    <col min="14595" max="14595" width="16.88671875" customWidth="1"/>
    <col min="14596" max="14596" width="17.44140625" customWidth="1"/>
    <col min="14597" max="14597" width="17.109375" customWidth="1"/>
    <col min="14849" max="14849" width="39.88671875" customWidth="1"/>
    <col min="14850" max="14850" width="23.109375" customWidth="1"/>
    <col min="14851" max="14851" width="16.88671875" customWidth="1"/>
    <col min="14852" max="14852" width="17.44140625" customWidth="1"/>
    <col min="14853" max="14853" width="17.109375" customWidth="1"/>
    <col min="15105" max="15105" width="39.88671875" customWidth="1"/>
    <col min="15106" max="15106" width="23.109375" customWidth="1"/>
    <col min="15107" max="15107" width="16.88671875" customWidth="1"/>
    <col min="15108" max="15108" width="17.44140625" customWidth="1"/>
    <col min="15109" max="15109" width="17.109375" customWidth="1"/>
    <col min="15361" max="15361" width="39.88671875" customWidth="1"/>
    <col min="15362" max="15362" width="23.109375" customWidth="1"/>
    <col min="15363" max="15363" width="16.88671875" customWidth="1"/>
    <col min="15364" max="15364" width="17.44140625" customWidth="1"/>
    <col min="15365" max="15365" width="17.109375" customWidth="1"/>
    <col min="15617" max="15617" width="39.88671875" customWidth="1"/>
    <col min="15618" max="15618" width="23.109375" customWidth="1"/>
    <col min="15619" max="15619" width="16.88671875" customWidth="1"/>
    <col min="15620" max="15620" width="17.44140625" customWidth="1"/>
    <col min="15621" max="15621" width="17.109375" customWidth="1"/>
    <col min="15873" max="15873" width="39.88671875" customWidth="1"/>
    <col min="15874" max="15874" width="23.109375" customWidth="1"/>
    <col min="15875" max="15875" width="16.88671875" customWidth="1"/>
    <col min="15876" max="15876" width="17.44140625" customWidth="1"/>
    <col min="15877" max="15877" width="17.109375" customWidth="1"/>
    <col min="16129" max="16129" width="39.88671875" customWidth="1"/>
    <col min="16130" max="16130" width="23.109375" customWidth="1"/>
    <col min="16131" max="16131" width="16.88671875" customWidth="1"/>
    <col min="16132" max="16132" width="17.44140625" customWidth="1"/>
    <col min="16133" max="16133" width="17.109375" customWidth="1"/>
  </cols>
  <sheetData>
    <row r="1" spans="1:8" s="6" customFormat="1" ht="18" x14ac:dyDescent="0.35">
      <c r="A1" s="5" t="s">
        <v>170</v>
      </c>
    </row>
    <row r="2" spans="1:8" x14ac:dyDescent="0.3">
      <c r="A2" s="26" t="s">
        <v>174</v>
      </c>
      <c r="B2" s="19"/>
    </row>
    <row r="3" spans="1:8" x14ac:dyDescent="0.3">
      <c r="A3" s="26"/>
      <c r="B3" s="19"/>
    </row>
    <row r="4" spans="1:8" x14ac:dyDescent="0.3">
      <c r="A4" s="4" t="s">
        <v>26</v>
      </c>
      <c r="B4" s="20" t="s">
        <v>126</v>
      </c>
      <c r="C4" s="20"/>
      <c r="D4" s="20"/>
      <c r="E4" s="20"/>
      <c r="F4" s="20"/>
      <c r="G4" s="20"/>
      <c r="H4" s="20"/>
    </row>
    <row r="5" spans="1:8" x14ac:dyDescent="0.3">
      <c r="A5" s="4"/>
      <c r="B5" t="s">
        <v>114</v>
      </c>
    </row>
    <row r="6" spans="1:8" x14ac:dyDescent="0.3">
      <c r="A6" s="4"/>
    </row>
    <row r="7" spans="1:8" x14ac:dyDescent="0.3">
      <c r="B7" s="18"/>
    </row>
    <row r="8" spans="1:8" x14ac:dyDescent="0.3">
      <c r="A8" s="4" t="s">
        <v>99</v>
      </c>
      <c r="B8" s="18" t="s">
        <v>31</v>
      </c>
      <c r="C8" s="65">
        <v>12</v>
      </c>
      <c r="E8" s="27" t="s">
        <v>62</v>
      </c>
      <c r="F8" s="20"/>
      <c r="G8" s="20"/>
      <c r="H8" s="20"/>
    </row>
    <row r="9" spans="1:8" x14ac:dyDescent="0.3">
      <c r="B9" s="18" t="s">
        <v>32</v>
      </c>
      <c r="C9">
        <f>1/(1000000*C8)</f>
        <v>8.3333333333333338E-8</v>
      </c>
    </row>
    <row r="10" spans="1:8" x14ac:dyDescent="0.3">
      <c r="B10" s="18"/>
    </row>
    <row r="11" spans="1:8" x14ac:dyDescent="0.3">
      <c r="A11" s="4" t="s">
        <v>63</v>
      </c>
      <c r="B11" s="18" t="s">
        <v>33</v>
      </c>
      <c r="C11" s="65">
        <v>24</v>
      </c>
    </row>
    <row r="12" spans="1:8" x14ac:dyDescent="0.3">
      <c r="B12" s="18"/>
      <c r="C12" s="4" t="s">
        <v>132</v>
      </c>
      <c r="D12" s="38"/>
    </row>
    <row r="13" spans="1:8" x14ac:dyDescent="0.3">
      <c r="A13" s="4" t="s">
        <v>64</v>
      </c>
      <c r="B13" s="18" t="s">
        <v>37</v>
      </c>
      <c r="C13" s="96">
        <f>1.41*C14</f>
        <v>1.41</v>
      </c>
      <c r="D13" s="34"/>
      <c r="E13" t="s">
        <v>65</v>
      </c>
    </row>
    <row r="14" spans="1:8" x14ac:dyDescent="0.3">
      <c r="B14" s="18" t="s">
        <v>66</v>
      </c>
      <c r="C14" s="89">
        <v>1</v>
      </c>
      <c r="D14" s="28"/>
      <c r="E14" t="s">
        <v>161</v>
      </c>
    </row>
    <row r="15" spans="1:8" x14ac:dyDescent="0.3">
      <c r="A15" s="4" t="s">
        <v>167</v>
      </c>
      <c r="B15" s="18" t="s">
        <v>168</v>
      </c>
      <c r="C15" s="65">
        <v>4.5</v>
      </c>
      <c r="D15" s="28"/>
      <c r="E15" t="s">
        <v>171</v>
      </c>
    </row>
    <row r="16" spans="1:8" x14ac:dyDescent="0.3">
      <c r="B16" s="18"/>
      <c r="C16" s="28"/>
      <c r="D16" s="28"/>
    </row>
    <row r="17" spans="1:7" x14ac:dyDescent="0.3">
      <c r="A17" s="4" t="s">
        <v>67</v>
      </c>
      <c r="B17" s="18" t="s">
        <v>40</v>
      </c>
      <c r="C17" s="65">
        <v>3</v>
      </c>
      <c r="D17" s="34"/>
    </row>
    <row r="18" spans="1:7" x14ac:dyDescent="0.3">
      <c r="B18" s="18" t="s">
        <v>41</v>
      </c>
      <c r="C18" s="78">
        <f>(12+32*C17)*C9</f>
        <v>9.0000000000000002E-6</v>
      </c>
      <c r="D18" s="34" t="s">
        <v>173</v>
      </c>
    </row>
    <row r="19" spans="1:7" ht="28.8" x14ac:dyDescent="0.3">
      <c r="A19" s="29" t="s">
        <v>195</v>
      </c>
      <c r="B19" s="92" t="s">
        <v>68</v>
      </c>
      <c r="C19" s="93">
        <f>1/((2+4*C20)*C18)/1000</f>
        <v>31.746031746031747</v>
      </c>
      <c r="D19" s="28"/>
      <c r="E19" t="s">
        <v>69</v>
      </c>
    </row>
    <row r="20" spans="1:7" ht="28.8" x14ac:dyDescent="0.3">
      <c r="A20" s="29" t="s">
        <v>169</v>
      </c>
      <c r="B20" s="37" t="s">
        <v>172</v>
      </c>
      <c r="C20" s="97">
        <f>MIN(MAX(0.2,2*(C15*C14)/$C11),0.9)</f>
        <v>0.375</v>
      </c>
      <c r="D20" s="28"/>
      <c r="E20" t="s">
        <v>70</v>
      </c>
    </row>
    <row r="21" spans="1:7" x14ac:dyDescent="0.3">
      <c r="B21" s="18"/>
      <c r="C21" s="28"/>
    </row>
    <row r="22" spans="1:7" x14ac:dyDescent="0.3">
      <c r="B22" s="18"/>
      <c r="C22" s="40" t="s">
        <v>131</v>
      </c>
      <c r="D22" s="38"/>
      <c r="E22" s="38"/>
    </row>
    <row r="23" spans="1:7" x14ac:dyDescent="0.3">
      <c r="A23" s="4" t="s">
        <v>127</v>
      </c>
      <c r="B23" s="18"/>
      <c r="C23" s="4"/>
      <c r="D23" s="4"/>
      <c r="E23" s="4"/>
    </row>
    <row r="24" spans="1:7" x14ac:dyDescent="0.3">
      <c r="A24" t="s">
        <v>71</v>
      </c>
      <c r="B24" s="18" t="s">
        <v>72</v>
      </c>
      <c r="C24">
        <v>0.28999999999999998</v>
      </c>
      <c r="E24" s="30"/>
    </row>
    <row r="25" spans="1:7" x14ac:dyDescent="0.3">
      <c r="A25" s="24" t="s">
        <v>73</v>
      </c>
      <c r="B25" s="18" t="s">
        <v>74</v>
      </c>
      <c r="C25">
        <v>0.28000000000000003</v>
      </c>
      <c r="E25" s="30"/>
    </row>
    <row r="26" spans="1:7" x14ac:dyDescent="0.3">
      <c r="B26" s="18"/>
      <c r="E26" s="30"/>
    </row>
    <row r="27" spans="1:7" x14ac:dyDescent="0.3">
      <c r="A27" t="s">
        <v>160</v>
      </c>
      <c r="B27" s="18" t="s">
        <v>128</v>
      </c>
      <c r="C27" s="90">
        <v>120</v>
      </c>
      <c r="D27" s="31"/>
      <c r="E27" s="34"/>
      <c r="G27" t="s">
        <v>75</v>
      </c>
    </row>
    <row r="28" spans="1:7" x14ac:dyDescent="0.3">
      <c r="B28" s="18" t="s">
        <v>76</v>
      </c>
      <c r="C28" s="3">
        <f>0.26*(1+(0.55*(C27-25)/100))+0.03</f>
        <v>0.42584999999999995</v>
      </c>
      <c r="D28" s="3"/>
      <c r="E28" s="22"/>
    </row>
    <row r="29" spans="1:7" x14ac:dyDescent="0.3">
      <c r="B29" s="18" t="s">
        <v>77</v>
      </c>
      <c r="C29" s="3">
        <f>0.25*(1+(0.55*(C27-25)/100))+0.03</f>
        <v>0.41062500000000002</v>
      </c>
      <c r="D29" s="3"/>
      <c r="E29" s="22"/>
    </row>
    <row r="30" spans="1:7" x14ac:dyDescent="0.3">
      <c r="B30" s="15"/>
      <c r="C30" s="3"/>
      <c r="D30" s="3"/>
      <c r="E30" s="22"/>
    </row>
    <row r="31" spans="1:7" x14ac:dyDescent="0.3">
      <c r="A31" t="s">
        <v>78</v>
      </c>
      <c r="B31" s="18" t="s">
        <v>79</v>
      </c>
      <c r="C31" s="25">
        <v>30</v>
      </c>
      <c r="D31" s="25"/>
      <c r="E31" s="31"/>
      <c r="G31" t="s">
        <v>80</v>
      </c>
    </row>
    <row r="32" spans="1:7" x14ac:dyDescent="0.3">
      <c r="B32" s="18" t="s">
        <v>81</v>
      </c>
      <c r="C32" s="25">
        <v>40</v>
      </c>
      <c r="D32" s="25"/>
      <c r="E32" s="31"/>
    </row>
    <row r="33" spans="1:7" x14ac:dyDescent="0.3">
      <c r="B33" s="18" t="s">
        <v>82</v>
      </c>
      <c r="C33" s="25">
        <v>80</v>
      </c>
      <c r="D33" s="25"/>
      <c r="E33" s="25"/>
    </row>
    <row r="34" spans="1:7" x14ac:dyDescent="0.3">
      <c r="B34" s="18" t="s">
        <v>83</v>
      </c>
      <c r="C34" s="25">
        <v>80</v>
      </c>
      <c r="D34" s="25"/>
      <c r="E34" s="25"/>
    </row>
    <row r="35" spans="1:7" x14ac:dyDescent="0.3">
      <c r="B35" s="18"/>
      <c r="C35" s="25"/>
      <c r="D35" s="25"/>
      <c r="E35" s="25"/>
    </row>
    <row r="36" spans="1:7" x14ac:dyDescent="0.3">
      <c r="A36" s="47" t="s">
        <v>84</v>
      </c>
      <c r="B36" s="18" t="s">
        <v>85</v>
      </c>
      <c r="C36" s="3">
        <f>C28*($C$14^2)*$C$20</f>
        <v>0.15969374999999997</v>
      </c>
      <c r="D36" s="3"/>
      <c r="E36" s="3"/>
    </row>
    <row r="37" spans="1:7" x14ac:dyDescent="0.3">
      <c r="A37" s="13" t="s">
        <v>86</v>
      </c>
      <c r="B37" s="18" t="s">
        <v>87</v>
      </c>
      <c r="C37" s="22">
        <f>$C$19*1000*((C33+C32)/1000000000)*$C$11*$C$14*2/2</f>
        <v>9.1428571428571415E-2</v>
      </c>
      <c r="D37" s="22"/>
      <c r="E37" s="22"/>
    </row>
    <row r="38" spans="1:7" x14ac:dyDescent="0.3">
      <c r="A38" s="34" t="s">
        <v>88</v>
      </c>
      <c r="B38" s="15" t="s">
        <v>89</v>
      </c>
      <c r="C38" s="39">
        <f>C36+C37</f>
        <v>0.25112232142857138</v>
      </c>
      <c r="D38" s="39"/>
      <c r="E38" s="39"/>
      <c r="G38" s="32"/>
    </row>
    <row r="39" spans="1:7" x14ac:dyDescent="0.3">
      <c r="B39" s="18" t="s">
        <v>90</v>
      </c>
      <c r="C39" s="3">
        <f>(1-$C$20+0.5*$C$20)*($C$14^2)*C29</f>
        <v>0.33363281249999999</v>
      </c>
      <c r="D39" s="3"/>
      <c r="E39" s="3"/>
    </row>
    <row r="40" spans="1:7" x14ac:dyDescent="0.3">
      <c r="B40" s="18" t="s">
        <v>91</v>
      </c>
      <c r="C40" s="22">
        <f>C19*1000*((C34+C31)/1000000000)*$C$11*C14*2/2</f>
        <v>8.3809523809523806E-2</v>
      </c>
      <c r="D40" s="22"/>
      <c r="E40" s="22"/>
    </row>
    <row r="41" spans="1:7" x14ac:dyDescent="0.3">
      <c r="A41" s="34" t="s">
        <v>88</v>
      </c>
      <c r="B41" s="15" t="s">
        <v>92</v>
      </c>
      <c r="C41" s="39">
        <f>C39+C40</f>
        <v>0.41744233630952376</v>
      </c>
      <c r="D41" s="39"/>
      <c r="E41" s="39"/>
      <c r="G41" s="32"/>
    </row>
    <row r="42" spans="1:7" x14ac:dyDescent="0.3">
      <c r="A42" s="13"/>
      <c r="B42" s="15"/>
      <c r="C42" s="39"/>
      <c r="D42" s="39"/>
      <c r="E42" s="39"/>
    </row>
    <row r="43" spans="1:7" x14ac:dyDescent="0.3">
      <c r="A43" t="s">
        <v>93</v>
      </c>
      <c r="B43" s="15" t="s">
        <v>94</v>
      </c>
      <c r="C43" s="39">
        <f>2*C39+C40+2*C36+C37</f>
        <v>1.1618912202380951</v>
      </c>
      <c r="D43" s="39"/>
      <c r="E43" s="39"/>
    </row>
    <row r="44" spans="1:7" x14ac:dyDescent="0.3">
      <c r="A44" s="38" t="s">
        <v>109</v>
      </c>
      <c r="B44" s="15" t="s">
        <v>95</v>
      </c>
      <c r="C44" s="39">
        <f>2*C43</f>
        <v>2.3237824404761902</v>
      </c>
      <c r="D44" s="39"/>
      <c r="E44" s="39"/>
      <c r="G44" s="32"/>
    </row>
    <row r="45" spans="1:7" x14ac:dyDescent="0.3">
      <c r="A45" s="38" t="s">
        <v>110</v>
      </c>
      <c r="B45" s="18" t="s">
        <v>183</v>
      </c>
      <c r="C45" s="39">
        <f>C11*(0.0025+0.0005+C8*0.0003)</f>
        <v>0.15839999999999999</v>
      </c>
      <c r="D45" s="39"/>
      <c r="E45" s="39"/>
      <c r="G45" s="32"/>
    </row>
    <row r="46" spans="1:7" x14ac:dyDescent="0.3">
      <c r="A46" s="38"/>
      <c r="B46" s="14"/>
      <c r="C46" s="8"/>
      <c r="D46" s="8"/>
      <c r="E46" s="8"/>
      <c r="G46" s="32"/>
    </row>
    <row r="47" spans="1:7" x14ac:dyDescent="0.3">
      <c r="A47" s="38" t="s">
        <v>112</v>
      </c>
      <c r="B47" s="14" t="s">
        <v>111</v>
      </c>
      <c r="C47" s="40">
        <f>C44+C45</f>
        <v>2.4821824404761901</v>
      </c>
      <c r="E47" s="48"/>
    </row>
    <row r="48" spans="1:7" x14ac:dyDescent="0.3">
      <c r="A48" s="38"/>
      <c r="B48" s="14"/>
      <c r="C48" s="8"/>
      <c r="E48" s="8"/>
    </row>
    <row r="50" spans="1:7" x14ac:dyDescent="0.3">
      <c r="A50" s="38" t="s">
        <v>115</v>
      </c>
      <c r="B50" s="18" t="s">
        <v>96</v>
      </c>
      <c r="C50" s="91">
        <v>0.15</v>
      </c>
      <c r="D50" s="49"/>
      <c r="E50" t="s">
        <v>162</v>
      </c>
    </row>
    <row r="51" spans="1:7" x14ac:dyDescent="0.3">
      <c r="B51" s="94" t="s">
        <v>164</v>
      </c>
      <c r="C51" s="95">
        <f>C$50*C$14^2*C$20</f>
        <v>5.6249999999999994E-2</v>
      </c>
      <c r="D51" s="48"/>
      <c r="E51" s="9" t="s">
        <v>163</v>
      </c>
      <c r="G51" s="32"/>
    </row>
    <row r="52" spans="1:7" x14ac:dyDescent="0.3">
      <c r="B52" s="94" t="s">
        <v>165</v>
      </c>
      <c r="C52" s="95">
        <f>C$50*C$14^2*0.7</f>
        <v>0.105</v>
      </c>
      <c r="E52" s="9" t="s">
        <v>166</v>
      </c>
    </row>
    <row r="55" spans="1:7" x14ac:dyDescent="0.3">
      <c r="A55" s="12"/>
    </row>
    <row r="56" spans="1:7" x14ac:dyDescent="0.3">
      <c r="A56" s="12"/>
    </row>
    <row r="57" spans="1:7" x14ac:dyDescent="0.3">
      <c r="A57" s="12"/>
    </row>
    <row r="58" spans="1:7" x14ac:dyDescent="0.3">
      <c r="A58" s="12"/>
    </row>
    <row r="60" spans="1:7" x14ac:dyDescent="0.3">
      <c r="A60" s="12"/>
      <c r="B60" s="3"/>
    </row>
    <row r="61" spans="1:7" x14ac:dyDescent="0.3">
      <c r="A61" s="12"/>
      <c r="B61" s="3"/>
    </row>
    <row r="62" spans="1:7" x14ac:dyDescent="0.3">
      <c r="A62" s="12"/>
      <c r="B62" s="33"/>
    </row>
    <row r="63" spans="1:7" x14ac:dyDescent="0.3">
      <c r="A63" s="12"/>
      <c r="B63" s="3"/>
    </row>
    <row r="64" spans="1:7" x14ac:dyDescent="0.3">
      <c r="A64" s="12"/>
      <c r="B64" s="3"/>
    </row>
    <row r="65" spans="1:2" x14ac:dyDescent="0.3">
      <c r="A65" s="12"/>
      <c r="B65" s="3"/>
    </row>
    <row r="66" spans="1:2" x14ac:dyDescent="0.3">
      <c r="A66" s="12"/>
      <c r="B66" s="3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C39" sqref="C39"/>
    </sheetView>
  </sheetViews>
  <sheetFormatPr baseColWidth="10" defaultRowHeight="14.4" x14ac:dyDescent="0.3"/>
  <cols>
    <col min="1" max="1" width="21.6640625" customWidth="1"/>
    <col min="2" max="2" width="17.44140625" customWidth="1"/>
    <col min="3" max="3" width="16.109375" customWidth="1"/>
    <col min="4" max="4" width="39.88671875" customWidth="1"/>
  </cols>
  <sheetData>
    <row r="1" spans="1:6" x14ac:dyDescent="0.3">
      <c r="A1" t="s">
        <v>141</v>
      </c>
      <c r="B1">
        <v>325</v>
      </c>
      <c r="C1" t="s">
        <v>143</v>
      </c>
    </row>
    <row r="2" spans="1:6" x14ac:dyDescent="0.3">
      <c r="A2" t="s">
        <v>142</v>
      </c>
      <c r="B2">
        <v>180</v>
      </c>
      <c r="C2" t="s">
        <v>143</v>
      </c>
    </row>
    <row r="4" spans="1:6" x14ac:dyDescent="0.3">
      <c r="A4" t="s">
        <v>145</v>
      </c>
    </row>
    <row r="5" spans="1:6" s="4" customFormat="1" x14ac:dyDescent="0.3">
      <c r="A5" s="4" t="s">
        <v>146</v>
      </c>
      <c r="B5" s="4" t="s">
        <v>147</v>
      </c>
      <c r="C5" s="4" t="s">
        <v>148</v>
      </c>
      <c r="D5" s="4" t="s">
        <v>153</v>
      </c>
      <c r="E5" t="s">
        <v>144</v>
      </c>
      <c r="F5"/>
    </row>
    <row r="6" spans="1:6" x14ac:dyDescent="0.3">
      <c r="A6">
        <v>1</v>
      </c>
      <c r="B6" s="3">
        <f>$B$1/(A6+0.03)/1000</f>
        <v>0.31553398058252424</v>
      </c>
      <c r="C6" s="3">
        <f>B6/SQRT(2)</f>
        <v>0.22311621736468729</v>
      </c>
      <c r="D6" s="3">
        <f>A6*C6*C6</f>
        <v>4.9780846451126383E-2</v>
      </c>
    </row>
    <row r="7" spans="1:6" x14ac:dyDescent="0.3">
      <c r="A7">
        <v>0.82</v>
      </c>
      <c r="B7" s="3">
        <f t="shared" ref="B7:B17" si="0">$B$1/(A7+0.03)/1000</f>
        <v>0.38235294117647062</v>
      </c>
      <c r="C7" s="3">
        <f t="shared" ref="C7:C17" si="1">B7/SQRT(2)</f>
        <v>0.27036435751250348</v>
      </c>
      <c r="D7" s="3">
        <f t="shared" ref="D7:D17" si="2">A7*C7*C7</f>
        <v>5.9939446366782015E-2</v>
      </c>
    </row>
    <row r="8" spans="1:6" x14ac:dyDescent="0.3">
      <c r="A8">
        <v>0.75</v>
      </c>
      <c r="B8" s="3">
        <f t="shared" si="0"/>
        <v>0.41666666666666663</v>
      </c>
      <c r="C8" s="3">
        <f t="shared" si="1"/>
        <v>0.29462782549439476</v>
      </c>
      <c r="D8" s="3">
        <f t="shared" si="2"/>
        <v>6.5104166666666644E-2</v>
      </c>
    </row>
    <row r="9" spans="1:6" x14ac:dyDescent="0.3">
      <c r="A9">
        <v>0.68</v>
      </c>
      <c r="B9" s="3">
        <f t="shared" si="0"/>
        <v>0.45774647887323938</v>
      </c>
      <c r="C9" s="3">
        <f t="shared" si="1"/>
        <v>0.32367563927553228</v>
      </c>
      <c r="D9" s="3">
        <f t="shared" si="2"/>
        <v>7.1240825233088653E-2</v>
      </c>
      <c r="F9" t="s">
        <v>150</v>
      </c>
    </row>
    <row r="10" spans="1:6" x14ac:dyDescent="0.3">
      <c r="A10">
        <v>0.5</v>
      </c>
      <c r="B10" s="3">
        <f t="shared" si="0"/>
        <v>0.6132075471698113</v>
      </c>
      <c r="C10" s="3">
        <f t="shared" si="1"/>
        <v>0.43360321487854325</v>
      </c>
      <c r="D10" s="3">
        <f t="shared" si="2"/>
        <v>9.4005873976504076E-2</v>
      </c>
    </row>
    <row r="11" spans="1:6" x14ac:dyDescent="0.3">
      <c r="A11">
        <v>0.47</v>
      </c>
      <c r="B11" s="3">
        <f t="shared" si="0"/>
        <v>0.65</v>
      </c>
      <c r="C11" s="3">
        <f t="shared" si="1"/>
        <v>0.45961940777125587</v>
      </c>
      <c r="D11" s="3">
        <f t="shared" si="2"/>
        <v>9.9287499999999987E-2</v>
      </c>
    </row>
    <row r="12" spans="1:6" x14ac:dyDescent="0.3">
      <c r="A12">
        <v>0.33</v>
      </c>
      <c r="B12" s="3">
        <f t="shared" si="0"/>
        <v>0.90277777777777779</v>
      </c>
      <c r="C12" s="3">
        <f t="shared" si="1"/>
        <v>0.63836028857118865</v>
      </c>
      <c r="D12" s="3">
        <f t="shared" si="2"/>
        <v>0.13447627314814811</v>
      </c>
    </row>
    <row r="13" spans="1:6" x14ac:dyDescent="0.3">
      <c r="A13">
        <v>0.27</v>
      </c>
      <c r="B13" s="3">
        <f t="shared" si="0"/>
        <v>1.0833333333333333</v>
      </c>
      <c r="C13" s="3">
        <f t="shared" si="1"/>
        <v>0.76603234628542638</v>
      </c>
      <c r="D13" s="3">
        <f t="shared" si="2"/>
        <v>0.15843749999999995</v>
      </c>
    </row>
    <row r="14" spans="1:6" x14ac:dyDescent="0.3">
      <c r="A14">
        <v>0.22</v>
      </c>
      <c r="B14" s="3">
        <f t="shared" si="0"/>
        <v>1.3</v>
      </c>
      <c r="C14" s="3">
        <f t="shared" si="1"/>
        <v>0.91923881554251174</v>
      </c>
      <c r="D14" s="3">
        <f t="shared" si="2"/>
        <v>0.18590000000000001</v>
      </c>
      <c r="F14" t="s">
        <v>151</v>
      </c>
    </row>
    <row r="15" spans="1:6" x14ac:dyDescent="0.3">
      <c r="A15">
        <v>0.15</v>
      </c>
      <c r="B15" s="3">
        <f t="shared" si="0"/>
        <v>1.8055555555555556</v>
      </c>
      <c r="C15" s="3">
        <f t="shared" si="1"/>
        <v>1.2767205771423773</v>
      </c>
      <c r="D15" s="3">
        <f t="shared" si="2"/>
        <v>0.24450231481481474</v>
      </c>
    </row>
    <row r="16" spans="1:6" x14ac:dyDescent="0.3">
      <c r="A16">
        <v>0.12</v>
      </c>
      <c r="B16" s="3">
        <f t="shared" si="0"/>
        <v>2.166666666666667</v>
      </c>
      <c r="C16" s="56">
        <f t="shared" si="1"/>
        <v>1.532064692570853</v>
      </c>
      <c r="D16" s="3">
        <f t="shared" si="2"/>
        <v>0.28166666666666668</v>
      </c>
    </row>
    <row r="17" spans="1:6" x14ac:dyDescent="0.3">
      <c r="A17">
        <v>0.1</v>
      </c>
      <c r="B17" s="3">
        <f t="shared" si="0"/>
        <v>2.5</v>
      </c>
      <c r="C17" s="56">
        <f t="shared" si="1"/>
        <v>1.7677669529663687</v>
      </c>
      <c r="D17" s="3">
        <f t="shared" si="2"/>
        <v>0.31249999999999994</v>
      </c>
      <c r="F17" t="s">
        <v>152</v>
      </c>
    </row>
    <row r="18" spans="1:6" x14ac:dyDescent="0.3">
      <c r="D18" s="3"/>
    </row>
    <row r="19" spans="1:6" x14ac:dyDescent="0.3">
      <c r="D19" s="3"/>
    </row>
    <row r="20" spans="1:6" x14ac:dyDescent="0.3">
      <c r="A20" t="s">
        <v>149</v>
      </c>
      <c r="D20" s="3"/>
    </row>
    <row r="21" spans="1:6" x14ac:dyDescent="0.3">
      <c r="A21" s="4" t="s">
        <v>146</v>
      </c>
      <c r="B21" s="4" t="s">
        <v>147</v>
      </c>
      <c r="C21" s="4" t="s">
        <v>148</v>
      </c>
      <c r="D21" s="8"/>
      <c r="E21" t="s">
        <v>144</v>
      </c>
    </row>
    <row r="22" spans="1:6" x14ac:dyDescent="0.3">
      <c r="A22">
        <v>1</v>
      </c>
      <c r="B22" s="3">
        <f>$B$2/(A22+0.03)/1000</f>
        <v>0.17475728155339806</v>
      </c>
      <c r="C22" s="3">
        <f>B22/SQRT(2)</f>
        <v>0.12357205884813452</v>
      </c>
      <c r="D22" s="3">
        <f>A22*C22*C22</f>
        <v>1.5270053727966821E-2</v>
      </c>
    </row>
    <row r="23" spans="1:6" x14ac:dyDescent="0.3">
      <c r="A23">
        <v>0.82</v>
      </c>
      <c r="B23" s="3">
        <f t="shared" ref="B23:B35" si="3">$B$2/(A23+0.03)/1000</f>
        <v>0.21176470588235297</v>
      </c>
      <c r="C23" s="3">
        <f t="shared" ref="C23:C36" si="4">B23/SQRT(2)</f>
        <v>0.14974025954538653</v>
      </c>
      <c r="D23" s="3">
        <f t="shared" ref="D23:D36" si="5">A23*C23*C23</f>
        <v>1.8386159169550172E-2</v>
      </c>
    </row>
    <row r="24" spans="1:6" x14ac:dyDescent="0.3">
      <c r="A24">
        <v>0.75</v>
      </c>
      <c r="B24" s="3">
        <f t="shared" si="3"/>
        <v>0.23076923076923078</v>
      </c>
      <c r="C24" s="3">
        <f t="shared" si="4"/>
        <v>0.16317848796612636</v>
      </c>
      <c r="D24" s="3">
        <f t="shared" si="5"/>
        <v>1.9970414201183433E-2</v>
      </c>
    </row>
    <row r="25" spans="1:6" x14ac:dyDescent="0.3">
      <c r="A25">
        <v>0.68</v>
      </c>
      <c r="B25" s="3">
        <f t="shared" si="3"/>
        <v>0.25352112676056338</v>
      </c>
      <c r="C25" s="3">
        <f t="shared" si="4"/>
        <v>0.17926650790644866</v>
      </c>
      <c r="D25" s="3">
        <f t="shared" si="5"/>
        <v>2.1852806982741519E-2</v>
      </c>
    </row>
    <row r="26" spans="1:6" x14ac:dyDescent="0.3">
      <c r="A26">
        <v>0.5</v>
      </c>
      <c r="B26" s="3">
        <f t="shared" si="3"/>
        <v>0.33962264150943394</v>
      </c>
      <c r="C26" s="3">
        <f t="shared" si="4"/>
        <v>0.24014947285580857</v>
      </c>
      <c r="D26" s="3">
        <f t="shared" si="5"/>
        <v>2.8835884656461367E-2</v>
      </c>
    </row>
    <row r="27" spans="1:6" x14ac:dyDescent="0.3">
      <c r="A27">
        <v>0.47</v>
      </c>
      <c r="B27" s="3">
        <f t="shared" si="3"/>
        <v>0.36</v>
      </c>
      <c r="C27" s="3">
        <f t="shared" si="4"/>
        <v>0.2545584412271571</v>
      </c>
      <c r="D27" s="3">
        <f t="shared" si="5"/>
        <v>3.0455999999999997E-2</v>
      </c>
    </row>
    <row r="28" spans="1:6" x14ac:dyDescent="0.3">
      <c r="A28">
        <v>0.33</v>
      </c>
      <c r="B28" s="3">
        <f t="shared" si="3"/>
        <v>0.5</v>
      </c>
      <c r="C28" s="3">
        <f t="shared" si="4"/>
        <v>0.35355339059327373</v>
      </c>
      <c r="D28" s="3">
        <f t="shared" si="5"/>
        <v>4.1249999999999995E-2</v>
      </c>
    </row>
    <row r="29" spans="1:6" x14ac:dyDescent="0.3">
      <c r="A29">
        <v>0.27</v>
      </c>
      <c r="B29" s="3">
        <f t="shared" si="3"/>
        <v>0.59999999999999987</v>
      </c>
      <c r="C29" s="3">
        <f t="shared" si="4"/>
        <v>0.4242640687119284</v>
      </c>
      <c r="D29" s="3">
        <f t="shared" si="5"/>
        <v>4.8599999999999977E-2</v>
      </c>
    </row>
    <row r="30" spans="1:6" x14ac:dyDescent="0.3">
      <c r="A30">
        <v>0.22</v>
      </c>
      <c r="B30" s="3">
        <f t="shared" si="3"/>
        <v>0.72</v>
      </c>
      <c r="C30" s="3">
        <f t="shared" si="4"/>
        <v>0.50911688245431419</v>
      </c>
      <c r="D30" s="3">
        <f t="shared" si="5"/>
        <v>5.7023999999999998E-2</v>
      </c>
    </row>
    <row r="31" spans="1:6" x14ac:dyDescent="0.3">
      <c r="A31">
        <v>0.15</v>
      </c>
      <c r="B31" s="3">
        <f t="shared" si="3"/>
        <v>1</v>
      </c>
      <c r="C31" s="3">
        <f t="shared" si="4"/>
        <v>0.70710678118654746</v>
      </c>
      <c r="D31" s="3">
        <f t="shared" si="5"/>
        <v>7.4999999999999983E-2</v>
      </c>
      <c r="F31" t="s">
        <v>150</v>
      </c>
    </row>
    <row r="32" spans="1:6" x14ac:dyDescent="0.3">
      <c r="A32">
        <v>0.12</v>
      </c>
      <c r="B32" s="3">
        <f t="shared" si="3"/>
        <v>1.2</v>
      </c>
      <c r="C32" s="3">
        <f t="shared" si="4"/>
        <v>0.84852813742385691</v>
      </c>
      <c r="D32" s="3">
        <f t="shared" si="5"/>
        <v>8.6399999999999977E-2</v>
      </c>
    </row>
    <row r="33" spans="1:6" x14ac:dyDescent="0.3">
      <c r="A33">
        <v>0.1</v>
      </c>
      <c r="B33" s="3">
        <f t="shared" si="3"/>
        <v>1.3846153846153846</v>
      </c>
      <c r="C33" s="57">
        <f t="shared" si="4"/>
        <v>0.97907092779675797</v>
      </c>
      <c r="D33" s="3">
        <f t="shared" si="5"/>
        <v>9.5857988165680447E-2</v>
      </c>
    </row>
    <row r="34" spans="1:6" x14ac:dyDescent="0.3">
      <c r="A34">
        <v>8.2000000000000003E-2</v>
      </c>
      <c r="B34" s="3">
        <f t="shared" si="3"/>
        <v>1.6071428571428572</v>
      </c>
      <c r="C34" s="3">
        <f t="shared" si="4"/>
        <v>1.136421612621237</v>
      </c>
      <c r="D34" s="3">
        <f t="shared" si="5"/>
        <v>0.10589923469387753</v>
      </c>
    </row>
    <row r="35" spans="1:6" x14ac:dyDescent="0.3">
      <c r="A35">
        <v>7.4999999999999997E-2</v>
      </c>
      <c r="B35" s="3">
        <f t="shared" si="3"/>
        <v>1.7142857142857144</v>
      </c>
      <c r="C35" s="3">
        <f t="shared" si="4"/>
        <v>1.212183053462653</v>
      </c>
      <c r="D35" s="3">
        <f t="shared" si="5"/>
        <v>0.11020408163265308</v>
      </c>
    </row>
    <row r="36" spans="1:6" x14ac:dyDescent="0.3">
      <c r="A36">
        <v>6.8000000000000005E-2</v>
      </c>
      <c r="B36" s="3">
        <f>$B$2/(A36+0.03)/1000</f>
        <v>1.8367346938775508</v>
      </c>
      <c r="C36" s="56">
        <f t="shared" si="4"/>
        <v>1.2987675572814137</v>
      </c>
      <c r="D36" s="3">
        <f t="shared" si="5"/>
        <v>0.11470220741357766</v>
      </c>
      <c r="F36" t="s">
        <v>151</v>
      </c>
    </row>
    <row r="37" spans="1:6" x14ac:dyDescent="0.3">
      <c r="D37" s="3"/>
    </row>
    <row r="38" spans="1:6" x14ac:dyDescent="0.3">
      <c r="D38" s="3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7"/>
  <sheetViews>
    <sheetView workbookViewId="0">
      <selection activeCell="E28" sqref="E28"/>
    </sheetView>
  </sheetViews>
  <sheetFormatPr baseColWidth="10" defaultRowHeight="14.4" x14ac:dyDescent="0.3"/>
  <cols>
    <col min="2" max="2" width="8.44140625" bestFit="1" customWidth="1"/>
    <col min="3" max="3" width="18.44140625" bestFit="1" customWidth="1"/>
    <col min="4" max="4" width="18.44140625" customWidth="1"/>
    <col min="5" max="5" width="18.44140625" bestFit="1" customWidth="1"/>
    <col min="6" max="6" width="20.109375" customWidth="1"/>
  </cols>
  <sheetData>
    <row r="1" spans="1:6" s="6" customFormat="1" ht="18" x14ac:dyDescent="0.35">
      <c r="A1" s="5" t="s">
        <v>140</v>
      </c>
    </row>
    <row r="3" spans="1:6" x14ac:dyDescent="0.3">
      <c r="A3" s="51" t="s">
        <v>137</v>
      </c>
      <c r="B3" s="53" t="s">
        <v>133</v>
      </c>
      <c r="C3" s="50" t="s">
        <v>138</v>
      </c>
      <c r="D3" s="50" t="s">
        <v>190</v>
      </c>
      <c r="E3" s="50" t="s">
        <v>139</v>
      </c>
      <c r="F3" s="50" t="s">
        <v>191</v>
      </c>
    </row>
    <row r="4" spans="1:6" x14ac:dyDescent="0.3">
      <c r="A4" s="52">
        <v>6.2</v>
      </c>
      <c r="B4" s="54">
        <f>5/(1+A4)/1000</f>
        <v>6.9444444444444447E-4</v>
      </c>
      <c r="C4" s="100">
        <f>B4*3000</f>
        <v>2.0833333333333335</v>
      </c>
      <c r="D4" s="101">
        <f>C4/SQRT(2)</f>
        <v>1.4731391274719741</v>
      </c>
      <c r="E4" s="98">
        <f>0.55*C4</f>
        <v>1.1458333333333335</v>
      </c>
      <c r="F4" s="3">
        <f>E4/SQRT(2)</f>
        <v>0.81022652010958573</v>
      </c>
    </row>
    <row r="5" spans="1:6" x14ac:dyDescent="0.3">
      <c r="A5" s="52">
        <v>6.8</v>
      </c>
      <c r="B5" s="54">
        <f>5/(1+A5)/1000</f>
        <v>6.4102564102564113E-4</v>
      </c>
      <c r="C5" s="55">
        <f>B5*3000</f>
        <v>1.9230769230769234</v>
      </c>
      <c r="D5" s="99">
        <f t="shared" ref="D5:D17" si="0">C5/SQRT(2)</f>
        <v>1.359820733051053</v>
      </c>
      <c r="E5" s="99">
        <f>0.55*C5</f>
        <v>1.0576923076923079</v>
      </c>
      <c r="F5" s="3">
        <f t="shared" ref="F5:F17" si="1">E5/SQRT(2)</f>
        <v>0.74790140317807918</v>
      </c>
    </row>
    <row r="6" spans="1:6" x14ac:dyDescent="0.3">
      <c r="A6" s="52">
        <v>7.5</v>
      </c>
      <c r="B6" s="54">
        <f t="shared" ref="B6:B17" si="2">5/(1+A6)/1000</f>
        <v>5.8823529411764712E-4</v>
      </c>
      <c r="C6" s="55">
        <f t="shared" ref="C6:C17" si="3">B6*3000</f>
        <v>1.7647058823529413</v>
      </c>
      <c r="D6" s="99">
        <f t="shared" si="0"/>
        <v>1.2478354962115545</v>
      </c>
      <c r="E6" s="99">
        <f t="shared" ref="E6:E17" si="4">0.55*C6</f>
        <v>0.97058823529411786</v>
      </c>
      <c r="F6" s="3">
        <f t="shared" si="1"/>
        <v>0.68630952291635505</v>
      </c>
    </row>
    <row r="7" spans="1:6" x14ac:dyDescent="0.3">
      <c r="A7" s="52">
        <v>8.1999999999999993</v>
      </c>
      <c r="B7" s="54">
        <f t="shared" si="2"/>
        <v>5.4347826086956533E-4</v>
      </c>
      <c r="C7" s="55">
        <f t="shared" si="3"/>
        <v>1.630434782608696</v>
      </c>
      <c r="D7" s="99">
        <f t="shared" si="0"/>
        <v>1.1528914910650234</v>
      </c>
      <c r="E7" s="99">
        <f t="shared" si="4"/>
        <v>0.89673913043478293</v>
      </c>
      <c r="F7" s="3">
        <f t="shared" si="1"/>
        <v>0.63409032008576294</v>
      </c>
    </row>
    <row r="8" spans="1:6" x14ac:dyDescent="0.3">
      <c r="A8" s="52">
        <v>9.1</v>
      </c>
      <c r="B8" s="54">
        <f t="shared" si="2"/>
        <v>4.9504950495049506E-4</v>
      </c>
      <c r="C8" s="55">
        <f t="shared" si="3"/>
        <v>1.4851485148514851</v>
      </c>
      <c r="D8" s="99">
        <f t="shared" si="0"/>
        <v>1.0501585859206151</v>
      </c>
      <c r="E8" s="99">
        <f t="shared" si="4"/>
        <v>0.81683168316831689</v>
      </c>
      <c r="F8" s="3">
        <f t="shared" si="1"/>
        <v>0.5775872222563383</v>
      </c>
    </row>
    <row r="9" spans="1:6" x14ac:dyDescent="0.3">
      <c r="A9" s="52">
        <v>10</v>
      </c>
      <c r="B9" s="54">
        <f t="shared" si="2"/>
        <v>4.5454545454545455E-4</v>
      </c>
      <c r="C9" s="55">
        <f t="shared" si="3"/>
        <v>1.3636363636363635</v>
      </c>
      <c r="D9" s="99">
        <f t="shared" si="0"/>
        <v>0.96423651979983738</v>
      </c>
      <c r="E9" s="99">
        <f t="shared" si="4"/>
        <v>0.75</v>
      </c>
      <c r="F9" s="3">
        <f t="shared" si="1"/>
        <v>0.5303300858899106</v>
      </c>
    </row>
    <row r="10" spans="1:6" x14ac:dyDescent="0.3">
      <c r="A10" s="52">
        <v>12</v>
      </c>
      <c r="B10" s="54">
        <f t="shared" si="2"/>
        <v>3.8461538461538462E-4</v>
      </c>
      <c r="C10" s="55">
        <f t="shared" si="3"/>
        <v>1.1538461538461537</v>
      </c>
      <c r="D10" s="99">
        <f t="shared" si="0"/>
        <v>0.81589243983063164</v>
      </c>
      <c r="E10" s="99">
        <f t="shared" si="4"/>
        <v>0.63461538461538458</v>
      </c>
      <c r="F10" s="3">
        <f t="shared" si="1"/>
        <v>0.44874084190684743</v>
      </c>
    </row>
    <row r="11" spans="1:6" x14ac:dyDescent="0.3">
      <c r="A11" s="52">
        <v>15</v>
      </c>
      <c r="B11" s="54">
        <f t="shared" si="2"/>
        <v>3.1250000000000001E-4</v>
      </c>
      <c r="C11" s="55">
        <f t="shared" si="3"/>
        <v>0.9375</v>
      </c>
      <c r="D11" s="99">
        <f t="shared" si="0"/>
        <v>0.66291260736238822</v>
      </c>
      <c r="E11" s="99">
        <f t="shared" si="4"/>
        <v>0.515625</v>
      </c>
      <c r="F11" s="3">
        <f t="shared" si="1"/>
        <v>0.36460193404931357</v>
      </c>
    </row>
    <row r="12" spans="1:6" x14ac:dyDescent="0.3">
      <c r="A12" s="52">
        <v>18</v>
      </c>
      <c r="B12" s="54">
        <f t="shared" si="2"/>
        <v>2.631578947368421E-4</v>
      </c>
      <c r="C12" s="55">
        <f t="shared" si="3"/>
        <v>0.78947368421052633</v>
      </c>
      <c r="D12" s="99">
        <f t="shared" si="0"/>
        <v>0.55824219567359012</v>
      </c>
      <c r="E12" s="99">
        <f t="shared" si="4"/>
        <v>0.43421052631578949</v>
      </c>
      <c r="F12" s="3">
        <f t="shared" si="1"/>
        <v>0.30703320762047459</v>
      </c>
    </row>
    <row r="13" spans="1:6" x14ac:dyDescent="0.3">
      <c r="A13" s="52">
        <v>22</v>
      </c>
      <c r="B13" s="54">
        <f t="shared" si="2"/>
        <v>2.1739130434782607E-4</v>
      </c>
      <c r="C13" s="55">
        <f t="shared" si="3"/>
        <v>0.65217391304347816</v>
      </c>
      <c r="D13" s="99">
        <f t="shared" si="0"/>
        <v>0.46115659642600915</v>
      </c>
      <c r="E13" s="99">
        <f t="shared" si="4"/>
        <v>0.35869565217391303</v>
      </c>
      <c r="F13" s="3">
        <f t="shared" si="1"/>
        <v>0.25363612803430508</v>
      </c>
    </row>
    <row r="14" spans="1:6" x14ac:dyDescent="0.3">
      <c r="A14" s="52">
        <v>24</v>
      </c>
      <c r="B14" s="54">
        <f t="shared" si="2"/>
        <v>2.0000000000000001E-4</v>
      </c>
      <c r="C14" s="55">
        <f t="shared" si="3"/>
        <v>0.6</v>
      </c>
      <c r="D14" s="99">
        <f t="shared" si="0"/>
        <v>0.42426406871192845</v>
      </c>
      <c r="E14" s="99">
        <f t="shared" si="4"/>
        <v>0.33</v>
      </c>
      <c r="F14" s="3">
        <f t="shared" si="1"/>
        <v>0.23334523779156069</v>
      </c>
    </row>
    <row r="15" spans="1:6" x14ac:dyDescent="0.3">
      <c r="A15" s="52">
        <v>27</v>
      </c>
      <c r="B15" s="54">
        <f t="shared" si="2"/>
        <v>1.7857142857142857E-4</v>
      </c>
      <c r="C15" s="55">
        <f t="shared" si="3"/>
        <v>0.5357142857142857</v>
      </c>
      <c r="D15" s="99">
        <f t="shared" si="0"/>
        <v>0.37880720420707897</v>
      </c>
      <c r="E15" s="99">
        <f t="shared" si="4"/>
        <v>0.29464285714285715</v>
      </c>
      <c r="F15" s="3">
        <f t="shared" si="1"/>
        <v>0.20834396231389346</v>
      </c>
    </row>
    <row r="16" spans="1:6" x14ac:dyDescent="0.3">
      <c r="A16" s="52">
        <v>33</v>
      </c>
      <c r="B16" s="54">
        <f t="shared" si="2"/>
        <v>1.4705882352941178E-4</v>
      </c>
      <c r="C16" s="55">
        <f t="shared" si="3"/>
        <v>0.44117647058823534</v>
      </c>
      <c r="D16" s="99">
        <f t="shared" si="0"/>
        <v>0.31195887405288864</v>
      </c>
      <c r="E16" s="99">
        <f t="shared" si="4"/>
        <v>0.24264705882352947</v>
      </c>
      <c r="F16" s="3">
        <f t="shared" si="1"/>
        <v>0.17157738072908876</v>
      </c>
    </row>
    <row r="17" spans="1:6" x14ac:dyDescent="0.3">
      <c r="A17" s="52">
        <v>39</v>
      </c>
      <c r="B17" s="54">
        <f t="shared" si="2"/>
        <v>1.25E-4</v>
      </c>
      <c r="C17" s="55">
        <f t="shared" si="3"/>
        <v>0.375</v>
      </c>
      <c r="D17" s="99">
        <f t="shared" si="0"/>
        <v>0.2651650429449553</v>
      </c>
      <c r="E17" s="99">
        <f t="shared" si="4"/>
        <v>0.20625000000000002</v>
      </c>
      <c r="F17" s="3">
        <f t="shared" si="1"/>
        <v>0.14584077361972542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30D0-7D37-494A-8A6C-FC913DD2F449}">
  <dimension ref="A1:O32"/>
  <sheetViews>
    <sheetView tabSelected="1" workbookViewId="0">
      <selection activeCell="C20" sqref="C20"/>
    </sheetView>
  </sheetViews>
  <sheetFormatPr baseColWidth="10" defaultRowHeight="14.4" x14ac:dyDescent="0.3"/>
  <cols>
    <col min="1" max="1" width="37.109375" customWidth="1"/>
    <col min="4" max="4" width="15.5546875" customWidth="1"/>
  </cols>
  <sheetData>
    <row r="1" spans="1:15" ht="21" x14ac:dyDescent="0.4">
      <c r="A1" s="102" t="s">
        <v>200</v>
      </c>
    </row>
    <row r="2" spans="1:15" ht="21" x14ac:dyDescent="0.4">
      <c r="A2" s="102"/>
    </row>
    <row r="3" spans="1:15" ht="18" x14ac:dyDescent="0.35">
      <c r="A3" s="6" t="s">
        <v>201</v>
      </c>
      <c r="B3" t="s">
        <v>202</v>
      </c>
      <c r="C3" t="s">
        <v>231</v>
      </c>
      <c r="D3" t="s">
        <v>203</v>
      </c>
      <c r="E3" t="s">
        <v>204</v>
      </c>
      <c r="F3" t="s">
        <v>205</v>
      </c>
      <c r="G3" t="s">
        <v>206</v>
      </c>
      <c r="H3" t="s">
        <v>207</v>
      </c>
      <c r="I3" t="s">
        <v>208</v>
      </c>
    </row>
    <row r="4" spans="1:15" x14ac:dyDescent="0.3">
      <c r="A4" t="s">
        <v>209</v>
      </c>
      <c r="B4" s="103">
        <v>5</v>
      </c>
      <c r="C4" s="103">
        <v>0</v>
      </c>
      <c r="D4" s="104">
        <v>10</v>
      </c>
      <c r="E4" s="103" t="s">
        <v>210</v>
      </c>
      <c r="F4" s="103" t="s">
        <v>211</v>
      </c>
      <c r="G4" s="103" t="s">
        <v>212</v>
      </c>
      <c r="H4" s="103" t="s">
        <v>213</v>
      </c>
      <c r="I4" s="105" t="str">
        <f>DEC2HEX(O16,2)</f>
        <v>34</v>
      </c>
    </row>
    <row r="5" spans="1:15" x14ac:dyDescent="0.3">
      <c r="A5" t="s">
        <v>214</v>
      </c>
      <c r="B5" s="106">
        <f>B4</f>
        <v>5</v>
      </c>
      <c r="C5" s="106">
        <f>C4</f>
        <v>0</v>
      </c>
      <c r="D5" s="106">
        <f>_xlfn.BITOR(HEX2DEC(D4), HEX2DEC(80))</f>
        <v>144</v>
      </c>
      <c r="E5" s="106">
        <f>HEX2DEC(E4)</f>
        <v>0</v>
      </c>
      <c r="F5" s="106">
        <f t="shared" ref="F5:H5" si="0">HEX2DEC(F4)</f>
        <v>1</v>
      </c>
      <c r="G5" s="106">
        <f t="shared" si="0"/>
        <v>20</v>
      </c>
      <c r="H5" s="106">
        <f t="shared" si="0"/>
        <v>5</v>
      </c>
    </row>
    <row r="7" spans="1:15" x14ac:dyDescent="0.3">
      <c r="B7" t="s">
        <v>215</v>
      </c>
      <c r="C7" t="s">
        <v>216</v>
      </c>
    </row>
    <row r="8" spans="1:15" x14ac:dyDescent="0.3">
      <c r="B8" s="107">
        <f>B5</f>
        <v>5</v>
      </c>
      <c r="C8">
        <v>0</v>
      </c>
      <c r="D8" s="107">
        <f>C5</f>
        <v>0</v>
      </c>
      <c r="E8">
        <f>C16</f>
        <v>105</v>
      </c>
      <c r="F8" s="107">
        <f>D5</f>
        <v>144</v>
      </c>
      <c r="G8">
        <f>E16</f>
        <v>24</v>
      </c>
      <c r="H8" s="108">
        <f>E5</f>
        <v>0</v>
      </c>
      <c r="I8">
        <f>G16</f>
        <v>119</v>
      </c>
      <c r="J8" s="108">
        <f>F5</f>
        <v>1</v>
      </c>
      <c r="K8">
        <f>I16</f>
        <v>66</v>
      </c>
      <c r="L8" s="108">
        <f>G5</f>
        <v>20</v>
      </c>
      <c r="M8">
        <f>K16</f>
        <v>64</v>
      </c>
      <c r="N8" s="108">
        <f>H5</f>
        <v>5</v>
      </c>
      <c r="O8">
        <f>M16</f>
        <v>31</v>
      </c>
    </row>
    <row r="9" spans="1:15" x14ac:dyDescent="0.3">
      <c r="A9" t="s">
        <v>217</v>
      </c>
      <c r="B9">
        <f>B8</f>
        <v>5</v>
      </c>
      <c r="C9">
        <f>IF(_xlfn.BITXOR(_xlfn.BITRSHIFT(C8,7),_xlfn.BITAND(B9,1))=1,_xlfn.BITXOR(_xlfn.BITAND(_xlfn.BITLSHIFT(C8,1),255),7),_xlfn.BITAND(_xlfn.BITLSHIFT(C8,1),255))</f>
        <v>7</v>
      </c>
      <c r="D9">
        <f>D8</f>
        <v>0</v>
      </c>
      <c r="E9">
        <f>IF(_xlfn.BITXOR(_xlfn.BITRSHIFT(E8,7),_xlfn.BITAND(D9,1))=1,_xlfn.BITXOR(_xlfn.BITAND(_xlfn.BITLSHIFT(E8,1),255),7),_xlfn.BITAND(_xlfn.BITLSHIFT(E8,1),255))</f>
        <v>210</v>
      </c>
      <c r="F9">
        <f>F8</f>
        <v>144</v>
      </c>
      <c r="G9">
        <f>IF(_xlfn.BITXOR(_xlfn.BITRSHIFT(G8,7),_xlfn.BITAND(F9,1))=1,_xlfn.BITXOR(_xlfn.BITAND(_xlfn.BITLSHIFT(G8,1),255),7),_xlfn.BITAND(_xlfn.BITLSHIFT(G8,1),255))</f>
        <v>48</v>
      </c>
      <c r="H9">
        <f>H8</f>
        <v>0</v>
      </c>
      <c r="I9">
        <f>IF(_xlfn.BITXOR(_xlfn.BITRSHIFT(I8,7),_xlfn.BITAND(H9,1))=1,_xlfn.BITXOR(_xlfn.BITAND(_xlfn.BITLSHIFT(I8,1),255),7),_xlfn.BITAND(_xlfn.BITLSHIFT(I8,1),255))</f>
        <v>238</v>
      </c>
      <c r="J9">
        <f>J8</f>
        <v>1</v>
      </c>
      <c r="K9">
        <f>IF(_xlfn.BITXOR(_xlfn.BITRSHIFT(K8,7),_xlfn.BITAND(J9,1))=1,_xlfn.BITXOR(_xlfn.BITAND(_xlfn.BITLSHIFT(K8,1),255),7),_xlfn.BITAND(_xlfn.BITLSHIFT(K8,1),255))</f>
        <v>131</v>
      </c>
      <c r="L9">
        <f>L8</f>
        <v>20</v>
      </c>
      <c r="M9">
        <f>IF(_xlfn.BITXOR(_xlfn.BITRSHIFT(M8,7),_xlfn.BITAND(L9,1))=1,_xlfn.BITXOR(_xlfn.BITAND(_xlfn.BITLSHIFT(M8,1),255),7),_xlfn.BITAND(_xlfn.BITLSHIFT(M8,1),255))</f>
        <v>128</v>
      </c>
      <c r="N9">
        <f>N8</f>
        <v>5</v>
      </c>
      <c r="O9">
        <f>IF(_xlfn.BITXOR(_xlfn.BITRSHIFT(O8,7),_xlfn.BITAND(N9,1))=1,_xlfn.BITXOR(_xlfn.BITAND(_xlfn.BITLSHIFT(O8,1),255),7),_xlfn.BITAND(_xlfn.BITLSHIFT(O8,1),255))</f>
        <v>57</v>
      </c>
    </row>
    <row r="10" spans="1:15" x14ac:dyDescent="0.3">
      <c r="A10" t="s">
        <v>218</v>
      </c>
      <c r="B10">
        <f>_xlfn.BITRSHIFT(B9,1)</f>
        <v>2</v>
      </c>
      <c r="C10">
        <f t="shared" ref="C10:C16" si="1">IF(_xlfn.BITXOR(_xlfn.BITRSHIFT(C9,7),_xlfn.BITAND(B10,1))=1,_xlfn.BITXOR(_xlfn.BITAND(_xlfn.BITLSHIFT(C9,1),255),7),_xlfn.BITAND(_xlfn.BITLSHIFT(C9,1),255))</f>
        <v>14</v>
      </c>
      <c r="D10">
        <f>_xlfn.BITRSHIFT(D9,1)</f>
        <v>0</v>
      </c>
      <c r="E10">
        <f t="shared" ref="E10:O16" si="2">IF(_xlfn.BITXOR(_xlfn.BITRSHIFT(E9,7),_xlfn.BITAND(D10,1))=1,_xlfn.BITXOR(_xlfn.BITAND(_xlfn.BITLSHIFT(E9,1),255),7),_xlfn.BITAND(_xlfn.BITLSHIFT(E9,1),255))</f>
        <v>163</v>
      </c>
      <c r="F10">
        <f>_xlfn.BITRSHIFT(F9,1)</f>
        <v>72</v>
      </c>
      <c r="G10">
        <f t="shared" si="2"/>
        <v>96</v>
      </c>
      <c r="H10">
        <f>_xlfn.BITRSHIFT(H9,1)</f>
        <v>0</v>
      </c>
      <c r="I10">
        <f t="shared" si="2"/>
        <v>219</v>
      </c>
      <c r="J10">
        <f>_xlfn.BITRSHIFT(J9,1)</f>
        <v>0</v>
      </c>
      <c r="K10">
        <f t="shared" si="2"/>
        <v>1</v>
      </c>
      <c r="L10">
        <f>_xlfn.BITRSHIFT(L9,1)</f>
        <v>10</v>
      </c>
      <c r="M10">
        <f t="shared" si="2"/>
        <v>7</v>
      </c>
      <c r="N10">
        <f>_xlfn.BITRSHIFT(N9,1)</f>
        <v>2</v>
      </c>
      <c r="O10">
        <f t="shared" si="2"/>
        <v>114</v>
      </c>
    </row>
    <row r="11" spans="1:15" x14ac:dyDescent="0.3">
      <c r="A11" t="s">
        <v>219</v>
      </c>
      <c r="B11">
        <f t="shared" ref="B11:N16" si="3">_xlfn.BITRSHIFT(B10,1)</f>
        <v>1</v>
      </c>
      <c r="C11">
        <f t="shared" si="1"/>
        <v>27</v>
      </c>
      <c r="D11">
        <f t="shared" si="3"/>
        <v>0</v>
      </c>
      <c r="E11">
        <f t="shared" si="2"/>
        <v>65</v>
      </c>
      <c r="F11">
        <f t="shared" si="3"/>
        <v>36</v>
      </c>
      <c r="G11">
        <f t="shared" si="2"/>
        <v>192</v>
      </c>
      <c r="H11">
        <f t="shared" si="3"/>
        <v>0</v>
      </c>
      <c r="I11">
        <f t="shared" si="2"/>
        <v>177</v>
      </c>
      <c r="J11">
        <f t="shared" si="3"/>
        <v>0</v>
      </c>
      <c r="K11">
        <f t="shared" si="2"/>
        <v>2</v>
      </c>
      <c r="L11">
        <f t="shared" si="3"/>
        <v>5</v>
      </c>
      <c r="M11">
        <f t="shared" si="2"/>
        <v>9</v>
      </c>
      <c r="N11">
        <f t="shared" si="3"/>
        <v>1</v>
      </c>
      <c r="O11">
        <f t="shared" si="2"/>
        <v>227</v>
      </c>
    </row>
    <row r="12" spans="1:15" x14ac:dyDescent="0.3">
      <c r="A12" t="s">
        <v>220</v>
      </c>
      <c r="B12">
        <f t="shared" si="3"/>
        <v>0</v>
      </c>
      <c r="C12">
        <f t="shared" si="1"/>
        <v>54</v>
      </c>
      <c r="D12">
        <f t="shared" si="3"/>
        <v>0</v>
      </c>
      <c r="E12">
        <f t="shared" si="2"/>
        <v>130</v>
      </c>
      <c r="F12">
        <f t="shared" si="3"/>
        <v>18</v>
      </c>
      <c r="G12">
        <f t="shared" si="2"/>
        <v>135</v>
      </c>
      <c r="H12">
        <f t="shared" si="3"/>
        <v>0</v>
      </c>
      <c r="I12">
        <f t="shared" si="2"/>
        <v>101</v>
      </c>
      <c r="J12">
        <f t="shared" si="3"/>
        <v>0</v>
      </c>
      <c r="K12">
        <f t="shared" si="2"/>
        <v>4</v>
      </c>
      <c r="L12">
        <f t="shared" si="3"/>
        <v>2</v>
      </c>
      <c r="M12">
        <f t="shared" si="2"/>
        <v>18</v>
      </c>
      <c r="N12">
        <f t="shared" si="3"/>
        <v>0</v>
      </c>
      <c r="O12">
        <f t="shared" si="2"/>
        <v>193</v>
      </c>
    </row>
    <row r="13" spans="1:15" x14ac:dyDescent="0.3">
      <c r="A13" t="s">
        <v>221</v>
      </c>
      <c r="B13">
        <f t="shared" si="3"/>
        <v>0</v>
      </c>
      <c r="C13">
        <f t="shared" si="1"/>
        <v>108</v>
      </c>
      <c r="D13">
        <f t="shared" si="3"/>
        <v>0</v>
      </c>
      <c r="E13">
        <f t="shared" si="2"/>
        <v>3</v>
      </c>
      <c r="F13">
        <f t="shared" si="3"/>
        <v>9</v>
      </c>
      <c r="G13">
        <f t="shared" si="2"/>
        <v>14</v>
      </c>
      <c r="H13">
        <f t="shared" si="3"/>
        <v>0</v>
      </c>
      <c r="I13">
        <f t="shared" si="2"/>
        <v>202</v>
      </c>
      <c r="J13">
        <f t="shared" si="3"/>
        <v>0</v>
      </c>
      <c r="K13">
        <f t="shared" si="2"/>
        <v>8</v>
      </c>
      <c r="L13">
        <f t="shared" si="3"/>
        <v>1</v>
      </c>
      <c r="M13">
        <f t="shared" si="2"/>
        <v>35</v>
      </c>
      <c r="N13">
        <f t="shared" si="3"/>
        <v>0</v>
      </c>
      <c r="O13">
        <f t="shared" si="2"/>
        <v>133</v>
      </c>
    </row>
    <row r="14" spans="1:15" x14ac:dyDescent="0.3">
      <c r="A14" t="s">
        <v>222</v>
      </c>
      <c r="B14">
        <f t="shared" si="3"/>
        <v>0</v>
      </c>
      <c r="C14">
        <f t="shared" si="1"/>
        <v>216</v>
      </c>
      <c r="D14">
        <f t="shared" si="3"/>
        <v>0</v>
      </c>
      <c r="E14">
        <f t="shared" si="2"/>
        <v>6</v>
      </c>
      <c r="F14">
        <f t="shared" si="3"/>
        <v>4</v>
      </c>
      <c r="G14">
        <f t="shared" si="2"/>
        <v>28</v>
      </c>
      <c r="H14">
        <f t="shared" si="3"/>
        <v>0</v>
      </c>
      <c r="I14">
        <f t="shared" si="2"/>
        <v>147</v>
      </c>
      <c r="J14">
        <f t="shared" si="3"/>
        <v>0</v>
      </c>
      <c r="K14">
        <f t="shared" si="2"/>
        <v>16</v>
      </c>
      <c r="L14">
        <f t="shared" si="3"/>
        <v>0</v>
      </c>
      <c r="M14">
        <f t="shared" si="2"/>
        <v>70</v>
      </c>
      <c r="N14">
        <f t="shared" si="3"/>
        <v>0</v>
      </c>
      <c r="O14">
        <f t="shared" si="2"/>
        <v>13</v>
      </c>
    </row>
    <row r="15" spans="1:15" x14ac:dyDescent="0.3">
      <c r="A15" t="s">
        <v>223</v>
      </c>
      <c r="B15">
        <f t="shared" si="3"/>
        <v>0</v>
      </c>
      <c r="C15">
        <f t="shared" si="1"/>
        <v>183</v>
      </c>
      <c r="D15">
        <f t="shared" si="3"/>
        <v>0</v>
      </c>
      <c r="E15">
        <f t="shared" si="2"/>
        <v>12</v>
      </c>
      <c r="F15">
        <f t="shared" si="3"/>
        <v>2</v>
      </c>
      <c r="G15">
        <f t="shared" si="2"/>
        <v>56</v>
      </c>
      <c r="H15">
        <f t="shared" si="3"/>
        <v>0</v>
      </c>
      <c r="I15">
        <f t="shared" si="2"/>
        <v>33</v>
      </c>
      <c r="J15">
        <f t="shared" si="3"/>
        <v>0</v>
      </c>
      <c r="K15">
        <f t="shared" si="2"/>
        <v>32</v>
      </c>
      <c r="L15">
        <f t="shared" si="3"/>
        <v>0</v>
      </c>
      <c r="M15">
        <f t="shared" si="2"/>
        <v>140</v>
      </c>
      <c r="N15">
        <f t="shared" si="3"/>
        <v>0</v>
      </c>
      <c r="O15">
        <f t="shared" si="2"/>
        <v>26</v>
      </c>
    </row>
    <row r="16" spans="1:15" x14ac:dyDescent="0.3">
      <c r="A16" t="s">
        <v>224</v>
      </c>
      <c r="B16">
        <f t="shared" si="3"/>
        <v>0</v>
      </c>
      <c r="C16">
        <f t="shared" si="1"/>
        <v>105</v>
      </c>
      <c r="D16">
        <f t="shared" si="3"/>
        <v>0</v>
      </c>
      <c r="E16">
        <f t="shared" si="2"/>
        <v>24</v>
      </c>
      <c r="F16">
        <f t="shared" si="3"/>
        <v>1</v>
      </c>
      <c r="G16">
        <f t="shared" si="2"/>
        <v>119</v>
      </c>
      <c r="H16">
        <f t="shared" si="3"/>
        <v>0</v>
      </c>
      <c r="I16">
        <f t="shared" si="2"/>
        <v>66</v>
      </c>
      <c r="J16">
        <f t="shared" si="3"/>
        <v>0</v>
      </c>
      <c r="K16">
        <f t="shared" si="2"/>
        <v>64</v>
      </c>
      <c r="L16">
        <f t="shared" si="3"/>
        <v>0</v>
      </c>
      <c r="M16">
        <f t="shared" si="2"/>
        <v>31</v>
      </c>
      <c r="N16">
        <f t="shared" si="3"/>
        <v>0</v>
      </c>
      <c r="O16">
        <f t="shared" si="2"/>
        <v>52</v>
      </c>
    </row>
    <row r="19" spans="1:14" ht="18" x14ac:dyDescent="0.35">
      <c r="A19" s="6" t="s">
        <v>225</v>
      </c>
      <c r="B19" t="s">
        <v>202</v>
      </c>
      <c r="C19" t="s">
        <v>231</v>
      </c>
      <c r="D19" t="s">
        <v>226</v>
      </c>
      <c r="E19" t="s">
        <v>208</v>
      </c>
    </row>
    <row r="20" spans="1:14" x14ac:dyDescent="0.3">
      <c r="A20" t="s">
        <v>227</v>
      </c>
      <c r="B20" s="103" t="s">
        <v>213</v>
      </c>
      <c r="C20" s="103" t="s">
        <v>228</v>
      </c>
      <c r="D20" s="103" t="s">
        <v>229</v>
      </c>
      <c r="E20" s="105" t="str">
        <f>DEC2HEX(G32,2)</f>
        <v>6F</v>
      </c>
    </row>
    <row r="21" spans="1:14" x14ac:dyDescent="0.3">
      <c r="A21" t="s">
        <v>230</v>
      </c>
      <c r="B21" s="106" t="str">
        <f>B20</f>
        <v>05</v>
      </c>
      <c r="C21" s="106" t="str">
        <f>C20</f>
        <v>0</v>
      </c>
      <c r="D21" s="106">
        <f>HEX2DEC(D20)</f>
        <v>6</v>
      </c>
    </row>
    <row r="23" spans="1:14" x14ac:dyDescent="0.3">
      <c r="B23" t="s">
        <v>215</v>
      </c>
      <c r="C23" t="s">
        <v>216</v>
      </c>
    </row>
    <row r="24" spans="1:14" x14ac:dyDescent="0.3">
      <c r="B24" s="107" t="str">
        <f>B21</f>
        <v>05</v>
      </c>
      <c r="C24">
        <v>0</v>
      </c>
      <c r="D24" s="107" t="str">
        <f>C21</f>
        <v>0</v>
      </c>
      <c r="E24">
        <f>C32</f>
        <v>105</v>
      </c>
      <c r="F24" s="107">
        <f>D21</f>
        <v>6</v>
      </c>
      <c r="G24">
        <f>E32</f>
        <v>24</v>
      </c>
      <c r="H24" s="25"/>
      <c r="J24" s="25"/>
      <c r="L24" s="25"/>
      <c r="N24" s="25"/>
    </row>
    <row r="25" spans="1:14" x14ac:dyDescent="0.3">
      <c r="A25" t="s">
        <v>217</v>
      </c>
      <c r="B25" t="str">
        <f>B24</f>
        <v>05</v>
      </c>
      <c r="C25">
        <f>IF(_xlfn.BITXOR(_xlfn.BITRSHIFT(C24,7),_xlfn.BITAND(B25,1))=1,_xlfn.BITXOR(_xlfn.BITAND(_xlfn.BITLSHIFT(C24,1),255),7),_xlfn.BITAND(_xlfn.BITLSHIFT(C24,1),255))</f>
        <v>7</v>
      </c>
      <c r="D25" t="str">
        <f>D24</f>
        <v>0</v>
      </c>
      <c r="E25">
        <f>IF(_xlfn.BITXOR(_xlfn.BITRSHIFT(E24,7),_xlfn.BITAND(D25,1))=1,_xlfn.BITXOR(_xlfn.BITAND(_xlfn.BITLSHIFT(E24,1),255),7),_xlfn.BITAND(_xlfn.BITLSHIFT(E24,1),255))</f>
        <v>210</v>
      </c>
      <c r="F25">
        <f>F24</f>
        <v>6</v>
      </c>
      <c r="G25">
        <f>IF(_xlfn.BITXOR(_xlfn.BITRSHIFT(G24,7),_xlfn.BITAND(F25,1))=1,_xlfn.BITXOR(_xlfn.BITAND(_xlfn.BITLSHIFT(G24,1),255),7),_xlfn.BITAND(_xlfn.BITLSHIFT(G24,1),255))</f>
        <v>48</v>
      </c>
    </row>
    <row r="26" spans="1:14" x14ac:dyDescent="0.3">
      <c r="A26" t="s">
        <v>218</v>
      </c>
      <c r="B26">
        <f>_xlfn.BITRSHIFT(B25,1)</f>
        <v>2</v>
      </c>
      <c r="C26">
        <f t="shared" ref="C26:C32" si="4">IF(_xlfn.BITXOR(_xlfn.BITRSHIFT(C25,7),_xlfn.BITAND(B26,1))=1,_xlfn.BITXOR(_xlfn.BITAND(_xlfn.BITLSHIFT(C25,1),255),7),_xlfn.BITAND(_xlfn.BITLSHIFT(C25,1),255))</f>
        <v>14</v>
      </c>
      <c r="D26">
        <f>_xlfn.BITRSHIFT(D25,1)</f>
        <v>0</v>
      </c>
      <c r="E26">
        <f t="shared" ref="E26:E32" si="5">IF(_xlfn.BITXOR(_xlfn.BITRSHIFT(E25,7),_xlfn.BITAND(D26,1))=1,_xlfn.BITXOR(_xlfn.BITAND(_xlfn.BITLSHIFT(E25,1),255),7),_xlfn.BITAND(_xlfn.BITLSHIFT(E25,1),255))</f>
        <v>163</v>
      </c>
      <c r="F26">
        <f>_xlfn.BITRSHIFT(F25,1)</f>
        <v>3</v>
      </c>
      <c r="G26">
        <f t="shared" ref="G26:G32" si="6">IF(_xlfn.BITXOR(_xlfn.BITRSHIFT(G25,7),_xlfn.BITAND(F26,1))=1,_xlfn.BITXOR(_xlfn.BITAND(_xlfn.BITLSHIFT(G25,1),255),7),_xlfn.BITAND(_xlfn.BITLSHIFT(G25,1),255))</f>
        <v>103</v>
      </c>
    </row>
    <row r="27" spans="1:14" x14ac:dyDescent="0.3">
      <c r="A27" t="s">
        <v>219</v>
      </c>
      <c r="B27">
        <f t="shared" ref="B27:B32" si="7">_xlfn.BITRSHIFT(B26,1)</f>
        <v>1</v>
      </c>
      <c r="C27">
        <f t="shared" si="4"/>
        <v>27</v>
      </c>
      <c r="D27">
        <f t="shared" ref="D27:D32" si="8">_xlfn.BITRSHIFT(D26,1)</f>
        <v>0</v>
      </c>
      <c r="E27">
        <f t="shared" si="5"/>
        <v>65</v>
      </c>
      <c r="F27">
        <f t="shared" ref="F27:F32" si="9">_xlfn.BITRSHIFT(F26,1)</f>
        <v>1</v>
      </c>
      <c r="G27">
        <f t="shared" si="6"/>
        <v>201</v>
      </c>
    </row>
    <row r="28" spans="1:14" x14ac:dyDescent="0.3">
      <c r="A28" t="s">
        <v>220</v>
      </c>
      <c r="B28">
        <f t="shared" si="7"/>
        <v>0</v>
      </c>
      <c r="C28">
        <f t="shared" si="4"/>
        <v>54</v>
      </c>
      <c r="D28">
        <f t="shared" si="8"/>
        <v>0</v>
      </c>
      <c r="E28">
        <f t="shared" si="5"/>
        <v>130</v>
      </c>
      <c r="F28">
        <f t="shared" si="9"/>
        <v>0</v>
      </c>
      <c r="G28">
        <f t="shared" si="6"/>
        <v>149</v>
      </c>
    </row>
    <row r="29" spans="1:14" x14ac:dyDescent="0.3">
      <c r="A29" t="s">
        <v>221</v>
      </c>
      <c r="B29">
        <f t="shared" si="7"/>
        <v>0</v>
      </c>
      <c r="C29">
        <f t="shared" si="4"/>
        <v>108</v>
      </c>
      <c r="D29">
        <f t="shared" si="8"/>
        <v>0</v>
      </c>
      <c r="E29">
        <f t="shared" si="5"/>
        <v>3</v>
      </c>
      <c r="F29">
        <f t="shared" si="9"/>
        <v>0</v>
      </c>
      <c r="G29">
        <f t="shared" si="6"/>
        <v>45</v>
      </c>
    </row>
    <row r="30" spans="1:14" x14ac:dyDescent="0.3">
      <c r="A30" t="s">
        <v>222</v>
      </c>
      <c r="B30">
        <f t="shared" si="7"/>
        <v>0</v>
      </c>
      <c r="C30">
        <f t="shared" si="4"/>
        <v>216</v>
      </c>
      <c r="D30">
        <f t="shared" si="8"/>
        <v>0</v>
      </c>
      <c r="E30">
        <f t="shared" si="5"/>
        <v>6</v>
      </c>
      <c r="F30">
        <f t="shared" si="9"/>
        <v>0</v>
      </c>
      <c r="G30">
        <f t="shared" si="6"/>
        <v>90</v>
      </c>
    </row>
    <row r="31" spans="1:14" x14ac:dyDescent="0.3">
      <c r="A31" t="s">
        <v>223</v>
      </c>
      <c r="B31">
        <f t="shared" si="7"/>
        <v>0</v>
      </c>
      <c r="C31">
        <f t="shared" si="4"/>
        <v>183</v>
      </c>
      <c r="D31">
        <f t="shared" si="8"/>
        <v>0</v>
      </c>
      <c r="E31">
        <f t="shared" si="5"/>
        <v>12</v>
      </c>
      <c r="F31">
        <f t="shared" si="9"/>
        <v>0</v>
      </c>
      <c r="G31">
        <f t="shared" si="6"/>
        <v>180</v>
      </c>
    </row>
    <row r="32" spans="1:14" x14ac:dyDescent="0.3">
      <c r="A32" t="s">
        <v>224</v>
      </c>
      <c r="B32">
        <f t="shared" si="7"/>
        <v>0</v>
      </c>
      <c r="C32">
        <f t="shared" si="4"/>
        <v>105</v>
      </c>
      <c r="D32">
        <f t="shared" si="8"/>
        <v>0</v>
      </c>
      <c r="E32">
        <f t="shared" si="5"/>
        <v>24</v>
      </c>
      <c r="F32">
        <f t="shared" si="9"/>
        <v>0</v>
      </c>
      <c r="G32">
        <f t="shared" si="6"/>
        <v>111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"/>
  <sheetViews>
    <sheetView workbookViewId="0">
      <selection activeCell="A9" sqref="A9"/>
    </sheetView>
  </sheetViews>
  <sheetFormatPr baseColWidth="10" defaultRowHeight="14.4" x14ac:dyDescent="0.3"/>
  <cols>
    <col min="1" max="1" width="12.88671875" customWidth="1"/>
    <col min="2" max="2" width="12.6640625" customWidth="1"/>
    <col min="3" max="3" width="123.6640625" customWidth="1"/>
  </cols>
  <sheetData>
    <row r="1" spans="1:3" x14ac:dyDescent="0.3">
      <c r="A1" s="11" t="s">
        <v>27</v>
      </c>
      <c r="B1" s="12" t="s">
        <v>192</v>
      </c>
    </row>
    <row r="2" spans="1:3" x14ac:dyDescent="0.3">
      <c r="A2" s="11"/>
      <c r="B2" s="12"/>
    </row>
    <row r="3" spans="1:3" x14ac:dyDescent="0.3">
      <c r="C3" s="17" t="s">
        <v>30</v>
      </c>
    </row>
    <row r="4" spans="1:3" x14ac:dyDescent="0.3">
      <c r="B4" s="17"/>
    </row>
    <row r="5" spans="1:3" x14ac:dyDescent="0.3">
      <c r="A5" s="11" t="s">
        <v>28</v>
      </c>
      <c r="B5" t="s">
        <v>60</v>
      </c>
      <c r="C5" s="11" t="s">
        <v>29</v>
      </c>
    </row>
    <row r="6" spans="1:3" x14ac:dyDescent="0.3">
      <c r="A6" s="18" t="s">
        <v>193</v>
      </c>
      <c r="B6" t="s">
        <v>61</v>
      </c>
      <c r="C6" t="s">
        <v>194</v>
      </c>
    </row>
    <row r="7" spans="1:3" x14ac:dyDescent="0.3">
      <c r="A7" t="s">
        <v>196</v>
      </c>
      <c r="B7" t="s">
        <v>61</v>
      </c>
      <c r="C7" t="s">
        <v>197</v>
      </c>
    </row>
    <row r="8" spans="1:3" x14ac:dyDescent="0.3">
      <c r="A8" t="s">
        <v>198</v>
      </c>
      <c r="B8" t="s">
        <v>61</v>
      </c>
      <c r="C8" t="s">
        <v>199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Velocity Calculation</vt:lpstr>
      <vt:lpstr>Chopper Parameters</vt:lpstr>
      <vt:lpstr>Power Dissipation</vt:lpstr>
      <vt:lpstr>Rsense</vt:lpstr>
      <vt:lpstr>RDSonSense</vt:lpstr>
      <vt:lpstr>Datagram CRC calculation</vt:lpstr>
      <vt:lpstr>Revision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Wendlandt</dc:creator>
  <cp:lastModifiedBy>Bernhard Dwersteg</cp:lastModifiedBy>
  <dcterms:created xsi:type="dcterms:W3CDTF">2012-04-11T11:11:54Z</dcterms:created>
  <dcterms:modified xsi:type="dcterms:W3CDTF">2019-09-23T10:25:26Z</dcterms:modified>
</cp:coreProperties>
</file>